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P:\TOKOKO\02_Berechnung-Simulation\01_Sunshaft\01_Analytische Rechnung\"/>
    </mc:Choice>
  </mc:AlternateContent>
  <bookViews>
    <workbookView xWindow="-105" yWindow="-105" windowWidth="38625" windowHeight="21105" firstSheet="3" activeTab="8"/>
  </bookViews>
  <sheets>
    <sheet name="Morphologischer Kasten" sheetId="1" r:id="rId1"/>
    <sheet name="Gegebene Werte" sheetId="5" r:id="rId2"/>
    <sheet name="Verbindungsberechnungen" sheetId="2" r:id="rId3"/>
    <sheet name="Massenabschätzung" sheetId="9" r:id="rId4"/>
    <sheet name="Bewertungsmatrix" sheetId="10" r:id="rId5"/>
    <sheet name="Lösungsmatrix" sheetId="3" r:id="rId6"/>
    <sheet name="Hilfsrechnungen" sheetId="8" r:id="rId7"/>
    <sheet name="BerechnungenCLT" sheetId="7" r:id="rId8"/>
    <sheet name="Berechnung freier Bereich" sheetId="6" r:id="rId9"/>
    <sheet name="Beurteilung" sheetId="4" r:id="rId10"/>
  </sheets>
  <functionGroups builtInGroupCount="18"/>
  <externalReferences>
    <externalReference r:id="rId11"/>
    <externalReference r:id="rId12"/>
    <externalReference r:id="rId13"/>
  </externalReferences>
  <definedNames>
    <definedName name="Außenradius_konisch">'Berechnung freier Bereich'!$E$51:INDEX('Berechnung freier Bereich'!$E$52:$E$441,'Berechnung freier Bereich'!$B$47)</definedName>
    <definedName name="Innenradius_konisch">'Berechnung freier Bereich'!$C$51:INDEX('Berechnung freier Bereich'!$C$52:$C$441,'Berechnung freier Bereich'!$B$47)</definedName>
    <definedName name="XAchse">'Berechnung freier Bereich'!$B$51:INDEX('Berechnung freier Bereich'!$B$52:$B$441,'Berechnung freier Bereich'!$B$47)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O51" i="6" l="1"/>
  <c r="B5" i="7"/>
  <c r="B4" i="7"/>
  <c r="B3" i="7"/>
  <c r="B2" i="7"/>
  <c r="B46" i="2" l="1"/>
  <c r="DB52" i="6" l="1"/>
  <c r="DB53" i="6"/>
  <c r="DB54" i="6"/>
  <c r="DB55" i="6"/>
  <c r="DB56" i="6"/>
  <c r="DB57" i="6"/>
  <c r="DB58" i="6"/>
  <c r="DB59" i="6"/>
  <c r="DB60" i="6"/>
  <c r="DB61" i="6"/>
  <c r="DB62" i="6"/>
  <c r="DB63" i="6"/>
  <c r="DB64" i="6"/>
  <c r="DB65" i="6"/>
  <c r="DB66" i="6"/>
  <c r="DB67" i="6"/>
  <c r="DB68" i="6"/>
  <c r="DB69" i="6"/>
  <c r="DB70" i="6"/>
  <c r="DB71" i="6"/>
  <c r="DB72" i="6"/>
  <c r="DB73" i="6"/>
  <c r="DB74" i="6"/>
  <c r="DB75" i="6"/>
  <c r="DB76" i="6"/>
  <c r="DB77" i="6"/>
  <c r="DB78" i="6"/>
  <c r="DB79" i="6"/>
  <c r="DB80" i="6"/>
  <c r="DB81" i="6"/>
  <c r="DB82" i="6"/>
  <c r="DB83" i="6"/>
  <c r="DB84" i="6"/>
  <c r="DB85" i="6"/>
  <c r="DB86" i="6"/>
  <c r="DB87" i="6"/>
  <c r="DB88" i="6"/>
  <c r="DB89" i="6"/>
  <c r="DB90" i="6"/>
  <c r="DB91" i="6"/>
  <c r="DB92" i="6"/>
  <c r="DB93" i="6"/>
  <c r="DB94" i="6"/>
  <c r="DB95" i="6"/>
  <c r="DB96" i="6"/>
  <c r="DB97" i="6"/>
  <c r="DB98" i="6"/>
  <c r="DB99" i="6"/>
  <c r="DB100" i="6"/>
  <c r="DB101" i="6"/>
  <c r="DB102" i="6"/>
  <c r="DB103" i="6"/>
  <c r="DB104" i="6"/>
  <c r="DB105" i="6"/>
  <c r="DB106" i="6"/>
  <c r="DB107" i="6"/>
  <c r="DB108" i="6"/>
  <c r="DB109" i="6"/>
  <c r="DB110" i="6"/>
  <c r="DB111" i="6"/>
  <c r="DB112" i="6"/>
  <c r="DB113" i="6"/>
  <c r="DB114" i="6"/>
  <c r="DB115" i="6"/>
  <c r="DB116" i="6"/>
  <c r="DB117" i="6"/>
  <c r="DB118" i="6"/>
  <c r="DB119" i="6"/>
  <c r="DB120" i="6"/>
  <c r="DB121" i="6"/>
  <c r="DB122" i="6"/>
  <c r="DB123" i="6"/>
  <c r="DB124" i="6"/>
  <c r="DB125" i="6"/>
  <c r="DB126" i="6"/>
  <c r="DB127" i="6"/>
  <c r="DB128" i="6"/>
  <c r="DB129" i="6"/>
  <c r="DB130" i="6"/>
  <c r="DB131" i="6"/>
  <c r="DB132" i="6"/>
  <c r="DB133" i="6"/>
  <c r="DB134" i="6"/>
  <c r="DB135" i="6"/>
  <c r="DB136" i="6"/>
  <c r="DB137" i="6"/>
  <c r="DB138" i="6"/>
  <c r="DB139" i="6"/>
  <c r="DB140" i="6"/>
  <c r="DB141" i="6"/>
  <c r="DB142" i="6"/>
  <c r="DB143" i="6"/>
  <c r="DB144" i="6"/>
  <c r="DB145" i="6"/>
  <c r="DB146" i="6"/>
  <c r="DB147" i="6"/>
  <c r="DB148" i="6"/>
  <c r="DB149" i="6"/>
  <c r="DB150" i="6"/>
  <c r="DB151" i="6"/>
  <c r="DB152" i="6"/>
  <c r="DB153" i="6"/>
  <c r="DB154" i="6"/>
  <c r="DB155" i="6"/>
  <c r="DB156" i="6"/>
  <c r="DB157" i="6"/>
  <c r="DB158" i="6"/>
  <c r="DB159" i="6"/>
  <c r="DB160" i="6"/>
  <c r="DB161" i="6"/>
  <c r="DB162" i="6"/>
  <c r="DB163" i="6"/>
  <c r="DB164" i="6"/>
  <c r="DB165" i="6"/>
  <c r="DB166" i="6"/>
  <c r="DB167" i="6"/>
  <c r="DB168" i="6"/>
  <c r="DB169" i="6"/>
  <c r="DB170" i="6"/>
  <c r="DB171" i="6"/>
  <c r="DB172" i="6"/>
  <c r="DB173" i="6"/>
  <c r="DB174" i="6"/>
  <c r="DB175" i="6"/>
  <c r="DB176" i="6"/>
  <c r="DB177" i="6"/>
  <c r="DB178" i="6"/>
  <c r="DB179" i="6"/>
  <c r="DB180" i="6"/>
  <c r="DB181" i="6"/>
  <c r="DB182" i="6"/>
  <c r="DB183" i="6"/>
  <c r="DB184" i="6"/>
  <c r="DB185" i="6"/>
  <c r="DB186" i="6"/>
  <c r="DB187" i="6"/>
  <c r="DB188" i="6"/>
  <c r="DB189" i="6"/>
  <c r="DB190" i="6"/>
  <c r="DB191" i="6"/>
  <c r="DB192" i="6"/>
  <c r="DB193" i="6"/>
  <c r="DB194" i="6"/>
  <c r="DB195" i="6"/>
  <c r="DB196" i="6"/>
  <c r="DB197" i="6"/>
  <c r="DB198" i="6"/>
  <c r="DB199" i="6"/>
  <c r="DB200" i="6"/>
  <c r="DB201" i="6"/>
  <c r="DB202" i="6"/>
  <c r="DB203" i="6"/>
  <c r="DB204" i="6"/>
  <c r="DB205" i="6"/>
  <c r="DB206" i="6"/>
  <c r="DB207" i="6"/>
  <c r="DB208" i="6"/>
  <c r="DB209" i="6"/>
  <c r="DB210" i="6"/>
  <c r="DB211" i="6"/>
  <c r="DB212" i="6"/>
  <c r="DB213" i="6"/>
  <c r="DB214" i="6"/>
  <c r="DB215" i="6"/>
  <c r="DB216" i="6"/>
  <c r="DB217" i="6"/>
  <c r="DB218" i="6"/>
  <c r="DB219" i="6"/>
  <c r="DB220" i="6"/>
  <c r="DB221" i="6"/>
  <c r="DB222" i="6"/>
  <c r="DB223" i="6"/>
  <c r="DB224" i="6"/>
  <c r="DB225" i="6"/>
  <c r="DB226" i="6"/>
  <c r="DB227" i="6"/>
  <c r="DB228" i="6"/>
  <c r="DB229" i="6"/>
  <c r="DB230" i="6"/>
  <c r="DB231" i="6"/>
  <c r="DB232" i="6"/>
  <c r="DB233" i="6"/>
  <c r="DB234" i="6"/>
  <c r="DB235" i="6"/>
  <c r="DB236" i="6"/>
  <c r="DB237" i="6"/>
  <c r="DB238" i="6"/>
  <c r="DB239" i="6"/>
  <c r="DB240" i="6"/>
  <c r="DB241" i="6"/>
  <c r="DB242" i="6"/>
  <c r="DB243" i="6"/>
  <c r="DB244" i="6"/>
  <c r="DB245" i="6"/>
  <c r="DB246" i="6"/>
  <c r="DB247" i="6"/>
  <c r="DB248" i="6"/>
  <c r="DB249" i="6"/>
  <c r="DB250" i="6"/>
  <c r="DB251" i="6"/>
  <c r="DB252" i="6"/>
  <c r="DB253" i="6"/>
  <c r="DB254" i="6"/>
  <c r="DB255" i="6"/>
  <c r="DB256" i="6"/>
  <c r="DB257" i="6"/>
  <c r="DB258" i="6"/>
  <c r="DB259" i="6"/>
  <c r="DB260" i="6"/>
  <c r="DB261" i="6"/>
  <c r="DB262" i="6"/>
  <c r="DB263" i="6"/>
  <c r="DB264" i="6"/>
  <c r="DB265" i="6"/>
  <c r="DB266" i="6"/>
  <c r="DB267" i="6"/>
  <c r="DB268" i="6"/>
  <c r="DB269" i="6"/>
  <c r="DB270" i="6"/>
  <c r="DB271" i="6"/>
  <c r="DB272" i="6"/>
  <c r="DB273" i="6"/>
  <c r="DB274" i="6"/>
  <c r="DB275" i="6"/>
  <c r="DB276" i="6"/>
  <c r="DB277" i="6"/>
  <c r="DB278" i="6"/>
  <c r="DB279" i="6"/>
  <c r="DB280" i="6"/>
  <c r="DB281" i="6"/>
  <c r="DB282" i="6"/>
  <c r="DB283" i="6"/>
  <c r="DB284" i="6"/>
  <c r="DB285" i="6"/>
  <c r="DB286" i="6"/>
  <c r="DB287" i="6"/>
  <c r="DB288" i="6"/>
  <c r="DB289" i="6"/>
  <c r="DB290" i="6"/>
  <c r="DB291" i="6"/>
  <c r="DB292" i="6"/>
  <c r="DB293" i="6"/>
  <c r="DB294" i="6"/>
  <c r="DB295" i="6"/>
  <c r="DB296" i="6"/>
  <c r="DB297" i="6"/>
  <c r="DB298" i="6"/>
  <c r="DB299" i="6"/>
  <c r="DB300" i="6"/>
  <c r="DB301" i="6"/>
  <c r="DB302" i="6"/>
  <c r="DB303" i="6"/>
  <c r="DB304" i="6"/>
  <c r="DB305" i="6"/>
  <c r="DB306" i="6"/>
  <c r="DB307" i="6"/>
  <c r="DB308" i="6"/>
  <c r="DB309" i="6"/>
  <c r="DB310" i="6"/>
  <c r="DB311" i="6"/>
  <c r="DB312" i="6"/>
  <c r="DB313" i="6"/>
  <c r="DB314" i="6"/>
  <c r="DB315" i="6"/>
  <c r="DB316" i="6"/>
  <c r="DB317" i="6"/>
  <c r="DB318" i="6"/>
  <c r="DB319" i="6"/>
  <c r="DB320" i="6"/>
  <c r="DB321" i="6"/>
  <c r="DB322" i="6"/>
  <c r="DB323" i="6"/>
  <c r="DB324" i="6"/>
  <c r="DB325" i="6"/>
  <c r="DB326" i="6"/>
  <c r="DB327" i="6"/>
  <c r="DB328" i="6"/>
  <c r="DB329" i="6"/>
  <c r="DB330" i="6"/>
  <c r="DB331" i="6"/>
  <c r="DB332" i="6"/>
  <c r="DB333" i="6"/>
  <c r="DB334" i="6"/>
  <c r="DB335" i="6"/>
  <c r="DB336" i="6"/>
  <c r="DB337" i="6"/>
  <c r="DB338" i="6"/>
  <c r="DB339" i="6"/>
  <c r="DB340" i="6"/>
  <c r="DB341" i="6"/>
  <c r="DB342" i="6"/>
  <c r="DB343" i="6"/>
  <c r="DB344" i="6"/>
  <c r="DB345" i="6"/>
  <c r="DB346" i="6"/>
  <c r="DB347" i="6"/>
  <c r="DB348" i="6"/>
  <c r="DB349" i="6"/>
  <c r="DB350" i="6"/>
  <c r="DB351" i="6"/>
  <c r="DB352" i="6"/>
  <c r="DB353" i="6"/>
  <c r="DB354" i="6"/>
  <c r="DB355" i="6"/>
  <c r="DB356" i="6"/>
  <c r="DB357" i="6"/>
  <c r="DB358" i="6"/>
  <c r="DB359" i="6"/>
  <c r="DB360" i="6"/>
  <c r="DB361" i="6"/>
  <c r="DB362" i="6"/>
  <c r="DB363" i="6"/>
  <c r="DB364" i="6"/>
  <c r="DB365" i="6"/>
  <c r="DB366" i="6"/>
  <c r="DB367" i="6"/>
  <c r="DB368" i="6"/>
  <c r="DB369" i="6"/>
  <c r="DB370" i="6"/>
  <c r="DB371" i="6"/>
  <c r="DB372" i="6"/>
  <c r="DB373" i="6"/>
  <c r="DB374" i="6"/>
  <c r="DB375" i="6"/>
  <c r="DB376" i="6"/>
  <c r="DB377" i="6"/>
  <c r="DB378" i="6"/>
  <c r="DB379" i="6"/>
  <c r="DB380" i="6"/>
  <c r="DB381" i="6"/>
  <c r="DB382" i="6"/>
  <c r="DB383" i="6"/>
  <c r="DB384" i="6"/>
  <c r="DB385" i="6"/>
  <c r="DB386" i="6"/>
  <c r="DB387" i="6"/>
  <c r="DB388" i="6"/>
  <c r="DB389" i="6"/>
  <c r="DB390" i="6"/>
  <c r="DB391" i="6"/>
  <c r="DB392" i="6"/>
  <c r="DB393" i="6"/>
  <c r="DB394" i="6"/>
  <c r="DB395" i="6"/>
  <c r="DB396" i="6"/>
  <c r="DB397" i="6"/>
  <c r="DB398" i="6"/>
  <c r="DB399" i="6"/>
  <c r="DB400" i="6"/>
  <c r="DB401" i="6"/>
  <c r="DB402" i="6"/>
  <c r="DB403" i="6"/>
  <c r="DB404" i="6"/>
  <c r="DB405" i="6"/>
  <c r="DB406" i="6"/>
  <c r="DB407" i="6"/>
  <c r="DB408" i="6"/>
  <c r="DB409" i="6"/>
  <c r="DB410" i="6"/>
  <c r="DB411" i="6"/>
  <c r="DB412" i="6"/>
  <c r="DB413" i="6"/>
  <c r="DB414" i="6"/>
  <c r="DB415" i="6"/>
  <c r="DB416" i="6"/>
  <c r="DB417" i="6"/>
  <c r="DB418" i="6"/>
  <c r="DB419" i="6"/>
  <c r="DB420" i="6"/>
  <c r="DB421" i="6"/>
  <c r="DB422" i="6"/>
  <c r="DB423" i="6"/>
  <c r="DB424" i="6"/>
  <c r="DB425" i="6"/>
  <c r="DB426" i="6"/>
  <c r="DB427" i="6"/>
  <c r="DB428" i="6"/>
  <c r="DB429" i="6"/>
  <c r="DB430" i="6"/>
  <c r="DB431" i="6"/>
  <c r="DB432" i="6"/>
  <c r="DB433" i="6"/>
  <c r="DB434" i="6"/>
  <c r="DB435" i="6"/>
  <c r="DB436" i="6"/>
  <c r="DB437" i="6"/>
  <c r="DB438" i="6"/>
  <c r="DB439" i="6"/>
  <c r="DB440" i="6"/>
  <c r="DB441" i="6"/>
  <c r="DB51" i="6"/>
  <c r="C7" i="6" l="1"/>
  <c r="C48" i="2" l="1"/>
  <c r="D48" i="2"/>
  <c r="C55" i="2"/>
  <c r="B259" i="2" l="1"/>
  <c r="C259" i="2"/>
  <c r="C249" i="2"/>
  <c r="B238" i="2"/>
  <c r="CL24" i="6" l="1"/>
  <c r="CL25" i="6" s="1"/>
  <c r="CK24" i="6"/>
  <c r="CK25" i="6" s="1"/>
  <c r="D5" i="2" l="1"/>
  <c r="D46" i="2" l="1"/>
  <c r="D55" i="2"/>
  <c r="C235" i="2"/>
  <c r="C258" i="2" s="1"/>
  <c r="C260" i="2" s="1"/>
  <c r="C261" i="2" s="1"/>
  <c r="C252" i="2"/>
  <c r="C254" i="2" s="1"/>
  <c r="C253" i="2"/>
  <c r="C255" i="2" s="1"/>
  <c r="C256" i="2" s="1"/>
  <c r="C263" i="2" s="1"/>
  <c r="C4" i="9"/>
  <c r="D4" i="9"/>
  <c r="C6" i="9"/>
  <c r="D6" i="9"/>
  <c r="B6" i="9"/>
  <c r="C105" i="9"/>
  <c r="D105" i="9"/>
  <c r="D43" i="2" l="1"/>
  <c r="D41" i="9" s="1"/>
  <c r="D45" i="9" s="1"/>
  <c r="D65" i="2"/>
  <c r="D67" i="2"/>
  <c r="D53" i="9" s="1"/>
  <c r="D54" i="9" l="1"/>
  <c r="B184" i="2"/>
  <c r="D184" i="2"/>
  <c r="D186" i="2" s="1"/>
  <c r="B105" i="9"/>
  <c r="CY52" i="6" l="1"/>
  <c r="CY53" i="6"/>
  <c r="CY54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Z67" i="6" s="1"/>
  <c r="CY68" i="6"/>
  <c r="CY69" i="6"/>
  <c r="CY70" i="6"/>
  <c r="CY71" i="6"/>
  <c r="CY72" i="6"/>
  <c r="CY73" i="6"/>
  <c r="CY74" i="6"/>
  <c r="CY75" i="6"/>
  <c r="CY76" i="6"/>
  <c r="CY77" i="6"/>
  <c r="CY78" i="6"/>
  <c r="CY79" i="6"/>
  <c r="CY80" i="6"/>
  <c r="CY81" i="6"/>
  <c r="CY82" i="6"/>
  <c r="CY83" i="6"/>
  <c r="CZ83" i="6" s="1"/>
  <c r="CY84" i="6"/>
  <c r="CY85" i="6"/>
  <c r="CY86" i="6"/>
  <c r="CY87" i="6"/>
  <c r="CY88" i="6"/>
  <c r="CY89" i="6"/>
  <c r="CY90" i="6"/>
  <c r="CY91" i="6"/>
  <c r="CY92" i="6"/>
  <c r="CY93" i="6"/>
  <c r="CY94" i="6"/>
  <c r="CY95" i="6"/>
  <c r="CY96" i="6"/>
  <c r="CY97" i="6"/>
  <c r="CY98" i="6"/>
  <c r="CY99" i="6"/>
  <c r="CZ99" i="6" s="1"/>
  <c r="CY100" i="6"/>
  <c r="CY101" i="6"/>
  <c r="CY102" i="6"/>
  <c r="CY103" i="6"/>
  <c r="CY104" i="6"/>
  <c r="CY105" i="6"/>
  <c r="CY106" i="6"/>
  <c r="CY107" i="6"/>
  <c r="CY108" i="6"/>
  <c r="CY109" i="6"/>
  <c r="CY110" i="6"/>
  <c r="CY111" i="6"/>
  <c r="CY112" i="6"/>
  <c r="CY113" i="6"/>
  <c r="CY114" i="6"/>
  <c r="CY115" i="6"/>
  <c r="CZ115" i="6" s="1"/>
  <c r="CY116" i="6"/>
  <c r="CY117" i="6"/>
  <c r="CY118" i="6"/>
  <c r="CY119" i="6"/>
  <c r="CY120" i="6"/>
  <c r="CY121" i="6"/>
  <c r="CY122" i="6"/>
  <c r="CY123" i="6"/>
  <c r="CY124" i="6"/>
  <c r="CY125" i="6"/>
  <c r="CY126" i="6"/>
  <c r="CY127" i="6"/>
  <c r="CY128" i="6"/>
  <c r="CY129" i="6"/>
  <c r="CY130" i="6"/>
  <c r="CY131" i="6"/>
  <c r="CZ131" i="6" s="1"/>
  <c r="CY132" i="6"/>
  <c r="CY133" i="6"/>
  <c r="CY134" i="6"/>
  <c r="CY135" i="6"/>
  <c r="CY136" i="6"/>
  <c r="CY137" i="6"/>
  <c r="CY138" i="6"/>
  <c r="CY139" i="6"/>
  <c r="CY140" i="6"/>
  <c r="CY141" i="6"/>
  <c r="CY142" i="6"/>
  <c r="CY143" i="6"/>
  <c r="CY144" i="6"/>
  <c r="CY145" i="6"/>
  <c r="CY146" i="6"/>
  <c r="CY147" i="6"/>
  <c r="CZ147" i="6" s="1"/>
  <c r="CY148" i="6"/>
  <c r="CY149" i="6"/>
  <c r="CY150" i="6"/>
  <c r="CY151" i="6"/>
  <c r="CY152" i="6"/>
  <c r="CY153" i="6"/>
  <c r="CY154" i="6"/>
  <c r="CY155" i="6"/>
  <c r="CY156" i="6"/>
  <c r="CY157" i="6"/>
  <c r="CY158" i="6"/>
  <c r="CY159" i="6"/>
  <c r="CY160" i="6"/>
  <c r="CY161" i="6"/>
  <c r="CY162" i="6"/>
  <c r="CY163" i="6"/>
  <c r="CZ163" i="6" s="1"/>
  <c r="CY164" i="6"/>
  <c r="CY165" i="6"/>
  <c r="CY166" i="6"/>
  <c r="CY167" i="6"/>
  <c r="CY168" i="6"/>
  <c r="CY169" i="6"/>
  <c r="CY170" i="6"/>
  <c r="CY171" i="6"/>
  <c r="CY172" i="6"/>
  <c r="CY173" i="6"/>
  <c r="CY174" i="6"/>
  <c r="CY175" i="6"/>
  <c r="CY176" i="6"/>
  <c r="CY177" i="6"/>
  <c r="CY178" i="6"/>
  <c r="CY179" i="6"/>
  <c r="CZ179" i="6" s="1"/>
  <c r="CY180" i="6"/>
  <c r="CY181" i="6"/>
  <c r="CY182" i="6"/>
  <c r="CY183" i="6"/>
  <c r="CY184" i="6"/>
  <c r="CY185" i="6"/>
  <c r="CY186" i="6"/>
  <c r="CY187" i="6"/>
  <c r="CY188" i="6"/>
  <c r="CY189" i="6"/>
  <c r="CY190" i="6"/>
  <c r="CY191" i="6"/>
  <c r="CY192" i="6"/>
  <c r="CY193" i="6"/>
  <c r="CY194" i="6"/>
  <c r="CY195" i="6"/>
  <c r="CZ195" i="6" s="1"/>
  <c r="CY196" i="6"/>
  <c r="CY197" i="6"/>
  <c r="CY198" i="6"/>
  <c r="CY199" i="6"/>
  <c r="CY200" i="6"/>
  <c r="CY201" i="6"/>
  <c r="CY202" i="6"/>
  <c r="CY203" i="6"/>
  <c r="CY204" i="6"/>
  <c r="CY205" i="6"/>
  <c r="CY206" i="6"/>
  <c r="CY207" i="6"/>
  <c r="CY208" i="6"/>
  <c r="CY209" i="6"/>
  <c r="CY210" i="6"/>
  <c r="CY211" i="6"/>
  <c r="CZ211" i="6" s="1"/>
  <c r="CY212" i="6"/>
  <c r="CY213" i="6"/>
  <c r="CZ213" i="6" s="1"/>
  <c r="CY214" i="6"/>
  <c r="CY215" i="6"/>
  <c r="CY216" i="6"/>
  <c r="CY217" i="6"/>
  <c r="CY218" i="6"/>
  <c r="CY219" i="6"/>
  <c r="CY220" i="6"/>
  <c r="CY221" i="6"/>
  <c r="CY222" i="6"/>
  <c r="CY223" i="6"/>
  <c r="CY224" i="6"/>
  <c r="CY225" i="6"/>
  <c r="CY226" i="6"/>
  <c r="CY227" i="6"/>
  <c r="CZ227" i="6" s="1"/>
  <c r="CY228" i="6"/>
  <c r="CY229" i="6"/>
  <c r="CZ229" i="6" s="1"/>
  <c r="CY230" i="6"/>
  <c r="CY231" i="6"/>
  <c r="CY232" i="6"/>
  <c r="CY233" i="6"/>
  <c r="CY234" i="6"/>
  <c r="CY235" i="6"/>
  <c r="CY236" i="6"/>
  <c r="CY237" i="6"/>
  <c r="CY238" i="6"/>
  <c r="CY239" i="6"/>
  <c r="CY240" i="6"/>
  <c r="CY241" i="6"/>
  <c r="CY242" i="6"/>
  <c r="CY243" i="6"/>
  <c r="CZ243" i="6" s="1"/>
  <c r="CY244" i="6"/>
  <c r="CY245" i="6"/>
  <c r="CZ245" i="6" s="1"/>
  <c r="CY246" i="6"/>
  <c r="CY247" i="6"/>
  <c r="CY248" i="6"/>
  <c r="CY249" i="6"/>
  <c r="CY250" i="6"/>
  <c r="CY251" i="6"/>
  <c r="CY252" i="6"/>
  <c r="CY253" i="6"/>
  <c r="CY254" i="6"/>
  <c r="CY255" i="6"/>
  <c r="CY256" i="6"/>
  <c r="CY257" i="6"/>
  <c r="CY258" i="6"/>
  <c r="CY259" i="6"/>
  <c r="CZ259" i="6" s="1"/>
  <c r="CY260" i="6"/>
  <c r="CY261" i="6"/>
  <c r="CZ261" i="6" s="1"/>
  <c r="CY262" i="6"/>
  <c r="CY263" i="6"/>
  <c r="CY264" i="6"/>
  <c r="CY265" i="6"/>
  <c r="CY266" i="6"/>
  <c r="CY267" i="6"/>
  <c r="CY268" i="6"/>
  <c r="CY269" i="6"/>
  <c r="CY270" i="6"/>
  <c r="CY271" i="6"/>
  <c r="CY272" i="6"/>
  <c r="CY273" i="6"/>
  <c r="CY274" i="6"/>
  <c r="CY275" i="6"/>
  <c r="CZ275" i="6" s="1"/>
  <c r="CY276" i="6"/>
  <c r="CY277" i="6"/>
  <c r="CZ277" i="6" s="1"/>
  <c r="CY278" i="6"/>
  <c r="CY279" i="6"/>
  <c r="CY280" i="6"/>
  <c r="CY281" i="6"/>
  <c r="CY282" i="6"/>
  <c r="CY283" i="6"/>
  <c r="CY284" i="6"/>
  <c r="CY285" i="6"/>
  <c r="CY286" i="6"/>
  <c r="CY287" i="6"/>
  <c r="CY288" i="6"/>
  <c r="CY289" i="6"/>
  <c r="CY290" i="6"/>
  <c r="CY291" i="6"/>
  <c r="CZ291" i="6" s="1"/>
  <c r="CY292" i="6"/>
  <c r="CY293" i="6"/>
  <c r="CZ293" i="6" s="1"/>
  <c r="CY294" i="6"/>
  <c r="CY295" i="6"/>
  <c r="CY296" i="6"/>
  <c r="CY297" i="6"/>
  <c r="CY298" i="6"/>
  <c r="CY299" i="6"/>
  <c r="CY300" i="6"/>
  <c r="CY301" i="6"/>
  <c r="CY302" i="6"/>
  <c r="CY303" i="6"/>
  <c r="CY304" i="6"/>
  <c r="CY305" i="6"/>
  <c r="CY306" i="6"/>
  <c r="CY307" i="6"/>
  <c r="CZ307" i="6" s="1"/>
  <c r="CY308" i="6"/>
  <c r="CY309" i="6"/>
  <c r="CZ309" i="6" s="1"/>
  <c r="CY310" i="6"/>
  <c r="CY311" i="6"/>
  <c r="CY312" i="6"/>
  <c r="CY313" i="6"/>
  <c r="CY314" i="6"/>
  <c r="CY315" i="6"/>
  <c r="CY316" i="6"/>
  <c r="CY317" i="6"/>
  <c r="CY318" i="6"/>
  <c r="CY319" i="6"/>
  <c r="CY320" i="6"/>
  <c r="CY321" i="6"/>
  <c r="CY322" i="6"/>
  <c r="CY323" i="6"/>
  <c r="CZ323" i="6" s="1"/>
  <c r="CY324" i="6"/>
  <c r="CY325" i="6"/>
  <c r="CZ325" i="6" s="1"/>
  <c r="CY326" i="6"/>
  <c r="CY327" i="6"/>
  <c r="CY328" i="6"/>
  <c r="CY329" i="6"/>
  <c r="CY330" i="6"/>
  <c r="CY331" i="6"/>
  <c r="CY332" i="6"/>
  <c r="CY333" i="6"/>
  <c r="CY334" i="6"/>
  <c r="CY335" i="6"/>
  <c r="CY336" i="6"/>
  <c r="CY337" i="6"/>
  <c r="CY338" i="6"/>
  <c r="CY339" i="6"/>
  <c r="CZ339" i="6" s="1"/>
  <c r="CY340" i="6"/>
  <c r="CY341" i="6"/>
  <c r="CZ341" i="6" s="1"/>
  <c r="CY342" i="6"/>
  <c r="CY343" i="6"/>
  <c r="CY344" i="6"/>
  <c r="CY345" i="6"/>
  <c r="CY346" i="6"/>
  <c r="CY347" i="6"/>
  <c r="CY348" i="6"/>
  <c r="CY349" i="6"/>
  <c r="CY350" i="6"/>
  <c r="CY351" i="6"/>
  <c r="CY352" i="6"/>
  <c r="CY353" i="6"/>
  <c r="CY354" i="6"/>
  <c r="CY355" i="6"/>
  <c r="CZ355" i="6" s="1"/>
  <c r="CY356" i="6"/>
  <c r="CY357" i="6"/>
  <c r="CZ357" i="6" s="1"/>
  <c r="CY358" i="6"/>
  <c r="CY359" i="6"/>
  <c r="CY360" i="6"/>
  <c r="CY361" i="6"/>
  <c r="CY362" i="6"/>
  <c r="CY363" i="6"/>
  <c r="CY364" i="6"/>
  <c r="CY365" i="6"/>
  <c r="CY366" i="6"/>
  <c r="CY367" i="6"/>
  <c r="CY368" i="6"/>
  <c r="CY369" i="6"/>
  <c r="CY370" i="6"/>
  <c r="CY371" i="6"/>
  <c r="CZ371" i="6" s="1"/>
  <c r="CY372" i="6"/>
  <c r="CY373" i="6"/>
  <c r="CZ373" i="6" s="1"/>
  <c r="CY374" i="6"/>
  <c r="CY375" i="6"/>
  <c r="CY376" i="6"/>
  <c r="CY377" i="6"/>
  <c r="CY378" i="6"/>
  <c r="CY379" i="6"/>
  <c r="CY380" i="6"/>
  <c r="CY381" i="6"/>
  <c r="CY382" i="6"/>
  <c r="CY383" i="6"/>
  <c r="CY384" i="6"/>
  <c r="CY385" i="6"/>
  <c r="CY386" i="6"/>
  <c r="CY387" i="6"/>
  <c r="CZ387" i="6" s="1"/>
  <c r="CY388" i="6"/>
  <c r="CY389" i="6"/>
  <c r="CZ389" i="6" s="1"/>
  <c r="CY390" i="6"/>
  <c r="CY391" i="6"/>
  <c r="CY392" i="6"/>
  <c r="CY393" i="6"/>
  <c r="CY394" i="6"/>
  <c r="CY395" i="6"/>
  <c r="CY396" i="6"/>
  <c r="CY397" i="6"/>
  <c r="CY398" i="6"/>
  <c r="CY399" i="6"/>
  <c r="CY400" i="6"/>
  <c r="CY401" i="6"/>
  <c r="CY402" i="6"/>
  <c r="CY403" i="6"/>
  <c r="CZ403" i="6" s="1"/>
  <c r="CY404" i="6"/>
  <c r="CY405" i="6"/>
  <c r="CZ405" i="6" s="1"/>
  <c r="CY406" i="6"/>
  <c r="CY407" i="6"/>
  <c r="CY408" i="6"/>
  <c r="CY409" i="6"/>
  <c r="CY410" i="6"/>
  <c r="CY411" i="6"/>
  <c r="CY412" i="6"/>
  <c r="CY413" i="6"/>
  <c r="CY414" i="6"/>
  <c r="CY415" i="6"/>
  <c r="CY416" i="6"/>
  <c r="CY417" i="6"/>
  <c r="CY418" i="6"/>
  <c r="CY419" i="6"/>
  <c r="CZ419" i="6" s="1"/>
  <c r="CY420" i="6"/>
  <c r="CY421" i="6"/>
  <c r="CZ421" i="6" s="1"/>
  <c r="CY422" i="6"/>
  <c r="CY423" i="6"/>
  <c r="CY424" i="6"/>
  <c r="CY425" i="6"/>
  <c r="CY426" i="6"/>
  <c r="CY427" i="6"/>
  <c r="CY428" i="6"/>
  <c r="CY429" i="6"/>
  <c r="CY430" i="6"/>
  <c r="CY431" i="6"/>
  <c r="CY432" i="6"/>
  <c r="CY433" i="6"/>
  <c r="CY434" i="6"/>
  <c r="CY435" i="6"/>
  <c r="CZ435" i="6" s="1"/>
  <c r="CY436" i="6"/>
  <c r="CY437" i="6"/>
  <c r="CZ437" i="6" s="1"/>
  <c r="CY438" i="6"/>
  <c r="CY439" i="6"/>
  <c r="CY440" i="6"/>
  <c r="CY441" i="6"/>
  <c r="CY51" i="6"/>
  <c r="CZ51" i="6" s="1"/>
  <c r="CX51" i="6"/>
  <c r="CX52" i="6"/>
  <c r="CX53" i="6"/>
  <c r="CX54" i="6"/>
  <c r="CX55" i="6"/>
  <c r="CX56" i="6"/>
  <c r="CX57" i="6"/>
  <c r="CX58" i="6"/>
  <c r="CX59" i="6"/>
  <c r="CX60" i="6"/>
  <c r="CX61" i="6"/>
  <c r="CX62" i="6"/>
  <c r="CX63" i="6"/>
  <c r="CX64" i="6"/>
  <c r="CX65" i="6"/>
  <c r="CX66" i="6"/>
  <c r="CX67" i="6"/>
  <c r="CX68" i="6"/>
  <c r="CX69" i="6"/>
  <c r="CX70" i="6"/>
  <c r="CX71" i="6"/>
  <c r="CX72" i="6"/>
  <c r="CX73" i="6"/>
  <c r="CX74" i="6"/>
  <c r="CX75" i="6"/>
  <c r="CX76" i="6"/>
  <c r="CX77" i="6"/>
  <c r="CX78" i="6"/>
  <c r="CX79" i="6"/>
  <c r="CX80" i="6"/>
  <c r="CX81" i="6"/>
  <c r="CX82" i="6"/>
  <c r="CX83" i="6"/>
  <c r="CX84" i="6"/>
  <c r="CX85" i="6"/>
  <c r="CX86" i="6"/>
  <c r="CX87" i="6"/>
  <c r="CX88" i="6"/>
  <c r="CX89" i="6"/>
  <c r="CX90" i="6"/>
  <c r="CX91" i="6"/>
  <c r="CX92" i="6"/>
  <c r="CX93" i="6"/>
  <c r="CX94" i="6"/>
  <c r="CX95" i="6"/>
  <c r="CX96" i="6"/>
  <c r="CX97" i="6"/>
  <c r="CX98" i="6"/>
  <c r="CX99" i="6"/>
  <c r="CX100" i="6"/>
  <c r="CX101" i="6"/>
  <c r="CX102" i="6"/>
  <c r="CX103" i="6"/>
  <c r="CX104" i="6"/>
  <c r="CX105" i="6"/>
  <c r="CX106" i="6"/>
  <c r="CX107" i="6"/>
  <c r="CX108" i="6"/>
  <c r="CX109" i="6"/>
  <c r="CX110" i="6"/>
  <c r="CX111" i="6"/>
  <c r="CX112" i="6"/>
  <c r="CX113" i="6"/>
  <c r="CX114" i="6"/>
  <c r="CX115" i="6"/>
  <c r="CX116" i="6"/>
  <c r="CX117" i="6"/>
  <c r="CX118" i="6"/>
  <c r="CX119" i="6"/>
  <c r="CX120" i="6"/>
  <c r="CX121" i="6"/>
  <c r="CX122" i="6"/>
  <c r="CX123" i="6"/>
  <c r="CX124" i="6"/>
  <c r="CX125" i="6"/>
  <c r="CX126" i="6"/>
  <c r="CX127" i="6"/>
  <c r="CX128" i="6"/>
  <c r="CX129" i="6"/>
  <c r="CX130" i="6"/>
  <c r="CX131" i="6"/>
  <c r="CX132" i="6"/>
  <c r="CX133" i="6"/>
  <c r="CX134" i="6"/>
  <c r="CX135" i="6"/>
  <c r="CX136" i="6"/>
  <c r="CX137" i="6"/>
  <c r="CX138" i="6"/>
  <c r="CX139" i="6"/>
  <c r="CX140" i="6"/>
  <c r="CX141" i="6"/>
  <c r="CX142" i="6"/>
  <c r="CX143" i="6"/>
  <c r="CX144" i="6"/>
  <c r="CX145" i="6"/>
  <c r="CX146" i="6"/>
  <c r="CX147" i="6"/>
  <c r="CX148" i="6"/>
  <c r="CX149" i="6"/>
  <c r="CX150" i="6"/>
  <c r="CX151" i="6"/>
  <c r="CX152" i="6"/>
  <c r="CX153" i="6"/>
  <c r="CX154" i="6"/>
  <c r="CX155" i="6"/>
  <c r="CX156" i="6"/>
  <c r="CX157" i="6"/>
  <c r="CX158" i="6"/>
  <c r="CX159" i="6"/>
  <c r="CX160" i="6"/>
  <c r="CX161" i="6"/>
  <c r="CX162" i="6"/>
  <c r="CX163" i="6"/>
  <c r="CX164" i="6"/>
  <c r="CX165" i="6"/>
  <c r="CX166" i="6"/>
  <c r="CX167" i="6"/>
  <c r="CX168" i="6"/>
  <c r="CX169" i="6"/>
  <c r="CX170" i="6"/>
  <c r="CX171" i="6"/>
  <c r="CX172" i="6"/>
  <c r="CX173" i="6"/>
  <c r="CX174" i="6"/>
  <c r="CX175" i="6"/>
  <c r="CX176" i="6"/>
  <c r="CX177" i="6"/>
  <c r="CX178" i="6"/>
  <c r="CX179" i="6"/>
  <c r="CX180" i="6"/>
  <c r="CX181" i="6"/>
  <c r="CX182" i="6"/>
  <c r="CX183" i="6"/>
  <c r="CX184" i="6"/>
  <c r="CX185" i="6"/>
  <c r="CX186" i="6"/>
  <c r="CX187" i="6"/>
  <c r="CX188" i="6"/>
  <c r="CX189" i="6"/>
  <c r="CX190" i="6"/>
  <c r="CX191" i="6"/>
  <c r="CX192" i="6"/>
  <c r="CX193" i="6"/>
  <c r="CX194" i="6"/>
  <c r="CX195" i="6"/>
  <c r="CX196" i="6"/>
  <c r="CX197" i="6"/>
  <c r="CX198" i="6"/>
  <c r="CX199" i="6"/>
  <c r="CX200" i="6"/>
  <c r="CX201" i="6"/>
  <c r="CX202" i="6"/>
  <c r="CX203" i="6"/>
  <c r="CX204" i="6"/>
  <c r="CX205" i="6"/>
  <c r="CX206" i="6"/>
  <c r="CX207" i="6"/>
  <c r="CX208" i="6"/>
  <c r="CX209" i="6"/>
  <c r="CX210" i="6"/>
  <c r="CX211" i="6"/>
  <c r="CX212" i="6"/>
  <c r="CX213" i="6"/>
  <c r="CX214" i="6"/>
  <c r="CX215" i="6"/>
  <c r="CX216" i="6"/>
  <c r="CX217" i="6"/>
  <c r="CX218" i="6"/>
  <c r="CX219" i="6"/>
  <c r="CX220" i="6"/>
  <c r="CX221" i="6"/>
  <c r="CX222" i="6"/>
  <c r="CX223" i="6"/>
  <c r="CX224" i="6"/>
  <c r="CX225" i="6"/>
  <c r="CX226" i="6"/>
  <c r="CX227" i="6"/>
  <c r="CX228" i="6"/>
  <c r="CX229" i="6"/>
  <c r="CX230" i="6"/>
  <c r="CX231" i="6"/>
  <c r="CX232" i="6"/>
  <c r="CX233" i="6"/>
  <c r="CX234" i="6"/>
  <c r="CX235" i="6"/>
  <c r="CX236" i="6"/>
  <c r="CX237" i="6"/>
  <c r="CX238" i="6"/>
  <c r="CX239" i="6"/>
  <c r="CX240" i="6"/>
  <c r="CX241" i="6"/>
  <c r="CX242" i="6"/>
  <c r="CX243" i="6"/>
  <c r="CX244" i="6"/>
  <c r="CX245" i="6"/>
  <c r="CX246" i="6"/>
  <c r="CX247" i="6"/>
  <c r="CX248" i="6"/>
  <c r="CX249" i="6"/>
  <c r="CX250" i="6"/>
  <c r="CX251" i="6"/>
  <c r="CX252" i="6"/>
  <c r="CX253" i="6"/>
  <c r="CX254" i="6"/>
  <c r="CX255" i="6"/>
  <c r="CX256" i="6"/>
  <c r="CX257" i="6"/>
  <c r="CX258" i="6"/>
  <c r="CX259" i="6"/>
  <c r="CX260" i="6"/>
  <c r="CX261" i="6"/>
  <c r="CX262" i="6"/>
  <c r="CX263" i="6"/>
  <c r="CX264" i="6"/>
  <c r="CX265" i="6"/>
  <c r="CX266" i="6"/>
  <c r="CX267" i="6"/>
  <c r="CX268" i="6"/>
  <c r="CX269" i="6"/>
  <c r="CX270" i="6"/>
  <c r="CX271" i="6"/>
  <c r="CX272" i="6"/>
  <c r="CX273" i="6"/>
  <c r="CX274" i="6"/>
  <c r="CX275" i="6"/>
  <c r="CX276" i="6"/>
  <c r="CX277" i="6"/>
  <c r="CX278" i="6"/>
  <c r="CX279" i="6"/>
  <c r="CX280" i="6"/>
  <c r="CX281" i="6"/>
  <c r="CX282" i="6"/>
  <c r="CX283" i="6"/>
  <c r="CX284" i="6"/>
  <c r="CX285" i="6"/>
  <c r="CX286" i="6"/>
  <c r="CX287" i="6"/>
  <c r="CX288" i="6"/>
  <c r="CX289" i="6"/>
  <c r="CX290" i="6"/>
  <c r="CX291" i="6"/>
  <c r="CX292" i="6"/>
  <c r="CX293" i="6"/>
  <c r="CX294" i="6"/>
  <c r="CX295" i="6"/>
  <c r="CX296" i="6"/>
  <c r="CX297" i="6"/>
  <c r="CX298" i="6"/>
  <c r="CX299" i="6"/>
  <c r="CX300" i="6"/>
  <c r="CX301" i="6"/>
  <c r="CX302" i="6"/>
  <c r="CX303" i="6"/>
  <c r="CX304" i="6"/>
  <c r="CX305" i="6"/>
  <c r="CX306" i="6"/>
  <c r="CX307" i="6"/>
  <c r="CX308" i="6"/>
  <c r="CX309" i="6"/>
  <c r="CX310" i="6"/>
  <c r="CX311" i="6"/>
  <c r="CX312" i="6"/>
  <c r="CX313" i="6"/>
  <c r="CX314" i="6"/>
  <c r="CX315" i="6"/>
  <c r="CX316" i="6"/>
  <c r="CX317" i="6"/>
  <c r="CX318" i="6"/>
  <c r="CX319" i="6"/>
  <c r="CX320" i="6"/>
  <c r="CX321" i="6"/>
  <c r="CX322" i="6"/>
  <c r="CX323" i="6"/>
  <c r="CX324" i="6"/>
  <c r="CX325" i="6"/>
  <c r="CX326" i="6"/>
  <c r="CX327" i="6"/>
  <c r="CX328" i="6"/>
  <c r="CX329" i="6"/>
  <c r="CX330" i="6"/>
  <c r="CX331" i="6"/>
  <c r="CX332" i="6"/>
  <c r="CX333" i="6"/>
  <c r="CX334" i="6"/>
  <c r="CX335" i="6"/>
  <c r="CX336" i="6"/>
  <c r="CX337" i="6"/>
  <c r="CX338" i="6"/>
  <c r="CX339" i="6"/>
  <c r="CX340" i="6"/>
  <c r="CX341" i="6"/>
  <c r="CX342" i="6"/>
  <c r="CX343" i="6"/>
  <c r="CX344" i="6"/>
  <c r="CX345" i="6"/>
  <c r="CX346" i="6"/>
  <c r="CX347" i="6"/>
  <c r="CX348" i="6"/>
  <c r="CX349" i="6"/>
  <c r="CX350" i="6"/>
  <c r="CX351" i="6"/>
  <c r="CX352" i="6"/>
  <c r="CX353" i="6"/>
  <c r="CX354" i="6"/>
  <c r="CX355" i="6"/>
  <c r="CX356" i="6"/>
  <c r="CX357" i="6"/>
  <c r="CX358" i="6"/>
  <c r="CX359" i="6"/>
  <c r="CX360" i="6"/>
  <c r="CX361" i="6"/>
  <c r="CX362" i="6"/>
  <c r="CX363" i="6"/>
  <c r="CX364" i="6"/>
  <c r="CX365" i="6"/>
  <c r="CX366" i="6"/>
  <c r="CX367" i="6"/>
  <c r="CX368" i="6"/>
  <c r="CX369" i="6"/>
  <c r="CX370" i="6"/>
  <c r="CX371" i="6"/>
  <c r="CX372" i="6"/>
  <c r="CX373" i="6"/>
  <c r="CX374" i="6"/>
  <c r="CX375" i="6"/>
  <c r="CX376" i="6"/>
  <c r="CX377" i="6"/>
  <c r="CX378" i="6"/>
  <c r="CX379" i="6"/>
  <c r="CX380" i="6"/>
  <c r="CX381" i="6"/>
  <c r="CX382" i="6"/>
  <c r="CX383" i="6"/>
  <c r="CX384" i="6"/>
  <c r="CX385" i="6"/>
  <c r="CX386" i="6"/>
  <c r="CX387" i="6"/>
  <c r="CX388" i="6"/>
  <c r="CX389" i="6"/>
  <c r="CX390" i="6"/>
  <c r="CX391" i="6"/>
  <c r="CX392" i="6"/>
  <c r="CX393" i="6"/>
  <c r="CX394" i="6"/>
  <c r="CX395" i="6"/>
  <c r="CX396" i="6"/>
  <c r="CX397" i="6"/>
  <c r="CX398" i="6"/>
  <c r="CX399" i="6"/>
  <c r="CX400" i="6"/>
  <c r="CX401" i="6"/>
  <c r="CX402" i="6"/>
  <c r="CX403" i="6"/>
  <c r="CX404" i="6"/>
  <c r="CX405" i="6"/>
  <c r="CX406" i="6"/>
  <c r="CX407" i="6"/>
  <c r="CX408" i="6"/>
  <c r="CX409" i="6"/>
  <c r="CX410" i="6"/>
  <c r="CX411" i="6"/>
  <c r="CX412" i="6"/>
  <c r="CX413" i="6"/>
  <c r="CX414" i="6"/>
  <c r="CX415" i="6"/>
  <c r="CX416" i="6"/>
  <c r="CX417" i="6"/>
  <c r="CX418" i="6"/>
  <c r="CX419" i="6"/>
  <c r="CX420" i="6"/>
  <c r="CX421" i="6"/>
  <c r="CX422" i="6"/>
  <c r="CX423" i="6"/>
  <c r="CX424" i="6"/>
  <c r="CX425" i="6"/>
  <c r="CX426" i="6"/>
  <c r="CX427" i="6"/>
  <c r="CX428" i="6"/>
  <c r="CX429" i="6"/>
  <c r="CX430" i="6"/>
  <c r="CX431" i="6"/>
  <c r="CX432" i="6"/>
  <c r="CX433" i="6"/>
  <c r="CX434" i="6"/>
  <c r="CX435" i="6"/>
  <c r="CX436" i="6"/>
  <c r="CX437" i="6"/>
  <c r="CX438" i="6"/>
  <c r="CX439" i="6"/>
  <c r="CX440" i="6"/>
  <c r="CX441" i="6"/>
  <c r="CZ434" i="6" l="1"/>
  <c r="CZ418" i="6"/>
  <c r="CZ402" i="6"/>
  <c r="CZ386" i="6"/>
  <c r="CZ370" i="6"/>
  <c r="CZ354" i="6"/>
  <c r="CZ338" i="6"/>
  <c r="CZ322" i="6"/>
  <c r="CZ306" i="6"/>
  <c r="CZ290" i="6"/>
  <c r="CZ274" i="6"/>
  <c r="CZ258" i="6"/>
  <c r="CZ242" i="6"/>
  <c r="CZ226" i="6"/>
  <c r="CZ210" i="6"/>
  <c r="CZ194" i="6"/>
  <c r="CZ178" i="6"/>
  <c r="CZ162" i="6"/>
  <c r="CZ146" i="6"/>
  <c r="CZ130" i="6"/>
  <c r="CZ114" i="6"/>
  <c r="CZ98" i="6"/>
  <c r="CZ82" i="6"/>
  <c r="CZ66" i="6"/>
  <c r="CZ433" i="6"/>
  <c r="CZ417" i="6"/>
  <c r="CZ401" i="6"/>
  <c r="CZ385" i="6"/>
  <c r="CZ369" i="6"/>
  <c r="CZ353" i="6"/>
  <c r="CZ337" i="6"/>
  <c r="CZ321" i="6"/>
  <c r="CZ305" i="6"/>
  <c r="CZ289" i="6"/>
  <c r="CZ273" i="6"/>
  <c r="CZ257" i="6"/>
  <c r="CZ241" i="6"/>
  <c r="CZ225" i="6"/>
  <c r="CZ209" i="6"/>
  <c r="CZ193" i="6"/>
  <c r="CZ177" i="6"/>
  <c r="CZ161" i="6"/>
  <c r="CZ145" i="6"/>
  <c r="CZ129" i="6"/>
  <c r="CZ113" i="6"/>
  <c r="CZ97" i="6"/>
  <c r="CZ81" i="6"/>
  <c r="CZ65" i="6"/>
  <c r="CZ432" i="6"/>
  <c r="CZ416" i="6"/>
  <c r="CZ400" i="6"/>
  <c r="CZ384" i="6"/>
  <c r="CZ368" i="6"/>
  <c r="CZ352" i="6"/>
  <c r="CZ336" i="6"/>
  <c r="CZ320" i="6"/>
  <c r="CZ304" i="6"/>
  <c r="CZ288" i="6"/>
  <c r="CZ272" i="6"/>
  <c r="CZ256" i="6"/>
  <c r="CZ240" i="6"/>
  <c r="CZ224" i="6"/>
  <c r="CZ208" i="6"/>
  <c r="CZ192" i="6"/>
  <c r="CZ176" i="6"/>
  <c r="CZ160" i="6"/>
  <c r="CZ144" i="6"/>
  <c r="CZ128" i="6"/>
  <c r="CZ112" i="6"/>
  <c r="CZ96" i="6"/>
  <c r="CZ80" i="6"/>
  <c r="CZ64" i="6"/>
  <c r="CZ431" i="6"/>
  <c r="CZ415" i="6"/>
  <c r="CZ399" i="6"/>
  <c r="CZ383" i="6"/>
  <c r="CZ367" i="6"/>
  <c r="CZ351" i="6"/>
  <c r="CZ335" i="6"/>
  <c r="CZ319" i="6"/>
  <c r="CZ303" i="6"/>
  <c r="CZ287" i="6"/>
  <c r="CZ271" i="6"/>
  <c r="CZ255" i="6"/>
  <c r="CZ239" i="6"/>
  <c r="CZ223" i="6"/>
  <c r="CZ207" i="6"/>
  <c r="CZ191" i="6"/>
  <c r="CZ175" i="6"/>
  <c r="CZ159" i="6"/>
  <c r="CZ143" i="6"/>
  <c r="CZ127" i="6"/>
  <c r="CZ111" i="6"/>
  <c r="CZ95" i="6"/>
  <c r="CZ79" i="6"/>
  <c r="CZ63" i="6"/>
  <c r="CZ430" i="6"/>
  <c r="CZ414" i="6"/>
  <c r="CZ398" i="6"/>
  <c r="CZ382" i="6"/>
  <c r="CZ366" i="6"/>
  <c r="CZ350" i="6"/>
  <c r="CZ334" i="6"/>
  <c r="CZ318" i="6"/>
  <c r="CZ302" i="6"/>
  <c r="CZ286" i="6"/>
  <c r="CZ270" i="6"/>
  <c r="CZ254" i="6"/>
  <c r="CZ238" i="6"/>
  <c r="CZ222" i="6"/>
  <c r="CZ206" i="6"/>
  <c r="CZ190" i="6"/>
  <c r="CZ174" i="6"/>
  <c r="CZ158" i="6"/>
  <c r="CZ142" i="6"/>
  <c r="CZ126" i="6"/>
  <c r="CZ110" i="6"/>
  <c r="CZ94" i="6"/>
  <c r="CZ78" i="6"/>
  <c r="CZ62" i="6"/>
  <c r="CZ429" i="6"/>
  <c r="CZ413" i="6"/>
  <c r="CZ397" i="6"/>
  <c r="CZ381" i="6"/>
  <c r="CZ365" i="6"/>
  <c r="CZ349" i="6"/>
  <c r="CZ333" i="6"/>
  <c r="CZ317" i="6"/>
  <c r="CZ301" i="6"/>
  <c r="CZ285" i="6"/>
  <c r="CZ269" i="6"/>
  <c r="CZ253" i="6"/>
  <c r="CZ237" i="6"/>
  <c r="CZ221" i="6"/>
  <c r="CZ205" i="6"/>
  <c r="CZ189" i="6"/>
  <c r="CZ173" i="6"/>
  <c r="CZ157" i="6"/>
  <c r="CZ141" i="6"/>
  <c r="CZ125" i="6"/>
  <c r="CZ109" i="6"/>
  <c r="CZ93" i="6"/>
  <c r="CZ77" i="6"/>
  <c r="CZ61" i="6"/>
  <c r="CZ428" i="6"/>
  <c r="CZ412" i="6"/>
  <c r="CZ396" i="6"/>
  <c r="CZ380" i="6"/>
  <c r="CZ364" i="6"/>
  <c r="CZ348" i="6"/>
  <c r="CZ332" i="6"/>
  <c r="CZ316" i="6"/>
  <c r="CZ300" i="6"/>
  <c r="CZ284" i="6"/>
  <c r="CZ268" i="6"/>
  <c r="CZ252" i="6"/>
  <c r="CZ236" i="6"/>
  <c r="CZ220" i="6"/>
  <c r="CZ204" i="6"/>
  <c r="CZ188" i="6"/>
  <c r="CZ172" i="6"/>
  <c r="CZ156" i="6"/>
  <c r="CZ140" i="6"/>
  <c r="CZ124" i="6"/>
  <c r="CZ108" i="6"/>
  <c r="CZ92" i="6"/>
  <c r="CZ76" i="6"/>
  <c r="CZ60" i="6"/>
  <c r="CZ427" i="6"/>
  <c r="CZ411" i="6"/>
  <c r="CZ395" i="6"/>
  <c r="CZ379" i="6"/>
  <c r="CZ363" i="6"/>
  <c r="CZ347" i="6"/>
  <c r="CZ331" i="6"/>
  <c r="CZ315" i="6"/>
  <c r="CZ299" i="6"/>
  <c r="CZ283" i="6"/>
  <c r="CZ267" i="6"/>
  <c r="CZ251" i="6"/>
  <c r="CZ235" i="6"/>
  <c r="CZ219" i="6"/>
  <c r="CZ203" i="6"/>
  <c r="CZ187" i="6"/>
  <c r="CZ171" i="6"/>
  <c r="CZ155" i="6"/>
  <c r="CZ139" i="6"/>
  <c r="CZ123" i="6"/>
  <c r="CZ107" i="6"/>
  <c r="CZ91" i="6"/>
  <c r="CZ75" i="6"/>
  <c r="CZ59" i="6"/>
  <c r="CZ426" i="6"/>
  <c r="CZ410" i="6"/>
  <c r="CZ394" i="6"/>
  <c r="CZ378" i="6"/>
  <c r="CZ362" i="6"/>
  <c r="CZ346" i="6"/>
  <c r="CZ330" i="6"/>
  <c r="CZ314" i="6"/>
  <c r="CZ298" i="6"/>
  <c r="CZ282" i="6"/>
  <c r="CZ266" i="6"/>
  <c r="CZ250" i="6"/>
  <c r="CZ234" i="6"/>
  <c r="CZ218" i="6"/>
  <c r="CZ202" i="6"/>
  <c r="CZ186" i="6"/>
  <c r="CZ170" i="6"/>
  <c r="CZ154" i="6"/>
  <c r="CZ138" i="6"/>
  <c r="CZ122" i="6"/>
  <c r="CZ106" i="6"/>
  <c r="CZ90" i="6"/>
  <c r="CZ74" i="6"/>
  <c r="CZ58" i="6"/>
  <c r="CZ441" i="6"/>
  <c r="CZ425" i="6"/>
  <c r="CZ409" i="6"/>
  <c r="CZ393" i="6"/>
  <c r="CZ377" i="6"/>
  <c r="CZ361" i="6"/>
  <c r="CZ345" i="6"/>
  <c r="CZ329" i="6"/>
  <c r="CZ313" i="6"/>
  <c r="CZ297" i="6"/>
  <c r="CZ281" i="6"/>
  <c r="CZ265" i="6"/>
  <c r="CZ249" i="6"/>
  <c r="CZ233" i="6"/>
  <c r="CZ217" i="6"/>
  <c r="CZ201" i="6"/>
  <c r="CZ185" i="6"/>
  <c r="CZ169" i="6"/>
  <c r="CZ153" i="6"/>
  <c r="CZ137" i="6"/>
  <c r="CZ121" i="6"/>
  <c r="CZ105" i="6"/>
  <c r="CZ89" i="6"/>
  <c r="CZ73" i="6"/>
  <c r="CZ57" i="6"/>
  <c r="CZ440" i="6"/>
  <c r="CZ424" i="6"/>
  <c r="CZ408" i="6"/>
  <c r="CZ392" i="6"/>
  <c r="CZ376" i="6"/>
  <c r="CZ360" i="6"/>
  <c r="CZ344" i="6"/>
  <c r="CZ328" i="6"/>
  <c r="CZ312" i="6"/>
  <c r="CZ296" i="6"/>
  <c r="CZ280" i="6"/>
  <c r="CZ264" i="6"/>
  <c r="CZ248" i="6"/>
  <c r="CZ232" i="6"/>
  <c r="CZ216" i="6"/>
  <c r="CZ200" i="6"/>
  <c r="CZ184" i="6"/>
  <c r="CZ168" i="6"/>
  <c r="CZ152" i="6"/>
  <c r="CZ136" i="6"/>
  <c r="CZ120" i="6"/>
  <c r="CZ104" i="6"/>
  <c r="CZ88" i="6"/>
  <c r="CZ72" i="6"/>
  <c r="CZ56" i="6"/>
  <c r="CZ439" i="6"/>
  <c r="CZ423" i="6"/>
  <c r="CZ407" i="6"/>
  <c r="CZ391" i="6"/>
  <c r="CZ375" i="6"/>
  <c r="CZ359" i="6"/>
  <c r="CZ343" i="6"/>
  <c r="CZ327" i="6"/>
  <c r="CZ311" i="6"/>
  <c r="CZ295" i="6"/>
  <c r="CZ279" i="6"/>
  <c r="CZ263" i="6"/>
  <c r="CZ247" i="6"/>
  <c r="CZ231" i="6"/>
  <c r="CZ215" i="6"/>
  <c r="CZ199" i="6"/>
  <c r="CZ183" i="6"/>
  <c r="CZ167" i="6"/>
  <c r="CZ151" i="6"/>
  <c r="CZ135" i="6"/>
  <c r="CZ119" i="6"/>
  <c r="CZ103" i="6"/>
  <c r="CZ87" i="6"/>
  <c r="CZ71" i="6"/>
  <c r="CZ55" i="6"/>
  <c r="CZ438" i="6"/>
  <c r="CZ422" i="6"/>
  <c r="CZ406" i="6"/>
  <c r="CZ390" i="6"/>
  <c r="CZ374" i="6"/>
  <c r="CZ358" i="6"/>
  <c r="CZ342" i="6"/>
  <c r="CZ326" i="6"/>
  <c r="CZ310" i="6"/>
  <c r="CZ294" i="6"/>
  <c r="CZ278" i="6"/>
  <c r="CZ262" i="6"/>
  <c r="CZ246" i="6"/>
  <c r="CZ230" i="6"/>
  <c r="CZ214" i="6"/>
  <c r="CZ198" i="6"/>
  <c r="CZ182" i="6"/>
  <c r="CZ166" i="6"/>
  <c r="CZ150" i="6"/>
  <c r="CZ134" i="6"/>
  <c r="CZ118" i="6"/>
  <c r="CZ102" i="6"/>
  <c r="CZ86" i="6"/>
  <c r="CZ70" i="6"/>
  <c r="CZ54" i="6"/>
  <c r="CZ197" i="6"/>
  <c r="CZ181" i="6"/>
  <c r="CZ165" i="6"/>
  <c r="CZ149" i="6"/>
  <c r="CZ133" i="6"/>
  <c r="CZ117" i="6"/>
  <c r="CZ101" i="6"/>
  <c r="CZ85" i="6"/>
  <c r="CZ69" i="6"/>
  <c r="CZ53" i="6"/>
  <c r="CZ436" i="6"/>
  <c r="CZ420" i="6"/>
  <c r="CZ404" i="6"/>
  <c r="CZ388" i="6"/>
  <c r="CZ372" i="6"/>
  <c r="CZ356" i="6"/>
  <c r="CZ340" i="6"/>
  <c r="CZ324" i="6"/>
  <c r="CZ308" i="6"/>
  <c r="CZ292" i="6"/>
  <c r="CZ276" i="6"/>
  <c r="CZ260" i="6"/>
  <c r="CZ244" i="6"/>
  <c r="CZ228" i="6"/>
  <c r="CZ212" i="6"/>
  <c r="CZ196" i="6"/>
  <c r="CZ180" i="6"/>
  <c r="CZ164" i="6"/>
  <c r="CZ148" i="6"/>
  <c r="CZ132" i="6"/>
  <c r="CZ116" i="6"/>
  <c r="CZ100" i="6"/>
  <c r="CZ84" i="6"/>
  <c r="CZ68" i="6"/>
  <c r="CZ52" i="6"/>
  <c r="DI457" i="6" l="1"/>
  <c r="DI456" i="6"/>
  <c r="DI455" i="6"/>
  <c r="DI454" i="6"/>
  <c r="DI453" i="6"/>
  <c r="DI452" i="6"/>
  <c r="DI451" i="6"/>
  <c r="DI450" i="6"/>
  <c r="DI449" i="6"/>
  <c r="DI448" i="6"/>
  <c r="CJ442" i="6" l="1"/>
  <c r="CJ441" i="6"/>
  <c r="CJ440" i="6"/>
  <c r="CJ439" i="6"/>
  <c r="CJ438" i="6"/>
  <c r="CJ437" i="6"/>
  <c r="CJ436" i="6"/>
  <c r="CJ435" i="6"/>
  <c r="CJ434" i="6"/>
  <c r="CJ433" i="6"/>
  <c r="CJ432" i="6"/>
  <c r="CJ431" i="6"/>
  <c r="CJ430" i="6"/>
  <c r="CJ429" i="6"/>
  <c r="CJ428" i="6"/>
  <c r="CJ427" i="6"/>
  <c r="CJ426" i="6"/>
  <c r="CJ425" i="6"/>
  <c r="CJ424" i="6"/>
  <c r="CJ423" i="6"/>
  <c r="CJ422" i="6"/>
  <c r="CJ421" i="6"/>
  <c r="CJ420" i="6"/>
  <c r="CJ419" i="6"/>
  <c r="CJ418" i="6"/>
  <c r="CJ417" i="6"/>
  <c r="CJ416" i="6"/>
  <c r="CJ415" i="6"/>
  <c r="CJ414" i="6"/>
  <c r="CJ413" i="6"/>
  <c r="CJ412" i="6"/>
  <c r="CJ411" i="6"/>
  <c r="CJ410" i="6"/>
  <c r="CJ409" i="6"/>
  <c r="CJ408" i="6"/>
  <c r="CJ407" i="6"/>
  <c r="CJ406" i="6"/>
  <c r="CJ405" i="6"/>
  <c r="CJ404" i="6"/>
  <c r="CJ403" i="6"/>
  <c r="CJ402" i="6"/>
  <c r="CJ401" i="6"/>
  <c r="CJ400" i="6"/>
  <c r="CJ399" i="6"/>
  <c r="CJ398" i="6"/>
  <c r="CJ397" i="6"/>
  <c r="CJ396" i="6"/>
  <c r="CJ395" i="6"/>
  <c r="CJ394" i="6"/>
  <c r="CJ393" i="6"/>
  <c r="CJ392" i="6"/>
  <c r="CJ391" i="6"/>
  <c r="CJ390" i="6"/>
  <c r="CJ389" i="6"/>
  <c r="CJ388" i="6"/>
  <c r="CJ387" i="6"/>
  <c r="CJ386" i="6"/>
  <c r="CJ385" i="6"/>
  <c r="CJ384" i="6"/>
  <c r="CJ383" i="6"/>
  <c r="CJ382" i="6"/>
  <c r="CJ381" i="6"/>
  <c r="CJ380" i="6"/>
  <c r="CJ379" i="6"/>
  <c r="CJ378" i="6"/>
  <c r="CJ377" i="6"/>
  <c r="CJ376" i="6"/>
  <c r="CJ375" i="6"/>
  <c r="CJ374" i="6"/>
  <c r="CJ373" i="6"/>
  <c r="CJ372" i="6"/>
  <c r="CJ371" i="6"/>
  <c r="CJ370" i="6"/>
  <c r="CJ369" i="6"/>
  <c r="CJ368" i="6"/>
  <c r="CJ367" i="6"/>
  <c r="CJ366" i="6"/>
  <c r="CJ365" i="6"/>
  <c r="CJ364" i="6"/>
  <c r="CJ363" i="6"/>
  <c r="CJ362" i="6"/>
  <c r="CJ361" i="6"/>
  <c r="CJ360" i="6"/>
  <c r="CJ359" i="6"/>
  <c r="CJ358" i="6"/>
  <c r="CJ357" i="6"/>
  <c r="CJ356" i="6"/>
  <c r="CJ355" i="6"/>
  <c r="CJ354" i="6"/>
  <c r="CJ353" i="6"/>
  <c r="CJ352" i="6"/>
  <c r="CJ351" i="6"/>
  <c r="CJ350" i="6"/>
  <c r="CJ349" i="6"/>
  <c r="CJ348" i="6"/>
  <c r="CJ347" i="6"/>
  <c r="CJ346" i="6"/>
  <c r="CJ345" i="6"/>
  <c r="CJ344" i="6"/>
  <c r="CJ343" i="6"/>
  <c r="CJ342" i="6"/>
  <c r="CJ341" i="6"/>
  <c r="CJ340" i="6"/>
  <c r="CJ339" i="6"/>
  <c r="CJ338" i="6"/>
  <c r="CJ337" i="6"/>
  <c r="CJ336" i="6"/>
  <c r="CJ335" i="6"/>
  <c r="CJ334" i="6"/>
  <c r="CJ333" i="6"/>
  <c r="CJ332" i="6"/>
  <c r="CJ331" i="6"/>
  <c r="CJ330" i="6"/>
  <c r="CJ329" i="6"/>
  <c r="CJ328" i="6"/>
  <c r="CJ327" i="6"/>
  <c r="CJ326" i="6"/>
  <c r="CJ325" i="6"/>
  <c r="CJ324" i="6"/>
  <c r="CJ323" i="6"/>
  <c r="CJ322" i="6"/>
  <c r="CJ321" i="6"/>
  <c r="CJ320" i="6"/>
  <c r="CJ319" i="6"/>
  <c r="CJ318" i="6"/>
  <c r="CJ317" i="6"/>
  <c r="CJ316" i="6"/>
  <c r="CJ315" i="6"/>
  <c r="CJ314" i="6"/>
  <c r="CJ313" i="6"/>
  <c r="CJ312" i="6"/>
  <c r="CJ311" i="6"/>
  <c r="CJ310" i="6"/>
  <c r="CJ309" i="6"/>
  <c r="CJ308" i="6"/>
  <c r="CJ307" i="6"/>
  <c r="CJ306" i="6"/>
  <c r="CJ305" i="6"/>
  <c r="CJ304" i="6"/>
  <c r="CJ303" i="6"/>
  <c r="CJ302" i="6"/>
  <c r="CJ301" i="6"/>
  <c r="CJ300" i="6"/>
  <c r="CJ299" i="6"/>
  <c r="CJ298" i="6"/>
  <c r="CJ297" i="6"/>
  <c r="CJ296" i="6"/>
  <c r="CJ295" i="6"/>
  <c r="CJ294" i="6"/>
  <c r="CJ293" i="6"/>
  <c r="CJ292" i="6"/>
  <c r="CJ291" i="6"/>
  <c r="CJ290" i="6"/>
  <c r="CJ289" i="6"/>
  <c r="CJ288" i="6"/>
  <c r="CJ287" i="6"/>
  <c r="CJ286" i="6"/>
  <c r="CJ285" i="6"/>
  <c r="CJ284" i="6"/>
  <c r="CJ283" i="6"/>
  <c r="CJ282" i="6"/>
  <c r="CJ281" i="6"/>
  <c r="CJ280" i="6"/>
  <c r="CJ279" i="6"/>
  <c r="CJ278" i="6"/>
  <c r="CJ277" i="6"/>
  <c r="CJ276" i="6"/>
  <c r="CJ275" i="6"/>
  <c r="CJ274" i="6"/>
  <c r="CJ273" i="6"/>
  <c r="CJ272" i="6"/>
  <c r="CJ271" i="6"/>
  <c r="CJ270" i="6"/>
  <c r="CJ269" i="6"/>
  <c r="CJ268" i="6"/>
  <c r="CJ267" i="6"/>
  <c r="CJ266" i="6"/>
  <c r="CJ265" i="6"/>
  <c r="CJ264" i="6"/>
  <c r="CJ263" i="6"/>
  <c r="CJ262" i="6"/>
  <c r="CJ261" i="6"/>
  <c r="CJ260" i="6"/>
  <c r="CJ259" i="6"/>
  <c r="CJ258" i="6"/>
  <c r="CJ257" i="6"/>
  <c r="CJ256" i="6"/>
  <c r="CJ255" i="6"/>
  <c r="CJ254" i="6"/>
  <c r="CJ253" i="6"/>
  <c r="CJ252" i="6"/>
  <c r="CJ251" i="6"/>
  <c r="CJ250" i="6"/>
  <c r="CJ249" i="6"/>
  <c r="CJ248" i="6"/>
  <c r="CJ247" i="6"/>
  <c r="CJ246" i="6"/>
  <c r="CJ245" i="6"/>
  <c r="CJ244" i="6"/>
  <c r="CJ243" i="6"/>
  <c r="CJ242" i="6"/>
  <c r="CJ241" i="6"/>
  <c r="CJ240" i="6"/>
  <c r="CJ239" i="6"/>
  <c r="CJ238" i="6"/>
  <c r="CJ237" i="6"/>
  <c r="CJ236" i="6"/>
  <c r="CJ235" i="6"/>
  <c r="CJ234" i="6"/>
  <c r="CJ233" i="6"/>
  <c r="CJ232" i="6"/>
  <c r="CJ231" i="6"/>
  <c r="CJ230" i="6"/>
  <c r="CJ229" i="6"/>
  <c r="CJ228" i="6"/>
  <c r="CJ227" i="6"/>
  <c r="CJ226" i="6"/>
  <c r="CJ225" i="6"/>
  <c r="CJ224" i="6"/>
  <c r="CJ223" i="6"/>
  <c r="CJ222" i="6"/>
  <c r="CJ221" i="6"/>
  <c r="CJ220" i="6"/>
  <c r="CJ219" i="6"/>
  <c r="CJ218" i="6"/>
  <c r="CJ217" i="6"/>
  <c r="CJ216" i="6"/>
  <c r="CJ215" i="6"/>
  <c r="CJ214" i="6"/>
  <c r="CJ213" i="6"/>
  <c r="CJ212" i="6"/>
  <c r="CJ211" i="6"/>
  <c r="CJ210" i="6"/>
  <c r="CJ209" i="6"/>
  <c r="CJ208" i="6"/>
  <c r="CJ207" i="6"/>
  <c r="CJ206" i="6"/>
  <c r="CJ205" i="6"/>
  <c r="CJ204" i="6"/>
  <c r="CJ203" i="6"/>
  <c r="CJ202" i="6"/>
  <c r="CJ201" i="6"/>
  <c r="CJ200" i="6"/>
  <c r="CJ199" i="6"/>
  <c r="CJ198" i="6"/>
  <c r="CJ197" i="6"/>
  <c r="CJ196" i="6"/>
  <c r="CJ195" i="6"/>
  <c r="CJ194" i="6"/>
  <c r="CJ193" i="6"/>
  <c r="CJ192" i="6"/>
  <c r="CJ191" i="6"/>
  <c r="CJ190" i="6"/>
  <c r="CJ189" i="6"/>
  <c r="CJ188" i="6"/>
  <c r="CJ187" i="6"/>
  <c r="CJ186" i="6"/>
  <c r="CJ185" i="6"/>
  <c r="CJ184" i="6"/>
  <c r="CJ183" i="6"/>
  <c r="CJ182" i="6"/>
  <c r="CJ181" i="6"/>
  <c r="CJ180" i="6"/>
  <c r="CJ179" i="6"/>
  <c r="CJ178" i="6"/>
  <c r="CJ177" i="6"/>
  <c r="CJ176" i="6"/>
  <c r="CJ175" i="6"/>
  <c r="CJ174" i="6"/>
  <c r="CJ173" i="6"/>
  <c r="CJ172" i="6"/>
  <c r="CJ171" i="6"/>
  <c r="CJ170" i="6"/>
  <c r="CJ169" i="6"/>
  <c r="CJ168" i="6"/>
  <c r="CJ167" i="6"/>
  <c r="CJ166" i="6"/>
  <c r="CJ165" i="6"/>
  <c r="CJ164" i="6"/>
  <c r="CJ163" i="6"/>
  <c r="CJ162" i="6"/>
  <c r="CJ161" i="6"/>
  <c r="CJ160" i="6"/>
  <c r="CJ159" i="6"/>
  <c r="CJ158" i="6"/>
  <c r="CJ157" i="6"/>
  <c r="CJ156" i="6"/>
  <c r="CJ155" i="6"/>
  <c r="CJ154" i="6"/>
  <c r="CJ153" i="6"/>
  <c r="CJ152" i="6"/>
  <c r="CJ151" i="6"/>
  <c r="CJ150" i="6"/>
  <c r="CJ149" i="6"/>
  <c r="CJ148" i="6"/>
  <c r="CJ147" i="6"/>
  <c r="CJ146" i="6"/>
  <c r="CJ145" i="6"/>
  <c r="CJ144" i="6"/>
  <c r="CJ143" i="6"/>
  <c r="CJ142" i="6"/>
  <c r="CJ141" i="6"/>
  <c r="CJ140" i="6"/>
  <c r="CJ139" i="6"/>
  <c r="CJ138" i="6"/>
  <c r="CJ137" i="6"/>
  <c r="CJ136" i="6"/>
  <c r="CJ135" i="6"/>
  <c r="CJ134" i="6"/>
  <c r="CJ133" i="6"/>
  <c r="CJ132" i="6"/>
  <c r="CJ131" i="6"/>
  <c r="CJ130" i="6"/>
  <c r="CJ129" i="6"/>
  <c r="CJ128" i="6"/>
  <c r="CJ127" i="6"/>
  <c r="CJ126" i="6"/>
  <c r="CJ125" i="6"/>
  <c r="CJ124" i="6"/>
  <c r="CJ123" i="6"/>
  <c r="CJ122" i="6"/>
  <c r="CJ121" i="6"/>
  <c r="CJ120" i="6"/>
  <c r="CJ119" i="6"/>
  <c r="CJ118" i="6"/>
  <c r="CJ117" i="6"/>
  <c r="CJ116" i="6"/>
  <c r="CJ115" i="6"/>
  <c r="CJ114" i="6"/>
  <c r="CJ113" i="6"/>
  <c r="CJ112" i="6"/>
  <c r="CJ111" i="6"/>
  <c r="CJ110" i="6"/>
  <c r="CJ109" i="6"/>
  <c r="CJ108" i="6"/>
  <c r="CJ107" i="6"/>
  <c r="CJ106" i="6"/>
  <c r="CJ105" i="6"/>
  <c r="CJ104" i="6"/>
  <c r="CJ103" i="6"/>
  <c r="CJ102" i="6"/>
  <c r="CJ101" i="6"/>
  <c r="CJ100" i="6"/>
  <c r="CJ99" i="6"/>
  <c r="CJ98" i="6"/>
  <c r="CJ97" i="6"/>
  <c r="CJ96" i="6"/>
  <c r="CJ95" i="6"/>
  <c r="CJ94" i="6"/>
  <c r="CJ93" i="6"/>
  <c r="CJ92" i="6"/>
  <c r="CJ91" i="6"/>
  <c r="CJ90" i="6"/>
  <c r="CJ89" i="6"/>
  <c r="CJ88" i="6"/>
  <c r="CJ87" i="6"/>
  <c r="CJ86" i="6"/>
  <c r="CJ85" i="6"/>
  <c r="CJ84" i="6"/>
  <c r="CJ83" i="6"/>
  <c r="CJ82" i="6"/>
  <c r="CJ81" i="6"/>
  <c r="CJ80" i="6"/>
  <c r="CJ79" i="6"/>
  <c r="CJ78" i="6"/>
  <c r="CJ77" i="6"/>
  <c r="CJ76" i="6"/>
  <c r="CJ75" i="6"/>
  <c r="CJ74" i="6"/>
  <c r="CJ73" i="6"/>
  <c r="CJ72" i="6"/>
  <c r="CJ71" i="6"/>
  <c r="CJ70" i="6"/>
  <c r="CJ69" i="6"/>
  <c r="CJ68" i="6"/>
  <c r="CJ67" i="6"/>
  <c r="CJ66" i="6"/>
  <c r="CJ65" i="6"/>
  <c r="CJ64" i="6"/>
  <c r="CJ63" i="6"/>
  <c r="CJ62" i="6"/>
  <c r="CJ61" i="6"/>
  <c r="CJ60" i="6"/>
  <c r="CJ59" i="6"/>
  <c r="CJ58" i="6"/>
  <c r="CJ57" i="6"/>
  <c r="CJ56" i="6"/>
  <c r="CJ55" i="6"/>
  <c r="CJ54" i="6"/>
  <c r="CJ53" i="6"/>
  <c r="CJ52" i="6"/>
  <c r="G2" i="6" l="1"/>
  <c r="G4" i="6" l="1"/>
  <c r="C1" i="7"/>
  <c r="B212" i="2" l="1"/>
  <c r="C66" i="9"/>
  <c r="B66" i="9"/>
  <c r="E92" i="9"/>
  <c r="E79" i="9"/>
  <c r="D26" i="9"/>
  <c r="C26" i="9"/>
  <c r="B26" i="9"/>
  <c r="D50" i="6" l="1"/>
  <c r="B53" i="6" l="1"/>
  <c r="CM477" i="6" l="1"/>
  <c r="CM476" i="6"/>
  <c r="CM475" i="6"/>
  <c r="CM474" i="6"/>
  <c r="CM473" i="6"/>
  <c r="CM472" i="6"/>
  <c r="CM471" i="6"/>
  <c r="CM470" i="6"/>
  <c r="CM469" i="6"/>
  <c r="CM468" i="6"/>
  <c r="CM467" i="6"/>
  <c r="CM466" i="6"/>
  <c r="CM465" i="6"/>
  <c r="CM464" i="6"/>
  <c r="CM463" i="6"/>
  <c r="CM462" i="6"/>
  <c r="CM461" i="6"/>
  <c r="CM460" i="6"/>
  <c r="CM459" i="6"/>
  <c r="CM458" i="6"/>
  <c r="CM457" i="6"/>
  <c r="CM456" i="6"/>
  <c r="CM455" i="6"/>
  <c r="CM454" i="6"/>
  <c r="CM453" i="6"/>
  <c r="CM452" i="6"/>
  <c r="CM451" i="6"/>
  <c r="CM450" i="6"/>
  <c r="CM449" i="6"/>
  <c r="CM448" i="6"/>
  <c r="CM447" i="6"/>
  <c r="CP47" i="6"/>
  <c r="CN46" i="6"/>
  <c r="B43" i="2" l="1"/>
  <c r="G16" i="10"/>
  <c r="G15" i="10"/>
  <c r="A15" i="10"/>
  <c r="A13" i="10"/>
  <c r="A11" i="10"/>
  <c r="G10" i="10"/>
  <c r="G9" i="10" s="1"/>
  <c r="A9" i="10"/>
  <c r="G8" i="10"/>
  <c r="G7" i="10" s="1"/>
  <c r="A7" i="10"/>
  <c r="G6" i="10"/>
  <c r="G5" i="10" s="1"/>
  <c r="A5" i="10"/>
  <c r="A3" i="10"/>
  <c r="H2" i="10"/>
  <c r="G2" i="10"/>
  <c r="F2" i="10"/>
  <c r="E2" i="10"/>
  <c r="D2" i="10"/>
  <c r="C2" i="10"/>
  <c r="B2" i="10"/>
  <c r="D11" i="9"/>
  <c r="E9" i="9"/>
  <c r="F16" i="10" s="1"/>
  <c r="C9" i="9"/>
  <c r="D8" i="9"/>
  <c r="C8" i="9"/>
  <c r="D12" i="9"/>
  <c r="D5" i="9"/>
  <c r="C5" i="9"/>
  <c r="C67" i="9" s="1"/>
  <c r="C209" i="2"/>
  <c r="D209" i="2"/>
  <c r="B209" i="2"/>
  <c r="B203" i="2"/>
  <c r="B200" i="2"/>
  <c r="B201" i="2" s="1"/>
  <c r="B197" i="2"/>
  <c r="B199" i="2" s="1"/>
  <c r="B187" i="2"/>
  <c r="B188" i="2" s="1"/>
  <c r="B186" i="2"/>
  <c r="C175" i="2"/>
  <c r="B175" i="2"/>
  <c r="D148" i="2"/>
  <c r="D151" i="2" s="1"/>
  <c r="D129" i="2"/>
  <c r="D132" i="2" s="1"/>
  <c r="C92" i="2"/>
  <c r="B81" i="2"/>
  <c r="C67" i="2"/>
  <c r="C53" i="9" s="1"/>
  <c r="B67" i="2"/>
  <c r="B53" i="9" s="1"/>
  <c r="C65" i="2"/>
  <c r="B65" i="2"/>
  <c r="C46" i="2"/>
  <c r="B22" i="2"/>
  <c r="B18" i="2"/>
  <c r="C9" i="2"/>
  <c r="C214" i="2"/>
  <c r="B5" i="2"/>
  <c r="C266" i="2" l="1"/>
  <c r="C265" i="2"/>
  <c r="C268" i="2" s="1"/>
  <c r="C269" i="2" s="1"/>
  <c r="B9" i="2"/>
  <c r="B101" i="2" s="1"/>
  <c r="C50" i="2"/>
  <c r="C40" i="9" s="1"/>
  <c r="D50" i="2"/>
  <c r="D40" i="9" s="1"/>
  <c r="B50" i="2"/>
  <c r="B40" i="9" s="1"/>
  <c r="D6" i="10" s="1"/>
  <c r="B48" i="2"/>
  <c r="B55" i="2"/>
  <c r="B235" i="2"/>
  <c r="B258" i="2" s="1"/>
  <c r="B260" i="2" s="1"/>
  <c r="B261" i="2" s="1"/>
  <c r="B253" i="2"/>
  <c r="B255" i="2" s="1"/>
  <c r="B266" i="2"/>
  <c r="B265" i="2"/>
  <c r="B252" i="2"/>
  <c r="B254" i="2" s="1"/>
  <c r="B4" i="9"/>
  <c r="B5" i="9" s="1"/>
  <c r="B67" i="9" s="1"/>
  <c r="B71" i="9" s="1"/>
  <c r="C70" i="2"/>
  <c r="C71" i="2" s="1"/>
  <c r="C101" i="2"/>
  <c r="C60" i="9"/>
  <c r="D8" i="10" s="1"/>
  <c r="D60" i="9"/>
  <c r="D56" i="9"/>
  <c r="D44" i="9"/>
  <c r="D43" i="9"/>
  <c r="D57" i="9"/>
  <c r="D55" i="9"/>
  <c r="D42" i="9"/>
  <c r="D207" i="2"/>
  <c r="D213" i="2" s="1"/>
  <c r="D63" i="2"/>
  <c r="D153" i="2"/>
  <c r="B208" i="2"/>
  <c r="B95" i="2"/>
  <c r="B97" i="2" s="1"/>
  <c r="E86" i="9"/>
  <c r="F4" i="10"/>
  <c r="G4" i="10"/>
  <c r="F8" i="10"/>
  <c r="F10" i="10"/>
  <c r="B63" i="2"/>
  <c r="B109" i="2"/>
  <c r="B6" i="10"/>
  <c r="B8" i="10"/>
  <c r="B16" i="10"/>
  <c r="B10" i="10"/>
  <c r="D33" i="9"/>
  <c r="B4" i="10" s="1"/>
  <c r="B41" i="9"/>
  <c r="B45" i="9" s="1"/>
  <c r="B54" i="9"/>
  <c r="B176" i="2"/>
  <c r="B29" i="2"/>
  <c r="B30" i="2" s="1"/>
  <c r="B31" i="2" s="1"/>
  <c r="C207" i="2"/>
  <c r="C213" i="2" s="1"/>
  <c r="H10" i="10"/>
  <c r="C8" i="10"/>
  <c r="H4" i="10"/>
  <c r="C4" i="10"/>
  <c r="H8" i="10"/>
  <c r="H6" i="10"/>
  <c r="D4" i="10"/>
  <c r="C10" i="10"/>
  <c r="E4" i="10"/>
  <c r="D10" i="10"/>
  <c r="E8" i="10"/>
  <c r="C16" i="10"/>
  <c r="E16" i="10"/>
  <c r="D16" i="10"/>
  <c r="B53" i="2"/>
  <c r="B54" i="2" s="1"/>
  <c r="E96" i="9"/>
  <c r="E98" i="9" s="1"/>
  <c r="E83" i="9"/>
  <c r="E85" i="9" s="1"/>
  <c r="C31" i="9"/>
  <c r="D109" i="9"/>
  <c r="C10" i="9"/>
  <c r="C34" i="9" s="1"/>
  <c r="D112" i="9"/>
  <c r="D31" i="9"/>
  <c r="B8" i="2"/>
  <c r="C44" i="9"/>
  <c r="C57" i="9"/>
  <c r="C70" i="9"/>
  <c r="C108" i="9"/>
  <c r="C30" i="9"/>
  <c r="C56" i="9"/>
  <c r="C28" i="9"/>
  <c r="C43" i="9"/>
  <c r="C29" i="9"/>
  <c r="C73" i="9"/>
  <c r="E10" i="10" s="1"/>
  <c r="E99" i="9"/>
  <c r="D113" i="9"/>
  <c r="E10" i="9"/>
  <c r="D28" i="9"/>
  <c r="C42" i="9"/>
  <c r="C71" i="9"/>
  <c r="C69" i="9"/>
  <c r="C109" i="9"/>
  <c r="C112" i="9"/>
  <c r="H16" i="10" s="1"/>
  <c r="D30" i="9"/>
  <c r="C68" i="9"/>
  <c r="D108" i="9"/>
  <c r="D29" i="9"/>
  <c r="C33" i="9"/>
  <c r="C55" i="9"/>
  <c r="C29" i="2"/>
  <c r="B51" i="2"/>
  <c r="B52" i="2" s="1"/>
  <c r="D154" i="2"/>
  <c r="D157" i="2" s="1"/>
  <c r="D160" i="2" s="1"/>
  <c r="D29" i="2"/>
  <c r="D30" i="2" s="1"/>
  <c r="D31" i="2" s="1"/>
  <c r="C53" i="2"/>
  <c r="C54" i="2" s="1"/>
  <c r="C63" i="2"/>
  <c r="C95" i="2"/>
  <c r="C97" i="2" s="1"/>
  <c r="C109" i="2"/>
  <c r="D130" i="2"/>
  <c r="D134" i="2" s="1"/>
  <c r="D137" i="2" s="1"/>
  <c r="D140" i="2" s="1"/>
  <c r="D150" i="2"/>
  <c r="D156" i="2" s="1"/>
  <c r="D159" i="2" s="1"/>
  <c r="B169" i="2"/>
  <c r="B171" i="2" s="1"/>
  <c r="B172" i="2" s="1"/>
  <c r="B173" i="2" s="1"/>
  <c r="B214" i="2"/>
  <c r="B215" i="2" s="1"/>
  <c r="C216" i="2"/>
  <c r="D9" i="2"/>
  <c r="C176" i="2"/>
  <c r="D212" i="2"/>
  <c r="B96" i="2"/>
  <c r="B98" i="2" s="1"/>
  <c r="B103" i="2"/>
  <c r="B104" i="2" s="1"/>
  <c r="B108" i="2"/>
  <c r="C169" i="2"/>
  <c r="C171" i="2" s="1"/>
  <c r="C172" i="2" s="1"/>
  <c r="C173" i="2" s="1"/>
  <c r="B207" i="2"/>
  <c r="D214" i="2"/>
  <c r="C215" i="2"/>
  <c r="C68" i="2"/>
  <c r="C69" i="2" s="1"/>
  <c r="C96" i="2"/>
  <c r="C98" i="2" s="1"/>
  <c r="C108" i="2"/>
  <c r="D34" i="9" l="1"/>
  <c r="D106" i="9"/>
  <c r="D48" i="9"/>
  <c r="B55" i="9"/>
  <c r="C48" i="9"/>
  <c r="D61" i="9"/>
  <c r="B256" i="2"/>
  <c r="B263" i="2" s="1"/>
  <c r="B268" i="2" s="1"/>
  <c r="B269" i="2" s="1"/>
  <c r="B68" i="9"/>
  <c r="B28" i="9"/>
  <c r="B43" i="9"/>
  <c r="B46" i="9" s="1"/>
  <c r="B56" i="9"/>
  <c r="E87" i="9"/>
  <c r="E88" i="9" s="1"/>
  <c r="B69" i="9"/>
  <c r="B72" i="9" s="1"/>
  <c r="B29" i="9"/>
  <c r="D58" i="9" s="1"/>
  <c r="D59" i="9" s="1"/>
  <c r="B30" i="9"/>
  <c r="B108" i="9"/>
  <c r="B57" i="9"/>
  <c r="B99" i="2"/>
  <c r="B8" i="9"/>
  <c r="B44" i="9"/>
  <c r="B42" i="9"/>
  <c r="B109" i="9"/>
  <c r="B70" i="9"/>
  <c r="B31" i="9"/>
  <c r="C47" i="9"/>
  <c r="C6" i="10" s="1"/>
  <c r="E6" i="10"/>
  <c r="F6" i="10"/>
  <c r="D47" i="9"/>
  <c r="C272" i="2"/>
  <c r="C273" i="2" s="1"/>
  <c r="C270" i="2"/>
  <c r="C276" i="2"/>
  <c r="C277" i="2" s="1"/>
  <c r="C274" i="2"/>
  <c r="C275" i="2" s="1"/>
  <c r="C278" i="2"/>
  <c r="C279" i="2" s="1"/>
  <c r="C61" i="9"/>
  <c r="D46" i="9"/>
  <c r="B213" i="2"/>
  <c r="B106" i="9" s="1"/>
  <c r="B110" i="9" s="1"/>
  <c r="D68" i="2"/>
  <c r="D69" i="2" s="1"/>
  <c r="D70" i="2"/>
  <c r="D71" i="2" s="1"/>
  <c r="D53" i="2"/>
  <c r="D54" i="2" s="1"/>
  <c r="D51" i="2"/>
  <c r="D52" i="2" s="1"/>
  <c r="C74" i="9"/>
  <c r="C113" i="9"/>
  <c r="B216" i="2"/>
  <c r="B217" i="2" s="1"/>
  <c r="B218" i="2" s="1"/>
  <c r="B70" i="2"/>
  <c r="B71" i="2" s="1"/>
  <c r="B68" i="2"/>
  <c r="B69" i="2" s="1"/>
  <c r="C99" i="2"/>
  <c r="C32" i="9"/>
  <c r="C72" i="9"/>
  <c r="D32" i="9"/>
  <c r="E100" i="9"/>
  <c r="E101" i="9" s="1"/>
  <c r="C103" i="2"/>
  <c r="C104" i="2" s="1"/>
  <c r="D215" i="2"/>
  <c r="D138" i="2"/>
  <c r="D141" i="2" s="1"/>
  <c r="D216" i="2"/>
  <c r="D217" i="2" s="1"/>
  <c r="D218" i="2" s="1"/>
  <c r="C30" i="2"/>
  <c r="C31" i="2" s="1"/>
  <c r="C212" i="2"/>
  <c r="C106" i="9" s="1"/>
  <c r="C110" i="9" s="1"/>
  <c r="C111" i="9" s="1"/>
  <c r="C43" i="2"/>
  <c r="C8" i="2"/>
  <c r="C208" i="2"/>
  <c r="D208" i="2"/>
  <c r="B106" i="2"/>
  <c r="B111" i="2" s="1"/>
  <c r="B112" i="2" s="1"/>
  <c r="D8" i="2"/>
  <c r="B58" i="9" l="1"/>
  <c r="B59" i="9" s="1"/>
  <c r="D62" i="9" s="1"/>
  <c r="B274" i="2"/>
  <c r="B275" i="2" s="1"/>
  <c r="B276" i="2"/>
  <c r="B277" i="2" s="1"/>
  <c r="B278" i="2"/>
  <c r="B279" i="2" s="1"/>
  <c r="B272" i="2"/>
  <c r="B273" i="2" s="1"/>
  <c r="B270" i="2"/>
  <c r="B111" i="9"/>
  <c r="C114" i="9" s="1"/>
  <c r="H15" i="10" s="1"/>
  <c r="B32" i="9"/>
  <c r="G3" i="10" s="1"/>
  <c r="D49" i="9"/>
  <c r="C35" i="9"/>
  <c r="F7" i="10"/>
  <c r="C51" i="2"/>
  <c r="C52" i="2" s="1"/>
  <c r="C41" i="9"/>
  <c r="C45" i="9" s="1"/>
  <c r="C46" i="9" s="1"/>
  <c r="C3" i="10" s="1"/>
  <c r="C54" i="9"/>
  <c r="C58" i="9" s="1"/>
  <c r="C59" i="9" s="1"/>
  <c r="C217" i="2"/>
  <c r="C218" i="2" s="1"/>
  <c r="D110" i="9"/>
  <c r="B7" i="10"/>
  <c r="H7" i="10"/>
  <c r="E15" i="10"/>
  <c r="E7" i="10"/>
  <c r="H9" i="10"/>
  <c r="F9" i="10"/>
  <c r="B9" i="10"/>
  <c r="B5" i="10"/>
  <c r="E3" i="10" s="1"/>
  <c r="E5" i="10"/>
  <c r="H5" i="10"/>
  <c r="F5" i="10"/>
  <c r="C75" i="9"/>
  <c r="E9" i="10" s="1"/>
  <c r="B113" i="2"/>
  <c r="B121" i="2"/>
  <c r="B122" i="2" s="1"/>
  <c r="B119" i="2"/>
  <c r="B120" i="2" s="1"/>
  <c r="B117" i="2"/>
  <c r="B118" i="2" s="1"/>
  <c r="B115" i="2"/>
  <c r="B116" i="2" s="1"/>
  <c r="C106" i="2"/>
  <c r="C111" i="2" s="1"/>
  <c r="C112" i="2" s="1"/>
  <c r="D15" i="10" l="1"/>
  <c r="F15" i="10"/>
  <c r="B15" i="10"/>
  <c r="H3" i="10"/>
  <c r="F3" i="10"/>
  <c r="D35" i="9"/>
  <c r="B3" i="10" s="1"/>
  <c r="D111" i="9"/>
  <c r="D114" i="9" s="1"/>
  <c r="C62" i="9"/>
  <c r="D7" i="10" s="1"/>
  <c r="D5" i="10"/>
  <c r="C49" i="9"/>
  <c r="C5" i="10" s="1"/>
  <c r="C7" i="10"/>
  <c r="C9" i="10"/>
  <c r="D3" i="10"/>
  <c r="D9" i="10"/>
  <c r="C15" i="10"/>
  <c r="C113" i="2"/>
  <c r="C121" i="2"/>
  <c r="C122" i="2" s="1"/>
  <c r="C119" i="2"/>
  <c r="C120" i="2" s="1"/>
  <c r="C117" i="2"/>
  <c r="C118" i="2" s="1"/>
  <c r="C115" i="2"/>
  <c r="C116" i="2" s="1"/>
  <c r="BS448" i="6" l="1"/>
  <c r="BS449" i="6"/>
  <c r="BS450" i="6"/>
  <c r="BS451" i="6"/>
  <c r="BS452" i="6"/>
  <c r="BS453" i="6"/>
  <c r="BS454" i="6"/>
  <c r="BS455" i="6"/>
  <c r="BS456" i="6"/>
  <c r="BS457" i="6"/>
  <c r="BS458" i="6"/>
  <c r="BS459" i="6"/>
  <c r="BS460" i="6"/>
  <c r="BS461" i="6"/>
  <c r="BS462" i="6"/>
  <c r="BS463" i="6"/>
  <c r="BS464" i="6"/>
  <c r="BS465" i="6"/>
  <c r="BS466" i="6"/>
  <c r="BS467" i="6"/>
  <c r="BS468" i="6"/>
  <c r="BS469" i="6"/>
  <c r="BS470" i="6"/>
  <c r="BS471" i="6"/>
  <c r="BS472" i="6"/>
  <c r="BS473" i="6"/>
  <c r="BS474" i="6"/>
  <c r="BS475" i="6"/>
  <c r="BS476" i="6"/>
  <c r="BS477" i="6"/>
  <c r="BS447" i="6"/>
  <c r="BR448" i="6"/>
  <c r="BR449" i="6"/>
  <c r="BR450" i="6"/>
  <c r="BR451" i="6"/>
  <c r="BR452" i="6"/>
  <c r="BR453" i="6"/>
  <c r="BR454" i="6"/>
  <c r="BR455" i="6"/>
  <c r="BR456" i="6"/>
  <c r="BR457" i="6"/>
  <c r="BR458" i="6"/>
  <c r="BR459" i="6"/>
  <c r="BR460" i="6"/>
  <c r="BR461" i="6"/>
  <c r="BR462" i="6"/>
  <c r="BR463" i="6"/>
  <c r="BR464" i="6"/>
  <c r="BR465" i="6"/>
  <c r="BR466" i="6"/>
  <c r="BR467" i="6"/>
  <c r="BR468" i="6"/>
  <c r="BR469" i="6"/>
  <c r="BR470" i="6"/>
  <c r="BR471" i="6"/>
  <c r="BR472" i="6"/>
  <c r="BR473" i="6"/>
  <c r="BR474" i="6"/>
  <c r="BR475" i="6"/>
  <c r="BR476" i="6"/>
  <c r="BR477" i="6"/>
  <c r="BR447" i="6"/>
  <c r="D447" i="6"/>
  <c r="B442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CC47" i="6"/>
  <c r="BI47" i="6"/>
  <c r="BQ50" i="6"/>
  <c r="AW50" i="6"/>
  <c r="AC50" i="6"/>
  <c r="AO47" i="6"/>
  <c r="P47" i="6"/>
  <c r="E29" i="7"/>
  <c r="E26" i="7"/>
  <c r="E23" i="7"/>
  <c r="E20" i="7"/>
  <c r="N19" i="8" l="1"/>
  <c r="N20" i="8"/>
  <c r="N21" i="8"/>
  <c r="N22" i="8"/>
  <c r="N23" i="8"/>
  <c r="N18" i="8"/>
  <c r="I7" i="6" l="1"/>
  <c r="I6" i="6"/>
  <c r="I5" i="6"/>
  <c r="I4" i="6"/>
  <c r="BS46" i="6"/>
  <c r="BQ24" i="6"/>
  <c r="BQ25" i="6" s="1"/>
  <c r="BP24" i="6"/>
  <c r="AQ3" i="6"/>
  <c r="AR4" i="6" s="1"/>
  <c r="AY46" i="6"/>
  <c r="AE46" i="6"/>
  <c r="BP25" i="6" l="1"/>
  <c r="B84" i="6"/>
  <c r="B85" i="6"/>
  <c r="CW84" i="6" s="1"/>
  <c r="B86" i="6"/>
  <c r="CW85" i="6" s="1"/>
  <c r="B87" i="6"/>
  <c r="CW86" i="6" s="1"/>
  <c r="B88" i="6"/>
  <c r="CW87" i="6" s="1"/>
  <c r="B89" i="6"/>
  <c r="B90" i="6"/>
  <c r="CW89" i="6" s="1"/>
  <c r="B91" i="6"/>
  <c r="B92" i="6"/>
  <c r="CW91" i="6" s="1"/>
  <c r="B93" i="6"/>
  <c r="B94" i="6"/>
  <c r="CW93" i="6" s="1"/>
  <c r="B95" i="6"/>
  <c r="CW94" i="6" s="1"/>
  <c r="B96" i="6"/>
  <c r="CW95" i="6" s="1"/>
  <c r="B97" i="6"/>
  <c r="B98" i="6"/>
  <c r="B99" i="6"/>
  <c r="B100" i="6"/>
  <c r="CW99" i="6" s="1"/>
  <c r="B101" i="6"/>
  <c r="CW100" i="6" s="1"/>
  <c r="B102" i="6"/>
  <c r="CW101" i="6" s="1"/>
  <c r="B103" i="6"/>
  <c r="CW102" i="6" s="1"/>
  <c r="B104" i="6"/>
  <c r="CW103" i="6" s="1"/>
  <c r="CS451" i="6" s="1"/>
  <c r="CR451" i="6" s="1"/>
  <c r="B105" i="6"/>
  <c r="B106" i="6"/>
  <c r="CW105" i="6" s="1"/>
  <c r="B107" i="6"/>
  <c r="B108" i="6"/>
  <c r="B109" i="6"/>
  <c r="B110" i="6"/>
  <c r="CW109" i="6" s="1"/>
  <c r="B111" i="6"/>
  <c r="CW110" i="6" s="1"/>
  <c r="B112" i="6"/>
  <c r="CW111" i="6" s="1"/>
  <c r="B113" i="6"/>
  <c r="B114" i="6"/>
  <c r="B115" i="6"/>
  <c r="B116" i="6"/>
  <c r="CW115" i="6" s="1"/>
  <c r="B117" i="6"/>
  <c r="CW116" i="6" s="1"/>
  <c r="CS452" i="6" s="1"/>
  <c r="CR452" i="6" s="1"/>
  <c r="B118" i="6"/>
  <c r="B119" i="6"/>
  <c r="CW118" i="6" s="1"/>
  <c r="B120" i="6"/>
  <c r="CW119" i="6" s="1"/>
  <c r="B121" i="6"/>
  <c r="B122" i="6"/>
  <c r="CW121" i="6" s="1"/>
  <c r="B123" i="6"/>
  <c r="B124" i="6"/>
  <c r="B125" i="6"/>
  <c r="B126" i="6"/>
  <c r="CW125" i="6" s="1"/>
  <c r="B127" i="6"/>
  <c r="CW126" i="6" s="1"/>
  <c r="B128" i="6"/>
  <c r="CW127" i="6" s="1"/>
  <c r="B129" i="6"/>
  <c r="B130" i="6"/>
  <c r="B131" i="6"/>
  <c r="B132" i="6"/>
  <c r="CW131" i="6" s="1"/>
  <c r="B133" i="6"/>
  <c r="CW132" i="6" s="1"/>
  <c r="B134" i="6"/>
  <c r="B135" i="6"/>
  <c r="CW134" i="6" s="1"/>
  <c r="B136" i="6"/>
  <c r="CW135" i="6" s="1"/>
  <c r="B137" i="6"/>
  <c r="B138" i="6"/>
  <c r="CW137" i="6" s="1"/>
  <c r="B139" i="6"/>
  <c r="B140" i="6"/>
  <c r="B141" i="6"/>
  <c r="B142" i="6"/>
  <c r="CW141" i="6" s="1"/>
  <c r="B143" i="6"/>
  <c r="CW142" i="6" s="1"/>
  <c r="CS454" i="6" s="1"/>
  <c r="CR454" i="6" s="1"/>
  <c r="B144" i="6"/>
  <c r="CW143" i="6" s="1"/>
  <c r="B145" i="6"/>
  <c r="B146" i="6"/>
  <c r="B147" i="6"/>
  <c r="B148" i="6"/>
  <c r="CW147" i="6" s="1"/>
  <c r="B149" i="6"/>
  <c r="CW148" i="6" s="1"/>
  <c r="B150" i="6"/>
  <c r="B151" i="6"/>
  <c r="CW150" i="6" s="1"/>
  <c r="B152" i="6"/>
  <c r="CW151" i="6" s="1"/>
  <c r="B153" i="6"/>
  <c r="B154" i="6"/>
  <c r="CW153" i="6" s="1"/>
  <c r="B155" i="6"/>
  <c r="B156" i="6"/>
  <c r="B157" i="6"/>
  <c r="B158" i="6"/>
  <c r="CW157" i="6" s="1"/>
  <c r="B159" i="6"/>
  <c r="CW158" i="6" s="1"/>
  <c r="B160" i="6"/>
  <c r="CW159" i="6" s="1"/>
  <c r="B161" i="6"/>
  <c r="B162" i="6"/>
  <c r="B163" i="6"/>
  <c r="B164" i="6"/>
  <c r="CW163" i="6" s="1"/>
  <c r="B165" i="6"/>
  <c r="CW164" i="6" s="1"/>
  <c r="B166" i="6"/>
  <c r="B167" i="6"/>
  <c r="CW166" i="6" s="1"/>
  <c r="B168" i="6"/>
  <c r="CW167" i="6" s="1"/>
  <c r="B169" i="6"/>
  <c r="B170" i="6"/>
  <c r="CW169" i="6" s="1"/>
  <c r="B171" i="6"/>
  <c r="B172" i="6"/>
  <c r="B173" i="6"/>
  <c r="B174" i="6"/>
  <c r="CW173" i="6" s="1"/>
  <c r="B175" i="6"/>
  <c r="CW174" i="6" s="1"/>
  <c r="B176" i="6"/>
  <c r="CW175" i="6" s="1"/>
  <c r="B177" i="6"/>
  <c r="B178" i="6"/>
  <c r="B179" i="6"/>
  <c r="B180" i="6"/>
  <c r="CW179" i="6" s="1"/>
  <c r="B181" i="6"/>
  <c r="CW180" i="6" s="1"/>
  <c r="B182" i="6"/>
  <c r="B183" i="6"/>
  <c r="CW182" i="6" s="1"/>
  <c r="B184" i="6"/>
  <c r="CW183" i="6" s="1"/>
  <c r="B185" i="6"/>
  <c r="B186" i="6"/>
  <c r="CW185" i="6" s="1"/>
  <c r="B187" i="6"/>
  <c r="B188" i="6"/>
  <c r="B189" i="6"/>
  <c r="B190" i="6"/>
  <c r="CW189" i="6" s="1"/>
  <c r="B191" i="6"/>
  <c r="CW190" i="6" s="1"/>
  <c r="B192" i="6"/>
  <c r="CW191" i="6" s="1"/>
  <c r="B193" i="6"/>
  <c r="B194" i="6"/>
  <c r="B195" i="6"/>
  <c r="B196" i="6"/>
  <c r="CW195" i="6" s="1"/>
  <c r="B197" i="6"/>
  <c r="CW196" i="6" s="1"/>
  <c r="B198" i="6"/>
  <c r="B199" i="6"/>
  <c r="CW198" i="6" s="1"/>
  <c r="B200" i="6"/>
  <c r="CW199" i="6" s="1"/>
  <c r="B201" i="6"/>
  <c r="B202" i="6"/>
  <c r="CW201" i="6" s="1"/>
  <c r="B203" i="6"/>
  <c r="B204" i="6"/>
  <c r="B205" i="6"/>
  <c r="B206" i="6"/>
  <c r="CW205" i="6" s="1"/>
  <c r="B207" i="6"/>
  <c r="CW206" i="6" s="1"/>
  <c r="B208" i="6"/>
  <c r="CW207" i="6" s="1"/>
  <c r="CS459" i="6" s="1"/>
  <c r="CR459" i="6" s="1"/>
  <c r="B209" i="6"/>
  <c r="B210" i="6"/>
  <c r="B211" i="6"/>
  <c r="B212" i="6"/>
  <c r="CW211" i="6" s="1"/>
  <c r="B213" i="6"/>
  <c r="CW212" i="6" s="1"/>
  <c r="B214" i="6"/>
  <c r="B215" i="6"/>
  <c r="CW214" i="6" s="1"/>
  <c r="B216" i="6"/>
  <c r="CW215" i="6" s="1"/>
  <c r="B217" i="6"/>
  <c r="B218" i="6"/>
  <c r="CW217" i="6" s="1"/>
  <c r="B219" i="6"/>
  <c r="B220" i="6"/>
  <c r="B221" i="6"/>
  <c r="B222" i="6"/>
  <c r="B223" i="6"/>
  <c r="CW222" i="6" s="1"/>
  <c r="B224" i="6"/>
  <c r="CW223" i="6" s="1"/>
  <c r="B225" i="6"/>
  <c r="B226" i="6"/>
  <c r="B227" i="6"/>
  <c r="B228" i="6"/>
  <c r="CW227" i="6" s="1"/>
  <c r="B229" i="6"/>
  <c r="CW228" i="6" s="1"/>
  <c r="B230" i="6"/>
  <c r="B231" i="6"/>
  <c r="CW230" i="6" s="1"/>
  <c r="B232" i="6"/>
  <c r="CW231" i="6" s="1"/>
  <c r="B233" i="6"/>
  <c r="B234" i="6"/>
  <c r="CW233" i="6" s="1"/>
  <c r="CS461" i="6" s="1"/>
  <c r="CR461" i="6" s="1"/>
  <c r="B235" i="6"/>
  <c r="B236" i="6"/>
  <c r="B237" i="6"/>
  <c r="B238" i="6"/>
  <c r="B239" i="6"/>
  <c r="CW238" i="6" s="1"/>
  <c r="B240" i="6"/>
  <c r="CW239" i="6" s="1"/>
  <c r="B241" i="6"/>
  <c r="B242" i="6"/>
  <c r="B243" i="6"/>
  <c r="B244" i="6"/>
  <c r="CW243" i="6" s="1"/>
  <c r="B245" i="6"/>
  <c r="CW244" i="6" s="1"/>
  <c r="B246" i="6"/>
  <c r="B247" i="6"/>
  <c r="CW246" i="6" s="1"/>
  <c r="CS462" i="6" s="1"/>
  <c r="CR462" i="6" s="1"/>
  <c r="B248" i="6"/>
  <c r="CW247" i="6" s="1"/>
  <c r="B249" i="6"/>
  <c r="B250" i="6"/>
  <c r="CW249" i="6" s="1"/>
  <c r="B251" i="6"/>
  <c r="B252" i="6"/>
  <c r="B253" i="6"/>
  <c r="B254" i="6"/>
  <c r="B255" i="6"/>
  <c r="CW254" i="6" s="1"/>
  <c r="B256" i="6"/>
  <c r="CW255" i="6" s="1"/>
  <c r="B257" i="6"/>
  <c r="B258" i="6"/>
  <c r="B259" i="6"/>
  <c r="B260" i="6"/>
  <c r="CW259" i="6" s="1"/>
  <c r="CS463" i="6" s="1"/>
  <c r="CR463" i="6" s="1"/>
  <c r="B261" i="6"/>
  <c r="CW260" i="6" s="1"/>
  <c r="B262" i="6"/>
  <c r="B263" i="6"/>
  <c r="CW262" i="6" s="1"/>
  <c r="B264" i="6"/>
  <c r="B265" i="6"/>
  <c r="B266" i="6"/>
  <c r="CW265" i="6" s="1"/>
  <c r="B267" i="6"/>
  <c r="B268" i="6"/>
  <c r="B269" i="6"/>
  <c r="B270" i="6"/>
  <c r="B271" i="6"/>
  <c r="CW270" i="6" s="1"/>
  <c r="B272" i="6"/>
  <c r="CW271" i="6" s="1"/>
  <c r="B273" i="6"/>
  <c r="B274" i="6"/>
  <c r="B275" i="6"/>
  <c r="B276" i="6"/>
  <c r="CW275" i="6" s="1"/>
  <c r="B277" i="6"/>
  <c r="CW276" i="6" s="1"/>
  <c r="B278" i="6"/>
  <c r="B279" i="6"/>
  <c r="CW278" i="6" s="1"/>
  <c r="B280" i="6"/>
  <c r="B281" i="6"/>
  <c r="B282" i="6"/>
  <c r="CW281" i="6" s="1"/>
  <c r="B283" i="6"/>
  <c r="B284" i="6"/>
  <c r="B285" i="6"/>
  <c r="B286" i="6"/>
  <c r="B287" i="6"/>
  <c r="CW286" i="6" s="1"/>
  <c r="B288" i="6"/>
  <c r="CW287" i="6" s="1"/>
  <c r="B289" i="6"/>
  <c r="B290" i="6"/>
  <c r="B291" i="6"/>
  <c r="B292" i="6"/>
  <c r="CW291" i="6" s="1"/>
  <c r="B293" i="6"/>
  <c r="CW292" i="6" s="1"/>
  <c r="B294" i="6"/>
  <c r="B295" i="6"/>
  <c r="CW294" i="6" s="1"/>
  <c r="B296" i="6"/>
  <c r="B297" i="6"/>
  <c r="B298" i="6"/>
  <c r="CW297" i="6" s="1"/>
  <c r="B299" i="6"/>
  <c r="B300" i="6"/>
  <c r="B301" i="6"/>
  <c r="B302" i="6"/>
  <c r="B303" i="6"/>
  <c r="CW302" i="6" s="1"/>
  <c r="B304" i="6"/>
  <c r="CW303" i="6" s="1"/>
  <c r="B305" i="6"/>
  <c r="B306" i="6"/>
  <c r="B307" i="6"/>
  <c r="B308" i="6"/>
  <c r="CW307" i="6" s="1"/>
  <c r="B309" i="6"/>
  <c r="CW308" i="6" s="1"/>
  <c r="B310" i="6"/>
  <c r="B311" i="6"/>
  <c r="CW310" i="6" s="1"/>
  <c r="B312" i="6"/>
  <c r="B313" i="6"/>
  <c r="B314" i="6"/>
  <c r="CW313" i="6" s="1"/>
  <c r="B315" i="6"/>
  <c r="B316" i="6"/>
  <c r="B317" i="6"/>
  <c r="B318" i="6"/>
  <c r="B319" i="6"/>
  <c r="CW318" i="6" s="1"/>
  <c r="B320" i="6"/>
  <c r="CW319" i="6" s="1"/>
  <c r="B321" i="6"/>
  <c r="B322" i="6"/>
  <c r="B323" i="6"/>
  <c r="B324" i="6"/>
  <c r="CW323" i="6" s="1"/>
  <c r="B325" i="6"/>
  <c r="CW324" i="6" s="1"/>
  <c r="CS468" i="6" s="1"/>
  <c r="CR468" i="6" s="1"/>
  <c r="B326" i="6"/>
  <c r="B327" i="6"/>
  <c r="CW326" i="6" s="1"/>
  <c r="B328" i="6"/>
  <c r="B329" i="6"/>
  <c r="B330" i="6"/>
  <c r="CW329" i="6" s="1"/>
  <c r="B331" i="6"/>
  <c r="B332" i="6"/>
  <c r="B333" i="6"/>
  <c r="B334" i="6"/>
  <c r="B335" i="6"/>
  <c r="CW334" i="6" s="1"/>
  <c r="B336" i="6"/>
  <c r="CW335" i="6" s="1"/>
  <c r="B337" i="6"/>
  <c r="B338" i="6"/>
  <c r="B339" i="6"/>
  <c r="B340" i="6"/>
  <c r="CW339" i="6" s="1"/>
  <c r="B341" i="6"/>
  <c r="CW340" i="6" s="1"/>
  <c r="B342" i="6"/>
  <c r="B343" i="6"/>
  <c r="CW342" i="6" s="1"/>
  <c r="B344" i="6"/>
  <c r="B345" i="6"/>
  <c r="B346" i="6"/>
  <c r="CW345" i="6" s="1"/>
  <c r="B347" i="6"/>
  <c r="B348" i="6"/>
  <c r="B349" i="6"/>
  <c r="B350" i="6"/>
  <c r="B351" i="6"/>
  <c r="CW350" i="6" s="1"/>
  <c r="CS470" i="6" s="1"/>
  <c r="CR470" i="6" s="1"/>
  <c r="B352" i="6"/>
  <c r="CW351" i="6" s="1"/>
  <c r="B353" i="6"/>
  <c r="B354" i="6"/>
  <c r="B355" i="6"/>
  <c r="B356" i="6"/>
  <c r="CW355" i="6" s="1"/>
  <c r="B357" i="6"/>
  <c r="CW356" i="6" s="1"/>
  <c r="B358" i="6"/>
  <c r="B359" i="6"/>
  <c r="CW358" i="6" s="1"/>
  <c r="B360" i="6"/>
  <c r="B361" i="6"/>
  <c r="B362" i="6"/>
  <c r="CW361" i="6" s="1"/>
  <c r="B363" i="6"/>
  <c r="B364" i="6"/>
  <c r="B365" i="6"/>
  <c r="B366" i="6"/>
  <c r="B367" i="6"/>
  <c r="CW366" i="6" s="1"/>
  <c r="B368" i="6"/>
  <c r="CW367" i="6" s="1"/>
  <c r="B369" i="6"/>
  <c r="B370" i="6"/>
  <c r="B371" i="6"/>
  <c r="B372" i="6"/>
  <c r="CW371" i="6" s="1"/>
  <c r="B373" i="6"/>
  <c r="CW372" i="6" s="1"/>
  <c r="B374" i="6"/>
  <c r="B375" i="6"/>
  <c r="CW374" i="6" s="1"/>
  <c r="B376" i="6"/>
  <c r="B377" i="6"/>
  <c r="B378" i="6"/>
  <c r="CW377" i="6" s="1"/>
  <c r="B379" i="6"/>
  <c r="B380" i="6"/>
  <c r="B381" i="6"/>
  <c r="B382" i="6"/>
  <c r="B383" i="6"/>
  <c r="CW382" i="6" s="1"/>
  <c r="B384" i="6"/>
  <c r="CW383" i="6" s="1"/>
  <c r="B385" i="6"/>
  <c r="B386" i="6"/>
  <c r="B387" i="6"/>
  <c r="B388" i="6"/>
  <c r="CW387" i="6" s="1"/>
  <c r="B389" i="6"/>
  <c r="CW388" i="6" s="1"/>
  <c r="B390" i="6"/>
  <c r="B391" i="6"/>
  <c r="CW390" i="6" s="1"/>
  <c r="B392" i="6"/>
  <c r="B393" i="6"/>
  <c r="B394" i="6"/>
  <c r="CW393" i="6" s="1"/>
  <c r="B395" i="6"/>
  <c r="B396" i="6"/>
  <c r="B397" i="6"/>
  <c r="B398" i="6"/>
  <c r="B399" i="6"/>
  <c r="CW398" i="6" s="1"/>
  <c r="B400" i="6"/>
  <c r="CW399" i="6" s="1"/>
  <c r="B401" i="6"/>
  <c r="B402" i="6"/>
  <c r="B403" i="6"/>
  <c r="B404" i="6"/>
  <c r="CW403" i="6" s="1"/>
  <c r="B405" i="6"/>
  <c r="CW404" i="6" s="1"/>
  <c r="B406" i="6"/>
  <c r="B407" i="6"/>
  <c r="CW406" i="6" s="1"/>
  <c r="B408" i="6"/>
  <c r="CW407" i="6" s="1"/>
  <c r="B409" i="6"/>
  <c r="B410" i="6"/>
  <c r="CW409" i="6" s="1"/>
  <c r="B411" i="6"/>
  <c r="B412" i="6"/>
  <c r="B413" i="6"/>
  <c r="B414" i="6"/>
  <c r="B415" i="6"/>
  <c r="CW414" i="6" s="1"/>
  <c r="B416" i="6"/>
  <c r="CW415" i="6" s="1"/>
  <c r="CS475" i="6" s="1"/>
  <c r="CR475" i="6" s="1"/>
  <c r="B417" i="6"/>
  <c r="B418" i="6"/>
  <c r="B419" i="6"/>
  <c r="B420" i="6"/>
  <c r="CW419" i="6" s="1"/>
  <c r="B421" i="6"/>
  <c r="CW420" i="6" s="1"/>
  <c r="B422" i="6"/>
  <c r="B423" i="6"/>
  <c r="CW422" i="6" s="1"/>
  <c r="B424" i="6"/>
  <c r="B425" i="6"/>
  <c r="B426" i="6"/>
  <c r="CW425" i="6" s="1"/>
  <c r="B427" i="6"/>
  <c r="B428" i="6"/>
  <c r="B429" i="6"/>
  <c r="B430" i="6"/>
  <c r="B431" i="6"/>
  <c r="CW430" i="6" s="1"/>
  <c r="B432" i="6"/>
  <c r="CW431" i="6" s="1"/>
  <c r="B433" i="6"/>
  <c r="B434" i="6"/>
  <c r="B435" i="6"/>
  <c r="B436" i="6"/>
  <c r="CW435" i="6" s="1"/>
  <c r="B437" i="6"/>
  <c r="CW436" i="6" s="1"/>
  <c r="B438" i="6"/>
  <c r="B439" i="6"/>
  <c r="CW438" i="6" s="1"/>
  <c r="B440" i="6"/>
  <c r="CW439" i="6" s="1"/>
  <c r="B441" i="6"/>
  <c r="B54" i="6"/>
  <c r="CW53" i="6" s="1"/>
  <c r="B55" i="6"/>
  <c r="B56" i="6"/>
  <c r="B57" i="6"/>
  <c r="B58" i="6"/>
  <c r="B59" i="6"/>
  <c r="CW58" i="6" s="1"/>
  <c r="B60" i="6"/>
  <c r="CW59" i="6" s="1"/>
  <c r="B61" i="6"/>
  <c r="B62" i="6"/>
  <c r="B63" i="6"/>
  <c r="B64" i="6"/>
  <c r="CW63" i="6" s="1"/>
  <c r="B65" i="6"/>
  <c r="CW64" i="6" s="1"/>
  <c r="CS448" i="6" s="1"/>
  <c r="CR448" i="6" s="1"/>
  <c r="B66" i="6"/>
  <c r="B67" i="6"/>
  <c r="CW66" i="6" s="1"/>
  <c r="B68" i="6"/>
  <c r="CW67" i="6" s="1"/>
  <c r="B69" i="6"/>
  <c r="B70" i="6"/>
  <c r="CW69" i="6" s="1"/>
  <c r="B71" i="6"/>
  <c r="B72" i="6"/>
  <c r="B73" i="6"/>
  <c r="CW72" i="6" s="1"/>
  <c r="B74" i="6"/>
  <c r="B75" i="6"/>
  <c r="CW74" i="6" s="1"/>
  <c r="B76" i="6"/>
  <c r="CW75" i="6" s="1"/>
  <c r="B77" i="6"/>
  <c r="B78" i="6"/>
  <c r="B79" i="6"/>
  <c r="B80" i="6"/>
  <c r="CW79" i="6" s="1"/>
  <c r="B81" i="6"/>
  <c r="CW80" i="6" s="1"/>
  <c r="B82" i="6"/>
  <c r="B83" i="6"/>
  <c r="CW82" i="6" s="1"/>
  <c r="B52" i="6"/>
  <c r="C16" i="6"/>
  <c r="BP442" i="6" a="1"/>
  <c r="CW76" i="6" l="1"/>
  <c r="CW60" i="6"/>
  <c r="CW432" i="6"/>
  <c r="CW416" i="6"/>
  <c r="CW400" i="6"/>
  <c r="CW384" i="6"/>
  <c r="CW368" i="6"/>
  <c r="CW352" i="6"/>
  <c r="CW336" i="6"/>
  <c r="CW320" i="6"/>
  <c r="CW304" i="6"/>
  <c r="CW288" i="6"/>
  <c r="CW272" i="6"/>
  <c r="CS464" i="6" s="1"/>
  <c r="CR464" i="6" s="1"/>
  <c r="CW256" i="6"/>
  <c r="CW240" i="6"/>
  <c r="CW208" i="6"/>
  <c r="CW192" i="6"/>
  <c r="CW176" i="6"/>
  <c r="CW160" i="6"/>
  <c r="CW144" i="6"/>
  <c r="CW128" i="6"/>
  <c r="CW112" i="6"/>
  <c r="CW96" i="6"/>
  <c r="CW56" i="6"/>
  <c r="CW423" i="6"/>
  <c r="CW391" i="6"/>
  <c r="CW375" i="6"/>
  <c r="CW359" i="6"/>
  <c r="CW343" i="6"/>
  <c r="CW327" i="6"/>
  <c r="CW311" i="6"/>
  <c r="CS467" i="6" s="1"/>
  <c r="CR467" i="6" s="1"/>
  <c r="CW295" i="6"/>
  <c r="CW279" i="6"/>
  <c r="CW263" i="6"/>
  <c r="CW428" i="6"/>
  <c r="CS476" i="6" s="1"/>
  <c r="CR476" i="6" s="1"/>
  <c r="CW412" i="6"/>
  <c r="CW396" i="6"/>
  <c r="CW380" i="6"/>
  <c r="CW364" i="6"/>
  <c r="CW348" i="6"/>
  <c r="CW332" i="6"/>
  <c r="CW316" i="6"/>
  <c r="CW300" i="6"/>
  <c r="CW284" i="6"/>
  <c r="CW268" i="6"/>
  <c r="CW252" i="6"/>
  <c r="CW236" i="6"/>
  <c r="CW220" i="6"/>
  <c r="CS460" i="6" s="1"/>
  <c r="CR460" i="6" s="1"/>
  <c r="CW204" i="6"/>
  <c r="CW188" i="6"/>
  <c r="CW172" i="6"/>
  <c r="CW156" i="6"/>
  <c r="CW140" i="6"/>
  <c r="CW124" i="6"/>
  <c r="CW108" i="6"/>
  <c r="CW92" i="6"/>
  <c r="CW70" i="6"/>
  <c r="CW54" i="6"/>
  <c r="CW426" i="6"/>
  <c r="CW410" i="6"/>
  <c r="CW394" i="6"/>
  <c r="CW378" i="6"/>
  <c r="CW224" i="6"/>
  <c r="CW362" i="6"/>
  <c r="CW346" i="6"/>
  <c r="CW330" i="6"/>
  <c r="CW314" i="6"/>
  <c r="CW298" i="6"/>
  <c r="CS466" i="6" s="1"/>
  <c r="CR466" i="6" s="1"/>
  <c r="CW282" i="6"/>
  <c r="CW266" i="6"/>
  <c r="CW250" i="6"/>
  <c r="CW234" i="6"/>
  <c r="CW218" i="6"/>
  <c r="CW202" i="6"/>
  <c r="CW186" i="6"/>
  <c r="CW170" i="6"/>
  <c r="CW154" i="6"/>
  <c r="CW138" i="6"/>
  <c r="CW122" i="6"/>
  <c r="CW106" i="6"/>
  <c r="CW90" i="6"/>
  <c r="CS450" i="6" s="1"/>
  <c r="CR450" i="6" s="1"/>
  <c r="CW77" i="6"/>
  <c r="CS449" i="6" s="1"/>
  <c r="CR449" i="6" s="1"/>
  <c r="CW61" i="6"/>
  <c r="CW433" i="6"/>
  <c r="CW417" i="6"/>
  <c r="CW401" i="6"/>
  <c r="CW385" i="6"/>
  <c r="CW369" i="6"/>
  <c r="CW353" i="6"/>
  <c r="CW337" i="6"/>
  <c r="CS469" i="6" s="1"/>
  <c r="CR469" i="6" s="1"/>
  <c r="CW321" i="6"/>
  <c r="CW305" i="6"/>
  <c r="CW289" i="6"/>
  <c r="CW273" i="6"/>
  <c r="CW257" i="6"/>
  <c r="CW241" i="6"/>
  <c r="CW225" i="6"/>
  <c r="CW209" i="6"/>
  <c r="CW193" i="6"/>
  <c r="CW177" i="6"/>
  <c r="CW161" i="6"/>
  <c r="CW145" i="6"/>
  <c r="CW129" i="6"/>
  <c r="CS453" i="6" s="1"/>
  <c r="CR453" i="6" s="1"/>
  <c r="CW113" i="6"/>
  <c r="CW97" i="6"/>
  <c r="CW73" i="6"/>
  <c r="CW57" i="6"/>
  <c r="CW429" i="6"/>
  <c r="CW413" i="6"/>
  <c r="CW397" i="6"/>
  <c r="CW381" i="6"/>
  <c r="CW365" i="6"/>
  <c r="CW349" i="6"/>
  <c r="CW333" i="6"/>
  <c r="CW317" i="6"/>
  <c r="CW301" i="6"/>
  <c r="CW285" i="6"/>
  <c r="CS465" i="6" s="1"/>
  <c r="CR465" i="6" s="1"/>
  <c r="CW269" i="6"/>
  <c r="CW253" i="6"/>
  <c r="CW237" i="6"/>
  <c r="CW221" i="6"/>
  <c r="CW71" i="6"/>
  <c r="CW55" i="6"/>
  <c r="CW427" i="6"/>
  <c r="CW411" i="6"/>
  <c r="CW395" i="6"/>
  <c r="CW379" i="6"/>
  <c r="CW363" i="6"/>
  <c r="CS471" i="6" s="1"/>
  <c r="CR471" i="6" s="1"/>
  <c r="CW347" i="6"/>
  <c r="CW331" i="6"/>
  <c r="CW315" i="6"/>
  <c r="CW299" i="6"/>
  <c r="CW283" i="6"/>
  <c r="CW267" i="6"/>
  <c r="CW251" i="6"/>
  <c r="CW235" i="6"/>
  <c r="CW219" i="6"/>
  <c r="CW203" i="6"/>
  <c r="CW187" i="6"/>
  <c r="CW171" i="6"/>
  <c r="CW155" i="6"/>
  <c r="CS455" i="6" s="1"/>
  <c r="CR455" i="6" s="1"/>
  <c r="CW139" i="6"/>
  <c r="CW123" i="6"/>
  <c r="CW107" i="6"/>
  <c r="CW68" i="6"/>
  <c r="CW440" i="6"/>
  <c r="CW441" i="6"/>
  <c r="CS477" i="6" s="1"/>
  <c r="CR477" i="6" s="1"/>
  <c r="CW424" i="6"/>
  <c r="CW408" i="6"/>
  <c r="CW392" i="6"/>
  <c r="CW376" i="6"/>
  <c r="CS472" i="6" s="1"/>
  <c r="CR472" i="6" s="1"/>
  <c r="CW360" i="6"/>
  <c r="CW344" i="6"/>
  <c r="CW328" i="6"/>
  <c r="CW312" i="6"/>
  <c r="CW296" i="6"/>
  <c r="CW280" i="6"/>
  <c r="CW264" i="6"/>
  <c r="CW248" i="6"/>
  <c r="CW232" i="6"/>
  <c r="CW216" i="6"/>
  <c r="CW200" i="6"/>
  <c r="CW184" i="6"/>
  <c r="CW168" i="6"/>
  <c r="CS456" i="6" s="1"/>
  <c r="CR456" i="6" s="1"/>
  <c r="CW152" i="6"/>
  <c r="CW136" i="6"/>
  <c r="CW120" i="6"/>
  <c r="CW104" i="6"/>
  <c r="CW88" i="6"/>
  <c r="CW51" i="6"/>
  <c r="CS447" i="6" s="1"/>
  <c r="CR447" i="6" s="1"/>
  <c r="CW52" i="6"/>
  <c r="CW81" i="6"/>
  <c r="CW65" i="6"/>
  <c r="CW437" i="6"/>
  <c r="CW421" i="6"/>
  <c r="CW405" i="6"/>
  <c r="CW389" i="6"/>
  <c r="CS473" i="6" s="1"/>
  <c r="CR473" i="6" s="1"/>
  <c r="CW373" i="6"/>
  <c r="CW357" i="6"/>
  <c r="CW341" i="6"/>
  <c r="CW325" i="6"/>
  <c r="CW309" i="6"/>
  <c r="CW293" i="6"/>
  <c r="CW277" i="6"/>
  <c r="CW261" i="6"/>
  <c r="CW245" i="6"/>
  <c r="CW229" i="6"/>
  <c r="CW213" i="6"/>
  <c r="CW197" i="6"/>
  <c r="CW181" i="6"/>
  <c r="CS457" i="6" s="1"/>
  <c r="CR457" i="6" s="1"/>
  <c r="CW165" i="6"/>
  <c r="CW149" i="6"/>
  <c r="CW133" i="6"/>
  <c r="CW117" i="6"/>
  <c r="CW83" i="6"/>
  <c r="CW78" i="6"/>
  <c r="CW62" i="6"/>
  <c r="CW434" i="6"/>
  <c r="CW418" i="6"/>
  <c r="CW402" i="6"/>
  <c r="CS474" i="6" s="1"/>
  <c r="CR474" i="6" s="1"/>
  <c r="CW386" i="6"/>
  <c r="CW370" i="6"/>
  <c r="CW354" i="6"/>
  <c r="CW338" i="6"/>
  <c r="CW322" i="6"/>
  <c r="CW306" i="6"/>
  <c r="CW290" i="6"/>
  <c r="CW274" i="6"/>
  <c r="CW258" i="6"/>
  <c r="CW242" i="6"/>
  <c r="CW226" i="6"/>
  <c r="CW210" i="6"/>
  <c r="CW194" i="6"/>
  <c r="CS458" i="6" s="1"/>
  <c r="CR458" i="6" s="1"/>
  <c r="CW178" i="6"/>
  <c r="CW162" i="6"/>
  <c r="CW146" i="6"/>
  <c r="CW130" i="6"/>
  <c r="CW114" i="6"/>
  <c r="CW98" i="6"/>
  <c r="BP442" i="6"/>
  <c r="BR441" i="6" s="1"/>
  <c r="BU477" i="6" s="1"/>
  <c r="BT477" i="6" s="1"/>
  <c r="CM77" i="6"/>
  <c r="CR77" i="6" s="1"/>
  <c r="AX77" i="6"/>
  <c r="AD77" i="6"/>
  <c r="CM65" i="6"/>
  <c r="AX65" i="6"/>
  <c r="AD65" i="6"/>
  <c r="CM53" i="6"/>
  <c r="AX53" i="6"/>
  <c r="AD53" i="6"/>
  <c r="CM429" i="6"/>
  <c r="AX429" i="6"/>
  <c r="AD429" i="6"/>
  <c r="CM409" i="6"/>
  <c r="AX409" i="6"/>
  <c r="AD409" i="6"/>
  <c r="CM397" i="6"/>
  <c r="CN397" i="6" s="1"/>
  <c r="AX397" i="6"/>
  <c r="AD397" i="6"/>
  <c r="CM385" i="6"/>
  <c r="AX385" i="6"/>
  <c r="AD385" i="6"/>
  <c r="CM373" i="6"/>
  <c r="AX373" i="6"/>
  <c r="AD373" i="6"/>
  <c r="CM361" i="6"/>
  <c r="AX361" i="6"/>
  <c r="AD361" i="6"/>
  <c r="CM349" i="6"/>
  <c r="AX349" i="6"/>
  <c r="AD349" i="6"/>
  <c r="CM329" i="6"/>
  <c r="AX329" i="6"/>
  <c r="AD329" i="6"/>
  <c r="CM317" i="6"/>
  <c r="CR317" i="6" s="1"/>
  <c r="AX317" i="6"/>
  <c r="AD317" i="6"/>
  <c r="CM305" i="6"/>
  <c r="AX305" i="6"/>
  <c r="AD305" i="6"/>
  <c r="CM293" i="6"/>
  <c r="AX293" i="6"/>
  <c r="AD293" i="6"/>
  <c r="CM273" i="6"/>
  <c r="CR273" i="6" s="1"/>
  <c r="AX273" i="6"/>
  <c r="AD273" i="6"/>
  <c r="CM261" i="6"/>
  <c r="AX261" i="6"/>
  <c r="AD261" i="6"/>
  <c r="CM249" i="6"/>
  <c r="AX249" i="6"/>
  <c r="AD249" i="6"/>
  <c r="CM237" i="6"/>
  <c r="AX237" i="6"/>
  <c r="AD237" i="6"/>
  <c r="CM221" i="6"/>
  <c r="AX221" i="6"/>
  <c r="AD221" i="6"/>
  <c r="CM209" i="6"/>
  <c r="AX209" i="6"/>
  <c r="AD209" i="6"/>
  <c r="CM197" i="6"/>
  <c r="AX197" i="6"/>
  <c r="AD197" i="6"/>
  <c r="CM185" i="6"/>
  <c r="CN185" i="6" s="1"/>
  <c r="AX185" i="6"/>
  <c r="AD185" i="6"/>
  <c r="CM173" i="6"/>
  <c r="CR173" i="6" s="1"/>
  <c r="AX173" i="6"/>
  <c r="AD173" i="6"/>
  <c r="CM157" i="6"/>
  <c r="AX157" i="6"/>
  <c r="AD157" i="6"/>
  <c r="CM141" i="6"/>
  <c r="AX141" i="6"/>
  <c r="AD141" i="6"/>
  <c r="CM129" i="6"/>
  <c r="AX129" i="6"/>
  <c r="AD129" i="6"/>
  <c r="CM117" i="6"/>
  <c r="CR117" i="6" s="1"/>
  <c r="AX117" i="6"/>
  <c r="AD117" i="6"/>
  <c r="CM105" i="6"/>
  <c r="CR105" i="6" s="1"/>
  <c r="AX105" i="6"/>
  <c r="AD105" i="6"/>
  <c r="CM93" i="6"/>
  <c r="CN93" i="6" s="1"/>
  <c r="AX93" i="6"/>
  <c r="AD93" i="6"/>
  <c r="CM80" i="6"/>
  <c r="CR80" i="6" s="1"/>
  <c r="AD80" i="6"/>
  <c r="AX80" i="6"/>
  <c r="CM68" i="6"/>
  <c r="AD68" i="6"/>
  <c r="AX68" i="6"/>
  <c r="CM440" i="6"/>
  <c r="AD440" i="6"/>
  <c r="AX440" i="6"/>
  <c r="CM441" i="6"/>
  <c r="CM424" i="6"/>
  <c r="CR424" i="6" s="1"/>
  <c r="AD424" i="6"/>
  <c r="AX424" i="6"/>
  <c r="CM408" i="6"/>
  <c r="CR408" i="6" s="1"/>
  <c r="AD408" i="6"/>
  <c r="AX408" i="6"/>
  <c r="CM388" i="6"/>
  <c r="CR388" i="6" s="1"/>
  <c r="AD388" i="6"/>
  <c r="AX388" i="6"/>
  <c r="CM376" i="6"/>
  <c r="AD376" i="6"/>
  <c r="AX376" i="6"/>
  <c r="CM364" i="6"/>
  <c r="AD364" i="6"/>
  <c r="AX364" i="6"/>
  <c r="CM344" i="6"/>
  <c r="AD344" i="6"/>
  <c r="AX344" i="6"/>
  <c r="CM332" i="6"/>
  <c r="AX332" i="6"/>
  <c r="AD332" i="6"/>
  <c r="CM312" i="6"/>
  <c r="AD312" i="6"/>
  <c r="AX312" i="6"/>
  <c r="CM300" i="6"/>
  <c r="AD300" i="6"/>
  <c r="AX300" i="6"/>
  <c r="CM280" i="6"/>
  <c r="AX280" i="6"/>
  <c r="AD280" i="6"/>
  <c r="CM268" i="6"/>
  <c r="AD268" i="6"/>
  <c r="AX268" i="6"/>
  <c r="CM248" i="6"/>
  <c r="AD248" i="6"/>
  <c r="AX248" i="6"/>
  <c r="CM236" i="6"/>
  <c r="AD236" i="6"/>
  <c r="AX236" i="6"/>
  <c r="CM220" i="6"/>
  <c r="AD220" i="6"/>
  <c r="AX220" i="6"/>
  <c r="CM204" i="6"/>
  <c r="AX204" i="6"/>
  <c r="AD204" i="6"/>
  <c r="CM192" i="6"/>
  <c r="CR192" i="6" s="1"/>
  <c r="AD192" i="6"/>
  <c r="AX192" i="6"/>
  <c r="CM180" i="6"/>
  <c r="CR180" i="6" s="1"/>
  <c r="AX180" i="6"/>
  <c r="AD180" i="6"/>
  <c r="CM176" i="6"/>
  <c r="CR176" i="6" s="1"/>
  <c r="AD176" i="6"/>
  <c r="AX176" i="6"/>
  <c r="CM172" i="6"/>
  <c r="AX172" i="6"/>
  <c r="AD172" i="6"/>
  <c r="CM168" i="6"/>
  <c r="AD168" i="6"/>
  <c r="AX168" i="6"/>
  <c r="CM164" i="6"/>
  <c r="AD164" i="6"/>
  <c r="AX164" i="6"/>
  <c r="CM160" i="6"/>
  <c r="CN160" i="6" s="1"/>
  <c r="AD160" i="6"/>
  <c r="AX160" i="6"/>
  <c r="CM156" i="6"/>
  <c r="AD156" i="6"/>
  <c r="AX156" i="6"/>
  <c r="CM144" i="6"/>
  <c r="AD144" i="6"/>
  <c r="AX144" i="6"/>
  <c r="CM140" i="6"/>
  <c r="AD140" i="6"/>
  <c r="AX140" i="6"/>
  <c r="CM136" i="6"/>
  <c r="AD136" i="6"/>
  <c r="AX136" i="6"/>
  <c r="CM132" i="6"/>
  <c r="AD132" i="6"/>
  <c r="AX132" i="6"/>
  <c r="CM128" i="6"/>
  <c r="AD128" i="6"/>
  <c r="AX128" i="6"/>
  <c r="CM124" i="6"/>
  <c r="AD124" i="6"/>
  <c r="AX124" i="6"/>
  <c r="CM120" i="6"/>
  <c r="AD120" i="6"/>
  <c r="AX120" i="6"/>
  <c r="CM116" i="6"/>
  <c r="AD116" i="6"/>
  <c r="AX116" i="6"/>
  <c r="CM112" i="6"/>
  <c r="AD112" i="6"/>
  <c r="AX112" i="6"/>
  <c r="CM108" i="6"/>
  <c r="AD108" i="6"/>
  <c r="AX108" i="6"/>
  <c r="CM104" i="6"/>
  <c r="AD104" i="6"/>
  <c r="AX104" i="6"/>
  <c r="CM100" i="6"/>
  <c r="AD100" i="6"/>
  <c r="AX100" i="6"/>
  <c r="CM96" i="6"/>
  <c r="AD96" i="6"/>
  <c r="AX96" i="6"/>
  <c r="CM92" i="6"/>
  <c r="AD92" i="6"/>
  <c r="AX92" i="6"/>
  <c r="CM88" i="6"/>
  <c r="CR88" i="6" s="1"/>
  <c r="AD88" i="6"/>
  <c r="AX88" i="6"/>
  <c r="CM84" i="6"/>
  <c r="AD84" i="6"/>
  <c r="AX84" i="6"/>
  <c r="CM73" i="6"/>
  <c r="AX73" i="6"/>
  <c r="AD73" i="6"/>
  <c r="CM61" i="6"/>
  <c r="AX61" i="6"/>
  <c r="AD61" i="6"/>
  <c r="CM437" i="6"/>
  <c r="AX437" i="6"/>
  <c r="AD437" i="6"/>
  <c r="CM425" i="6"/>
  <c r="CR425" i="6" s="1"/>
  <c r="AX425" i="6"/>
  <c r="AD425" i="6"/>
  <c r="CM417" i="6"/>
  <c r="CN417" i="6" s="1"/>
  <c r="AX417" i="6"/>
  <c r="AD417" i="6"/>
  <c r="CM401" i="6"/>
  <c r="AX401" i="6"/>
  <c r="AD401" i="6"/>
  <c r="CM393" i="6"/>
  <c r="CR393" i="6" s="1"/>
  <c r="AX393" i="6"/>
  <c r="AD393" i="6"/>
  <c r="CM381" i="6"/>
  <c r="AX381" i="6"/>
  <c r="AD381" i="6"/>
  <c r="CM369" i="6"/>
  <c r="AX369" i="6"/>
  <c r="AD369" i="6"/>
  <c r="CM357" i="6"/>
  <c r="AX357" i="6"/>
  <c r="AD357" i="6"/>
  <c r="CM345" i="6"/>
  <c r="AX345" i="6"/>
  <c r="AD345" i="6"/>
  <c r="CM337" i="6"/>
  <c r="AX337" i="6"/>
  <c r="AD337" i="6"/>
  <c r="CM325" i="6"/>
  <c r="AX325" i="6"/>
  <c r="AD325" i="6"/>
  <c r="CM313" i="6"/>
  <c r="AX313" i="6"/>
  <c r="AD313" i="6"/>
  <c r="CM301" i="6"/>
  <c r="AX301" i="6"/>
  <c r="AD301" i="6"/>
  <c r="CM289" i="6"/>
  <c r="CR289" i="6" s="1"/>
  <c r="AX289" i="6"/>
  <c r="AD289" i="6"/>
  <c r="CM281" i="6"/>
  <c r="CR281" i="6" s="1"/>
  <c r="AX281" i="6"/>
  <c r="AD281" i="6"/>
  <c r="CM269" i="6"/>
  <c r="AX269" i="6"/>
  <c r="AD269" i="6"/>
  <c r="CM257" i="6"/>
  <c r="AX257" i="6"/>
  <c r="AD257" i="6"/>
  <c r="CM245" i="6"/>
  <c r="AX245" i="6"/>
  <c r="AD245" i="6"/>
  <c r="CM233" i="6"/>
  <c r="AX233" i="6"/>
  <c r="AD233" i="6"/>
  <c r="CM225" i="6"/>
  <c r="AX225" i="6"/>
  <c r="AD225" i="6"/>
  <c r="CM213" i="6"/>
  <c r="AX213" i="6"/>
  <c r="AD213" i="6"/>
  <c r="CM201" i="6"/>
  <c r="AX201" i="6"/>
  <c r="AD201" i="6"/>
  <c r="CM189" i="6"/>
  <c r="AX189" i="6"/>
  <c r="AD189" i="6"/>
  <c r="CM177" i="6"/>
  <c r="AX177" i="6"/>
  <c r="AD177" i="6"/>
  <c r="CM169" i="6"/>
  <c r="CR169" i="6" s="1"/>
  <c r="AX169" i="6"/>
  <c r="AD169" i="6"/>
  <c r="CM161" i="6"/>
  <c r="AX161" i="6"/>
  <c r="AD161" i="6"/>
  <c r="CM149" i="6"/>
  <c r="CR149" i="6" s="1"/>
  <c r="AX149" i="6"/>
  <c r="AD149" i="6"/>
  <c r="CM137" i="6"/>
  <c r="CR137" i="6" s="1"/>
  <c r="AX137" i="6"/>
  <c r="AD137" i="6"/>
  <c r="CM125" i="6"/>
  <c r="AX125" i="6"/>
  <c r="AD125" i="6"/>
  <c r="CM113" i="6"/>
  <c r="CR113" i="6" s="1"/>
  <c r="AX113" i="6"/>
  <c r="AD113" i="6"/>
  <c r="CM101" i="6"/>
  <c r="AX101" i="6"/>
  <c r="AD101" i="6"/>
  <c r="CM89" i="6"/>
  <c r="AX89" i="6"/>
  <c r="AD89" i="6"/>
  <c r="CM76" i="6"/>
  <c r="AD76" i="6"/>
  <c r="AX76" i="6"/>
  <c r="CM64" i="6"/>
  <c r="AD64" i="6"/>
  <c r="AX64" i="6"/>
  <c r="CM56" i="6"/>
  <c r="CR56" i="6" s="1"/>
  <c r="AD56" i="6"/>
  <c r="AX56" i="6"/>
  <c r="CM432" i="6"/>
  <c r="AD432" i="6"/>
  <c r="AX432" i="6"/>
  <c r="CM420" i="6"/>
  <c r="AD420" i="6"/>
  <c r="AX420" i="6"/>
  <c r="CM412" i="6"/>
  <c r="AD412" i="6"/>
  <c r="AX412" i="6"/>
  <c r="CM400" i="6"/>
  <c r="AD400" i="6"/>
  <c r="AX400" i="6"/>
  <c r="CM392" i="6"/>
  <c r="AD392" i="6"/>
  <c r="AX392" i="6"/>
  <c r="CM380" i="6"/>
  <c r="AD380" i="6"/>
  <c r="AX380" i="6"/>
  <c r="CM368" i="6"/>
  <c r="CR368" i="6" s="1"/>
  <c r="AD368" i="6"/>
  <c r="AX368" i="6"/>
  <c r="CM356" i="6"/>
  <c r="AD356" i="6"/>
  <c r="AX356" i="6"/>
  <c r="CM348" i="6"/>
  <c r="AD348" i="6"/>
  <c r="AX348" i="6"/>
  <c r="CM336" i="6"/>
  <c r="AD336" i="6"/>
  <c r="AX336" i="6"/>
  <c r="CM324" i="6"/>
  <c r="AD324" i="6"/>
  <c r="AX324" i="6"/>
  <c r="CM316" i="6"/>
  <c r="AD316" i="6"/>
  <c r="AX316" i="6"/>
  <c r="CM304" i="6"/>
  <c r="AD304" i="6"/>
  <c r="AX304" i="6"/>
  <c r="CM292" i="6"/>
  <c r="AD292" i="6"/>
  <c r="AX292" i="6"/>
  <c r="CM284" i="6"/>
  <c r="AD284" i="6"/>
  <c r="AX284" i="6"/>
  <c r="CM272" i="6"/>
  <c r="AX272" i="6"/>
  <c r="AD272" i="6"/>
  <c r="CM260" i="6"/>
  <c r="AX260" i="6"/>
  <c r="AD260" i="6"/>
  <c r="CM252" i="6"/>
  <c r="AX252" i="6"/>
  <c r="AD252" i="6"/>
  <c r="CM240" i="6"/>
  <c r="AD240" i="6"/>
  <c r="AX240" i="6"/>
  <c r="CM228" i="6"/>
  <c r="AD228" i="6"/>
  <c r="AX228" i="6"/>
  <c r="CM216" i="6"/>
  <c r="AD216" i="6"/>
  <c r="AX216" i="6"/>
  <c r="CM208" i="6"/>
  <c r="CR208" i="6" s="1"/>
  <c r="AD208" i="6"/>
  <c r="AX208" i="6"/>
  <c r="CM196" i="6"/>
  <c r="AX196" i="6"/>
  <c r="AD196" i="6"/>
  <c r="CM184" i="6"/>
  <c r="AD184" i="6"/>
  <c r="AX184" i="6"/>
  <c r="CM148" i="6"/>
  <c r="AD148" i="6"/>
  <c r="AX148" i="6"/>
  <c r="BR51" i="6"/>
  <c r="CB51" i="6" s="1"/>
  <c r="CM52" i="6"/>
  <c r="CM51" i="6"/>
  <c r="CR51" i="6" s="1"/>
  <c r="AD51" i="6"/>
  <c r="AD52" i="6"/>
  <c r="AX51" i="6"/>
  <c r="AX52" i="6"/>
  <c r="CM79" i="6"/>
  <c r="AX79" i="6"/>
  <c r="AD79" i="6"/>
  <c r="CM75" i="6"/>
  <c r="AD75" i="6"/>
  <c r="AX75" i="6"/>
  <c r="CM71" i="6"/>
  <c r="AX71" i="6"/>
  <c r="AD71" i="6"/>
  <c r="CM67" i="6"/>
  <c r="AD67" i="6"/>
  <c r="AX67" i="6"/>
  <c r="CM63" i="6"/>
  <c r="AX63" i="6"/>
  <c r="AD63" i="6"/>
  <c r="CM59" i="6"/>
  <c r="AX59" i="6"/>
  <c r="AD59" i="6"/>
  <c r="CM55" i="6"/>
  <c r="AD55" i="6"/>
  <c r="AX55" i="6"/>
  <c r="CM439" i="6"/>
  <c r="AD439" i="6"/>
  <c r="AX439" i="6"/>
  <c r="CM435" i="6"/>
  <c r="AX435" i="6"/>
  <c r="AD435" i="6"/>
  <c r="CM431" i="6"/>
  <c r="CR431" i="6" s="1"/>
  <c r="AD431" i="6"/>
  <c r="AX431" i="6"/>
  <c r="CM427" i="6"/>
  <c r="CR427" i="6" s="1"/>
  <c r="AX427" i="6"/>
  <c r="AD427" i="6"/>
  <c r="CM423" i="6"/>
  <c r="AD423" i="6"/>
  <c r="AX423" i="6"/>
  <c r="CM419" i="6"/>
  <c r="AX419" i="6"/>
  <c r="AD419" i="6"/>
  <c r="CM415" i="6"/>
  <c r="AX415" i="6"/>
  <c r="AD415" i="6"/>
  <c r="CM411" i="6"/>
  <c r="AD411" i="6"/>
  <c r="AX411" i="6"/>
  <c r="CM407" i="6"/>
  <c r="AX407" i="6"/>
  <c r="AD407" i="6"/>
  <c r="CM403" i="6"/>
  <c r="AD403" i="6"/>
  <c r="AX403" i="6"/>
  <c r="CM399" i="6"/>
  <c r="AX399" i="6"/>
  <c r="AD399" i="6"/>
  <c r="CM395" i="6"/>
  <c r="AD395" i="6"/>
  <c r="AX395" i="6"/>
  <c r="CM391" i="6"/>
  <c r="AX391" i="6"/>
  <c r="AD391" i="6"/>
  <c r="CM387" i="6"/>
  <c r="AD387" i="6"/>
  <c r="AX387" i="6"/>
  <c r="CM383" i="6"/>
  <c r="CR383" i="6" s="1"/>
  <c r="AX383" i="6"/>
  <c r="AD383" i="6"/>
  <c r="CM379" i="6"/>
  <c r="AD379" i="6"/>
  <c r="AX379" i="6"/>
  <c r="CM375" i="6"/>
  <c r="AX375" i="6"/>
  <c r="AD375" i="6"/>
  <c r="CM371" i="6"/>
  <c r="AD371" i="6"/>
  <c r="AX371" i="6"/>
  <c r="CM367" i="6"/>
  <c r="AX367" i="6"/>
  <c r="AD367" i="6"/>
  <c r="CM363" i="6"/>
  <c r="AD363" i="6"/>
  <c r="AX363" i="6"/>
  <c r="CM359" i="6"/>
  <c r="AX359" i="6"/>
  <c r="AD359" i="6"/>
  <c r="CM355" i="6"/>
  <c r="AD355" i="6"/>
  <c r="AX355" i="6"/>
  <c r="CM351" i="6"/>
  <c r="AX351" i="6"/>
  <c r="AD351" i="6"/>
  <c r="CM347" i="6"/>
  <c r="CR347" i="6" s="1"/>
  <c r="AD347" i="6"/>
  <c r="AX347" i="6"/>
  <c r="CM343" i="6"/>
  <c r="AX343" i="6"/>
  <c r="AD343" i="6"/>
  <c r="CM339" i="6"/>
  <c r="AD339" i="6"/>
  <c r="AX339" i="6"/>
  <c r="CM335" i="6"/>
  <c r="AX335" i="6"/>
  <c r="AD335" i="6"/>
  <c r="CM331" i="6"/>
  <c r="CR331" i="6" s="1"/>
  <c r="AD331" i="6"/>
  <c r="AX331" i="6"/>
  <c r="CM327" i="6"/>
  <c r="CR327" i="6" s="1"/>
  <c r="AX327" i="6"/>
  <c r="AD327" i="6"/>
  <c r="CM323" i="6"/>
  <c r="CR323" i="6" s="1"/>
  <c r="AD323" i="6"/>
  <c r="AX323" i="6"/>
  <c r="CM319" i="6"/>
  <c r="AX319" i="6"/>
  <c r="AD319" i="6"/>
  <c r="CM315" i="6"/>
  <c r="AD315" i="6"/>
  <c r="AX315" i="6"/>
  <c r="CM311" i="6"/>
  <c r="AX311" i="6"/>
  <c r="AD311" i="6"/>
  <c r="CM307" i="6"/>
  <c r="CR307" i="6" s="1"/>
  <c r="AD307" i="6"/>
  <c r="AX307" i="6"/>
  <c r="CM303" i="6"/>
  <c r="AX303" i="6"/>
  <c r="AD303" i="6"/>
  <c r="CM299" i="6"/>
  <c r="AD299" i="6"/>
  <c r="AX299" i="6"/>
  <c r="CM295" i="6"/>
  <c r="AX295" i="6"/>
  <c r="AD295" i="6"/>
  <c r="CM291" i="6"/>
  <c r="CR291" i="6" s="1"/>
  <c r="AD291" i="6"/>
  <c r="AX291" i="6"/>
  <c r="CM287" i="6"/>
  <c r="CR287" i="6" s="1"/>
  <c r="AX287" i="6"/>
  <c r="AD287" i="6"/>
  <c r="CM283" i="6"/>
  <c r="CR283" i="6" s="1"/>
  <c r="AD283" i="6"/>
  <c r="AX283" i="6"/>
  <c r="CM279" i="6"/>
  <c r="AX279" i="6"/>
  <c r="AD279" i="6"/>
  <c r="CM275" i="6"/>
  <c r="CR275" i="6" s="1"/>
  <c r="AD275" i="6"/>
  <c r="AX275" i="6"/>
  <c r="CM271" i="6"/>
  <c r="AX271" i="6"/>
  <c r="AD271" i="6"/>
  <c r="CM267" i="6"/>
  <c r="AD267" i="6"/>
  <c r="AX267" i="6"/>
  <c r="CM263" i="6"/>
  <c r="AX263" i="6"/>
  <c r="AD263" i="6"/>
  <c r="CM259" i="6"/>
  <c r="AD259" i="6"/>
  <c r="AX259" i="6"/>
  <c r="CM255" i="6"/>
  <c r="CR255" i="6" s="1"/>
  <c r="AX255" i="6"/>
  <c r="AD255" i="6"/>
  <c r="CM251" i="6"/>
  <c r="AX251" i="6"/>
  <c r="AD251" i="6"/>
  <c r="CM247" i="6"/>
  <c r="CR247" i="6" s="1"/>
  <c r="AD247" i="6"/>
  <c r="AX247" i="6"/>
  <c r="CM243" i="6"/>
  <c r="AX243" i="6"/>
  <c r="AD243" i="6"/>
  <c r="CM239" i="6"/>
  <c r="CR239" i="6" s="1"/>
  <c r="AD239" i="6"/>
  <c r="AX239" i="6"/>
  <c r="CM235" i="6"/>
  <c r="AX235" i="6"/>
  <c r="AD235" i="6"/>
  <c r="CM231" i="6"/>
  <c r="AD231" i="6"/>
  <c r="AX231" i="6"/>
  <c r="CM227" i="6"/>
  <c r="AX227" i="6"/>
  <c r="AD227" i="6"/>
  <c r="CM223" i="6"/>
  <c r="CR223" i="6" s="1"/>
  <c r="AD223" i="6"/>
  <c r="AX223" i="6"/>
  <c r="CM219" i="6"/>
  <c r="AX219" i="6"/>
  <c r="AD219" i="6"/>
  <c r="CM215" i="6"/>
  <c r="AD215" i="6"/>
  <c r="AX215" i="6"/>
  <c r="CM211" i="6"/>
  <c r="AX211" i="6"/>
  <c r="AD211" i="6"/>
  <c r="CM207" i="6"/>
  <c r="AD207" i="6"/>
  <c r="AX207" i="6"/>
  <c r="CM203" i="6"/>
  <c r="AX203" i="6"/>
  <c r="AD203" i="6"/>
  <c r="CM199" i="6"/>
  <c r="CR199" i="6" s="1"/>
  <c r="AD199" i="6"/>
  <c r="AX199" i="6"/>
  <c r="CM195" i="6"/>
  <c r="AD195" i="6"/>
  <c r="AX195" i="6"/>
  <c r="CM191" i="6"/>
  <c r="AX191" i="6"/>
  <c r="AD191" i="6"/>
  <c r="CM187" i="6"/>
  <c r="AD187" i="6"/>
  <c r="AX187" i="6"/>
  <c r="CM183" i="6"/>
  <c r="CR183" i="6" s="1"/>
  <c r="AX183" i="6"/>
  <c r="AD183" i="6"/>
  <c r="CM179" i="6"/>
  <c r="AD179" i="6"/>
  <c r="AX179" i="6"/>
  <c r="CM175" i="6"/>
  <c r="CR175" i="6" s="1"/>
  <c r="DC175" i="6" s="1"/>
  <c r="AX175" i="6"/>
  <c r="AD175" i="6"/>
  <c r="CM171" i="6"/>
  <c r="CR171" i="6" s="1"/>
  <c r="AD171" i="6"/>
  <c r="AX171" i="6"/>
  <c r="CM167" i="6"/>
  <c r="CR167" i="6" s="1"/>
  <c r="AX167" i="6"/>
  <c r="AD167" i="6"/>
  <c r="CM163" i="6"/>
  <c r="CR163" i="6" s="1"/>
  <c r="AD163" i="6"/>
  <c r="AX163" i="6"/>
  <c r="CM159" i="6"/>
  <c r="CR159" i="6" s="1"/>
  <c r="AX159" i="6"/>
  <c r="AD159" i="6"/>
  <c r="CM155" i="6"/>
  <c r="AD155" i="6"/>
  <c r="AX155" i="6"/>
  <c r="CM151" i="6"/>
  <c r="CR151" i="6" s="1"/>
  <c r="AX151" i="6"/>
  <c r="AD151" i="6"/>
  <c r="CM147" i="6"/>
  <c r="CR147" i="6" s="1"/>
  <c r="AD147" i="6"/>
  <c r="AX147" i="6"/>
  <c r="CM143" i="6"/>
  <c r="CR143" i="6" s="1"/>
  <c r="AX143" i="6"/>
  <c r="AD143" i="6"/>
  <c r="CM139" i="6"/>
  <c r="CR139" i="6" s="1"/>
  <c r="AD139" i="6"/>
  <c r="AX139" i="6"/>
  <c r="CM135" i="6"/>
  <c r="CR135" i="6" s="1"/>
  <c r="AX135" i="6"/>
  <c r="AD135" i="6"/>
  <c r="CM131" i="6"/>
  <c r="AD131" i="6"/>
  <c r="AX131" i="6"/>
  <c r="CM127" i="6"/>
  <c r="AX127" i="6"/>
  <c r="AD127" i="6"/>
  <c r="CM123" i="6"/>
  <c r="AX123" i="6"/>
  <c r="AD123" i="6"/>
  <c r="CM119" i="6"/>
  <c r="CR119" i="6" s="1"/>
  <c r="AD119" i="6"/>
  <c r="AX119" i="6"/>
  <c r="CM115" i="6"/>
  <c r="CR115" i="6" s="1"/>
  <c r="AX115" i="6"/>
  <c r="AD115" i="6"/>
  <c r="CM111" i="6"/>
  <c r="AD111" i="6"/>
  <c r="AX111" i="6"/>
  <c r="CM107" i="6"/>
  <c r="CR107" i="6" s="1"/>
  <c r="AD107" i="6"/>
  <c r="AX107" i="6"/>
  <c r="CM103" i="6"/>
  <c r="AX103" i="6"/>
  <c r="AD103" i="6"/>
  <c r="CM99" i="6"/>
  <c r="AD99" i="6"/>
  <c r="AX99" i="6"/>
  <c r="CM95" i="6"/>
  <c r="AX95" i="6"/>
  <c r="AD95" i="6"/>
  <c r="CM91" i="6"/>
  <c r="AD91" i="6"/>
  <c r="AX91" i="6"/>
  <c r="CM87" i="6"/>
  <c r="AX87" i="6"/>
  <c r="AD87" i="6"/>
  <c r="CM83" i="6"/>
  <c r="AD83" i="6"/>
  <c r="AX83" i="6"/>
  <c r="CM81" i="6"/>
  <c r="AX81" i="6"/>
  <c r="AD81" i="6"/>
  <c r="CM69" i="6"/>
  <c r="AX69" i="6"/>
  <c r="AD69" i="6"/>
  <c r="CM57" i="6"/>
  <c r="AX57" i="6"/>
  <c r="AD57" i="6"/>
  <c r="CM433" i="6"/>
  <c r="CR433" i="6" s="1"/>
  <c r="AX433" i="6"/>
  <c r="AD433" i="6"/>
  <c r="CM421" i="6"/>
  <c r="AX421" i="6"/>
  <c r="AD421" i="6"/>
  <c r="CM413" i="6"/>
  <c r="CR413" i="6" s="1"/>
  <c r="AX413" i="6"/>
  <c r="AD413" i="6"/>
  <c r="CM405" i="6"/>
  <c r="AX405" i="6"/>
  <c r="AD405" i="6"/>
  <c r="CM389" i="6"/>
  <c r="AX389" i="6"/>
  <c r="AD389" i="6"/>
  <c r="CM377" i="6"/>
  <c r="AX377" i="6"/>
  <c r="AD377" i="6"/>
  <c r="CM365" i="6"/>
  <c r="AX365" i="6"/>
  <c r="AD365" i="6"/>
  <c r="CM353" i="6"/>
  <c r="AX353" i="6"/>
  <c r="AD353" i="6"/>
  <c r="CM341" i="6"/>
  <c r="AX341" i="6"/>
  <c r="AD341" i="6"/>
  <c r="CM333" i="6"/>
  <c r="AX333" i="6"/>
  <c r="AD333" i="6"/>
  <c r="CM321" i="6"/>
  <c r="AX321" i="6"/>
  <c r="AD321" i="6"/>
  <c r="CM309" i="6"/>
  <c r="CR309" i="6" s="1"/>
  <c r="AX309" i="6"/>
  <c r="AD309" i="6"/>
  <c r="CM297" i="6"/>
  <c r="CR297" i="6" s="1"/>
  <c r="AX297" i="6"/>
  <c r="AD297" i="6"/>
  <c r="CM285" i="6"/>
  <c r="AX285" i="6"/>
  <c r="AD285" i="6"/>
  <c r="CM277" i="6"/>
  <c r="CR277" i="6" s="1"/>
  <c r="AX277" i="6"/>
  <c r="AD277" i="6"/>
  <c r="CM265" i="6"/>
  <c r="CR265" i="6" s="1"/>
  <c r="AX265" i="6"/>
  <c r="AD265" i="6"/>
  <c r="CM253" i="6"/>
  <c r="AX253" i="6"/>
  <c r="AD253" i="6"/>
  <c r="CM241" i="6"/>
  <c r="AX241" i="6"/>
  <c r="AD241" i="6"/>
  <c r="CM229" i="6"/>
  <c r="AX229" i="6"/>
  <c r="AD229" i="6"/>
  <c r="CM217" i="6"/>
  <c r="AX217" i="6"/>
  <c r="AD217" i="6"/>
  <c r="CM205" i="6"/>
  <c r="AX205" i="6"/>
  <c r="AD205" i="6"/>
  <c r="CM193" i="6"/>
  <c r="AX193" i="6"/>
  <c r="AD193" i="6"/>
  <c r="CM181" i="6"/>
  <c r="AX181" i="6"/>
  <c r="AD181" i="6"/>
  <c r="CM165" i="6"/>
  <c r="CR165" i="6" s="1"/>
  <c r="AX165" i="6"/>
  <c r="AD165" i="6"/>
  <c r="CM153" i="6"/>
  <c r="CR153" i="6" s="1"/>
  <c r="AX153" i="6"/>
  <c r="AD153" i="6"/>
  <c r="CM145" i="6"/>
  <c r="AX145" i="6"/>
  <c r="AD145" i="6"/>
  <c r="CM133" i="6"/>
  <c r="AX133" i="6"/>
  <c r="AD133" i="6"/>
  <c r="CM121" i="6"/>
  <c r="CR121" i="6" s="1"/>
  <c r="AX121" i="6"/>
  <c r="AD121" i="6"/>
  <c r="CM109" i="6"/>
  <c r="AX109" i="6"/>
  <c r="AD109" i="6"/>
  <c r="CM97" i="6"/>
  <c r="AX97" i="6"/>
  <c r="AD97" i="6"/>
  <c r="CM85" i="6"/>
  <c r="AX85" i="6"/>
  <c r="AD85" i="6"/>
  <c r="CM72" i="6"/>
  <c r="CR72" i="6" s="1"/>
  <c r="AD72" i="6"/>
  <c r="AX72" i="6"/>
  <c r="CM60" i="6"/>
  <c r="CN61" i="6"/>
  <c r="AD60" i="6"/>
  <c r="AX60" i="6"/>
  <c r="CM436" i="6"/>
  <c r="AD436" i="6"/>
  <c r="AX436" i="6"/>
  <c r="CM428" i="6"/>
  <c r="AD428" i="6"/>
  <c r="AX428" i="6"/>
  <c r="CM416" i="6"/>
  <c r="AD416" i="6"/>
  <c r="AX416" i="6"/>
  <c r="CM404" i="6"/>
  <c r="CR404" i="6" s="1"/>
  <c r="AD404" i="6"/>
  <c r="AX404" i="6"/>
  <c r="CM396" i="6"/>
  <c r="AD396" i="6"/>
  <c r="AX396" i="6"/>
  <c r="CM384" i="6"/>
  <c r="AD384" i="6"/>
  <c r="AX384" i="6"/>
  <c r="CM372" i="6"/>
  <c r="AD372" i="6"/>
  <c r="AX372" i="6"/>
  <c r="CM360" i="6"/>
  <c r="CR360" i="6" s="1"/>
  <c r="AD360" i="6"/>
  <c r="AX360" i="6"/>
  <c r="CM352" i="6"/>
  <c r="AD352" i="6"/>
  <c r="AX352" i="6"/>
  <c r="CM340" i="6"/>
  <c r="AX340" i="6"/>
  <c r="AD340" i="6"/>
  <c r="CM328" i="6"/>
  <c r="AD328" i="6"/>
  <c r="AX328" i="6"/>
  <c r="CM320" i="6"/>
  <c r="AD320" i="6"/>
  <c r="AX320" i="6"/>
  <c r="CM308" i="6"/>
  <c r="AX308" i="6"/>
  <c r="AD308" i="6"/>
  <c r="CM296" i="6"/>
  <c r="CR296" i="6" s="1"/>
  <c r="AD296" i="6"/>
  <c r="AX296" i="6"/>
  <c r="CM288" i="6"/>
  <c r="AD288" i="6"/>
  <c r="AX288" i="6"/>
  <c r="CM276" i="6"/>
  <c r="AD276" i="6"/>
  <c r="AX276" i="6"/>
  <c r="CM264" i="6"/>
  <c r="AD264" i="6"/>
  <c r="AX264" i="6"/>
  <c r="CM256" i="6"/>
  <c r="AD256" i="6"/>
  <c r="AX256" i="6"/>
  <c r="CM244" i="6"/>
  <c r="AX244" i="6"/>
  <c r="AD244" i="6"/>
  <c r="CM232" i="6"/>
  <c r="AD232" i="6"/>
  <c r="AX232" i="6"/>
  <c r="CM224" i="6"/>
  <c r="AD224" i="6"/>
  <c r="AX224" i="6"/>
  <c r="CM212" i="6"/>
  <c r="CR212" i="6" s="1"/>
  <c r="AX212" i="6"/>
  <c r="AD212" i="6"/>
  <c r="CM200" i="6"/>
  <c r="AD200" i="6"/>
  <c r="AX200" i="6"/>
  <c r="CM188" i="6"/>
  <c r="AX188" i="6"/>
  <c r="AD188" i="6"/>
  <c r="CM152" i="6"/>
  <c r="AD152" i="6"/>
  <c r="AX152" i="6"/>
  <c r="CM82" i="6"/>
  <c r="CR82" i="6" s="1"/>
  <c r="AD82" i="6"/>
  <c r="AX82" i="6"/>
  <c r="CM78" i="6"/>
  <c r="AD78" i="6"/>
  <c r="AX78" i="6"/>
  <c r="CM74" i="6"/>
  <c r="CR74" i="6" s="1"/>
  <c r="AD74" i="6"/>
  <c r="AX74" i="6"/>
  <c r="CM70" i="6"/>
  <c r="AD70" i="6"/>
  <c r="AX70" i="6"/>
  <c r="CM66" i="6"/>
  <c r="CR66" i="6" s="1"/>
  <c r="AD66" i="6"/>
  <c r="AX66" i="6"/>
  <c r="CM62" i="6"/>
  <c r="AD62" i="6"/>
  <c r="AX62" i="6"/>
  <c r="CM58" i="6"/>
  <c r="CR58" i="6" s="1"/>
  <c r="AD58" i="6"/>
  <c r="AX58" i="6"/>
  <c r="CM54" i="6"/>
  <c r="AD54" i="6"/>
  <c r="AX54" i="6"/>
  <c r="CM438" i="6"/>
  <c r="CR438" i="6" s="1"/>
  <c r="AD438" i="6"/>
  <c r="AX438" i="6"/>
  <c r="CM434" i="6"/>
  <c r="AD434" i="6"/>
  <c r="AX434" i="6"/>
  <c r="CM430" i="6"/>
  <c r="AD430" i="6"/>
  <c r="AX430" i="6"/>
  <c r="CM426" i="6"/>
  <c r="AD426" i="6"/>
  <c r="AX426" i="6"/>
  <c r="CM422" i="6"/>
  <c r="AD422" i="6"/>
  <c r="AX422" i="6"/>
  <c r="CM418" i="6"/>
  <c r="CR418" i="6" s="1"/>
  <c r="AD418" i="6"/>
  <c r="AX418" i="6"/>
  <c r="CM414" i="6"/>
  <c r="AD414" i="6"/>
  <c r="AX414" i="6"/>
  <c r="CM410" i="6"/>
  <c r="AD410" i="6"/>
  <c r="AX410" i="6"/>
  <c r="CM406" i="6"/>
  <c r="AD406" i="6"/>
  <c r="AX406" i="6"/>
  <c r="CM402" i="6"/>
  <c r="CR402" i="6" s="1"/>
  <c r="AD402" i="6"/>
  <c r="AX402" i="6"/>
  <c r="CM398" i="6"/>
  <c r="AD398" i="6"/>
  <c r="AX398" i="6"/>
  <c r="CM394" i="6"/>
  <c r="AD394" i="6"/>
  <c r="AX394" i="6"/>
  <c r="CM390" i="6"/>
  <c r="AD390" i="6"/>
  <c r="AX390" i="6"/>
  <c r="CM386" i="6"/>
  <c r="CR386" i="6" s="1"/>
  <c r="AD386" i="6"/>
  <c r="AX386" i="6"/>
  <c r="CM382" i="6"/>
  <c r="AD382" i="6"/>
  <c r="AX382" i="6"/>
  <c r="CM378" i="6"/>
  <c r="AD378" i="6"/>
  <c r="AX378" i="6"/>
  <c r="CM374" i="6"/>
  <c r="AD374" i="6"/>
  <c r="AX374" i="6"/>
  <c r="CM370" i="6"/>
  <c r="CR370" i="6" s="1"/>
  <c r="AD370" i="6"/>
  <c r="AX370" i="6"/>
  <c r="CM366" i="6"/>
  <c r="AD366" i="6"/>
  <c r="AX366" i="6"/>
  <c r="CM362" i="6"/>
  <c r="AD362" i="6"/>
  <c r="AX362" i="6"/>
  <c r="CM358" i="6"/>
  <c r="AD358" i="6"/>
  <c r="AX358" i="6"/>
  <c r="CM354" i="6"/>
  <c r="AD354" i="6"/>
  <c r="AX354" i="6"/>
  <c r="CM350" i="6"/>
  <c r="CR350" i="6" s="1"/>
  <c r="AD350" i="6"/>
  <c r="AX350" i="6"/>
  <c r="CM346" i="6"/>
  <c r="CR346" i="6" s="1"/>
  <c r="AD346" i="6"/>
  <c r="AX346" i="6"/>
  <c r="CM342" i="6"/>
  <c r="AD342" i="6"/>
  <c r="AX342" i="6"/>
  <c r="CM338" i="6"/>
  <c r="AD338" i="6"/>
  <c r="AX338" i="6"/>
  <c r="CM334" i="6"/>
  <c r="AD334" i="6"/>
  <c r="AX334" i="6"/>
  <c r="CM330" i="6"/>
  <c r="AD330" i="6"/>
  <c r="AX330" i="6"/>
  <c r="CM326" i="6"/>
  <c r="AD326" i="6"/>
  <c r="AX326" i="6"/>
  <c r="CM322" i="6"/>
  <c r="AD322" i="6"/>
  <c r="AX322" i="6"/>
  <c r="CM318" i="6"/>
  <c r="AD318" i="6"/>
  <c r="AX318" i="6"/>
  <c r="CM314" i="6"/>
  <c r="AD314" i="6"/>
  <c r="AX314" i="6"/>
  <c r="CM310" i="6"/>
  <c r="CR310" i="6" s="1"/>
  <c r="AD310" i="6"/>
  <c r="AX310" i="6"/>
  <c r="CM306" i="6"/>
  <c r="AD306" i="6"/>
  <c r="AX306" i="6"/>
  <c r="CM302" i="6"/>
  <c r="CR302" i="6" s="1"/>
  <c r="AD302" i="6"/>
  <c r="AX302" i="6"/>
  <c r="CM298" i="6"/>
  <c r="CR298" i="6" s="1"/>
  <c r="AD298" i="6"/>
  <c r="AX298" i="6"/>
  <c r="CM294" i="6"/>
  <c r="CR294" i="6" s="1"/>
  <c r="AD294" i="6"/>
  <c r="AX294" i="6"/>
  <c r="CM290" i="6"/>
  <c r="AD290" i="6"/>
  <c r="AX290" i="6"/>
  <c r="CM286" i="6"/>
  <c r="AD286" i="6"/>
  <c r="AX286" i="6"/>
  <c r="CM282" i="6"/>
  <c r="AD282" i="6"/>
  <c r="AX282" i="6"/>
  <c r="CM278" i="6"/>
  <c r="AD278" i="6"/>
  <c r="AX278" i="6"/>
  <c r="CM274" i="6"/>
  <c r="AD274" i="6"/>
  <c r="AX274" i="6"/>
  <c r="CM270" i="6"/>
  <c r="AD270" i="6"/>
  <c r="AX270" i="6"/>
  <c r="CM266" i="6"/>
  <c r="AD266" i="6"/>
  <c r="AX266" i="6"/>
  <c r="CM262" i="6"/>
  <c r="AD262" i="6"/>
  <c r="AX262" i="6"/>
  <c r="CM258" i="6"/>
  <c r="AD258" i="6"/>
  <c r="AX258" i="6"/>
  <c r="CM254" i="6"/>
  <c r="AD254" i="6"/>
  <c r="AX254" i="6"/>
  <c r="CM250" i="6"/>
  <c r="AD250" i="6"/>
  <c r="AX250" i="6"/>
  <c r="CM246" i="6"/>
  <c r="AD246" i="6"/>
  <c r="AX246" i="6"/>
  <c r="CM242" i="6"/>
  <c r="AD242" i="6"/>
  <c r="AX242" i="6"/>
  <c r="CM238" i="6"/>
  <c r="AD238" i="6"/>
  <c r="AX238" i="6"/>
  <c r="CM234" i="6"/>
  <c r="AD234" i="6"/>
  <c r="AX234" i="6"/>
  <c r="CM230" i="6"/>
  <c r="AD230" i="6"/>
  <c r="AX230" i="6"/>
  <c r="CM226" i="6"/>
  <c r="AD226" i="6"/>
  <c r="AX226" i="6"/>
  <c r="CM222" i="6"/>
  <c r="AD222" i="6"/>
  <c r="AX222" i="6"/>
  <c r="CM218" i="6"/>
  <c r="AD218" i="6"/>
  <c r="AX218" i="6"/>
  <c r="CM214" i="6"/>
  <c r="AD214" i="6"/>
  <c r="AX214" i="6"/>
  <c r="CM210" i="6"/>
  <c r="CR210" i="6" s="1"/>
  <c r="AD210" i="6"/>
  <c r="AX210" i="6"/>
  <c r="CM206" i="6"/>
  <c r="AD206" i="6"/>
  <c r="AX206" i="6"/>
  <c r="CM202" i="6"/>
  <c r="AD202" i="6"/>
  <c r="AX202" i="6"/>
  <c r="CM198" i="6"/>
  <c r="AD198" i="6"/>
  <c r="AX198" i="6"/>
  <c r="CM194" i="6"/>
  <c r="CR194" i="6" s="1"/>
  <c r="AD194" i="6"/>
  <c r="AX194" i="6"/>
  <c r="CM190" i="6"/>
  <c r="AD190" i="6"/>
  <c r="AX190" i="6"/>
  <c r="CM186" i="6"/>
  <c r="AD186" i="6"/>
  <c r="AX186" i="6"/>
  <c r="CM182" i="6"/>
  <c r="AD182" i="6"/>
  <c r="AX182" i="6"/>
  <c r="CM178" i="6"/>
  <c r="CR178" i="6" s="1"/>
  <c r="AD178" i="6"/>
  <c r="AX178" i="6"/>
  <c r="CM174" i="6"/>
  <c r="AD174" i="6"/>
  <c r="AX174" i="6"/>
  <c r="CM170" i="6"/>
  <c r="AD170" i="6"/>
  <c r="AX170" i="6"/>
  <c r="CM166" i="6"/>
  <c r="AD166" i="6"/>
  <c r="AX166" i="6"/>
  <c r="CM162" i="6"/>
  <c r="AD162" i="6"/>
  <c r="AX162" i="6"/>
  <c r="CM158" i="6"/>
  <c r="AD158" i="6"/>
  <c r="AX158" i="6"/>
  <c r="CM154" i="6"/>
  <c r="AD154" i="6"/>
  <c r="AX154" i="6"/>
  <c r="CM150" i="6"/>
  <c r="AD150" i="6"/>
  <c r="AX150" i="6"/>
  <c r="CM146" i="6"/>
  <c r="AD146" i="6"/>
  <c r="AX146" i="6"/>
  <c r="CM142" i="6"/>
  <c r="AD142" i="6"/>
  <c r="AX142" i="6"/>
  <c r="CM138" i="6"/>
  <c r="AD138" i="6"/>
  <c r="AX138" i="6"/>
  <c r="CM134" i="6"/>
  <c r="AD134" i="6"/>
  <c r="AX134" i="6"/>
  <c r="CM130" i="6"/>
  <c r="AD130" i="6"/>
  <c r="AX130" i="6"/>
  <c r="CM126" i="6"/>
  <c r="AD126" i="6"/>
  <c r="AX126" i="6"/>
  <c r="CM122" i="6"/>
  <c r="AD122" i="6"/>
  <c r="AX122" i="6"/>
  <c r="CM118" i="6"/>
  <c r="AD118" i="6"/>
  <c r="AX118" i="6"/>
  <c r="CM114" i="6"/>
  <c r="AD114" i="6"/>
  <c r="AX114" i="6"/>
  <c r="CM110" i="6"/>
  <c r="AD110" i="6"/>
  <c r="AX110" i="6"/>
  <c r="CM106" i="6"/>
  <c r="AD106" i="6"/>
  <c r="AX106" i="6"/>
  <c r="CM102" i="6"/>
  <c r="AD102" i="6"/>
  <c r="AX102" i="6"/>
  <c r="CM98" i="6"/>
  <c r="AD98" i="6"/>
  <c r="AX98" i="6"/>
  <c r="CM94" i="6"/>
  <c r="AD94" i="6"/>
  <c r="AX94" i="6"/>
  <c r="CM90" i="6"/>
  <c r="CR90" i="6" s="1"/>
  <c r="AD90" i="6"/>
  <c r="AX90" i="6"/>
  <c r="CM86" i="6"/>
  <c r="AD86" i="6"/>
  <c r="AX86" i="6"/>
  <c r="BU50" i="6"/>
  <c r="BR73" i="6"/>
  <c r="BR57" i="6"/>
  <c r="BR430" i="6"/>
  <c r="BR414" i="6"/>
  <c r="BR398" i="6"/>
  <c r="BR390" i="6"/>
  <c r="BR382" i="6"/>
  <c r="BR374" i="6"/>
  <c r="BR366" i="6"/>
  <c r="BR358" i="6"/>
  <c r="BR350" i="6"/>
  <c r="BU470" i="6" s="1"/>
  <c r="BT470" i="6" s="1"/>
  <c r="BR342" i="6"/>
  <c r="BR334" i="6"/>
  <c r="BR326" i="6"/>
  <c r="BR318" i="6"/>
  <c r="BR310" i="6"/>
  <c r="BR302" i="6"/>
  <c r="BR294" i="6"/>
  <c r="BR286" i="6"/>
  <c r="BR278" i="6"/>
  <c r="BR270" i="6"/>
  <c r="BR262" i="6"/>
  <c r="BR254" i="6"/>
  <c r="BR246" i="6"/>
  <c r="BU462" i="6" s="1"/>
  <c r="BT462" i="6" s="1"/>
  <c r="BR238" i="6"/>
  <c r="BR230" i="6"/>
  <c r="BR222" i="6"/>
  <c r="BR214" i="6"/>
  <c r="BR206" i="6"/>
  <c r="BR198" i="6"/>
  <c r="BR190" i="6"/>
  <c r="BR182" i="6"/>
  <c r="BR174" i="6"/>
  <c r="BR166" i="6"/>
  <c r="BR158" i="6"/>
  <c r="BR150" i="6"/>
  <c r="BR142" i="6"/>
  <c r="BU454" i="6" s="1"/>
  <c r="BT454" i="6" s="1"/>
  <c r="BR134" i="6"/>
  <c r="BR126" i="6"/>
  <c r="BR118" i="6"/>
  <c r="BR110" i="6"/>
  <c r="BR102" i="6"/>
  <c r="BR94" i="6"/>
  <c r="BR86" i="6"/>
  <c r="BR433" i="6"/>
  <c r="BR429" i="6"/>
  <c r="BR425" i="6"/>
  <c r="BR417" i="6"/>
  <c r="BR413" i="6"/>
  <c r="BR409" i="6"/>
  <c r="BR401" i="6"/>
  <c r="BR397" i="6"/>
  <c r="BR393" i="6"/>
  <c r="BR385" i="6"/>
  <c r="BR381" i="6"/>
  <c r="BR377" i="6"/>
  <c r="BR369" i="6"/>
  <c r="BR365" i="6"/>
  <c r="BR361" i="6"/>
  <c r="BR353" i="6"/>
  <c r="BR349" i="6"/>
  <c r="BR345" i="6"/>
  <c r="BR337" i="6"/>
  <c r="BU469" i="6" s="1"/>
  <c r="BT469" i="6" s="1"/>
  <c r="BR333" i="6"/>
  <c r="BR329" i="6"/>
  <c r="BR321" i="6"/>
  <c r="BR317" i="6"/>
  <c r="BR313" i="6"/>
  <c r="BR305" i="6"/>
  <c r="BR301" i="6"/>
  <c r="BR297" i="6"/>
  <c r="BR289" i="6"/>
  <c r="BR285" i="6"/>
  <c r="BU465" i="6" s="1"/>
  <c r="BT465" i="6" s="1"/>
  <c r="BR281" i="6"/>
  <c r="BR273" i="6"/>
  <c r="BR269" i="6"/>
  <c r="BR265" i="6"/>
  <c r="BR257" i="6"/>
  <c r="BR253" i="6"/>
  <c r="BR249" i="6"/>
  <c r="BR241" i="6"/>
  <c r="BR237" i="6"/>
  <c r="BR233" i="6"/>
  <c r="BU461" i="6" s="1"/>
  <c r="BT461" i="6" s="1"/>
  <c r="BR225" i="6"/>
  <c r="BR221" i="6"/>
  <c r="BR217" i="6"/>
  <c r="BR209" i="6"/>
  <c r="BR205" i="6"/>
  <c r="BR201" i="6"/>
  <c r="BR193" i="6"/>
  <c r="BR189" i="6"/>
  <c r="BR185" i="6"/>
  <c r="BR177" i="6"/>
  <c r="BR173" i="6"/>
  <c r="BR169" i="6"/>
  <c r="BR161" i="6"/>
  <c r="BR157" i="6"/>
  <c r="BR153" i="6"/>
  <c r="BR145" i="6"/>
  <c r="BR141" i="6"/>
  <c r="BR137" i="6"/>
  <c r="BR129" i="6"/>
  <c r="BU453" i="6" s="1"/>
  <c r="BT453" i="6" s="1"/>
  <c r="BR125" i="6"/>
  <c r="BR121" i="6"/>
  <c r="BR113" i="6"/>
  <c r="BR109" i="6"/>
  <c r="BR105" i="6"/>
  <c r="BR97" i="6"/>
  <c r="BR93" i="6"/>
  <c r="BR89" i="6"/>
  <c r="BR68" i="6"/>
  <c r="BR60" i="6"/>
  <c r="BR79" i="6"/>
  <c r="BR75" i="6"/>
  <c r="BR71" i="6"/>
  <c r="BR63" i="6"/>
  <c r="BR59" i="6"/>
  <c r="BR440" i="6"/>
  <c r="BR432" i="6"/>
  <c r="BR424" i="6"/>
  <c r="BR416" i="6"/>
  <c r="BR408" i="6"/>
  <c r="BR400" i="6"/>
  <c r="BR392" i="6"/>
  <c r="BR384" i="6"/>
  <c r="BR376" i="6"/>
  <c r="BU472" i="6" s="1"/>
  <c r="BT472" i="6" s="1"/>
  <c r="BR368" i="6"/>
  <c r="BR360" i="6"/>
  <c r="BR352" i="6"/>
  <c r="BR344" i="6"/>
  <c r="BR336" i="6"/>
  <c r="BR328" i="6"/>
  <c r="BR320" i="6"/>
  <c r="BR312" i="6"/>
  <c r="BR304" i="6"/>
  <c r="BR296" i="6"/>
  <c r="BR288" i="6"/>
  <c r="BR280" i="6"/>
  <c r="BR272" i="6"/>
  <c r="BU464" i="6" s="1"/>
  <c r="BT464" i="6" s="1"/>
  <c r="BR264" i="6"/>
  <c r="BR256" i="6"/>
  <c r="BR248" i="6"/>
  <c r="BR240" i="6"/>
  <c r="BR232" i="6"/>
  <c r="BR224" i="6"/>
  <c r="BR216" i="6"/>
  <c r="BR208" i="6"/>
  <c r="BR200" i="6"/>
  <c r="BR192" i="6"/>
  <c r="BR184" i="6"/>
  <c r="BR176" i="6"/>
  <c r="BR168" i="6"/>
  <c r="BU456" i="6" s="1"/>
  <c r="BT456" i="6" s="1"/>
  <c r="BR160" i="6"/>
  <c r="BR152" i="6"/>
  <c r="BR144" i="6"/>
  <c r="BR136" i="6"/>
  <c r="BR128" i="6"/>
  <c r="BR120" i="6"/>
  <c r="BR112" i="6"/>
  <c r="BR104" i="6"/>
  <c r="BR96" i="6"/>
  <c r="BR88" i="6"/>
  <c r="AQ5" i="6"/>
  <c r="F46" i="6"/>
  <c r="B6" i="7"/>
  <c r="DC346" i="6" l="1"/>
  <c r="DC296" i="6"/>
  <c r="CS51" i="6"/>
  <c r="DC424" i="6"/>
  <c r="DC297" i="6"/>
  <c r="DC309" i="6"/>
  <c r="CS194" i="6"/>
  <c r="CT194" i="6" s="1"/>
  <c r="CS386" i="6"/>
  <c r="CT386" i="6" s="1"/>
  <c r="CU386" i="6" s="1"/>
  <c r="CS175" i="6"/>
  <c r="CT175" i="6" s="1"/>
  <c r="CU175" i="6" s="1"/>
  <c r="CS239" i="6"/>
  <c r="CT239" i="6" s="1"/>
  <c r="CU239" i="6" s="1"/>
  <c r="CS431" i="6"/>
  <c r="CT431" i="6" s="1"/>
  <c r="CU431" i="6" s="1"/>
  <c r="CS82" i="6"/>
  <c r="CT82" i="6" s="1"/>
  <c r="CU82" i="6" s="1"/>
  <c r="CS433" i="6"/>
  <c r="CT433" i="6" s="1"/>
  <c r="CU433" i="6" s="1"/>
  <c r="CS302" i="6"/>
  <c r="CT302" i="6" s="1"/>
  <c r="CU302" i="6" s="1"/>
  <c r="CS283" i="6"/>
  <c r="CT283" i="6" s="1"/>
  <c r="CU283" i="6" s="1"/>
  <c r="CS347" i="6"/>
  <c r="CT347" i="6" s="1"/>
  <c r="CU347" i="6" s="1"/>
  <c r="CS90" i="6"/>
  <c r="CT90" i="6" s="1"/>
  <c r="CS346" i="6"/>
  <c r="CT346" i="6" s="1"/>
  <c r="CU346" i="6" s="1"/>
  <c r="CS404" i="6"/>
  <c r="CT404" i="6" s="1"/>
  <c r="CU404" i="6" s="1"/>
  <c r="CS72" i="6"/>
  <c r="CT72" i="6" s="1"/>
  <c r="CU72" i="6" s="1"/>
  <c r="CS265" i="6"/>
  <c r="CT265" i="6" s="1"/>
  <c r="CU265" i="6" s="1"/>
  <c r="CS135" i="6"/>
  <c r="CT135" i="6" s="1"/>
  <c r="CU135" i="6" s="1"/>
  <c r="CS199" i="6"/>
  <c r="CT199" i="6" s="1"/>
  <c r="CU199" i="6" s="1"/>
  <c r="CS327" i="6"/>
  <c r="CT327" i="6" s="1"/>
  <c r="CU327" i="6" s="1"/>
  <c r="CS66" i="6"/>
  <c r="CT66" i="6" s="1"/>
  <c r="CU66" i="6" s="1"/>
  <c r="CS296" i="6"/>
  <c r="CT296" i="6" s="1"/>
  <c r="CU296" i="6" s="1"/>
  <c r="CS115" i="6"/>
  <c r="CT115" i="6" s="1"/>
  <c r="CU115" i="6" s="1"/>
  <c r="CS370" i="6"/>
  <c r="CT370" i="6" s="1"/>
  <c r="CU370" i="6" s="1"/>
  <c r="CS159" i="6"/>
  <c r="CT159" i="6" s="1"/>
  <c r="CU159" i="6" s="1"/>
  <c r="CS223" i="6"/>
  <c r="CT223" i="6" s="1"/>
  <c r="CU223" i="6" s="1"/>
  <c r="CS287" i="6"/>
  <c r="CT287" i="6" s="1"/>
  <c r="CU287" i="6" s="1"/>
  <c r="CS350" i="6"/>
  <c r="CQ470" i="6" s="1"/>
  <c r="CS360" i="6"/>
  <c r="CT360" i="6" s="1"/>
  <c r="CU360" i="6" s="1"/>
  <c r="CS277" i="6"/>
  <c r="CT277" i="6" s="1"/>
  <c r="CU277" i="6" s="1"/>
  <c r="CS139" i="6"/>
  <c r="CT139" i="6" s="1"/>
  <c r="CU139" i="6" s="1"/>
  <c r="CS331" i="6"/>
  <c r="CT331" i="6" s="1"/>
  <c r="CU331" i="6" s="1"/>
  <c r="CS178" i="6"/>
  <c r="CT178" i="6" s="1"/>
  <c r="CU178" i="6" s="1"/>
  <c r="CS119" i="6"/>
  <c r="CT119" i="6" s="1"/>
  <c r="CU119" i="6" s="1"/>
  <c r="CS183" i="6"/>
  <c r="CT183" i="6" s="1"/>
  <c r="CU183" i="6" s="1"/>
  <c r="CS247" i="6"/>
  <c r="CT247" i="6" s="1"/>
  <c r="CU247" i="6" s="1"/>
  <c r="CS137" i="6"/>
  <c r="CT137" i="6" s="1"/>
  <c r="CU137" i="6" s="1"/>
  <c r="CS310" i="6"/>
  <c r="CT310" i="6" s="1"/>
  <c r="CU310" i="6" s="1"/>
  <c r="CS438" i="6"/>
  <c r="CT438" i="6" s="1"/>
  <c r="CU438" i="6" s="1"/>
  <c r="CS153" i="6"/>
  <c r="CT153" i="6" s="1"/>
  <c r="CU153" i="6" s="1"/>
  <c r="CS163" i="6"/>
  <c r="CT163" i="6" s="1"/>
  <c r="CU163" i="6" s="1"/>
  <c r="CS291" i="6"/>
  <c r="CT291" i="6" s="1"/>
  <c r="CU291" i="6" s="1"/>
  <c r="CS418" i="6"/>
  <c r="CT418" i="6" s="1"/>
  <c r="CU418" i="6" s="1"/>
  <c r="CS143" i="6"/>
  <c r="CT143" i="6" s="1"/>
  <c r="CU143" i="6" s="1"/>
  <c r="CS74" i="6"/>
  <c r="CT74" i="6" s="1"/>
  <c r="CU74" i="6" s="1"/>
  <c r="CS413" i="6"/>
  <c r="CT413" i="6" s="1"/>
  <c r="CU413" i="6" s="1"/>
  <c r="CS149" i="6"/>
  <c r="CT149" i="6" s="1"/>
  <c r="CU149" i="6" s="1"/>
  <c r="CS165" i="6"/>
  <c r="CT165" i="6" s="1"/>
  <c r="CU165" i="6" s="1"/>
  <c r="CS167" i="6"/>
  <c r="CT167" i="6" s="1"/>
  <c r="CU167" i="6" s="1"/>
  <c r="CS294" i="6"/>
  <c r="CT294" i="6" s="1"/>
  <c r="CU294" i="6" s="1"/>
  <c r="CS212" i="6"/>
  <c r="CT212" i="6" s="1"/>
  <c r="CU212" i="6" s="1"/>
  <c r="CS297" i="6"/>
  <c r="CT297" i="6" s="1"/>
  <c r="CU297" i="6" s="1"/>
  <c r="CS147" i="6"/>
  <c r="CT147" i="6" s="1"/>
  <c r="CU147" i="6" s="1"/>
  <c r="CS275" i="6"/>
  <c r="CT275" i="6" s="1"/>
  <c r="CU275" i="6" s="1"/>
  <c r="CS210" i="6"/>
  <c r="CT210" i="6" s="1"/>
  <c r="CU210" i="6" s="1"/>
  <c r="CS402" i="6"/>
  <c r="CQ474" i="6" s="1"/>
  <c r="CS255" i="6"/>
  <c r="CT255" i="6" s="1"/>
  <c r="CU255" i="6" s="1"/>
  <c r="CS58" i="6"/>
  <c r="CT58" i="6" s="1"/>
  <c r="CU58" i="6" s="1"/>
  <c r="CS107" i="6"/>
  <c r="CT107" i="6" s="1"/>
  <c r="CU107" i="6" s="1"/>
  <c r="CS171" i="6"/>
  <c r="CT171" i="6" s="1"/>
  <c r="CU171" i="6" s="1"/>
  <c r="CS298" i="6"/>
  <c r="CT298" i="6" s="1"/>
  <c r="CS121" i="6"/>
  <c r="CT121" i="6" s="1"/>
  <c r="CU121" i="6" s="1"/>
  <c r="CS309" i="6"/>
  <c r="CT309" i="6" s="1"/>
  <c r="CU309" i="6" s="1"/>
  <c r="CS151" i="6"/>
  <c r="CT151" i="6" s="1"/>
  <c r="CU151" i="6" s="1"/>
  <c r="CS88" i="6"/>
  <c r="CT88" i="6" s="1"/>
  <c r="CU88" i="6" s="1"/>
  <c r="CS383" i="6"/>
  <c r="CT383" i="6" s="1"/>
  <c r="CU383" i="6" s="1"/>
  <c r="CS368" i="6"/>
  <c r="CT368" i="6" s="1"/>
  <c r="CU368" i="6" s="1"/>
  <c r="CS427" i="6"/>
  <c r="CT427" i="6" s="1"/>
  <c r="CU427" i="6" s="1"/>
  <c r="CS323" i="6"/>
  <c r="CT323" i="6" s="1"/>
  <c r="CU323" i="6" s="1"/>
  <c r="CS56" i="6"/>
  <c r="CT56" i="6" s="1"/>
  <c r="CU56" i="6" s="1"/>
  <c r="CS113" i="6"/>
  <c r="CT113" i="6" s="1"/>
  <c r="CU113" i="6" s="1"/>
  <c r="CS289" i="6"/>
  <c r="CT289" i="6" s="1"/>
  <c r="CU289" i="6" s="1"/>
  <c r="CN77" i="6"/>
  <c r="CS173" i="6"/>
  <c r="CT173" i="6" s="1"/>
  <c r="CU173" i="6" s="1"/>
  <c r="CO306" i="6"/>
  <c r="CR306" i="6"/>
  <c r="CO244" i="6"/>
  <c r="CR244" i="6"/>
  <c r="CO205" i="6"/>
  <c r="CR205" i="6"/>
  <c r="CO67" i="6"/>
  <c r="CR67" i="6"/>
  <c r="DC66" i="6" s="1"/>
  <c r="CO134" i="6"/>
  <c r="CR134" i="6"/>
  <c r="CO198" i="6"/>
  <c r="CR198" i="6"/>
  <c r="CO262" i="6"/>
  <c r="CR262" i="6"/>
  <c r="CO326" i="6"/>
  <c r="CR326" i="6"/>
  <c r="CO390" i="6"/>
  <c r="CR390" i="6"/>
  <c r="CO57" i="6"/>
  <c r="CR57" i="6"/>
  <c r="DC56" i="6" s="1"/>
  <c r="CO219" i="6"/>
  <c r="CR219" i="6"/>
  <c r="CO411" i="6"/>
  <c r="CR411" i="6"/>
  <c r="CO52" i="6"/>
  <c r="CR52" i="6"/>
  <c r="CN272" i="6"/>
  <c r="CR272" i="6"/>
  <c r="CO84" i="6"/>
  <c r="CR84" i="6"/>
  <c r="CO104" i="6"/>
  <c r="CR104" i="6"/>
  <c r="CS176" i="6"/>
  <c r="CT176" i="6" s="1"/>
  <c r="CU176" i="6" s="1"/>
  <c r="CS408" i="6"/>
  <c r="CT408" i="6" s="1"/>
  <c r="CU408" i="6" s="1"/>
  <c r="CO93" i="6"/>
  <c r="CR93" i="6"/>
  <c r="CO305" i="6"/>
  <c r="CR305" i="6"/>
  <c r="CO156" i="6"/>
  <c r="CR156" i="6"/>
  <c r="CO332" i="6"/>
  <c r="CR332" i="6"/>
  <c r="DC331" i="6" s="1"/>
  <c r="CO94" i="6"/>
  <c r="CR94" i="6"/>
  <c r="CO158" i="6"/>
  <c r="CR158" i="6"/>
  <c r="CO222" i="6"/>
  <c r="CR222" i="6"/>
  <c r="CO286" i="6"/>
  <c r="CR286" i="6"/>
  <c r="CO414" i="6"/>
  <c r="CR414" i="6"/>
  <c r="CO188" i="6"/>
  <c r="CR188" i="6"/>
  <c r="CO145" i="6"/>
  <c r="CR145" i="6"/>
  <c r="CO333" i="6"/>
  <c r="CR333" i="6"/>
  <c r="CO95" i="6"/>
  <c r="CR95" i="6"/>
  <c r="CO179" i="6"/>
  <c r="CR179" i="6"/>
  <c r="DC178" i="6" s="1"/>
  <c r="CO243" i="6"/>
  <c r="CR243" i="6"/>
  <c r="CS307" i="6"/>
  <c r="CO371" i="6"/>
  <c r="CR371" i="6"/>
  <c r="CO435" i="6"/>
  <c r="CR435" i="6"/>
  <c r="CO336" i="6"/>
  <c r="CR336" i="6"/>
  <c r="CO177" i="6"/>
  <c r="CR177" i="6"/>
  <c r="DC176" i="6" s="1"/>
  <c r="CO357" i="6"/>
  <c r="CR357" i="6"/>
  <c r="CO128" i="6"/>
  <c r="CR128" i="6"/>
  <c r="CO248" i="6"/>
  <c r="CR248" i="6"/>
  <c r="CO385" i="6"/>
  <c r="CR385" i="6"/>
  <c r="CO434" i="6"/>
  <c r="CR434" i="6"/>
  <c r="DC433" i="6" s="1"/>
  <c r="CN233" i="6"/>
  <c r="CR233" i="6"/>
  <c r="CO138" i="6"/>
  <c r="CR138" i="6"/>
  <c r="CO202" i="6"/>
  <c r="CR202" i="6"/>
  <c r="CO266" i="6"/>
  <c r="CR266" i="6"/>
  <c r="CO330" i="6"/>
  <c r="CR330" i="6"/>
  <c r="CO394" i="6"/>
  <c r="CR394" i="6"/>
  <c r="DC393" i="6" s="1"/>
  <c r="CO70" i="6"/>
  <c r="CR70" i="6"/>
  <c r="CO308" i="6"/>
  <c r="CR308" i="6"/>
  <c r="CO416" i="6"/>
  <c r="CR416" i="6"/>
  <c r="CO85" i="6"/>
  <c r="CR85" i="6"/>
  <c r="CO69" i="6"/>
  <c r="CR69" i="6"/>
  <c r="CO351" i="6"/>
  <c r="CR351" i="6"/>
  <c r="DC350" i="6" s="1"/>
  <c r="CN415" i="6"/>
  <c r="CR415" i="6"/>
  <c r="CO284" i="6"/>
  <c r="CR284" i="6"/>
  <c r="DC283" i="6" s="1"/>
  <c r="CN64" i="6"/>
  <c r="CR64" i="6"/>
  <c r="CO125" i="6"/>
  <c r="CR125" i="6"/>
  <c r="CO301" i="6"/>
  <c r="CR301" i="6"/>
  <c r="CO108" i="6"/>
  <c r="CR108" i="6"/>
  <c r="DC107" i="6" s="1"/>
  <c r="CS180" i="6"/>
  <c r="CT180" i="6" s="1"/>
  <c r="CU180" i="6" s="1"/>
  <c r="CS424" i="6"/>
  <c r="CT424" i="6" s="1"/>
  <c r="CU424" i="6" s="1"/>
  <c r="CS105" i="6"/>
  <c r="CT105" i="6" s="1"/>
  <c r="CU105" i="6" s="1"/>
  <c r="CS317" i="6"/>
  <c r="CT317" i="6" s="1"/>
  <c r="CU317" i="6" s="1"/>
  <c r="CO118" i="6"/>
  <c r="CR118" i="6"/>
  <c r="CO182" i="6"/>
  <c r="CR182" i="6"/>
  <c r="CN246" i="6"/>
  <c r="CR246" i="6"/>
  <c r="CO374" i="6"/>
  <c r="CR374" i="6"/>
  <c r="CO256" i="6"/>
  <c r="CR256" i="6"/>
  <c r="CO217" i="6"/>
  <c r="CR217" i="6"/>
  <c r="CO405" i="6"/>
  <c r="CR405" i="6"/>
  <c r="CO203" i="6"/>
  <c r="CR203" i="6"/>
  <c r="CO267" i="6"/>
  <c r="CR267" i="6"/>
  <c r="CO395" i="6"/>
  <c r="CR395" i="6"/>
  <c r="CO71" i="6"/>
  <c r="CR71" i="6"/>
  <c r="CO148" i="6"/>
  <c r="CR148" i="6"/>
  <c r="DC147" i="6" s="1"/>
  <c r="CO228" i="6"/>
  <c r="CR228" i="6"/>
  <c r="CO400" i="6"/>
  <c r="CR400" i="6"/>
  <c r="CO245" i="6"/>
  <c r="CR245" i="6"/>
  <c r="CS425" i="6"/>
  <c r="CT425" i="6" s="1"/>
  <c r="CU425" i="6" s="1"/>
  <c r="CO160" i="6"/>
  <c r="CR160" i="6"/>
  <c r="CO344" i="6"/>
  <c r="CR344" i="6"/>
  <c r="CN441" i="6"/>
  <c r="CR441" i="6"/>
  <c r="CO249" i="6"/>
  <c r="CR249" i="6"/>
  <c r="CS77" i="6"/>
  <c r="CO114" i="6"/>
  <c r="CR114" i="6"/>
  <c r="CO391" i="6"/>
  <c r="CR391" i="6"/>
  <c r="CO237" i="6"/>
  <c r="CR237" i="6"/>
  <c r="CO98" i="6"/>
  <c r="CR98" i="6"/>
  <c r="CO162" i="6"/>
  <c r="CR162" i="6"/>
  <c r="CO226" i="6"/>
  <c r="CR226" i="6"/>
  <c r="CO290" i="6"/>
  <c r="CR290" i="6"/>
  <c r="DC289" i="6" s="1"/>
  <c r="CO354" i="6"/>
  <c r="CR354" i="6"/>
  <c r="CO200" i="6"/>
  <c r="CR200" i="6"/>
  <c r="CO372" i="6"/>
  <c r="CR372" i="6"/>
  <c r="CO341" i="6"/>
  <c r="CR341" i="6"/>
  <c r="CO99" i="6"/>
  <c r="CR99" i="6"/>
  <c r="CN311" i="6"/>
  <c r="CR311" i="6"/>
  <c r="DC310" i="6" s="1"/>
  <c r="CO375" i="6"/>
  <c r="CR375" i="6"/>
  <c r="CO439" i="6"/>
  <c r="CR439" i="6"/>
  <c r="DC438" i="6" s="1"/>
  <c r="CO348" i="6"/>
  <c r="CR348" i="6"/>
  <c r="CO189" i="6"/>
  <c r="CR189" i="6"/>
  <c r="CO369" i="6"/>
  <c r="CR369" i="6"/>
  <c r="CO132" i="6"/>
  <c r="CR132" i="6"/>
  <c r="CO268" i="6"/>
  <c r="CR268" i="6"/>
  <c r="CO185" i="6"/>
  <c r="CR185" i="6"/>
  <c r="CO397" i="6"/>
  <c r="CR397" i="6"/>
  <c r="CN142" i="6"/>
  <c r="CR142" i="6"/>
  <c r="CO206" i="6"/>
  <c r="CR206" i="6"/>
  <c r="CO270" i="6"/>
  <c r="CR270" i="6"/>
  <c r="CO334" i="6"/>
  <c r="CR334" i="6"/>
  <c r="CO398" i="6"/>
  <c r="CR398" i="6"/>
  <c r="CO320" i="6"/>
  <c r="CR320" i="6"/>
  <c r="CN428" i="6"/>
  <c r="CR428" i="6"/>
  <c r="CO97" i="6"/>
  <c r="CR97" i="6"/>
  <c r="CN285" i="6"/>
  <c r="CR285" i="6"/>
  <c r="CO81" i="6"/>
  <c r="CR81" i="6"/>
  <c r="DC80" i="6" s="1"/>
  <c r="CO227" i="6"/>
  <c r="CR227" i="6"/>
  <c r="CO355" i="6"/>
  <c r="CR355" i="6"/>
  <c r="CO419" i="6"/>
  <c r="CR419" i="6"/>
  <c r="CO292" i="6"/>
  <c r="CR292" i="6"/>
  <c r="CO313" i="6"/>
  <c r="CR313" i="6"/>
  <c r="CO112" i="6"/>
  <c r="CR112" i="6"/>
  <c r="CS192" i="6"/>
  <c r="CT192" i="6" s="1"/>
  <c r="CU192" i="6" s="1"/>
  <c r="CS117" i="6"/>
  <c r="CT117" i="6" s="1"/>
  <c r="CU117" i="6" s="1"/>
  <c r="CO329" i="6"/>
  <c r="CR329" i="6"/>
  <c r="CN389" i="6"/>
  <c r="CR389" i="6"/>
  <c r="CO263" i="6"/>
  <c r="CR263" i="6"/>
  <c r="CO216" i="6"/>
  <c r="CR216" i="6"/>
  <c r="CO417" i="6"/>
  <c r="CR417" i="6"/>
  <c r="CO65" i="6"/>
  <c r="CR65" i="6"/>
  <c r="CO122" i="6"/>
  <c r="CR122" i="6"/>
  <c r="CO186" i="6"/>
  <c r="CR186" i="6"/>
  <c r="CO250" i="6"/>
  <c r="CR250" i="6"/>
  <c r="CO314" i="6"/>
  <c r="CR314" i="6"/>
  <c r="CO378" i="6"/>
  <c r="CR378" i="6"/>
  <c r="CO54" i="6"/>
  <c r="CR54" i="6"/>
  <c r="CO264" i="6"/>
  <c r="CR264" i="6"/>
  <c r="CO229" i="6"/>
  <c r="CR229" i="6"/>
  <c r="CO123" i="6"/>
  <c r="CR123" i="6"/>
  <c r="CN207" i="6"/>
  <c r="CR207" i="6"/>
  <c r="CO271" i="6"/>
  <c r="CR271" i="6"/>
  <c r="CO335" i="6"/>
  <c r="CR335" i="6"/>
  <c r="CO399" i="6"/>
  <c r="CR399" i="6"/>
  <c r="CO75" i="6"/>
  <c r="CR75" i="6"/>
  <c r="CO240" i="6"/>
  <c r="CR240" i="6"/>
  <c r="CO412" i="6"/>
  <c r="CR412" i="6"/>
  <c r="CO76" i="6"/>
  <c r="CR76" i="6"/>
  <c r="CO257" i="6"/>
  <c r="CR257" i="6"/>
  <c r="CO437" i="6"/>
  <c r="CR437" i="6"/>
  <c r="CO92" i="6"/>
  <c r="CR92" i="6"/>
  <c r="CO164" i="6"/>
  <c r="CR164" i="6"/>
  <c r="CO364" i="6"/>
  <c r="CR364" i="6"/>
  <c r="CO440" i="6"/>
  <c r="CR440" i="6"/>
  <c r="CO261" i="6"/>
  <c r="CR261" i="6"/>
  <c r="CO102" i="6"/>
  <c r="CR102" i="6"/>
  <c r="CO166" i="6"/>
  <c r="CR166" i="6"/>
  <c r="CO230" i="6"/>
  <c r="CR230" i="6"/>
  <c r="CO358" i="6"/>
  <c r="CR358" i="6"/>
  <c r="CO422" i="6"/>
  <c r="CR422" i="6"/>
  <c r="CO384" i="6"/>
  <c r="CR384" i="6"/>
  <c r="CO353" i="6"/>
  <c r="CR353" i="6"/>
  <c r="CN103" i="6"/>
  <c r="CR103" i="6"/>
  <c r="CO187" i="6"/>
  <c r="CR187" i="6"/>
  <c r="CO251" i="6"/>
  <c r="CR251" i="6"/>
  <c r="CO315" i="6"/>
  <c r="CR315" i="6"/>
  <c r="CO379" i="6"/>
  <c r="CR379" i="6"/>
  <c r="CO55" i="6"/>
  <c r="CR55" i="6"/>
  <c r="CO184" i="6"/>
  <c r="CR184" i="6"/>
  <c r="CO356" i="6"/>
  <c r="CR356" i="6"/>
  <c r="CO201" i="6"/>
  <c r="CR201" i="6"/>
  <c r="CO381" i="6"/>
  <c r="CR381" i="6"/>
  <c r="CO136" i="6"/>
  <c r="CR136" i="6"/>
  <c r="DC135" i="6" s="1"/>
  <c r="CO280" i="6"/>
  <c r="CR280" i="6"/>
  <c r="CO197" i="6"/>
  <c r="CR197" i="6"/>
  <c r="CO409" i="6"/>
  <c r="CR409" i="6"/>
  <c r="CO146" i="6"/>
  <c r="CR146" i="6"/>
  <c r="CO274" i="6"/>
  <c r="CR274" i="6"/>
  <c r="DC273" i="6" s="1"/>
  <c r="CO338" i="6"/>
  <c r="CR338" i="6"/>
  <c r="CO78" i="6"/>
  <c r="CR78" i="6"/>
  <c r="CO328" i="6"/>
  <c r="CR328" i="6"/>
  <c r="CO436" i="6"/>
  <c r="CR436" i="6"/>
  <c r="CO109" i="6"/>
  <c r="CR109" i="6"/>
  <c r="CO83" i="6"/>
  <c r="CR83" i="6"/>
  <c r="DC82" i="6" s="1"/>
  <c r="CO231" i="6"/>
  <c r="CR231" i="6"/>
  <c r="CO295" i="6"/>
  <c r="CR295" i="6"/>
  <c r="CO359" i="6"/>
  <c r="CR359" i="6"/>
  <c r="CO423" i="6"/>
  <c r="CR423" i="6"/>
  <c r="CO304" i="6"/>
  <c r="CR304" i="6"/>
  <c r="CO325" i="6"/>
  <c r="CR325" i="6"/>
  <c r="CN116" i="6"/>
  <c r="CR116" i="6"/>
  <c r="DC115" i="6" s="1"/>
  <c r="CO204" i="6"/>
  <c r="CR204" i="6"/>
  <c r="CN129" i="6"/>
  <c r="CR129" i="6"/>
  <c r="CO349" i="6"/>
  <c r="CR349" i="6"/>
  <c r="CO126" i="6"/>
  <c r="CR126" i="6"/>
  <c r="CO190" i="6"/>
  <c r="CR190" i="6"/>
  <c r="CO254" i="6"/>
  <c r="CR254" i="6"/>
  <c r="CO318" i="6"/>
  <c r="CR318" i="6"/>
  <c r="CO382" i="6"/>
  <c r="CR382" i="6"/>
  <c r="CO276" i="6"/>
  <c r="CR276" i="6"/>
  <c r="CO241" i="6"/>
  <c r="CR241" i="6"/>
  <c r="CO421" i="6"/>
  <c r="CR421" i="6"/>
  <c r="CO127" i="6"/>
  <c r="CR127" i="6"/>
  <c r="CO211" i="6"/>
  <c r="CR211" i="6"/>
  <c r="DC210" i="6" s="1"/>
  <c r="CO339" i="6"/>
  <c r="CR339" i="6"/>
  <c r="CO403" i="6"/>
  <c r="CR403" i="6"/>
  <c r="CO79" i="6"/>
  <c r="CR79" i="6"/>
  <c r="CO252" i="6"/>
  <c r="CR252" i="6"/>
  <c r="CO420" i="6"/>
  <c r="CR420" i="6"/>
  <c r="CO89" i="6"/>
  <c r="CR89" i="6"/>
  <c r="CO269" i="6"/>
  <c r="CR269" i="6"/>
  <c r="CO61" i="6"/>
  <c r="CR61" i="6"/>
  <c r="CO96" i="6"/>
  <c r="CR96" i="6"/>
  <c r="CN168" i="6"/>
  <c r="CR168" i="6"/>
  <c r="CN376" i="6"/>
  <c r="CR376" i="6"/>
  <c r="CO68" i="6"/>
  <c r="CR68" i="6"/>
  <c r="CS273" i="6"/>
  <c r="CT273" i="6" s="1"/>
  <c r="CU273" i="6" s="1"/>
  <c r="CO242" i="6"/>
  <c r="CR242" i="6"/>
  <c r="CO392" i="6"/>
  <c r="CR392" i="6"/>
  <c r="CO106" i="6"/>
  <c r="CR106" i="6"/>
  <c r="CO170" i="6"/>
  <c r="CR170" i="6"/>
  <c r="CO234" i="6"/>
  <c r="CR234" i="6"/>
  <c r="CO362" i="6"/>
  <c r="CR362" i="6"/>
  <c r="CO426" i="6"/>
  <c r="CR426" i="6"/>
  <c r="CO224" i="6"/>
  <c r="CR224" i="6"/>
  <c r="DC223" i="6" s="1"/>
  <c r="CN181" i="6"/>
  <c r="CR181" i="6"/>
  <c r="DC180" i="6" s="1"/>
  <c r="CO365" i="6"/>
  <c r="CR365" i="6"/>
  <c r="CO191" i="6"/>
  <c r="CR191" i="6"/>
  <c r="CO319" i="6"/>
  <c r="CR319" i="6"/>
  <c r="CO59" i="6"/>
  <c r="CR59" i="6"/>
  <c r="CO196" i="6"/>
  <c r="CR196" i="6"/>
  <c r="CO213" i="6"/>
  <c r="CR213" i="6"/>
  <c r="DC212" i="6" s="1"/>
  <c r="CS393" i="6"/>
  <c r="CT393" i="6" s="1"/>
  <c r="CU393" i="6" s="1"/>
  <c r="CO140" i="6"/>
  <c r="CR140" i="6"/>
  <c r="DC139" i="6" s="1"/>
  <c r="CO300" i="6"/>
  <c r="CR300" i="6"/>
  <c r="CO209" i="6"/>
  <c r="CR209" i="6"/>
  <c r="CO429" i="6"/>
  <c r="CR429" i="6"/>
  <c r="CO86" i="6"/>
  <c r="CR86" i="6"/>
  <c r="CO150" i="6"/>
  <c r="CR150" i="6"/>
  <c r="DC149" i="6" s="1"/>
  <c r="CO214" i="6"/>
  <c r="CR214" i="6"/>
  <c r="CO278" i="6"/>
  <c r="CR278" i="6"/>
  <c r="CO342" i="6"/>
  <c r="CR342" i="6"/>
  <c r="DC342" i="6" s="1"/>
  <c r="CO406" i="6"/>
  <c r="CR406" i="6"/>
  <c r="CO340" i="6"/>
  <c r="CR340" i="6"/>
  <c r="CO396" i="6"/>
  <c r="CR396" i="6"/>
  <c r="CO87" i="6"/>
  <c r="CR87" i="6"/>
  <c r="CO235" i="6"/>
  <c r="CR235" i="6"/>
  <c r="CO299" i="6"/>
  <c r="CR299" i="6"/>
  <c r="CN363" i="6"/>
  <c r="CR363" i="6"/>
  <c r="CO316" i="6"/>
  <c r="CR316" i="6"/>
  <c r="CO161" i="6"/>
  <c r="CR161" i="6"/>
  <c r="CN337" i="6"/>
  <c r="CR337" i="6"/>
  <c r="CO120" i="6"/>
  <c r="CR120" i="6"/>
  <c r="DC119" i="6" s="1"/>
  <c r="CN220" i="6"/>
  <c r="CR220" i="6"/>
  <c r="CO141" i="6"/>
  <c r="CR141" i="6"/>
  <c r="CO361" i="6"/>
  <c r="CR361" i="6"/>
  <c r="DC360" i="6" s="1"/>
  <c r="CO130" i="6"/>
  <c r="CR130" i="6"/>
  <c r="CQ458" i="6"/>
  <c r="CO258" i="6"/>
  <c r="CR258" i="6"/>
  <c r="CO322" i="6"/>
  <c r="CR322" i="6"/>
  <c r="CO62" i="6"/>
  <c r="CR62" i="6"/>
  <c r="CO288" i="6"/>
  <c r="CR288" i="6"/>
  <c r="DC287" i="6" s="1"/>
  <c r="CO60" i="6"/>
  <c r="CR60" i="6"/>
  <c r="CO253" i="6"/>
  <c r="CR253" i="6"/>
  <c r="CO131" i="6"/>
  <c r="CR131" i="6"/>
  <c r="CO215" i="6"/>
  <c r="CR215" i="6"/>
  <c r="CO279" i="6"/>
  <c r="CR279" i="6"/>
  <c r="CO343" i="6"/>
  <c r="CR343" i="6"/>
  <c r="CO407" i="6"/>
  <c r="CR407" i="6"/>
  <c r="CO260" i="6"/>
  <c r="CR260" i="6"/>
  <c r="CO432" i="6"/>
  <c r="CR432" i="6"/>
  <c r="CO101" i="6"/>
  <c r="CR101" i="6"/>
  <c r="CS281" i="6"/>
  <c r="CT281" i="6" s="1"/>
  <c r="CU281" i="6" s="1"/>
  <c r="CO73" i="6"/>
  <c r="CR73" i="6"/>
  <c r="CO100" i="6"/>
  <c r="CR100" i="6"/>
  <c r="CO172" i="6"/>
  <c r="CR172" i="6"/>
  <c r="DC172" i="6" s="1"/>
  <c r="CS388" i="6"/>
  <c r="CT388" i="6" s="1"/>
  <c r="CU388" i="6" s="1"/>
  <c r="CS80" i="6"/>
  <c r="CT80" i="6" s="1"/>
  <c r="CU80" i="6" s="1"/>
  <c r="CO293" i="6"/>
  <c r="CR293" i="6"/>
  <c r="CO110" i="6"/>
  <c r="CR110" i="6"/>
  <c r="CO174" i="6"/>
  <c r="CR174" i="6"/>
  <c r="CO238" i="6"/>
  <c r="CR238" i="6"/>
  <c r="CO366" i="6"/>
  <c r="CR366" i="6"/>
  <c r="CO430" i="6"/>
  <c r="CR430" i="6"/>
  <c r="CO232" i="6"/>
  <c r="CR232" i="6"/>
  <c r="CO193" i="6"/>
  <c r="CR193" i="6"/>
  <c r="CO377" i="6"/>
  <c r="CR377" i="6"/>
  <c r="CO111" i="6"/>
  <c r="CR111" i="6"/>
  <c r="CO195" i="6"/>
  <c r="CR195" i="6"/>
  <c r="DC194" i="6" s="1"/>
  <c r="CN259" i="6"/>
  <c r="CR259" i="6"/>
  <c r="CO387" i="6"/>
  <c r="CR387" i="6"/>
  <c r="DC386" i="6" s="1"/>
  <c r="CO63" i="6"/>
  <c r="CR63" i="6"/>
  <c r="CS208" i="6"/>
  <c r="CO380" i="6"/>
  <c r="CR380" i="6"/>
  <c r="CO225" i="6"/>
  <c r="CR225" i="6"/>
  <c r="CO401" i="6"/>
  <c r="CR401" i="6"/>
  <c r="CO144" i="6"/>
  <c r="CR144" i="6"/>
  <c r="DC143" i="6" s="1"/>
  <c r="CO312" i="6"/>
  <c r="CR312" i="6"/>
  <c r="CO221" i="6"/>
  <c r="CR221" i="6"/>
  <c r="CO53" i="6"/>
  <c r="CR53" i="6"/>
  <c r="CO154" i="6"/>
  <c r="CR154" i="6"/>
  <c r="DC153" i="6" s="1"/>
  <c r="CO218" i="6"/>
  <c r="CR218" i="6"/>
  <c r="CO282" i="6"/>
  <c r="CR282" i="6"/>
  <c r="CO410" i="6"/>
  <c r="CR410" i="6"/>
  <c r="CO152" i="6"/>
  <c r="CR152" i="6"/>
  <c r="DC151" i="6" s="1"/>
  <c r="CO352" i="6"/>
  <c r="CR352" i="6"/>
  <c r="CO133" i="6"/>
  <c r="CR133" i="6"/>
  <c r="CO321" i="6"/>
  <c r="CR321" i="6"/>
  <c r="CO91" i="6"/>
  <c r="CR91" i="6"/>
  <c r="DC90" i="6" s="1"/>
  <c r="CN155" i="6"/>
  <c r="CR155" i="6"/>
  <c r="CO303" i="6"/>
  <c r="CR303" i="6"/>
  <c r="CO367" i="6"/>
  <c r="CR367" i="6"/>
  <c r="CQ447" i="6"/>
  <c r="CT51" i="6"/>
  <c r="CN324" i="6"/>
  <c r="CR324" i="6"/>
  <c r="CS169" i="6"/>
  <c r="CT169" i="6" s="1"/>
  <c r="CU169" i="6" s="1"/>
  <c r="CO345" i="6"/>
  <c r="CR345" i="6"/>
  <c r="CO124" i="6"/>
  <c r="CR124" i="6"/>
  <c r="CO236" i="6"/>
  <c r="CR236" i="6"/>
  <c r="CO157" i="6"/>
  <c r="CR157" i="6"/>
  <c r="CO373" i="6"/>
  <c r="CR373" i="6"/>
  <c r="CN248" i="6"/>
  <c r="CN429" i="6"/>
  <c r="CN411" i="6"/>
  <c r="CN65" i="6"/>
  <c r="CN332" i="6"/>
  <c r="CN361" i="6"/>
  <c r="CN225" i="6"/>
  <c r="CN401" i="6"/>
  <c r="CN349" i="6"/>
  <c r="CN312" i="6"/>
  <c r="CN305" i="6"/>
  <c r="CN293" i="6"/>
  <c r="CN249" i="6"/>
  <c r="CN236" i="6"/>
  <c r="CN197" i="6"/>
  <c r="CN132" i="6"/>
  <c r="CN112" i="6"/>
  <c r="CN100" i="6"/>
  <c r="CN96" i="6"/>
  <c r="CN141" i="6"/>
  <c r="CN237" i="6"/>
  <c r="CN409" i="6"/>
  <c r="CN268" i="6"/>
  <c r="CN440" i="6"/>
  <c r="CN357" i="6"/>
  <c r="CN216" i="6"/>
  <c r="CN263" i="6"/>
  <c r="CN267" i="6"/>
  <c r="CN355" i="6"/>
  <c r="CN371" i="6"/>
  <c r="CN407" i="6"/>
  <c r="CN420" i="6"/>
  <c r="CN325" i="6"/>
  <c r="CN184" i="6"/>
  <c r="CN111" i="6"/>
  <c r="CN195" i="6"/>
  <c r="CN373" i="6"/>
  <c r="CN209" i="6"/>
  <c r="CN315" i="6"/>
  <c r="CN387" i="6"/>
  <c r="CN403" i="6"/>
  <c r="CN196" i="6"/>
  <c r="CN252" i="6"/>
  <c r="CN71" i="6"/>
  <c r="CN148" i="6"/>
  <c r="CN369" i="6"/>
  <c r="CN67" i="6"/>
  <c r="CN405" i="6"/>
  <c r="CN344" i="6"/>
  <c r="CN335" i="6"/>
  <c r="CN189" i="6"/>
  <c r="CN231" i="6"/>
  <c r="CN437" i="6"/>
  <c r="CN292" i="6"/>
  <c r="CN435" i="6"/>
  <c r="CN439" i="6"/>
  <c r="CN400" i="6"/>
  <c r="CN257" i="6"/>
  <c r="CN353" i="6"/>
  <c r="CN124" i="6"/>
  <c r="CN128" i="6"/>
  <c r="CN316" i="6"/>
  <c r="CN108" i="6"/>
  <c r="CN304" i="6"/>
  <c r="CN412" i="6"/>
  <c r="CN76" i="6"/>
  <c r="CN251" i="6"/>
  <c r="CN213" i="6"/>
  <c r="CN92" i="6"/>
  <c r="CN215" i="6"/>
  <c r="CN243" i="6"/>
  <c r="CN319" i="6"/>
  <c r="CN343" i="6"/>
  <c r="CN55" i="6"/>
  <c r="CN271" i="6"/>
  <c r="CN375" i="6"/>
  <c r="CN379" i="6"/>
  <c r="CN359" i="6"/>
  <c r="CN201" i="6"/>
  <c r="CN245" i="6"/>
  <c r="CN385" i="6"/>
  <c r="CN156" i="6"/>
  <c r="CN157" i="6"/>
  <c r="CN391" i="6"/>
  <c r="CN279" i="6"/>
  <c r="CN299" i="6"/>
  <c r="CN303" i="6"/>
  <c r="CN75" i="6"/>
  <c r="CN79" i="6"/>
  <c r="CN68" i="6"/>
  <c r="CN179" i="6"/>
  <c r="CN203" i="6"/>
  <c r="CN419" i="6"/>
  <c r="CN380" i="6"/>
  <c r="CN351" i="6"/>
  <c r="CN59" i="6"/>
  <c r="CN63" i="6"/>
  <c r="CN83" i="6"/>
  <c r="CN84" i="6"/>
  <c r="CN144" i="6"/>
  <c r="CN260" i="6"/>
  <c r="CN364" i="6"/>
  <c r="CN87" i="6"/>
  <c r="CN95" i="6"/>
  <c r="CN123" i="6"/>
  <c r="CN127" i="6"/>
  <c r="CN172" i="6"/>
  <c r="CN204" i="6"/>
  <c r="CN336" i="6"/>
  <c r="CN432" i="6"/>
  <c r="CN91" i="6"/>
  <c r="CN99" i="6"/>
  <c r="CN295" i="6"/>
  <c r="CN395" i="6"/>
  <c r="CN399" i="6"/>
  <c r="CN423" i="6"/>
  <c r="CN104" i="6"/>
  <c r="CN120" i="6"/>
  <c r="CN53" i="6"/>
  <c r="CN381" i="6"/>
  <c r="CN392" i="6"/>
  <c r="CN367" i="6"/>
  <c r="CN356" i="6"/>
  <c r="CN348" i="6"/>
  <c r="CN341" i="6"/>
  <c r="CN339" i="6"/>
  <c r="CN329" i="6"/>
  <c r="CN321" i="6"/>
  <c r="CN300" i="6"/>
  <c r="CN284" i="6"/>
  <c r="CN280" i="6"/>
  <c r="CN261" i="6"/>
  <c r="CN240" i="6"/>
  <c r="CN235" i="6"/>
  <c r="CN228" i="6"/>
  <c r="CN227" i="6"/>
  <c r="CN221" i="6"/>
  <c r="CN219" i="6"/>
  <c r="CN211" i="6"/>
  <c r="CN191" i="6"/>
  <c r="CN187" i="6"/>
  <c r="CN164" i="6"/>
  <c r="CN140" i="6"/>
  <c r="CN136" i="6"/>
  <c r="CN131" i="6"/>
  <c r="CN73" i="6"/>
  <c r="CO90" i="6"/>
  <c r="CN310" i="6"/>
  <c r="CO310" i="6"/>
  <c r="CN346" i="6"/>
  <c r="CO346" i="6"/>
  <c r="CO350" i="6"/>
  <c r="CN370" i="6"/>
  <c r="CO370" i="6"/>
  <c r="CN212" i="6"/>
  <c r="CO212" i="6"/>
  <c r="CN296" i="6"/>
  <c r="CO296" i="6"/>
  <c r="CN199" i="6"/>
  <c r="CO199" i="6"/>
  <c r="CN308" i="6"/>
  <c r="CN320" i="6"/>
  <c r="CN328" i="6"/>
  <c r="CN340" i="6"/>
  <c r="CN352" i="6"/>
  <c r="CO363" i="6"/>
  <c r="CO415" i="6"/>
  <c r="CN208" i="6"/>
  <c r="CO208" i="6"/>
  <c r="CN241" i="6"/>
  <c r="CN314" i="6"/>
  <c r="CN326" i="6"/>
  <c r="CN338" i="6"/>
  <c r="CN426" i="6"/>
  <c r="CN62" i="6"/>
  <c r="CO116" i="6"/>
  <c r="CO168" i="6"/>
  <c r="CN222" i="6"/>
  <c r="CN238" i="6"/>
  <c r="CN250" i="6"/>
  <c r="CN262" i="6"/>
  <c r="CN274" i="6"/>
  <c r="CN317" i="6"/>
  <c r="CO317" i="6"/>
  <c r="CN210" i="6"/>
  <c r="CO210" i="6"/>
  <c r="CN294" i="6"/>
  <c r="CO294" i="6"/>
  <c r="CO298" i="6"/>
  <c r="CN302" i="6"/>
  <c r="CO302" i="6"/>
  <c r="CN438" i="6"/>
  <c r="CO438" i="6"/>
  <c r="CN58" i="6"/>
  <c r="CO58" i="6"/>
  <c r="CN66" i="6"/>
  <c r="CO66" i="6"/>
  <c r="CN74" i="6"/>
  <c r="CO74" i="6"/>
  <c r="CN82" i="6"/>
  <c r="CO82" i="6"/>
  <c r="CN322" i="6"/>
  <c r="CN334" i="6"/>
  <c r="CN342" i="6"/>
  <c r="CN354" i="6"/>
  <c r="CN366" i="6"/>
  <c r="CN378" i="6"/>
  <c r="CN390" i="6"/>
  <c r="CN414" i="6"/>
  <c r="CN434" i="6"/>
  <c r="CN70" i="6"/>
  <c r="CN183" i="6"/>
  <c r="CO183" i="6"/>
  <c r="CN188" i="6"/>
  <c r="CN224" i="6"/>
  <c r="CN232" i="6"/>
  <c r="CN244" i="6"/>
  <c r="CN256" i="6"/>
  <c r="CN264" i="6"/>
  <c r="CN276" i="6"/>
  <c r="CN288" i="6"/>
  <c r="CN307" i="6"/>
  <c r="CO307" i="6"/>
  <c r="CO311" i="6"/>
  <c r="CN323" i="6"/>
  <c r="CO323" i="6"/>
  <c r="CN327" i="6"/>
  <c r="CO327" i="6"/>
  <c r="CN331" i="6"/>
  <c r="CO331" i="6"/>
  <c r="CN347" i="6"/>
  <c r="CO347" i="6"/>
  <c r="CN60" i="6"/>
  <c r="CN214" i="6"/>
  <c r="CN226" i="6"/>
  <c r="CN234" i="6"/>
  <c r="CN258" i="6"/>
  <c r="CN270" i="6"/>
  <c r="CN282" i="6"/>
  <c r="CN290" i="6"/>
  <c r="CO337" i="6"/>
  <c r="CN425" i="6"/>
  <c r="CO425" i="6"/>
  <c r="CN109" i="6"/>
  <c r="CN145" i="6"/>
  <c r="CN161" i="6"/>
  <c r="CN301" i="6"/>
  <c r="CN333" i="6"/>
  <c r="CN345" i="6"/>
  <c r="CN365" i="6"/>
  <c r="CN377" i="6"/>
  <c r="CN424" i="6"/>
  <c r="CO424" i="6"/>
  <c r="CN69" i="6"/>
  <c r="CN81" i="6"/>
  <c r="CN106" i="6"/>
  <c r="CN118" i="6"/>
  <c r="CN130" i="6"/>
  <c r="CN158" i="6"/>
  <c r="CN174" i="6"/>
  <c r="CN198" i="6"/>
  <c r="CN273" i="6"/>
  <c r="CO273" i="6"/>
  <c r="CO77" i="6"/>
  <c r="CO142" i="6"/>
  <c r="CO194" i="6"/>
  <c r="CO246" i="6"/>
  <c r="CN86" i="6"/>
  <c r="CN110" i="6"/>
  <c r="CN122" i="6"/>
  <c r="CN154" i="6"/>
  <c r="CN166" i="6"/>
  <c r="CN182" i="6"/>
  <c r="CN194" i="6"/>
  <c r="CN206" i="6"/>
  <c r="CN230" i="6"/>
  <c r="CN242" i="6"/>
  <c r="CN254" i="6"/>
  <c r="CN266" i="6"/>
  <c r="CN278" i="6"/>
  <c r="CN286" i="6"/>
  <c r="CN298" i="6"/>
  <c r="CN309" i="6"/>
  <c r="CO309" i="6"/>
  <c r="CO389" i="6"/>
  <c r="CN406" i="6"/>
  <c r="CN413" i="6"/>
  <c r="CO413" i="6"/>
  <c r="CN422" i="6"/>
  <c r="CN433" i="6"/>
  <c r="CO433" i="6"/>
  <c r="CN152" i="6"/>
  <c r="CN175" i="6"/>
  <c r="CO175" i="6"/>
  <c r="CN223" i="6"/>
  <c r="CO223" i="6"/>
  <c r="CN239" i="6"/>
  <c r="CO239" i="6"/>
  <c r="CN247" i="6"/>
  <c r="CO247" i="6"/>
  <c r="CN255" i="6"/>
  <c r="CO255" i="6"/>
  <c r="CO259" i="6"/>
  <c r="CN275" i="6"/>
  <c r="CO275" i="6"/>
  <c r="CN283" i="6"/>
  <c r="CO283" i="6"/>
  <c r="CN287" i="6"/>
  <c r="CO287" i="6"/>
  <c r="CN291" i="6"/>
  <c r="CO291" i="6"/>
  <c r="CN384" i="6"/>
  <c r="CN396" i="6"/>
  <c r="CN436" i="6"/>
  <c r="CO324" i="6"/>
  <c r="CN368" i="6"/>
  <c r="CO368" i="6"/>
  <c r="CN57" i="6"/>
  <c r="CN90" i="6"/>
  <c r="CN102" i="6"/>
  <c r="CN114" i="6"/>
  <c r="CN126" i="6"/>
  <c r="CN138" i="6"/>
  <c r="CN150" i="6"/>
  <c r="CN170" i="6"/>
  <c r="CN190" i="6"/>
  <c r="CN202" i="6"/>
  <c r="CO233" i="6"/>
  <c r="CN281" i="6"/>
  <c r="CO281" i="6"/>
  <c r="CN289" i="6"/>
  <c r="CO289" i="6"/>
  <c r="CN382" i="6"/>
  <c r="CN394" i="6"/>
  <c r="CN85" i="6"/>
  <c r="CN89" i="6"/>
  <c r="CN97" i="6"/>
  <c r="CN101" i="6"/>
  <c r="CN125" i="6"/>
  <c r="CN133" i="6"/>
  <c r="CN177" i="6"/>
  <c r="CN193" i="6"/>
  <c r="CN205" i="6"/>
  <c r="CO220" i="6"/>
  <c r="CN269" i="6"/>
  <c r="CN313" i="6"/>
  <c r="CO376" i="6"/>
  <c r="CN388" i="6"/>
  <c r="CO388" i="6"/>
  <c r="CN408" i="6"/>
  <c r="CO408" i="6"/>
  <c r="CO441" i="6"/>
  <c r="CN80" i="6"/>
  <c r="CO80" i="6"/>
  <c r="CN94" i="6"/>
  <c r="CN105" i="6"/>
  <c r="CO105" i="6"/>
  <c r="CN117" i="6"/>
  <c r="CO117" i="6"/>
  <c r="CO129" i="6"/>
  <c r="CN173" i="6"/>
  <c r="CO173" i="6"/>
  <c r="CN186" i="6"/>
  <c r="CN410" i="6"/>
  <c r="CN430" i="6"/>
  <c r="CN78" i="6"/>
  <c r="CN178" i="6"/>
  <c r="CO178" i="6"/>
  <c r="CN386" i="6"/>
  <c r="CO386" i="6"/>
  <c r="CN402" i="6"/>
  <c r="CO402" i="6"/>
  <c r="CN418" i="6"/>
  <c r="CO418" i="6"/>
  <c r="CN360" i="6"/>
  <c r="CO360" i="6"/>
  <c r="CN404" i="6"/>
  <c r="CO404" i="6"/>
  <c r="CO428" i="6"/>
  <c r="CN72" i="6"/>
  <c r="CO72" i="6"/>
  <c r="CN98" i="6"/>
  <c r="CN121" i="6"/>
  <c r="CO121" i="6"/>
  <c r="CN134" i="6"/>
  <c r="CN146" i="6"/>
  <c r="CN153" i="6"/>
  <c r="CO153" i="6"/>
  <c r="CN165" i="6"/>
  <c r="CO165" i="6"/>
  <c r="CO181" i="6"/>
  <c r="CN218" i="6"/>
  <c r="CN265" i="6"/>
  <c r="CO265" i="6"/>
  <c r="CN277" i="6"/>
  <c r="CO277" i="6"/>
  <c r="CO285" i="6"/>
  <c r="CN297" i="6"/>
  <c r="CO297" i="6"/>
  <c r="CO103" i="6"/>
  <c r="CN107" i="6"/>
  <c r="CO107" i="6"/>
  <c r="CN115" i="6"/>
  <c r="CO115" i="6"/>
  <c r="CN119" i="6"/>
  <c r="CO119" i="6"/>
  <c r="CN135" i="6"/>
  <c r="CO135" i="6"/>
  <c r="CN139" i="6"/>
  <c r="CO139" i="6"/>
  <c r="CN143" i="6"/>
  <c r="CO143" i="6"/>
  <c r="CN147" i="6"/>
  <c r="CO147" i="6"/>
  <c r="CN151" i="6"/>
  <c r="CO151" i="6"/>
  <c r="CO155" i="6"/>
  <c r="CN159" i="6"/>
  <c r="CO159" i="6"/>
  <c r="CN163" i="6"/>
  <c r="CO163" i="6"/>
  <c r="CN167" i="6"/>
  <c r="CO167" i="6"/>
  <c r="CN171" i="6"/>
  <c r="CO171" i="6"/>
  <c r="CN200" i="6"/>
  <c r="CO207" i="6"/>
  <c r="CN372" i="6"/>
  <c r="CN383" i="6"/>
  <c r="CO383" i="6"/>
  <c r="CN416" i="6"/>
  <c r="CN427" i="6"/>
  <c r="CO427" i="6"/>
  <c r="CN431" i="6"/>
  <c r="CO431" i="6"/>
  <c r="CN52" i="6"/>
  <c r="CN217" i="6"/>
  <c r="CN229" i="6"/>
  <c r="CN253" i="6"/>
  <c r="CO272" i="6"/>
  <c r="CN421" i="6"/>
  <c r="CN56" i="6"/>
  <c r="CO56" i="6"/>
  <c r="CO64" i="6"/>
  <c r="CN113" i="6"/>
  <c r="CO113" i="6"/>
  <c r="CN137" i="6"/>
  <c r="CO137" i="6"/>
  <c r="CN149" i="6"/>
  <c r="CO149" i="6"/>
  <c r="CN162" i="6"/>
  <c r="CN169" i="6"/>
  <c r="CO169" i="6"/>
  <c r="CN358" i="6"/>
  <c r="CN393" i="6"/>
  <c r="CO393" i="6"/>
  <c r="CN88" i="6"/>
  <c r="CO88" i="6"/>
  <c r="CN176" i="6"/>
  <c r="CO176" i="6"/>
  <c r="CN180" i="6"/>
  <c r="CO180" i="6"/>
  <c r="CN192" i="6"/>
  <c r="CO192" i="6"/>
  <c r="CN306" i="6"/>
  <c r="CN318" i="6"/>
  <c r="CN330" i="6"/>
  <c r="CN350" i="6"/>
  <c r="CN362" i="6"/>
  <c r="CN374" i="6"/>
  <c r="CN398" i="6"/>
  <c r="CN54" i="6"/>
  <c r="BR406" i="6"/>
  <c r="BR83" i="6"/>
  <c r="BR80" i="6"/>
  <c r="BR67" i="6"/>
  <c r="BR85" i="6"/>
  <c r="BR117" i="6"/>
  <c r="BR149" i="6"/>
  <c r="BR181" i="6"/>
  <c r="BU457" i="6" s="1"/>
  <c r="BT457" i="6" s="1"/>
  <c r="BR197" i="6"/>
  <c r="BR213" i="6"/>
  <c r="BR245" i="6"/>
  <c r="BR261" i="6"/>
  <c r="BR277" i="6"/>
  <c r="BR293" i="6"/>
  <c r="BR309" i="6"/>
  <c r="BR325" i="6"/>
  <c r="BR341" i="6"/>
  <c r="BR357" i="6"/>
  <c r="BR373" i="6"/>
  <c r="BR389" i="6"/>
  <c r="BU473" i="6" s="1"/>
  <c r="BT473" i="6" s="1"/>
  <c r="BR405" i="6"/>
  <c r="BR421" i="6"/>
  <c r="BR437" i="6"/>
  <c r="BR101" i="6"/>
  <c r="BR133" i="6"/>
  <c r="BR165" i="6"/>
  <c r="BR229" i="6"/>
  <c r="BR55" i="6"/>
  <c r="BR422" i="6"/>
  <c r="BR438" i="6"/>
  <c r="BR65" i="6"/>
  <c r="BR81" i="6"/>
  <c r="BR76" i="6"/>
  <c r="BR52" i="6"/>
  <c r="BR84" i="6"/>
  <c r="BR100" i="6"/>
  <c r="BR116" i="6"/>
  <c r="BU452" i="6" s="1"/>
  <c r="BT452" i="6" s="1"/>
  <c r="BR132" i="6"/>
  <c r="BR148" i="6"/>
  <c r="BR164" i="6"/>
  <c r="BR180" i="6"/>
  <c r="BR196" i="6"/>
  <c r="BR212" i="6"/>
  <c r="BR228" i="6"/>
  <c r="BR244" i="6"/>
  <c r="BR260" i="6"/>
  <c r="BR276" i="6"/>
  <c r="BR292" i="6"/>
  <c r="BR308" i="6"/>
  <c r="BR324" i="6"/>
  <c r="BU468" i="6" s="1"/>
  <c r="BT468" i="6" s="1"/>
  <c r="BR340" i="6"/>
  <c r="BR356" i="6"/>
  <c r="BR372" i="6"/>
  <c r="BR388" i="6"/>
  <c r="BR404" i="6"/>
  <c r="BR420" i="6"/>
  <c r="BR436" i="6"/>
  <c r="BR90" i="6"/>
  <c r="BU450" i="6" s="1"/>
  <c r="BT450" i="6" s="1"/>
  <c r="BR106" i="6"/>
  <c r="BR122" i="6"/>
  <c r="BR138" i="6"/>
  <c r="BR154" i="6"/>
  <c r="BR170" i="6"/>
  <c r="BR186" i="6"/>
  <c r="BR202" i="6"/>
  <c r="BR218" i="6"/>
  <c r="BR234" i="6"/>
  <c r="BR250" i="6"/>
  <c r="BR266" i="6"/>
  <c r="BR282" i="6"/>
  <c r="BR298" i="6"/>
  <c r="BU466" i="6" s="1"/>
  <c r="BT466" i="6" s="1"/>
  <c r="BR314" i="6"/>
  <c r="BR330" i="6"/>
  <c r="BR346" i="6"/>
  <c r="BR362" i="6"/>
  <c r="BR378" i="6"/>
  <c r="BR394" i="6"/>
  <c r="BR410" i="6"/>
  <c r="BR426" i="6"/>
  <c r="BR53" i="6"/>
  <c r="BR69" i="6"/>
  <c r="BR64" i="6"/>
  <c r="BU448" i="6" s="1"/>
  <c r="BT448" i="6" s="1"/>
  <c r="BR95" i="6"/>
  <c r="BR111" i="6"/>
  <c r="BR127" i="6"/>
  <c r="BR143" i="6"/>
  <c r="BR159" i="6"/>
  <c r="BR175" i="6"/>
  <c r="BR191" i="6"/>
  <c r="BR207" i="6"/>
  <c r="BU459" i="6" s="1"/>
  <c r="BT459" i="6" s="1"/>
  <c r="BR223" i="6"/>
  <c r="BR239" i="6"/>
  <c r="BR255" i="6"/>
  <c r="BR271" i="6"/>
  <c r="BR287" i="6"/>
  <c r="BR303" i="6"/>
  <c r="BR319" i="6"/>
  <c r="BR335" i="6"/>
  <c r="BR351" i="6"/>
  <c r="BR367" i="6"/>
  <c r="BR383" i="6"/>
  <c r="BR399" i="6"/>
  <c r="BR415" i="6"/>
  <c r="BU475" i="6" s="1"/>
  <c r="BT475" i="6" s="1"/>
  <c r="BR431" i="6"/>
  <c r="BR58" i="6"/>
  <c r="BR74" i="6"/>
  <c r="BR72" i="6"/>
  <c r="BR99" i="6"/>
  <c r="BR115" i="6"/>
  <c r="BR131" i="6"/>
  <c r="BR147" i="6"/>
  <c r="BR163" i="6"/>
  <c r="BR179" i="6"/>
  <c r="BR195" i="6"/>
  <c r="BR211" i="6"/>
  <c r="BR227" i="6"/>
  <c r="BR243" i="6"/>
  <c r="BR259" i="6"/>
  <c r="BU463" i="6" s="1"/>
  <c r="BT463" i="6" s="1"/>
  <c r="BR275" i="6"/>
  <c r="BR291" i="6"/>
  <c r="BR307" i="6"/>
  <c r="BR323" i="6"/>
  <c r="BR339" i="6"/>
  <c r="BR355" i="6"/>
  <c r="BR371" i="6"/>
  <c r="BR387" i="6"/>
  <c r="BR403" i="6"/>
  <c r="BR419" i="6"/>
  <c r="BR435" i="6"/>
  <c r="BR62" i="6"/>
  <c r="BR78" i="6"/>
  <c r="BR92" i="6"/>
  <c r="BR108" i="6"/>
  <c r="BR124" i="6"/>
  <c r="BR140" i="6"/>
  <c r="BR156" i="6"/>
  <c r="BR172" i="6"/>
  <c r="BR188" i="6"/>
  <c r="BR204" i="6"/>
  <c r="BR220" i="6"/>
  <c r="BU460" i="6" s="1"/>
  <c r="BT460" i="6" s="1"/>
  <c r="BR236" i="6"/>
  <c r="BR252" i="6"/>
  <c r="BR268" i="6"/>
  <c r="BR284" i="6"/>
  <c r="BR300" i="6"/>
  <c r="BR316" i="6"/>
  <c r="BR332" i="6"/>
  <c r="BR348" i="6"/>
  <c r="BR364" i="6"/>
  <c r="BR380" i="6"/>
  <c r="BR396" i="6"/>
  <c r="BR412" i="6"/>
  <c r="BR428" i="6"/>
  <c r="BU476" i="6" s="1"/>
  <c r="BT476" i="6" s="1"/>
  <c r="BR98" i="6"/>
  <c r="BR114" i="6"/>
  <c r="BR130" i="6"/>
  <c r="BR146" i="6"/>
  <c r="BR162" i="6"/>
  <c r="BR178" i="6"/>
  <c r="BR194" i="6"/>
  <c r="BU458" i="6" s="1"/>
  <c r="BT458" i="6" s="1"/>
  <c r="BR210" i="6"/>
  <c r="BR226" i="6"/>
  <c r="BR242" i="6"/>
  <c r="BR258" i="6"/>
  <c r="BR274" i="6"/>
  <c r="BR290" i="6"/>
  <c r="BR306" i="6"/>
  <c r="BR322" i="6"/>
  <c r="BR338" i="6"/>
  <c r="BR354" i="6"/>
  <c r="BR370" i="6"/>
  <c r="BR386" i="6"/>
  <c r="BR402" i="6"/>
  <c r="BU474" i="6" s="1"/>
  <c r="BT474" i="6" s="1"/>
  <c r="BR418" i="6"/>
  <c r="BR434" i="6"/>
  <c r="BR61" i="6"/>
  <c r="BR77" i="6"/>
  <c r="BU449" i="6" s="1"/>
  <c r="BT449" i="6" s="1"/>
  <c r="BR87" i="6"/>
  <c r="BR103" i="6"/>
  <c r="BU451" i="6" s="1"/>
  <c r="BT451" i="6" s="1"/>
  <c r="BR119" i="6"/>
  <c r="BR135" i="6"/>
  <c r="BR151" i="6"/>
  <c r="BR167" i="6"/>
  <c r="BR183" i="6"/>
  <c r="BR199" i="6"/>
  <c r="BR215" i="6"/>
  <c r="BR231" i="6"/>
  <c r="BR247" i="6"/>
  <c r="BR263" i="6"/>
  <c r="BR279" i="6"/>
  <c r="BR295" i="6"/>
  <c r="BR311" i="6"/>
  <c r="BU467" i="6" s="1"/>
  <c r="BT467" i="6" s="1"/>
  <c r="BR327" i="6"/>
  <c r="BR343" i="6"/>
  <c r="BR359" i="6"/>
  <c r="BR375" i="6"/>
  <c r="BR391" i="6"/>
  <c r="BR407" i="6"/>
  <c r="BR423" i="6"/>
  <c r="BR439" i="6"/>
  <c r="BR66" i="6"/>
  <c r="BR82" i="6"/>
  <c r="BU447" i="6"/>
  <c r="BT447" i="6" s="1"/>
  <c r="BR91" i="6"/>
  <c r="BR107" i="6"/>
  <c r="BR123" i="6"/>
  <c r="BR139" i="6"/>
  <c r="BR155" i="6"/>
  <c r="BU455" i="6" s="1"/>
  <c r="BT455" i="6" s="1"/>
  <c r="BR171" i="6"/>
  <c r="BR187" i="6"/>
  <c r="BR203" i="6"/>
  <c r="BR219" i="6"/>
  <c r="BR235" i="6"/>
  <c r="BR251" i="6"/>
  <c r="BR267" i="6"/>
  <c r="BR283" i="6"/>
  <c r="BR299" i="6"/>
  <c r="BR315" i="6"/>
  <c r="BR331" i="6"/>
  <c r="BR347" i="6"/>
  <c r="BR363" i="6"/>
  <c r="BU471" i="6" s="1"/>
  <c r="BT471" i="6" s="1"/>
  <c r="BR379" i="6"/>
  <c r="BR395" i="6"/>
  <c r="BR411" i="6"/>
  <c r="BR427" i="6"/>
  <c r="BR54" i="6"/>
  <c r="BR70" i="6"/>
  <c r="BR56" i="6"/>
  <c r="D41" i="7"/>
  <c r="H42" i="7" s="1"/>
  <c r="I42" i="7" s="1"/>
  <c r="D38" i="7"/>
  <c r="J37" i="7" s="1"/>
  <c r="J38" i="7" s="1"/>
  <c r="D35" i="7"/>
  <c r="H36" i="7" s="1"/>
  <c r="I36" i="7" s="1"/>
  <c r="D32" i="7"/>
  <c r="H33" i="7" s="1"/>
  <c r="I33" i="7" s="1"/>
  <c r="H31" i="7"/>
  <c r="D29" i="7"/>
  <c r="J28" i="7" s="1"/>
  <c r="J29" i="7" s="1"/>
  <c r="D26" i="7"/>
  <c r="H27" i="7" s="1"/>
  <c r="I27" i="7" s="1"/>
  <c r="F25" i="7"/>
  <c r="F27" i="7" s="1"/>
  <c r="AL23" i="7"/>
  <c r="D23" i="7"/>
  <c r="H24" i="7" s="1"/>
  <c r="I24" i="7" s="1"/>
  <c r="AL22" i="7"/>
  <c r="F22" i="7"/>
  <c r="F21" i="7" s="1"/>
  <c r="F19" i="7" s="1"/>
  <c r="F18" i="7" s="1"/>
  <c r="F16" i="7" s="1"/>
  <c r="AL21" i="7"/>
  <c r="AL20" i="7"/>
  <c r="D20" i="7"/>
  <c r="J19" i="7" s="1"/>
  <c r="J20" i="7" s="1"/>
  <c r="AL19" i="7"/>
  <c r="AL18" i="7"/>
  <c r="D17" i="7"/>
  <c r="J18" i="7" s="1"/>
  <c r="D14" i="7"/>
  <c r="H15" i="7" s="1"/>
  <c r="I15" i="7" s="1"/>
  <c r="J13" i="7"/>
  <c r="J14" i="7" s="1"/>
  <c r="D11" i="7"/>
  <c r="H12" i="7" s="1"/>
  <c r="I12" i="7" s="1"/>
  <c r="AD7" i="7"/>
  <c r="F3" i="7"/>
  <c r="H5" i="7"/>
  <c r="CS236" i="6" l="1"/>
  <c r="CT236" i="6" s="1"/>
  <c r="CU236" i="6" s="1"/>
  <c r="DC236" i="6"/>
  <c r="CS377" i="6"/>
  <c r="CT377" i="6" s="1"/>
  <c r="CU377" i="6" s="1"/>
  <c r="DC377" i="6"/>
  <c r="CS174" i="6"/>
  <c r="CT174" i="6" s="1"/>
  <c r="CU174" i="6" s="1"/>
  <c r="DC174" i="6"/>
  <c r="CS73" i="6"/>
  <c r="CT73" i="6" s="1"/>
  <c r="CU73" i="6" s="1"/>
  <c r="DC73" i="6"/>
  <c r="CS141" i="6"/>
  <c r="CT141" i="6" s="1"/>
  <c r="CU141" i="6" s="1"/>
  <c r="DC141" i="6"/>
  <c r="CS363" i="6"/>
  <c r="CQ471" i="6" s="1"/>
  <c r="DC363" i="6"/>
  <c r="CS406" i="6"/>
  <c r="CT406" i="6" s="1"/>
  <c r="CU406" i="6" s="1"/>
  <c r="DC406" i="6"/>
  <c r="CS429" i="6"/>
  <c r="CT429" i="6" s="1"/>
  <c r="CU429" i="6" s="1"/>
  <c r="DC429" i="6"/>
  <c r="CS61" i="6"/>
  <c r="CT61" i="6" s="1"/>
  <c r="CU61" i="6" s="1"/>
  <c r="DC61" i="6"/>
  <c r="CS403" i="6"/>
  <c r="CT403" i="6" s="1"/>
  <c r="CU403" i="6" s="1"/>
  <c r="DC403" i="6"/>
  <c r="CS276" i="6"/>
  <c r="CT276" i="6" s="1"/>
  <c r="CU276" i="6" s="1"/>
  <c r="DC276" i="6"/>
  <c r="CS349" i="6"/>
  <c r="CT349" i="6" s="1"/>
  <c r="CU349" i="6" s="1"/>
  <c r="DC349" i="6"/>
  <c r="CS423" i="6"/>
  <c r="CT423" i="6" s="1"/>
  <c r="CU423" i="6" s="1"/>
  <c r="DC423" i="6"/>
  <c r="CS436" i="6"/>
  <c r="CT436" i="6" s="1"/>
  <c r="CU436" i="6" s="1"/>
  <c r="DC436" i="6"/>
  <c r="CS409" i="6"/>
  <c r="CT409" i="6" s="1"/>
  <c r="CU409" i="6" s="1"/>
  <c r="DC409" i="6"/>
  <c r="CS356" i="6"/>
  <c r="CT356" i="6" s="1"/>
  <c r="CU356" i="6" s="1"/>
  <c r="DC356" i="6"/>
  <c r="CS187" i="6"/>
  <c r="CT187" i="6" s="1"/>
  <c r="CU187" i="6" s="1"/>
  <c r="DC187" i="6"/>
  <c r="CS230" i="6"/>
  <c r="CT230" i="6" s="1"/>
  <c r="CU230" i="6" s="1"/>
  <c r="DC230" i="6"/>
  <c r="CS164" i="6"/>
  <c r="CT164" i="6" s="1"/>
  <c r="CU164" i="6" s="1"/>
  <c r="DC164" i="6"/>
  <c r="CS240" i="6"/>
  <c r="CT240" i="6" s="1"/>
  <c r="CU240" i="6" s="1"/>
  <c r="DC240" i="6"/>
  <c r="CS123" i="6"/>
  <c r="CT123" i="6" s="1"/>
  <c r="CU123" i="6" s="1"/>
  <c r="DC123" i="6"/>
  <c r="CS250" i="6"/>
  <c r="CT250" i="6" s="1"/>
  <c r="CU250" i="6" s="1"/>
  <c r="DC250" i="6"/>
  <c r="CS263" i="6"/>
  <c r="CT263" i="6" s="1"/>
  <c r="CU263" i="6" s="1"/>
  <c r="DC263" i="6"/>
  <c r="CS292" i="6"/>
  <c r="CT292" i="6" s="1"/>
  <c r="CU292" i="6" s="1"/>
  <c r="DC292" i="6"/>
  <c r="CS97" i="6"/>
  <c r="CT97" i="6" s="1"/>
  <c r="CU97" i="6" s="1"/>
  <c r="DC97" i="6"/>
  <c r="CS206" i="6"/>
  <c r="CT206" i="6" s="1"/>
  <c r="CU206" i="6" s="1"/>
  <c r="DC206" i="6"/>
  <c r="CS369" i="6"/>
  <c r="CT369" i="6" s="1"/>
  <c r="CU369" i="6" s="1"/>
  <c r="DC369" i="6"/>
  <c r="CS99" i="6"/>
  <c r="CT99" i="6" s="1"/>
  <c r="CU99" i="6" s="1"/>
  <c r="DC99" i="6"/>
  <c r="CS226" i="6"/>
  <c r="CT226" i="6" s="1"/>
  <c r="CU226" i="6" s="1"/>
  <c r="DC226" i="6"/>
  <c r="CS400" i="6"/>
  <c r="CT400" i="6" s="1"/>
  <c r="CU400" i="6" s="1"/>
  <c r="DC400" i="6"/>
  <c r="CS203" i="6"/>
  <c r="CT203" i="6" s="1"/>
  <c r="CU203" i="6" s="1"/>
  <c r="DC203" i="6"/>
  <c r="CS182" i="6"/>
  <c r="CT182" i="6" s="1"/>
  <c r="CU182" i="6" s="1"/>
  <c r="DC182" i="6"/>
  <c r="CS125" i="6"/>
  <c r="CT125" i="6" s="1"/>
  <c r="CU125" i="6" s="1"/>
  <c r="DC125" i="6"/>
  <c r="CS85" i="6"/>
  <c r="CT85" i="6" s="1"/>
  <c r="CU85" i="6" s="1"/>
  <c r="DC85" i="6"/>
  <c r="CS266" i="6"/>
  <c r="DC266" i="6"/>
  <c r="CS248" i="6"/>
  <c r="CT248" i="6" s="1"/>
  <c r="CU248" i="6" s="1"/>
  <c r="DC248" i="6"/>
  <c r="CS371" i="6"/>
  <c r="CT371" i="6" s="1"/>
  <c r="CU371" i="6" s="1"/>
  <c r="DC371" i="6"/>
  <c r="DC275" i="6"/>
  <c r="CS303" i="6"/>
  <c r="CT303" i="6" s="1"/>
  <c r="CU303" i="6" s="1"/>
  <c r="DC303" i="6"/>
  <c r="CS152" i="6"/>
  <c r="CT152" i="6" s="1"/>
  <c r="CU152" i="6" s="1"/>
  <c r="DC152" i="6"/>
  <c r="CS221" i="6"/>
  <c r="CT221" i="6" s="1"/>
  <c r="CU221" i="6" s="1"/>
  <c r="DC221" i="6"/>
  <c r="CS279" i="6"/>
  <c r="CT279" i="6" s="1"/>
  <c r="CU279" i="6" s="1"/>
  <c r="DC279" i="6"/>
  <c r="CS62" i="6"/>
  <c r="CT62" i="6" s="1"/>
  <c r="CU62" i="6" s="1"/>
  <c r="DC62" i="6"/>
  <c r="CS59" i="6"/>
  <c r="CT59" i="6" s="1"/>
  <c r="CU59" i="6" s="1"/>
  <c r="DC59" i="6"/>
  <c r="CS426" i="6"/>
  <c r="CT426" i="6" s="1"/>
  <c r="CU426" i="6" s="1"/>
  <c r="DC426" i="6"/>
  <c r="CS242" i="6"/>
  <c r="CT242" i="6" s="1"/>
  <c r="CU242" i="6" s="1"/>
  <c r="DC242" i="6"/>
  <c r="CS249" i="6"/>
  <c r="CT249" i="6" s="1"/>
  <c r="CU249" i="6" s="1"/>
  <c r="DC249" i="6"/>
  <c r="CS188" i="6"/>
  <c r="CT188" i="6" s="1"/>
  <c r="CU188" i="6" s="1"/>
  <c r="DC188" i="6"/>
  <c r="CS332" i="6"/>
  <c r="CT332" i="6" s="1"/>
  <c r="CU332" i="6" s="1"/>
  <c r="DC332" i="6"/>
  <c r="CS84" i="6"/>
  <c r="CT84" i="6" s="1"/>
  <c r="CU84" i="6" s="1"/>
  <c r="DC84" i="6"/>
  <c r="CS390" i="6"/>
  <c r="CT390" i="6" s="1"/>
  <c r="CU390" i="6" s="1"/>
  <c r="DC390" i="6"/>
  <c r="CS205" i="6"/>
  <c r="CT205" i="6" s="1"/>
  <c r="CU205" i="6" s="1"/>
  <c r="DC205" i="6"/>
  <c r="DC370" i="6"/>
  <c r="DC163" i="6"/>
  <c r="DC302" i="6"/>
  <c r="CS124" i="6"/>
  <c r="CT124" i="6" s="1"/>
  <c r="CU124" i="6" s="1"/>
  <c r="DC124" i="6"/>
  <c r="CS63" i="6"/>
  <c r="CT63" i="6" s="1"/>
  <c r="CU63" i="6" s="1"/>
  <c r="DC63" i="6"/>
  <c r="CS193" i="6"/>
  <c r="CT193" i="6" s="1"/>
  <c r="CU193" i="6" s="1"/>
  <c r="DC193" i="6"/>
  <c r="CS110" i="6"/>
  <c r="CT110" i="6" s="1"/>
  <c r="CU110" i="6" s="1"/>
  <c r="DC110" i="6"/>
  <c r="CS220" i="6"/>
  <c r="DC220" i="6"/>
  <c r="CS299" i="6"/>
  <c r="CT299" i="6" s="1"/>
  <c r="CU299" i="6" s="1"/>
  <c r="DC299" i="6"/>
  <c r="CS209" i="6"/>
  <c r="CT209" i="6" s="1"/>
  <c r="CU209" i="6" s="1"/>
  <c r="DC209" i="6"/>
  <c r="CS269" i="6"/>
  <c r="CT269" i="6" s="1"/>
  <c r="CU269" i="6" s="1"/>
  <c r="DC269" i="6"/>
  <c r="CS339" i="6"/>
  <c r="CT339" i="6" s="1"/>
  <c r="CU339" i="6" s="1"/>
  <c r="DC339" i="6"/>
  <c r="CS382" i="6"/>
  <c r="CT382" i="6" s="1"/>
  <c r="CU382" i="6" s="1"/>
  <c r="DC382" i="6"/>
  <c r="CS129" i="6"/>
  <c r="DC129" i="6"/>
  <c r="CS359" i="6"/>
  <c r="CT359" i="6" s="1"/>
  <c r="CU359" i="6" s="1"/>
  <c r="DC359" i="6"/>
  <c r="CS328" i="6"/>
  <c r="CT328" i="6" s="1"/>
  <c r="CU328" i="6" s="1"/>
  <c r="DC328" i="6"/>
  <c r="CS197" i="6"/>
  <c r="CT197" i="6" s="1"/>
  <c r="CU197" i="6" s="1"/>
  <c r="DC197" i="6"/>
  <c r="CS184" i="6"/>
  <c r="CT184" i="6" s="1"/>
  <c r="CU184" i="6" s="1"/>
  <c r="DC184" i="6"/>
  <c r="CS103" i="6"/>
  <c r="DC103" i="6"/>
  <c r="CS166" i="6"/>
  <c r="CT166" i="6" s="1"/>
  <c r="CU166" i="6" s="1"/>
  <c r="DC166" i="6"/>
  <c r="CS92" i="6"/>
  <c r="CT92" i="6" s="1"/>
  <c r="CU92" i="6" s="1"/>
  <c r="DC92" i="6"/>
  <c r="CS75" i="6"/>
  <c r="CT75" i="6" s="1"/>
  <c r="CU75" i="6" s="1"/>
  <c r="DC75" i="6"/>
  <c r="CS229" i="6"/>
  <c r="CT229" i="6" s="1"/>
  <c r="CU229" i="6" s="1"/>
  <c r="DC229" i="6"/>
  <c r="CS186" i="6"/>
  <c r="CT186" i="6" s="1"/>
  <c r="CU186" i="6" s="1"/>
  <c r="DC186" i="6"/>
  <c r="CS389" i="6"/>
  <c r="DC389" i="6"/>
  <c r="CS419" i="6"/>
  <c r="CT419" i="6" s="1"/>
  <c r="CU419" i="6" s="1"/>
  <c r="DC419" i="6"/>
  <c r="CS428" i="6"/>
  <c r="CT428" i="6" s="1"/>
  <c r="DC428" i="6"/>
  <c r="CS142" i="6"/>
  <c r="CT142" i="6" s="1"/>
  <c r="DC142" i="6"/>
  <c r="CS189" i="6"/>
  <c r="CT189" i="6" s="1"/>
  <c r="CU189" i="6" s="1"/>
  <c r="DC189" i="6"/>
  <c r="CS341" i="6"/>
  <c r="DC341" i="6"/>
  <c r="CS162" i="6"/>
  <c r="CT162" i="6" s="1"/>
  <c r="CU162" i="6" s="1"/>
  <c r="DC162" i="6"/>
  <c r="CS228" i="6"/>
  <c r="CT228" i="6" s="1"/>
  <c r="CU228" i="6" s="1"/>
  <c r="DC228" i="6"/>
  <c r="CS405" i="6"/>
  <c r="CT405" i="6" s="1"/>
  <c r="CU405" i="6" s="1"/>
  <c r="DC405" i="6"/>
  <c r="CS118" i="6"/>
  <c r="CT118" i="6" s="1"/>
  <c r="CU118" i="6" s="1"/>
  <c r="DC118" i="6"/>
  <c r="CS64" i="6"/>
  <c r="DC64" i="6"/>
  <c r="CS416" i="6"/>
  <c r="CT416" i="6" s="1"/>
  <c r="CU416" i="6" s="1"/>
  <c r="DC416" i="6"/>
  <c r="CS202" i="6"/>
  <c r="CT202" i="6" s="1"/>
  <c r="CU202" i="6" s="1"/>
  <c r="DC202" i="6"/>
  <c r="CS128" i="6"/>
  <c r="CT128" i="6" s="1"/>
  <c r="CU128" i="6" s="1"/>
  <c r="DC128" i="6"/>
  <c r="DC298" i="6"/>
  <c r="DC171" i="6"/>
  <c r="CS155" i="6"/>
  <c r="CQ455" i="6" s="1"/>
  <c r="DC155" i="6"/>
  <c r="CS410" i="6"/>
  <c r="CT410" i="6" s="1"/>
  <c r="CU410" i="6" s="1"/>
  <c r="DC410" i="6"/>
  <c r="CS312" i="6"/>
  <c r="CT312" i="6" s="1"/>
  <c r="CU312" i="6" s="1"/>
  <c r="DC312" i="6"/>
  <c r="CS101" i="6"/>
  <c r="CT101" i="6" s="1"/>
  <c r="CU101" i="6" s="1"/>
  <c r="DC101" i="6"/>
  <c r="CS215" i="6"/>
  <c r="CT215" i="6" s="1"/>
  <c r="CU215" i="6" s="1"/>
  <c r="DC215" i="6"/>
  <c r="CS322" i="6"/>
  <c r="CT322" i="6" s="1"/>
  <c r="CU322" i="6" s="1"/>
  <c r="DC322" i="6"/>
  <c r="CS319" i="6"/>
  <c r="CT319" i="6" s="1"/>
  <c r="CU319" i="6" s="1"/>
  <c r="DC319" i="6"/>
  <c r="CS362" i="6"/>
  <c r="CT362" i="6" s="1"/>
  <c r="CU362" i="6" s="1"/>
  <c r="DC362" i="6"/>
  <c r="CS441" i="6"/>
  <c r="DC441" i="6"/>
  <c r="CS243" i="6"/>
  <c r="CT243" i="6" s="1"/>
  <c r="CU243" i="6" s="1"/>
  <c r="DC243" i="6"/>
  <c r="CS414" i="6"/>
  <c r="CT414" i="6" s="1"/>
  <c r="CU414" i="6" s="1"/>
  <c r="DC414" i="6"/>
  <c r="CS156" i="6"/>
  <c r="CT156" i="6" s="1"/>
  <c r="CU156" i="6" s="1"/>
  <c r="DC156" i="6"/>
  <c r="CS272" i="6"/>
  <c r="CT272" i="6" s="1"/>
  <c r="DC272" i="6"/>
  <c r="CS326" i="6"/>
  <c r="CT326" i="6" s="1"/>
  <c r="CU326" i="6" s="1"/>
  <c r="DC326" i="6"/>
  <c r="CS244" i="6"/>
  <c r="CT244" i="6" s="1"/>
  <c r="CU244" i="6" s="1"/>
  <c r="DC244" i="6"/>
  <c r="CS345" i="6"/>
  <c r="CT345" i="6" s="1"/>
  <c r="CU345" i="6" s="1"/>
  <c r="DC345" i="6"/>
  <c r="CS387" i="6"/>
  <c r="CT387" i="6" s="1"/>
  <c r="CU387" i="6" s="1"/>
  <c r="DC387" i="6"/>
  <c r="CS232" i="6"/>
  <c r="CT232" i="6" s="1"/>
  <c r="CU232" i="6" s="1"/>
  <c r="DC232" i="6"/>
  <c r="CS293" i="6"/>
  <c r="CT293" i="6" s="1"/>
  <c r="CU293" i="6" s="1"/>
  <c r="DC293" i="6"/>
  <c r="CS120" i="6"/>
  <c r="CT120" i="6" s="1"/>
  <c r="CU120" i="6" s="1"/>
  <c r="DC120" i="6"/>
  <c r="CS235" i="6"/>
  <c r="CT235" i="6" s="1"/>
  <c r="CU235" i="6" s="1"/>
  <c r="DC235" i="6"/>
  <c r="CS278" i="6"/>
  <c r="CT278" i="6" s="1"/>
  <c r="CU278" i="6" s="1"/>
  <c r="DC278" i="6"/>
  <c r="CS300" i="6"/>
  <c r="CT300" i="6" s="1"/>
  <c r="CU300" i="6" s="1"/>
  <c r="DC300" i="6"/>
  <c r="CS68" i="6"/>
  <c r="CT68" i="6" s="1"/>
  <c r="CU68" i="6" s="1"/>
  <c r="DC68" i="6"/>
  <c r="CS89" i="6"/>
  <c r="CT89" i="6" s="1"/>
  <c r="CU89" i="6" s="1"/>
  <c r="DC89" i="6"/>
  <c r="CS211" i="6"/>
  <c r="CT211" i="6" s="1"/>
  <c r="CU211" i="6" s="1"/>
  <c r="DC211" i="6"/>
  <c r="CS318" i="6"/>
  <c r="CT318" i="6" s="1"/>
  <c r="CU318" i="6" s="1"/>
  <c r="DC318" i="6"/>
  <c r="CS204" i="6"/>
  <c r="CT204" i="6" s="1"/>
  <c r="CU204" i="6" s="1"/>
  <c r="DC204" i="6"/>
  <c r="CS295" i="6"/>
  <c r="CT295" i="6" s="1"/>
  <c r="CU295" i="6" s="1"/>
  <c r="DC295" i="6"/>
  <c r="CS78" i="6"/>
  <c r="CT78" i="6" s="1"/>
  <c r="CU78" i="6" s="1"/>
  <c r="DC78" i="6"/>
  <c r="CS280" i="6"/>
  <c r="CT280" i="6" s="1"/>
  <c r="CU280" i="6" s="1"/>
  <c r="DC280" i="6"/>
  <c r="CS55" i="6"/>
  <c r="CT55" i="6" s="1"/>
  <c r="CU55" i="6" s="1"/>
  <c r="DC55" i="6"/>
  <c r="CS353" i="6"/>
  <c r="CT353" i="6" s="1"/>
  <c r="CU353" i="6" s="1"/>
  <c r="DC353" i="6"/>
  <c r="CS102" i="6"/>
  <c r="CT102" i="6" s="1"/>
  <c r="CU102" i="6" s="1"/>
  <c r="DC102" i="6"/>
  <c r="CS437" i="6"/>
  <c r="CT437" i="6" s="1"/>
  <c r="CU437" i="6" s="1"/>
  <c r="DC437" i="6"/>
  <c r="CS399" i="6"/>
  <c r="CT399" i="6" s="1"/>
  <c r="CU399" i="6" s="1"/>
  <c r="DC399" i="6"/>
  <c r="CS264" i="6"/>
  <c r="CT264" i="6" s="1"/>
  <c r="CU264" i="6" s="1"/>
  <c r="DC264" i="6"/>
  <c r="CS122" i="6"/>
  <c r="CT122" i="6" s="1"/>
  <c r="CU122" i="6" s="1"/>
  <c r="DC122" i="6"/>
  <c r="CS329" i="6"/>
  <c r="CT329" i="6" s="1"/>
  <c r="CU329" i="6" s="1"/>
  <c r="DC329" i="6"/>
  <c r="CS355" i="6"/>
  <c r="CT355" i="6" s="1"/>
  <c r="CU355" i="6" s="1"/>
  <c r="DC355" i="6"/>
  <c r="CS320" i="6"/>
  <c r="CT320" i="6" s="1"/>
  <c r="CU320" i="6" s="1"/>
  <c r="DC320" i="6"/>
  <c r="CS397" i="6"/>
  <c r="CT397" i="6" s="1"/>
  <c r="CU397" i="6" s="1"/>
  <c r="DC397" i="6"/>
  <c r="CS348" i="6"/>
  <c r="CT348" i="6" s="1"/>
  <c r="CU348" i="6" s="1"/>
  <c r="DC348" i="6"/>
  <c r="CS372" i="6"/>
  <c r="CT372" i="6" s="1"/>
  <c r="CU372" i="6" s="1"/>
  <c r="DC372" i="6"/>
  <c r="CS98" i="6"/>
  <c r="CT98" i="6" s="1"/>
  <c r="CU98" i="6" s="1"/>
  <c r="DC98" i="6"/>
  <c r="CS148" i="6"/>
  <c r="CT148" i="6" s="1"/>
  <c r="CU148" i="6" s="1"/>
  <c r="DC148" i="6"/>
  <c r="CS217" i="6"/>
  <c r="CT217" i="6" s="1"/>
  <c r="CU217" i="6" s="1"/>
  <c r="DC217" i="6"/>
  <c r="CS284" i="6"/>
  <c r="CT284" i="6" s="1"/>
  <c r="CU284" i="6" s="1"/>
  <c r="DC284" i="6"/>
  <c r="CS308" i="6"/>
  <c r="CT308" i="6" s="1"/>
  <c r="CU308" i="6" s="1"/>
  <c r="DC308" i="6"/>
  <c r="CS138" i="6"/>
  <c r="CT138" i="6" s="1"/>
  <c r="CU138" i="6" s="1"/>
  <c r="DC138" i="6"/>
  <c r="CS357" i="6"/>
  <c r="CT357" i="6" s="1"/>
  <c r="CU357" i="6" s="1"/>
  <c r="DC357" i="6"/>
  <c r="DC265" i="6"/>
  <c r="DC137" i="6"/>
  <c r="DC408" i="6"/>
  <c r="CS91" i="6"/>
  <c r="CT91" i="6" s="1"/>
  <c r="CU91" i="6" s="1"/>
  <c r="DC91" i="6"/>
  <c r="CS282" i="6"/>
  <c r="CT282" i="6" s="1"/>
  <c r="CU282" i="6" s="1"/>
  <c r="DC282" i="6"/>
  <c r="CS144" i="6"/>
  <c r="CT144" i="6" s="1"/>
  <c r="CU144" i="6" s="1"/>
  <c r="DC144" i="6"/>
  <c r="CS432" i="6"/>
  <c r="CT432" i="6" s="1"/>
  <c r="CU432" i="6" s="1"/>
  <c r="DC432" i="6"/>
  <c r="CS131" i="6"/>
  <c r="CT131" i="6" s="1"/>
  <c r="CU131" i="6" s="1"/>
  <c r="DC131" i="6"/>
  <c r="CS258" i="6"/>
  <c r="CT258" i="6" s="1"/>
  <c r="CU258" i="6" s="1"/>
  <c r="DC258" i="6"/>
  <c r="CS191" i="6"/>
  <c r="CT191" i="6" s="1"/>
  <c r="CU191" i="6" s="1"/>
  <c r="DC191" i="6"/>
  <c r="CS234" i="6"/>
  <c r="CT234" i="6" s="1"/>
  <c r="CU234" i="6" s="1"/>
  <c r="DC234" i="6"/>
  <c r="CS344" i="6"/>
  <c r="CT344" i="6" s="1"/>
  <c r="CU344" i="6" s="1"/>
  <c r="DC344" i="6"/>
  <c r="CS179" i="6"/>
  <c r="CT179" i="6" s="1"/>
  <c r="CU179" i="6" s="1"/>
  <c r="DC179" i="6"/>
  <c r="CS286" i="6"/>
  <c r="CT286" i="6" s="1"/>
  <c r="CU286" i="6" s="1"/>
  <c r="DC286" i="6"/>
  <c r="CS305" i="6"/>
  <c r="CT305" i="6" s="1"/>
  <c r="CU305" i="6" s="1"/>
  <c r="DC305" i="6"/>
  <c r="DC52" i="6"/>
  <c r="CS262" i="6"/>
  <c r="CT262" i="6" s="1"/>
  <c r="CU262" i="6" s="1"/>
  <c r="DC262" i="6"/>
  <c r="CS306" i="6"/>
  <c r="CT306" i="6" s="1"/>
  <c r="CU306" i="6" s="1"/>
  <c r="DC306" i="6"/>
  <c r="DC165" i="6"/>
  <c r="DC192" i="6"/>
  <c r="DC431" i="6"/>
  <c r="DC413" i="6"/>
  <c r="CS259" i="6"/>
  <c r="DC259" i="6"/>
  <c r="CS430" i="6"/>
  <c r="CT430" i="6" s="1"/>
  <c r="CU430" i="6" s="1"/>
  <c r="DC430" i="6"/>
  <c r="CS337" i="6"/>
  <c r="CT337" i="6" s="1"/>
  <c r="DC337" i="6"/>
  <c r="CS87" i="6"/>
  <c r="CT87" i="6" s="1"/>
  <c r="CU87" i="6" s="1"/>
  <c r="DC87" i="6"/>
  <c r="CS214" i="6"/>
  <c r="CT214" i="6" s="1"/>
  <c r="CU214" i="6" s="1"/>
  <c r="DC214" i="6"/>
  <c r="CS140" i="6"/>
  <c r="CT140" i="6" s="1"/>
  <c r="CU140" i="6" s="1"/>
  <c r="DC140" i="6"/>
  <c r="CS376" i="6"/>
  <c r="DC376" i="6"/>
  <c r="CS420" i="6"/>
  <c r="CT420" i="6" s="1"/>
  <c r="CU420" i="6" s="1"/>
  <c r="DC420" i="6"/>
  <c r="CS127" i="6"/>
  <c r="CT127" i="6" s="1"/>
  <c r="CU127" i="6" s="1"/>
  <c r="DC127" i="6"/>
  <c r="CS254" i="6"/>
  <c r="CT254" i="6" s="1"/>
  <c r="CU254" i="6" s="1"/>
  <c r="DC254" i="6"/>
  <c r="CS116" i="6"/>
  <c r="DC116" i="6"/>
  <c r="CS231" i="6"/>
  <c r="CT231" i="6" s="1"/>
  <c r="CU231" i="6" s="1"/>
  <c r="DC231" i="6"/>
  <c r="CS338" i="6"/>
  <c r="CT338" i="6" s="1"/>
  <c r="CU338" i="6" s="1"/>
  <c r="DC338" i="6"/>
  <c r="CS136" i="6"/>
  <c r="CT136" i="6" s="1"/>
  <c r="CU136" i="6" s="1"/>
  <c r="DC136" i="6"/>
  <c r="CS379" i="6"/>
  <c r="CT379" i="6" s="1"/>
  <c r="CU379" i="6" s="1"/>
  <c r="DC379" i="6"/>
  <c r="CS384" i="6"/>
  <c r="CT384" i="6" s="1"/>
  <c r="CU384" i="6" s="1"/>
  <c r="DC384" i="6"/>
  <c r="CS261" i="6"/>
  <c r="CT261" i="6" s="1"/>
  <c r="CU261" i="6" s="1"/>
  <c r="DC261" i="6"/>
  <c r="CS257" i="6"/>
  <c r="CT257" i="6" s="1"/>
  <c r="CU257" i="6" s="1"/>
  <c r="DC257" i="6"/>
  <c r="CS335" i="6"/>
  <c r="CT335" i="6" s="1"/>
  <c r="CU335" i="6" s="1"/>
  <c r="DC335" i="6"/>
  <c r="CS54" i="6"/>
  <c r="CT54" i="6" s="1"/>
  <c r="CU54" i="6" s="1"/>
  <c r="DC54" i="6"/>
  <c r="CS65" i="6"/>
  <c r="CT65" i="6" s="1"/>
  <c r="CU65" i="6" s="1"/>
  <c r="DC65" i="6"/>
  <c r="CS227" i="6"/>
  <c r="CT227" i="6" s="1"/>
  <c r="CU227" i="6" s="1"/>
  <c r="DC227" i="6"/>
  <c r="CS398" i="6"/>
  <c r="CT398" i="6" s="1"/>
  <c r="CU398" i="6" s="1"/>
  <c r="DC398" i="6"/>
  <c r="CS185" i="6"/>
  <c r="CT185" i="6" s="1"/>
  <c r="CU185" i="6" s="1"/>
  <c r="DC185" i="6"/>
  <c r="CS439" i="6"/>
  <c r="CT439" i="6" s="1"/>
  <c r="CU439" i="6" s="1"/>
  <c r="DC439" i="6"/>
  <c r="CS200" i="6"/>
  <c r="CT200" i="6" s="1"/>
  <c r="CU200" i="6" s="1"/>
  <c r="DC200" i="6"/>
  <c r="CS237" i="6"/>
  <c r="CT237" i="6" s="1"/>
  <c r="CU237" i="6" s="1"/>
  <c r="DC237" i="6"/>
  <c r="CS71" i="6"/>
  <c r="CT71" i="6" s="1"/>
  <c r="CU71" i="6" s="1"/>
  <c r="DC71" i="6"/>
  <c r="CS256" i="6"/>
  <c r="CT256" i="6" s="1"/>
  <c r="CU256" i="6" s="1"/>
  <c r="DC256" i="6"/>
  <c r="CS415" i="6"/>
  <c r="DC415" i="6"/>
  <c r="CS70" i="6"/>
  <c r="CT70" i="6" s="1"/>
  <c r="CU70" i="6" s="1"/>
  <c r="DC70" i="6"/>
  <c r="CS233" i="6"/>
  <c r="DC233" i="6"/>
  <c r="CS177" i="6"/>
  <c r="CT177" i="6" s="1"/>
  <c r="CU177" i="6" s="1"/>
  <c r="DC177" i="6"/>
  <c r="DC121" i="6"/>
  <c r="DC281" i="6"/>
  <c r="DC383" i="6"/>
  <c r="DC88" i="6"/>
  <c r="DC277" i="6"/>
  <c r="DC294" i="6"/>
  <c r="CS324" i="6"/>
  <c r="DC324" i="6"/>
  <c r="CS321" i="6"/>
  <c r="CT321" i="6" s="1"/>
  <c r="CU321" i="6" s="1"/>
  <c r="DC321" i="6"/>
  <c r="CS218" i="6"/>
  <c r="CT218" i="6" s="1"/>
  <c r="CU218" i="6" s="1"/>
  <c r="DC218" i="6"/>
  <c r="CS401" i="6"/>
  <c r="CT401" i="6" s="1"/>
  <c r="CU401" i="6" s="1"/>
  <c r="DC401" i="6"/>
  <c r="CS260" i="6"/>
  <c r="CT260" i="6" s="1"/>
  <c r="CU260" i="6" s="1"/>
  <c r="DC260" i="6"/>
  <c r="CS253" i="6"/>
  <c r="CT253" i="6" s="1"/>
  <c r="CU253" i="6" s="1"/>
  <c r="DC253" i="6"/>
  <c r="CS365" i="6"/>
  <c r="CT365" i="6" s="1"/>
  <c r="CU365" i="6" s="1"/>
  <c r="DC365" i="6"/>
  <c r="CS170" i="6"/>
  <c r="CT170" i="6" s="1"/>
  <c r="CU170" i="6" s="1"/>
  <c r="DC170" i="6"/>
  <c r="CS160" i="6"/>
  <c r="CT160" i="6" s="1"/>
  <c r="CU160" i="6" s="1"/>
  <c r="DC160" i="6"/>
  <c r="CS95" i="6"/>
  <c r="CT95" i="6" s="1"/>
  <c r="CU95" i="6" s="1"/>
  <c r="DC95" i="6"/>
  <c r="CS222" i="6"/>
  <c r="CT222" i="6" s="1"/>
  <c r="CU222" i="6" s="1"/>
  <c r="DC222" i="6"/>
  <c r="CS93" i="6"/>
  <c r="CT93" i="6" s="1"/>
  <c r="CU93" i="6" s="1"/>
  <c r="DC93" i="6"/>
  <c r="CS411" i="6"/>
  <c r="CT411" i="6" s="1"/>
  <c r="CU411" i="6" s="1"/>
  <c r="DC411" i="6"/>
  <c r="CS198" i="6"/>
  <c r="CT198" i="6" s="1"/>
  <c r="CU198" i="6" s="1"/>
  <c r="DC198" i="6"/>
  <c r="DC327" i="6"/>
  <c r="DC72" i="6"/>
  <c r="DC77" i="6"/>
  <c r="DC388" i="6"/>
  <c r="CS373" i="6"/>
  <c r="CT373" i="6" s="1"/>
  <c r="CU373" i="6" s="1"/>
  <c r="DC373" i="6"/>
  <c r="CS195" i="6"/>
  <c r="CT195" i="6" s="1"/>
  <c r="CU195" i="6" s="1"/>
  <c r="DC195" i="6"/>
  <c r="CS366" i="6"/>
  <c r="CT366" i="6" s="1"/>
  <c r="CU366" i="6" s="1"/>
  <c r="DC366" i="6"/>
  <c r="CS130" i="6"/>
  <c r="CT130" i="6" s="1"/>
  <c r="CU130" i="6" s="1"/>
  <c r="DC130" i="6"/>
  <c r="CS161" i="6"/>
  <c r="CT161" i="6" s="1"/>
  <c r="CU161" i="6" s="1"/>
  <c r="DC161" i="6"/>
  <c r="CS396" i="6"/>
  <c r="CT396" i="6" s="1"/>
  <c r="CU396" i="6" s="1"/>
  <c r="DC396" i="6"/>
  <c r="CS150" i="6"/>
  <c r="CT150" i="6" s="1"/>
  <c r="CU150" i="6" s="1"/>
  <c r="DC150" i="6"/>
  <c r="CS168" i="6"/>
  <c r="DC168" i="6"/>
  <c r="CS252" i="6"/>
  <c r="CT252" i="6" s="1"/>
  <c r="CU252" i="6" s="1"/>
  <c r="DC252" i="6"/>
  <c r="CS421" i="6"/>
  <c r="CT421" i="6" s="1"/>
  <c r="CU421" i="6" s="1"/>
  <c r="DC421" i="6"/>
  <c r="CS190" i="6"/>
  <c r="CT190" i="6" s="1"/>
  <c r="CU190" i="6" s="1"/>
  <c r="DC190" i="6"/>
  <c r="CS325" i="6"/>
  <c r="CT325" i="6" s="1"/>
  <c r="CU325" i="6" s="1"/>
  <c r="DC325" i="6"/>
  <c r="CS83" i="6"/>
  <c r="CT83" i="6" s="1"/>
  <c r="CU83" i="6" s="1"/>
  <c r="DC83" i="6"/>
  <c r="CS274" i="6"/>
  <c r="CT274" i="6" s="1"/>
  <c r="CU274" i="6" s="1"/>
  <c r="DC274" i="6"/>
  <c r="CS381" i="6"/>
  <c r="CT381" i="6" s="1"/>
  <c r="CU381" i="6" s="1"/>
  <c r="DC381" i="6"/>
  <c r="CS315" i="6"/>
  <c r="CT315" i="6" s="1"/>
  <c r="CU315" i="6" s="1"/>
  <c r="DC315" i="6"/>
  <c r="CS422" i="6"/>
  <c r="CT422" i="6" s="1"/>
  <c r="CU422" i="6" s="1"/>
  <c r="DC422" i="6"/>
  <c r="CS440" i="6"/>
  <c r="CT440" i="6" s="1"/>
  <c r="CU440" i="6" s="1"/>
  <c r="DC440" i="6"/>
  <c r="CS76" i="6"/>
  <c r="CT76" i="6" s="1"/>
  <c r="CU76" i="6" s="1"/>
  <c r="DC76" i="6"/>
  <c r="CS271" i="6"/>
  <c r="CT271" i="6" s="1"/>
  <c r="CU271" i="6" s="1"/>
  <c r="DC271" i="6"/>
  <c r="CS378" i="6"/>
  <c r="CT378" i="6" s="1"/>
  <c r="CU378" i="6" s="1"/>
  <c r="DC378" i="6"/>
  <c r="CS417" i="6"/>
  <c r="CT417" i="6" s="1"/>
  <c r="CU417" i="6" s="1"/>
  <c r="DC417" i="6"/>
  <c r="CS112" i="6"/>
  <c r="CT112" i="6" s="1"/>
  <c r="CU112" i="6" s="1"/>
  <c r="DC112" i="6"/>
  <c r="CS81" i="6"/>
  <c r="CT81" i="6" s="1"/>
  <c r="CU81" i="6" s="1"/>
  <c r="DC81" i="6"/>
  <c r="CS334" i="6"/>
  <c r="CT334" i="6" s="1"/>
  <c r="CU334" i="6" s="1"/>
  <c r="DC334" i="6"/>
  <c r="CS268" i="6"/>
  <c r="CT268" i="6" s="1"/>
  <c r="CU268" i="6" s="1"/>
  <c r="DC268" i="6"/>
  <c r="CS375" i="6"/>
  <c r="CT375" i="6" s="1"/>
  <c r="CU375" i="6" s="1"/>
  <c r="DC375" i="6"/>
  <c r="CS354" i="6"/>
  <c r="CT354" i="6" s="1"/>
  <c r="CU354" i="6" s="1"/>
  <c r="DC354" i="6"/>
  <c r="CS391" i="6"/>
  <c r="CT391" i="6" s="1"/>
  <c r="CU391" i="6" s="1"/>
  <c r="DC391" i="6"/>
  <c r="CS395" i="6"/>
  <c r="CT395" i="6" s="1"/>
  <c r="CU395" i="6" s="1"/>
  <c r="DC395" i="6"/>
  <c r="CS374" i="6"/>
  <c r="CT374" i="6" s="1"/>
  <c r="CU374" i="6" s="1"/>
  <c r="DC374" i="6"/>
  <c r="CS108" i="6"/>
  <c r="CT108" i="6" s="1"/>
  <c r="CU108" i="6" s="1"/>
  <c r="DC108" i="6"/>
  <c r="CS351" i="6"/>
  <c r="CT351" i="6" s="1"/>
  <c r="CU351" i="6" s="1"/>
  <c r="DC351" i="6"/>
  <c r="CS394" i="6"/>
  <c r="CT394" i="6" s="1"/>
  <c r="CU394" i="6" s="1"/>
  <c r="DC394" i="6"/>
  <c r="CS434" i="6"/>
  <c r="CT434" i="6" s="1"/>
  <c r="CU434" i="6" s="1"/>
  <c r="DC434" i="6"/>
  <c r="CS336" i="6"/>
  <c r="CT336" i="6" s="1"/>
  <c r="CU336" i="6" s="1"/>
  <c r="DC336" i="6"/>
  <c r="DC247" i="6"/>
  <c r="DC317" i="6"/>
  <c r="DC404" i="6"/>
  <c r="DC255" i="6"/>
  <c r="DC169" i="6"/>
  <c r="DC173" i="6"/>
  <c r="DC425" i="6"/>
  <c r="CS133" i="6"/>
  <c r="CT133" i="6" s="1"/>
  <c r="CU133" i="6" s="1"/>
  <c r="DC133" i="6"/>
  <c r="CS154" i="6"/>
  <c r="CT154" i="6" s="1"/>
  <c r="CU154" i="6" s="1"/>
  <c r="DC154" i="6"/>
  <c r="CS225" i="6"/>
  <c r="CT225" i="6" s="1"/>
  <c r="CU225" i="6" s="1"/>
  <c r="DC225" i="6"/>
  <c r="CS407" i="6"/>
  <c r="CT407" i="6" s="1"/>
  <c r="CU407" i="6" s="1"/>
  <c r="DC407" i="6"/>
  <c r="CS60" i="6"/>
  <c r="CT60" i="6" s="1"/>
  <c r="CU60" i="6" s="1"/>
  <c r="DC60" i="6"/>
  <c r="CS213" i="6"/>
  <c r="CT213" i="6" s="1"/>
  <c r="CU213" i="6" s="1"/>
  <c r="DC213" i="6"/>
  <c r="CS181" i="6"/>
  <c r="DC181" i="6"/>
  <c r="CS106" i="6"/>
  <c r="CT106" i="6" s="1"/>
  <c r="CU106" i="6" s="1"/>
  <c r="DC106" i="6"/>
  <c r="CS333" i="6"/>
  <c r="CT333" i="6" s="1"/>
  <c r="CU333" i="6" s="1"/>
  <c r="DC333" i="6"/>
  <c r="CS158" i="6"/>
  <c r="CT158" i="6" s="1"/>
  <c r="CU158" i="6" s="1"/>
  <c r="DC158" i="6"/>
  <c r="CS219" i="6"/>
  <c r="CT219" i="6" s="1"/>
  <c r="CU219" i="6" s="1"/>
  <c r="DC219" i="6"/>
  <c r="CS134" i="6"/>
  <c r="CT134" i="6" s="1"/>
  <c r="CU134" i="6" s="1"/>
  <c r="DC134" i="6"/>
  <c r="DC199" i="6"/>
  <c r="DC105" i="6"/>
  <c r="DC323" i="6"/>
  <c r="DC239" i="6"/>
  <c r="DC208" i="6"/>
  <c r="DC117" i="6"/>
  <c r="CS157" i="6"/>
  <c r="CT157" i="6" s="1"/>
  <c r="CU157" i="6" s="1"/>
  <c r="DC157" i="6"/>
  <c r="CS111" i="6"/>
  <c r="CT111" i="6" s="1"/>
  <c r="CU111" i="6" s="1"/>
  <c r="DC111" i="6"/>
  <c r="CS238" i="6"/>
  <c r="CT238" i="6" s="1"/>
  <c r="CU238" i="6" s="1"/>
  <c r="DC238" i="6"/>
  <c r="CS100" i="6"/>
  <c r="CT100" i="6" s="1"/>
  <c r="CU100" i="6" s="1"/>
  <c r="DC100" i="6"/>
  <c r="CS361" i="6"/>
  <c r="CT361" i="6" s="1"/>
  <c r="CU361" i="6" s="1"/>
  <c r="DC361" i="6"/>
  <c r="CS316" i="6"/>
  <c r="CT316" i="6" s="1"/>
  <c r="CU316" i="6" s="1"/>
  <c r="DC316" i="6"/>
  <c r="CS340" i="6"/>
  <c r="CT340" i="6" s="1"/>
  <c r="CU340" i="6" s="1"/>
  <c r="DC340" i="6"/>
  <c r="CS86" i="6"/>
  <c r="CT86" i="6" s="1"/>
  <c r="CU86" i="6" s="1"/>
  <c r="DC86" i="6"/>
  <c r="CS96" i="6"/>
  <c r="CT96" i="6" s="1"/>
  <c r="CU96" i="6" s="1"/>
  <c r="DC96" i="6"/>
  <c r="CS79" i="6"/>
  <c r="CT79" i="6" s="1"/>
  <c r="CU79" i="6" s="1"/>
  <c r="DC79" i="6"/>
  <c r="CS241" i="6"/>
  <c r="DC241" i="6"/>
  <c r="CS126" i="6"/>
  <c r="CT126" i="6" s="1"/>
  <c r="CU126" i="6" s="1"/>
  <c r="DC126" i="6"/>
  <c r="CS304" i="6"/>
  <c r="CT304" i="6" s="1"/>
  <c r="CU304" i="6" s="1"/>
  <c r="DC304" i="6"/>
  <c r="CS109" i="6"/>
  <c r="CT109" i="6" s="1"/>
  <c r="CU109" i="6" s="1"/>
  <c r="DC109" i="6"/>
  <c r="CS146" i="6"/>
  <c r="CT146" i="6" s="1"/>
  <c r="CU146" i="6" s="1"/>
  <c r="DC146" i="6"/>
  <c r="CS201" i="6"/>
  <c r="CT201" i="6" s="1"/>
  <c r="CU201" i="6" s="1"/>
  <c r="DC201" i="6"/>
  <c r="CS251" i="6"/>
  <c r="CT251" i="6" s="1"/>
  <c r="CU251" i="6" s="1"/>
  <c r="DC251" i="6"/>
  <c r="CS358" i="6"/>
  <c r="CT358" i="6" s="1"/>
  <c r="CU358" i="6" s="1"/>
  <c r="DC358" i="6"/>
  <c r="CS364" i="6"/>
  <c r="CT364" i="6" s="1"/>
  <c r="CU364" i="6" s="1"/>
  <c r="DC364" i="6"/>
  <c r="CS412" i="6"/>
  <c r="CT412" i="6" s="1"/>
  <c r="CU412" i="6" s="1"/>
  <c r="DC412" i="6"/>
  <c r="CS207" i="6"/>
  <c r="DC207" i="6"/>
  <c r="CS314" i="6"/>
  <c r="CT314" i="6" s="1"/>
  <c r="CU314" i="6" s="1"/>
  <c r="DC314" i="6"/>
  <c r="CS216" i="6"/>
  <c r="CT216" i="6" s="1"/>
  <c r="CU216" i="6" s="1"/>
  <c r="DC216" i="6"/>
  <c r="CS313" i="6"/>
  <c r="CT313" i="6" s="1"/>
  <c r="CU313" i="6" s="1"/>
  <c r="DC313" i="6"/>
  <c r="CS285" i="6"/>
  <c r="DC285" i="6"/>
  <c r="CS270" i="6"/>
  <c r="CT270" i="6" s="1"/>
  <c r="CU270" i="6" s="1"/>
  <c r="DC270" i="6"/>
  <c r="CS132" i="6"/>
  <c r="CT132" i="6" s="1"/>
  <c r="CU132" i="6" s="1"/>
  <c r="DC132" i="6"/>
  <c r="CS311" i="6"/>
  <c r="CT311" i="6" s="1"/>
  <c r="DC311" i="6"/>
  <c r="CS290" i="6"/>
  <c r="CT290" i="6" s="1"/>
  <c r="CU290" i="6" s="1"/>
  <c r="DC290" i="6"/>
  <c r="CS114" i="6"/>
  <c r="CT114" i="6" s="1"/>
  <c r="CU114" i="6" s="1"/>
  <c r="DC114" i="6"/>
  <c r="CS245" i="6"/>
  <c r="CT245" i="6" s="1"/>
  <c r="CU245" i="6" s="1"/>
  <c r="DC245" i="6"/>
  <c r="DC267" i="6"/>
  <c r="CS246" i="6"/>
  <c r="CQ462" i="6" s="1"/>
  <c r="DC246" i="6"/>
  <c r="CS301" i="6"/>
  <c r="CT301" i="6" s="1"/>
  <c r="CU301" i="6" s="1"/>
  <c r="DC301" i="6"/>
  <c r="CS69" i="6"/>
  <c r="CT69" i="6" s="1"/>
  <c r="CU69" i="6" s="1"/>
  <c r="DC69" i="6"/>
  <c r="CS330" i="6"/>
  <c r="CT330" i="6" s="1"/>
  <c r="CU330" i="6" s="1"/>
  <c r="DC330" i="6"/>
  <c r="CS385" i="6"/>
  <c r="CT385" i="6" s="1"/>
  <c r="CU385" i="6" s="1"/>
  <c r="DC385" i="6"/>
  <c r="CS435" i="6"/>
  <c r="CT435" i="6" s="1"/>
  <c r="CU435" i="6" s="1"/>
  <c r="DC435" i="6"/>
  <c r="DC183" i="6"/>
  <c r="DC418" i="6"/>
  <c r="DC307" i="6"/>
  <c r="DC74" i="6"/>
  <c r="DC427" i="6"/>
  <c r="DC51" i="6"/>
  <c r="DC113" i="6"/>
  <c r="CS367" i="6"/>
  <c r="CT367" i="6" s="1"/>
  <c r="CU367" i="6" s="1"/>
  <c r="DC367" i="6"/>
  <c r="CS352" i="6"/>
  <c r="CT352" i="6" s="1"/>
  <c r="CU352" i="6" s="1"/>
  <c r="DC352" i="6"/>
  <c r="CS53" i="6"/>
  <c r="CT53" i="6" s="1"/>
  <c r="CU53" i="6" s="1"/>
  <c r="DC53" i="6"/>
  <c r="CS380" i="6"/>
  <c r="CT380" i="6" s="1"/>
  <c r="CU380" i="6" s="1"/>
  <c r="DC380" i="6"/>
  <c r="CS343" i="6"/>
  <c r="CT343" i="6" s="1"/>
  <c r="CU343" i="6" s="1"/>
  <c r="DC343" i="6"/>
  <c r="CS288" i="6"/>
  <c r="CT288" i="6" s="1"/>
  <c r="CU288" i="6" s="1"/>
  <c r="DC288" i="6"/>
  <c r="CS196" i="6"/>
  <c r="CT196" i="6" s="1"/>
  <c r="CU196" i="6" s="1"/>
  <c r="DC196" i="6"/>
  <c r="CS224" i="6"/>
  <c r="CT224" i="6" s="1"/>
  <c r="CU224" i="6" s="1"/>
  <c r="DC224" i="6"/>
  <c r="CS392" i="6"/>
  <c r="CT392" i="6" s="1"/>
  <c r="CU392" i="6" s="1"/>
  <c r="DC392" i="6"/>
  <c r="CS145" i="6"/>
  <c r="CT145" i="6" s="1"/>
  <c r="CU145" i="6" s="1"/>
  <c r="DC145" i="6"/>
  <c r="CS94" i="6"/>
  <c r="CT94" i="6" s="1"/>
  <c r="CU94" i="6" s="1"/>
  <c r="DC94" i="6"/>
  <c r="CS104" i="6"/>
  <c r="CT104" i="6" s="1"/>
  <c r="CU104" i="6" s="1"/>
  <c r="DC104" i="6"/>
  <c r="CS57" i="6"/>
  <c r="CT57" i="6" s="1"/>
  <c r="CU57" i="6" s="1"/>
  <c r="DC57" i="6"/>
  <c r="CS67" i="6"/>
  <c r="CT67" i="6" s="1"/>
  <c r="CU67" i="6" s="1"/>
  <c r="DC67" i="6"/>
  <c r="DC167" i="6"/>
  <c r="DC402" i="6"/>
  <c r="DC291" i="6"/>
  <c r="DC58" i="6"/>
  <c r="DC159" i="6"/>
  <c r="DC347" i="6"/>
  <c r="DC368" i="6"/>
  <c r="J25" i="7"/>
  <c r="J26" i="7" s="1"/>
  <c r="H22" i="7"/>
  <c r="I23" i="7" s="1"/>
  <c r="J22" i="7"/>
  <c r="J23" i="7" s="1"/>
  <c r="CT402" i="6"/>
  <c r="CQ450" i="6"/>
  <c r="CQ466" i="6"/>
  <c r="CT350" i="6"/>
  <c r="CN470" i="6" s="1"/>
  <c r="CQ476" i="6"/>
  <c r="CQ467" i="6"/>
  <c r="CQ475" i="6"/>
  <c r="CT415" i="6"/>
  <c r="CS342" i="6"/>
  <c r="CW454" i="6"/>
  <c r="CQ451" i="6"/>
  <c r="CT103" i="6"/>
  <c r="CS267" i="6"/>
  <c r="CW452" i="6"/>
  <c r="CN447" i="6"/>
  <c r="CU51" i="6"/>
  <c r="CP447" i="6" s="1"/>
  <c r="CO447" i="6" s="1"/>
  <c r="CQ463" i="6"/>
  <c r="CT259" i="6"/>
  <c r="CT241" i="6"/>
  <c r="CU241" i="6" s="1"/>
  <c r="CQ453" i="6"/>
  <c r="CT129" i="6"/>
  <c r="CT266" i="6"/>
  <c r="CU266" i="6" s="1"/>
  <c r="CT341" i="6"/>
  <c r="CU341" i="6" s="1"/>
  <c r="CS52" i="6"/>
  <c r="CW449" i="6"/>
  <c r="CQ460" i="6"/>
  <c r="CT220" i="6"/>
  <c r="CQ472" i="6"/>
  <c r="CT376" i="6"/>
  <c r="CQ452" i="6"/>
  <c r="CT116" i="6"/>
  <c r="CN466" i="6"/>
  <c r="CU298" i="6"/>
  <c r="CP466" i="6" s="1"/>
  <c r="CO466" i="6" s="1"/>
  <c r="CQ456" i="6"/>
  <c r="CT168" i="6"/>
  <c r="CQ473" i="6"/>
  <c r="CT389" i="6"/>
  <c r="CQ461" i="6"/>
  <c r="CT233" i="6"/>
  <c r="CQ469" i="6"/>
  <c r="CQ449" i="6"/>
  <c r="CT77" i="6"/>
  <c r="CU90" i="6"/>
  <c r="CP450" i="6" s="1"/>
  <c r="CO450" i="6" s="1"/>
  <c r="CN450" i="6"/>
  <c r="CW451" i="6"/>
  <c r="CS172" i="6"/>
  <c r="CW450" i="6"/>
  <c r="CT208" i="6"/>
  <c r="CU208" i="6" s="1"/>
  <c r="CX451" i="6"/>
  <c r="CQ459" i="6"/>
  <c r="CT207" i="6"/>
  <c r="CQ465" i="6"/>
  <c r="CT285" i="6"/>
  <c r="CQ448" i="6"/>
  <c r="CT64" i="6"/>
  <c r="CW453" i="6"/>
  <c r="CQ477" i="6"/>
  <c r="CT441" i="6"/>
  <c r="CT307" i="6"/>
  <c r="CU307" i="6" s="1"/>
  <c r="CX453" i="6"/>
  <c r="CN458" i="6"/>
  <c r="CU194" i="6"/>
  <c r="CP458" i="6" s="1"/>
  <c r="CO458" i="6" s="1"/>
  <c r="CU402" i="6"/>
  <c r="CP474" i="6" s="1"/>
  <c r="CO474" i="6" s="1"/>
  <c r="CN474" i="6"/>
  <c r="CQ468" i="6"/>
  <c r="CT324" i="6"/>
  <c r="CQ457" i="6"/>
  <c r="CT181" i="6"/>
  <c r="CN45" i="6"/>
  <c r="CN48" i="6" s="1"/>
  <c r="J10" i="7"/>
  <c r="J11" i="7" s="1"/>
  <c r="I16" i="7"/>
  <c r="H17" i="7" s="1"/>
  <c r="J33" i="7"/>
  <c r="J36" i="7"/>
  <c r="J16" i="7"/>
  <c r="J17" i="7" s="1"/>
  <c r="H34" i="7"/>
  <c r="J21" i="7"/>
  <c r="I10" i="7"/>
  <c r="H11" i="7" s="1"/>
  <c r="I13" i="7"/>
  <c r="H14" i="7" s="1"/>
  <c r="J15" i="7"/>
  <c r="H21" i="7"/>
  <c r="I21" i="7" s="1"/>
  <c r="I28" i="7"/>
  <c r="H29" i="7" s="1"/>
  <c r="J34" i="7"/>
  <c r="J35" i="7" s="1"/>
  <c r="J40" i="7"/>
  <c r="J41" i="7" s="1"/>
  <c r="H19" i="7"/>
  <c r="I20" i="7" s="1"/>
  <c r="I19" i="7"/>
  <c r="H20" i="7" s="1"/>
  <c r="H10" i="7"/>
  <c r="I11" i="7" s="1"/>
  <c r="H13" i="7"/>
  <c r="I14" i="7" s="1"/>
  <c r="J31" i="7"/>
  <c r="J32" i="7" s="1"/>
  <c r="I34" i="7"/>
  <c r="H35" i="7" s="1"/>
  <c r="F17" i="7"/>
  <c r="G17" i="7" s="1"/>
  <c r="F15" i="7"/>
  <c r="F13" i="7" s="1"/>
  <c r="F14" i="7" s="1"/>
  <c r="G14" i="7" s="1"/>
  <c r="F20" i="7"/>
  <c r="G20" i="7" s="1"/>
  <c r="G3" i="7"/>
  <c r="F4" i="7" s="1"/>
  <c r="G4" i="7"/>
  <c r="J12" i="7"/>
  <c r="F28" i="7"/>
  <c r="F30" i="7" s="1"/>
  <c r="F26" i="7"/>
  <c r="G26" i="7" s="1"/>
  <c r="H16" i="7"/>
  <c r="H18" i="7"/>
  <c r="I18" i="7" s="1"/>
  <c r="F23" i="7"/>
  <c r="G23" i="7" s="1"/>
  <c r="H25" i="7"/>
  <c r="J27" i="7"/>
  <c r="I37" i="7"/>
  <c r="H38" i="7" s="1"/>
  <c r="J39" i="7"/>
  <c r="H37" i="7"/>
  <c r="H39" i="7"/>
  <c r="I39" i="7" s="1"/>
  <c r="I22" i="7"/>
  <c r="H23" i="7" s="1"/>
  <c r="J24" i="7"/>
  <c r="I25" i="7"/>
  <c r="H26" i="7" s="1"/>
  <c r="I32" i="7"/>
  <c r="J30" i="7"/>
  <c r="H28" i="7"/>
  <c r="I29" i="7" s="1"/>
  <c r="H30" i="7"/>
  <c r="I30" i="7" s="1"/>
  <c r="I31" i="7"/>
  <c r="H32" i="7" s="1"/>
  <c r="I35" i="7"/>
  <c r="H40" i="7"/>
  <c r="I41" i="7" s="1"/>
  <c r="J42" i="7"/>
  <c r="I40" i="7"/>
  <c r="H41" i="7" s="1"/>
  <c r="CY451" i="6"/>
  <c r="CZ453" i="6"/>
  <c r="CZ451" i="6"/>
  <c r="CY453" i="6"/>
  <c r="CQ454" i="6" l="1"/>
  <c r="CT155" i="6"/>
  <c r="CQ464" i="6"/>
  <c r="CT363" i="6"/>
  <c r="CN471" i="6" s="1"/>
  <c r="CT246" i="6"/>
  <c r="CU350" i="6"/>
  <c r="CP470" i="6" s="1"/>
  <c r="CO470" i="6" s="1"/>
  <c r="DC453" i="6"/>
  <c r="DB453" i="6"/>
  <c r="DC451" i="6"/>
  <c r="CN469" i="6"/>
  <c r="CU337" i="6"/>
  <c r="CP469" i="6" s="1"/>
  <c r="CO469" i="6" s="1"/>
  <c r="CU220" i="6"/>
  <c r="CP460" i="6" s="1"/>
  <c r="CO460" i="6" s="1"/>
  <c r="CN460" i="6"/>
  <c r="CN463" i="6"/>
  <c r="CU259" i="6"/>
  <c r="CP463" i="6" s="1"/>
  <c r="CO463" i="6" s="1"/>
  <c r="CN461" i="6"/>
  <c r="CU233" i="6"/>
  <c r="CP461" i="6" s="1"/>
  <c r="CO461" i="6" s="1"/>
  <c r="CN465" i="6"/>
  <c r="CU285" i="6"/>
  <c r="CP465" i="6" s="1"/>
  <c r="CO465" i="6" s="1"/>
  <c r="CT52" i="6"/>
  <c r="CU52" i="6" s="1"/>
  <c r="CX449" i="6"/>
  <c r="CT267" i="6"/>
  <c r="CU267" i="6" s="1"/>
  <c r="CX452" i="6"/>
  <c r="CN464" i="6"/>
  <c r="CU272" i="6"/>
  <c r="CP464" i="6" s="1"/>
  <c r="CO464" i="6" s="1"/>
  <c r="CU103" i="6"/>
  <c r="CP451" i="6" s="1"/>
  <c r="CO451" i="6" s="1"/>
  <c r="CN451" i="6"/>
  <c r="DB451" i="6"/>
  <c r="CT342" i="6"/>
  <c r="CU342" i="6" s="1"/>
  <c r="CX454" i="6"/>
  <c r="CU155" i="6"/>
  <c r="CP455" i="6" s="1"/>
  <c r="CO455" i="6" s="1"/>
  <c r="CN455" i="6"/>
  <c r="CU415" i="6"/>
  <c r="CP475" i="6" s="1"/>
  <c r="CO475" i="6" s="1"/>
  <c r="CN475" i="6"/>
  <c r="CN452" i="6"/>
  <c r="CU116" i="6"/>
  <c r="CP452" i="6" s="1"/>
  <c r="CO452" i="6" s="1"/>
  <c r="CN453" i="6"/>
  <c r="CU129" i="6"/>
  <c r="CP453" i="6" s="1"/>
  <c r="CO453" i="6" s="1"/>
  <c r="CN467" i="6"/>
  <c r="CU311" i="6"/>
  <c r="CP467" i="6" s="1"/>
  <c r="CO467" i="6" s="1"/>
  <c r="CN462" i="6"/>
  <c r="CU246" i="6"/>
  <c r="CP462" i="6" s="1"/>
  <c r="CO462" i="6" s="1"/>
  <c r="CU207" i="6"/>
  <c r="CP459" i="6" s="1"/>
  <c r="CO459" i="6" s="1"/>
  <c r="CN459" i="6"/>
  <c r="CU389" i="6"/>
  <c r="CP473" i="6" s="1"/>
  <c r="CO473" i="6" s="1"/>
  <c r="CN473" i="6"/>
  <c r="CU441" i="6"/>
  <c r="CP477" i="6" s="1"/>
  <c r="CO477" i="6" s="1"/>
  <c r="CN477" i="6"/>
  <c r="CT172" i="6"/>
  <c r="CU172" i="6" s="1"/>
  <c r="CX450" i="6"/>
  <c r="CN449" i="6"/>
  <c r="CU77" i="6"/>
  <c r="CP449" i="6" s="1"/>
  <c r="CO449" i="6" s="1"/>
  <c r="CU376" i="6"/>
  <c r="CP472" i="6" s="1"/>
  <c r="CO472" i="6" s="1"/>
  <c r="CN472" i="6"/>
  <c r="CU428" i="6"/>
  <c r="CP476" i="6" s="1"/>
  <c r="CO476" i="6" s="1"/>
  <c r="CN476" i="6"/>
  <c r="CN456" i="6"/>
  <c r="CU168" i="6"/>
  <c r="CP456" i="6" s="1"/>
  <c r="CO456" i="6" s="1"/>
  <c r="CN457" i="6"/>
  <c r="CU181" i="6"/>
  <c r="CP457" i="6" s="1"/>
  <c r="CO457" i="6" s="1"/>
  <c r="CN468" i="6"/>
  <c r="CU324" i="6"/>
  <c r="CP468" i="6" s="1"/>
  <c r="CO468" i="6" s="1"/>
  <c r="CU64" i="6"/>
  <c r="CP448" i="6" s="1"/>
  <c r="CO448" i="6" s="1"/>
  <c r="CN448" i="6"/>
  <c r="CU142" i="6"/>
  <c r="CP454" i="6" s="1"/>
  <c r="CO454" i="6" s="1"/>
  <c r="CN454" i="6"/>
  <c r="F12" i="7"/>
  <c r="F10" i="7" s="1"/>
  <c r="F11" i="7" s="1"/>
  <c r="G11" i="7" s="1"/>
  <c r="AC25" i="7" a="1"/>
  <c r="AC27" i="7" s="1"/>
  <c r="K22" i="7" a="1"/>
  <c r="L24" i="7" s="1"/>
  <c r="K34" i="7" a="1"/>
  <c r="L36" i="7" s="1"/>
  <c r="K13" i="7" a="1"/>
  <c r="M13" i="7" s="1"/>
  <c r="K3" i="7" a="1"/>
  <c r="L5" i="7" s="1"/>
  <c r="K19" i="7" a="1"/>
  <c r="L21" i="7" s="1"/>
  <c r="K31" i="7" a="1"/>
  <c r="M31" i="7" s="1"/>
  <c r="I17" i="7"/>
  <c r="K16" i="7" s="1" a="1"/>
  <c r="I38" i="7"/>
  <c r="K37" i="7" s="1" a="1"/>
  <c r="I26" i="7"/>
  <c r="K25" i="7" s="1" a="1"/>
  <c r="AC35" i="7" a="1"/>
  <c r="F31" i="7"/>
  <c r="F33" i="7" s="1"/>
  <c r="F29" i="7"/>
  <c r="G29" i="7" s="1"/>
  <c r="AC15" i="7" a="1"/>
  <c r="AC20" i="7" a="1"/>
  <c r="K10" i="7" a="1"/>
  <c r="K28" i="7" a="1"/>
  <c r="K40" i="7" a="1"/>
  <c r="CZ454" i="6"/>
  <c r="CY452" i="6"/>
  <c r="CY450" i="6"/>
  <c r="CZ450" i="6"/>
  <c r="CY449" i="6"/>
  <c r="CZ449" i="6"/>
  <c r="CZ452" i="6"/>
  <c r="CY454" i="6"/>
  <c r="CU363" i="6" l="1"/>
  <c r="CP471" i="6" s="1"/>
  <c r="CO471" i="6" s="1"/>
  <c r="AC25" i="7"/>
  <c r="DB452" i="6"/>
  <c r="DC454" i="6"/>
  <c r="DC449" i="6"/>
  <c r="DB449" i="6"/>
  <c r="DB454" i="6"/>
  <c r="DB450" i="6"/>
  <c r="DC450" i="6"/>
  <c r="DC452" i="6"/>
  <c r="L15" i="7"/>
  <c r="R15" i="7" s="1"/>
  <c r="K13" i="7"/>
  <c r="Q13" i="7" s="1"/>
  <c r="M15" i="7"/>
  <c r="V15" i="7" s="1"/>
  <c r="L22" i="7"/>
  <c r="R22" i="7" s="1"/>
  <c r="L35" i="7"/>
  <c r="O35" i="7" s="1"/>
  <c r="M36" i="7"/>
  <c r="P36" i="7" s="1"/>
  <c r="M34" i="7"/>
  <c r="P34" i="7" s="1"/>
  <c r="K22" i="7"/>
  <c r="T22" i="7" s="1"/>
  <c r="M23" i="7"/>
  <c r="V23" i="7" s="1"/>
  <c r="M22" i="7"/>
  <c r="P22" i="7" s="1"/>
  <c r="L34" i="7"/>
  <c r="O34" i="7" s="1"/>
  <c r="L23" i="7"/>
  <c r="R23" i="7" s="1"/>
  <c r="K23" i="7"/>
  <c r="Q23" i="7" s="1"/>
  <c r="K36" i="7"/>
  <c r="N36" i="7" s="1"/>
  <c r="AC26" i="7"/>
  <c r="K24" i="7"/>
  <c r="Q24" i="7" s="1"/>
  <c r="M24" i="7"/>
  <c r="S24" i="7" s="1"/>
  <c r="K34" i="7"/>
  <c r="N34" i="7" s="1"/>
  <c r="K35" i="7"/>
  <c r="N35" i="7" s="1"/>
  <c r="L4" i="7"/>
  <c r="K3" i="7"/>
  <c r="M4" i="7"/>
  <c r="M3" i="7"/>
  <c r="M5" i="7"/>
  <c r="K5" i="7"/>
  <c r="L3" i="7"/>
  <c r="K14" i="7"/>
  <c r="Q14" i="7" s="1"/>
  <c r="K15" i="7"/>
  <c r="N15" i="7" s="1"/>
  <c r="M35" i="7"/>
  <c r="P35" i="7" s="1"/>
  <c r="L13" i="7"/>
  <c r="R13" i="7" s="1"/>
  <c r="M14" i="7"/>
  <c r="P14" i="7" s="1"/>
  <c r="K4" i="7"/>
  <c r="L14" i="7"/>
  <c r="U14" i="7" s="1"/>
  <c r="L20" i="7"/>
  <c r="R20" i="7" s="1"/>
  <c r="L19" i="7"/>
  <c r="R19" i="7" s="1"/>
  <c r="K19" i="7"/>
  <c r="Q19" i="7" s="1"/>
  <c r="M20" i="7"/>
  <c r="V20" i="7" s="1"/>
  <c r="M21" i="7"/>
  <c r="P21" i="7" s="1"/>
  <c r="M19" i="7"/>
  <c r="V19" i="7" s="1"/>
  <c r="K20" i="7"/>
  <c r="N20" i="7" s="1"/>
  <c r="M32" i="7"/>
  <c r="L32" i="7"/>
  <c r="O32" i="7" s="1"/>
  <c r="K33" i="7"/>
  <c r="N33" i="7" s="1"/>
  <c r="L31" i="7"/>
  <c r="L33" i="7"/>
  <c r="O33" i="7" s="1"/>
  <c r="K21" i="7"/>
  <c r="T21" i="7" s="1"/>
  <c r="K31" i="7"/>
  <c r="N31" i="7" s="1"/>
  <c r="K32" i="7"/>
  <c r="N32" i="7" s="1"/>
  <c r="M33" i="7"/>
  <c r="K18" i="7"/>
  <c r="M16" i="7"/>
  <c r="M17" i="7"/>
  <c r="L16" i="7"/>
  <c r="M18" i="7"/>
  <c r="L17" i="7"/>
  <c r="K16" i="7"/>
  <c r="L18" i="7"/>
  <c r="K17" i="7"/>
  <c r="L27" i="7"/>
  <c r="K26" i="7"/>
  <c r="K27" i="7"/>
  <c r="M25" i="7"/>
  <c r="M26" i="7"/>
  <c r="L25" i="7"/>
  <c r="M27" i="7"/>
  <c r="L26" i="7"/>
  <c r="K25" i="7"/>
  <c r="AC22" i="7"/>
  <c r="AC20" i="7"/>
  <c r="AC21" i="7"/>
  <c r="R21" i="7"/>
  <c r="U21" i="7"/>
  <c r="O21" i="7"/>
  <c r="F32" i="7"/>
  <c r="G32" i="7" s="1"/>
  <c r="V31" i="7" s="1"/>
  <c r="F34" i="7"/>
  <c r="F36" i="7" s="1"/>
  <c r="S13" i="7"/>
  <c r="V13" i="7"/>
  <c r="P13" i="7"/>
  <c r="M30" i="7"/>
  <c r="L29" i="7"/>
  <c r="K28" i="7"/>
  <c r="K30" i="7"/>
  <c r="L28" i="7"/>
  <c r="M29" i="7"/>
  <c r="K29" i="7"/>
  <c r="L30" i="7"/>
  <c r="M28" i="7"/>
  <c r="AD17" i="7"/>
  <c r="AC16" i="7"/>
  <c r="AC17" i="7"/>
  <c r="AE15" i="7"/>
  <c r="AE16" i="7"/>
  <c r="AD15" i="7"/>
  <c r="AE17" i="7"/>
  <c r="AD16" i="7"/>
  <c r="AC15" i="7"/>
  <c r="O36" i="7"/>
  <c r="M11" i="7"/>
  <c r="L10" i="7"/>
  <c r="M12" i="7"/>
  <c r="L12" i="7"/>
  <c r="M10" i="7"/>
  <c r="K12" i="7"/>
  <c r="K10" i="7"/>
  <c r="L11" i="7"/>
  <c r="K11" i="7"/>
  <c r="AC37" i="7"/>
  <c r="AC36" i="7"/>
  <c r="AC35" i="7"/>
  <c r="T23" i="7"/>
  <c r="K42" i="7"/>
  <c r="M40" i="7"/>
  <c r="M41" i="7"/>
  <c r="L40" i="7"/>
  <c r="M42" i="7"/>
  <c r="L41" i="7"/>
  <c r="K40" i="7"/>
  <c r="K41" i="7"/>
  <c r="L42" i="7"/>
  <c r="M38" i="7"/>
  <c r="L37" i="7"/>
  <c r="M39" i="7"/>
  <c r="L38" i="7"/>
  <c r="K37" i="7"/>
  <c r="L39" i="7"/>
  <c r="K38" i="7"/>
  <c r="M37" i="7"/>
  <c r="K39" i="7"/>
  <c r="P31" i="7"/>
  <c r="O24" i="7"/>
  <c r="U24" i="7"/>
  <c r="R24" i="7"/>
  <c r="O15" i="7" l="1"/>
  <c r="N13" i="7"/>
  <c r="P24" i="7"/>
  <c r="N23" i="7"/>
  <c r="S15" i="7"/>
  <c r="O13" i="7"/>
  <c r="V24" i="7"/>
  <c r="T13" i="7"/>
  <c r="U15" i="7"/>
  <c r="S21" i="7"/>
  <c r="S23" i="7"/>
  <c r="P23" i="7"/>
  <c r="S22" i="7"/>
  <c r="W22" i="7" a="1"/>
  <c r="W22" i="7" s="1"/>
  <c r="O23" i="7"/>
  <c r="N24" i="7"/>
  <c r="T19" i="7"/>
  <c r="Q20" i="7"/>
  <c r="U22" i="7"/>
  <c r="W24" i="7" a="1"/>
  <c r="W24" i="7" s="1"/>
  <c r="O22" i="7"/>
  <c r="P15" i="7"/>
  <c r="W34" i="7" a="1"/>
  <c r="Y34" i="7" s="1"/>
  <c r="V22" i="7"/>
  <c r="V14" i="7"/>
  <c r="U13" i="7"/>
  <c r="T24" i="7"/>
  <c r="T20" i="7"/>
  <c r="W36" i="7" a="1"/>
  <c r="X36" i="7" s="1"/>
  <c r="U23" i="7"/>
  <c r="Q22" i="7"/>
  <c r="T15" i="7"/>
  <c r="N19" i="7"/>
  <c r="N22" i="7"/>
  <c r="Q15" i="7"/>
  <c r="S14" i="7"/>
  <c r="W13" i="7" a="1"/>
  <c r="Y13" i="7" s="1"/>
  <c r="S31" i="7"/>
  <c r="S33" i="7"/>
  <c r="R32" i="7"/>
  <c r="V33" i="7"/>
  <c r="V32" i="7"/>
  <c r="R31" i="7"/>
  <c r="T14" i="7"/>
  <c r="Q21" i="7"/>
  <c r="N14" i="7"/>
  <c r="AC10" i="7" a="1"/>
  <c r="AC11" i="7" s="1"/>
  <c r="R14" i="7"/>
  <c r="S32" i="7"/>
  <c r="O14" i="7"/>
  <c r="W15" i="7" a="1"/>
  <c r="Y15" i="7" s="1"/>
  <c r="U32" i="7"/>
  <c r="V21" i="7"/>
  <c r="N21" i="7"/>
  <c r="U20" i="7"/>
  <c r="P33" i="7"/>
  <c r="O20" i="7"/>
  <c r="O19" i="7"/>
  <c r="T31" i="7"/>
  <c r="Q33" i="7"/>
  <c r="W19" i="7" a="1"/>
  <c r="X19" i="7" s="1"/>
  <c r="U19" i="7"/>
  <c r="S19" i="7"/>
  <c r="W21" i="7" a="1"/>
  <c r="Y21" i="7" s="1"/>
  <c r="P19" i="7"/>
  <c r="U33" i="7"/>
  <c r="Q31" i="7"/>
  <c r="R33" i="7"/>
  <c r="P32" i="7"/>
  <c r="S20" i="7"/>
  <c r="P20" i="7"/>
  <c r="T33" i="7"/>
  <c r="O31" i="7"/>
  <c r="T32" i="7"/>
  <c r="Q32" i="7"/>
  <c r="W31" i="7" a="1"/>
  <c r="W31" i="7" s="1"/>
  <c r="U31" i="7"/>
  <c r="W33" i="7" a="1"/>
  <c r="W33" i="7" s="1"/>
  <c r="W42" i="7" a="1"/>
  <c r="W40" i="7" a="1"/>
  <c r="N40" i="7"/>
  <c r="P41" i="7"/>
  <c r="N11" i="7"/>
  <c r="Q11" i="7"/>
  <c r="T11" i="7"/>
  <c r="V10" i="7"/>
  <c r="S10" i="7"/>
  <c r="P10" i="7"/>
  <c r="S11" i="7"/>
  <c r="V11" i="7"/>
  <c r="P11" i="7"/>
  <c r="U30" i="7"/>
  <c r="O30" i="7"/>
  <c r="R30" i="7"/>
  <c r="Q30" i="7"/>
  <c r="T30" i="7"/>
  <c r="N30" i="7"/>
  <c r="P27" i="7"/>
  <c r="V27" i="7"/>
  <c r="S27" i="7"/>
  <c r="T27" i="7"/>
  <c r="Q27" i="7"/>
  <c r="N27" i="7"/>
  <c r="R18" i="7"/>
  <c r="U18" i="7"/>
  <c r="O18" i="7"/>
  <c r="O16" i="7"/>
  <c r="R16" i="7"/>
  <c r="U16" i="7"/>
  <c r="P40" i="7"/>
  <c r="O11" i="7"/>
  <c r="R11" i="7"/>
  <c r="U11" i="7"/>
  <c r="O12" i="7"/>
  <c r="R12" i="7"/>
  <c r="U12" i="7"/>
  <c r="N29" i="7"/>
  <c r="Q29" i="7"/>
  <c r="T29" i="7"/>
  <c r="Q28" i="7"/>
  <c r="T28" i="7"/>
  <c r="N28" i="7"/>
  <c r="W30" i="7" a="1"/>
  <c r="W28" i="7" a="1"/>
  <c r="F35" i="7"/>
  <c r="G35" i="7" s="1"/>
  <c r="F37" i="7"/>
  <c r="F39" i="7" s="1"/>
  <c r="O25" i="7"/>
  <c r="R25" i="7"/>
  <c r="U25" i="7"/>
  <c r="Q26" i="7"/>
  <c r="T26" i="7"/>
  <c r="N26" i="7"/>
  <c r="W16" i="7" a="1"/>
  <c r="W18" i="7" a="1"/>
  <c r="N16" i="7"/>
  <c r="Q16" i="7"/>
  <c r="T16" i="7"/>
  <c r="S17" i="7"/>
  <c r="P17" i="7"/>
  <c r="V17" i="7"/>
  <c r="W10" i="7" a="1"/>
  <c r="W12" i="7" a="1"/>
  <c r="N10" i="7"/>
  <c r="Q10" i="7"/>
  <c r="T10" i="7"/>
  <c r="P12" i="7"/>
  <c r="S12" i="7"/>
  <c r="V12" i="7"/>
  <c r="V29" i="7"/>
  <c r="S29" i="7"/>
  <c r="P29" i="7"/>
  <c r="R29" i="7"/>
  <c r="U29" i="7"/>
  <c r="O29" i="7"/>
  <c r="T25" i="7"/>
  <c r="W25" i="7" a="1"/>
  <c r="N25" i="7"/>
  <c r="W27" i="7" a="1"/>
  <c r="Q25" i="7"/>
  <c r="P26" i="7"/>
  <c r="S26" i="7"/>
  <c r="V26" i="7"/>
  <c r="U27" i="7"/>
  <c r="O27" i="7"/>
  <c r="R27" i="7"/>
  <c r="U17" i="7"/>
  <c r="O17" i="7"/>
  <c r="R17" i="7"/>
  <c r="S16" i="7"/>
  <c r="V16" i="7"/>
  <c r="P16" i="7"/>
  <c r="O39" i="7"/>
  <c r="O37" i="7"/>
  <c r="N39" i="7"/>
  <c r="N37" i="7"/>
  <c r="W39" i="7" a="1"/>
  <c r="W37" i="7" a="1"/>
  <c r="P38" i="7"/>
  <c r="O41" i="7"/>
  <c r="P37" i="7"/>
  <c r="O38" i="7"/>
  <c r="O42" i="7"/>
  <c r="P42" i="7"/>
  <c r="N42" i="7"/>
  <c r="N38" i="7"/>
  <c r="P39" i="7"/>
  <c r="N41" i="7"/>
  <c r="O40" i="7"/>
  <c r="T12" i="7"/>
  <c r="N12" i="7"/>
  <c r="Q12" i="7"/>
  <c r="R10" i="7"/>
  <c r="U10" i="7"/>
  <c r="O10" i="7"/>
  <c r="V28" i="7"/>
  <c r="P28" i="7"/>
  <c r="S28" i="7"/>
  <c r="U28" i="7"/>
  <c r="O28" i="7"/>
  <c r="R28" i="7"/>
  <c r="V30" i="7"/>
  <c r="P30" i="7"/>
  <c r="S30" i="7"/>
  <c r="U26" i="7"/>
  <c r="O26" i="7"/>
  <c r="R26" i="7"/>
  <c r="P25" i="7"/>
  <c r="S25" i="7"/>
  <c r="V25" i="7"/>
  <c r="T17" i="7"/>
  <c r="N17" i="7"/>
  <c r="Q17" i="7"/>
  <c r="V18" i="7"/>
  <c r="S18" i="7"/>
  <c r="P18" i="7"/>
  <c r="N18" i="7"/>
  <c r="Q18" i="7"/>
  <c r="T18" i="7"/>
  <c r="X22" i="7" l="1"/>
  <c r="Y22" i="7"/>
  <c r="X24" i="7"/>
  <c r="Y24" i="7"/>
  <c r="X34" i="7"/>
  <c r="W34" i="7"/>
  <c r="Y36" i="7"/>
  <c r="W13" i="7"/>
  <c r="W21" i="7"/>
  <c r="W19" i="7"/>
  <c r="W36" i="7"/>
  <c r="X13" i="7"/>
  <c r="Y19" i="7"/>
  <c r="X33" i="7"/>
  <c r="AD10" i="7"/>
  <c r="AE12" i="7"/>
  <c r="AC12" i="7"/>
  <c r="AE10" i="7"/>
  <c r="AD11" i="7"/>
  <c r="AE11" i="7"/>
  <c r="AC10" i="7"/>
  <c r="AD12" i="7"/>
  <c r="W15" i="7"/>
  <c r="X15" i="7"/>
  <c r="X21" i="7"/>
  <c r="X31" i="7"/>
  <c r="Y33" i="7"/>
  <c r="Y31" i="7"/>
  <c r="H47" i="7"/>
  <c r="H45" i="7"/>
  <c r="J47" i="7"/>
  <c r="W12" i="7"/>
  <c r="Y12" i="7"/>
  <c r="X12" i="7"/>
  <c r="Y16" i="7"/>
  <c r="X16" i="7"/>
  <c r="W16" i="7"/>
  <c r="T35" i="7"/>
  <c r="U36" i="7"/>
  <c r="Q34" i="7"/>
  <c r="T34" i="7"/>
  <c r="S34" i="7"/>
  <c r="Q36" i="7"/>
  <c r="U35" i="7"/>
  <c r="T36" i="7"/>
  <c r="R34" i="7"/>
  <c r="V35" i="7"/>
  <c r="R35" i="7"/>
  <c r="S36" i="7"/>
  <c r="R36" i="7"/>
  <c r="U34" i="7"/>
  <c r="Q35" i="7"/>
  <c r="V36" i="7"/>
  <c r="S35" i="7"/>
  <c r="V34" i="7"/>
  <c r="X28" i="7"/>
  <c r="Y28" i="7"/>
  <c r="W28" i="7"/>
  <c r="J45" i="7"/>
  <c r="Y42" i="7"/>
  <c r="X42" i="7"/>
  <c r="W42" i="7"/>
  <c r="W27" i="7"/>
  <c r="Y27" i="7"/>
  <c r="X27" i="7"/>
  <c r="Y10" i="7"/>
  <c r="X10" i="7"/>
  <c r="W10" i="7"/>
  <c r="X30" i="7"/>
  <c r="Y30" i="7"/>
  <c r="W30" i="7"/>
  <c r="I46" i="7"/>
  <c r="J46" i="7"/>
  <c r="H46" i="7"/>
  <c r="Y37" i="7"/>
  <c r="X37" i="7"/>
  <c r="W37" i="7"/>
  <c r="I47" i="7"/>
  <c r="I45" i="7"/>
  <c r="Y39" i="7"/>
  <c r="X39" i="7"/>
  <c r="W39" i="7"/>
  <c r="W25" i="7"/>
  <c r="Y25" i="7"/>
  <c r="X25" i="7"/>
  <c r="Y18" i="7"/>
  <c r="W18" i="7"/>
  <c r="X18" i="7"/>
  <c r="F38" i="7"/>
  <c r="G38" i="7" s="1"/>
  <c r="F40" i="7"/>
  <c r="F42" i="7" s="1"/>
  <c r="F41" i="7" s="1"/>
  <c r="G41" i="7" s="1"/>
  <c r="Y40" i="7"/>
  <c r="X40" i="7"/>
  <c r="W40" i="7"/>
  <c r="AM4" i="7" l="1"/>
  <c r="AU4" i="7" s="1"/>
  <c r="O4" i="8"/>
  <c r="W4" i="8" s="1"/>
  <c r="AL2" i="7"/>
  <c r="AT2" i="7" s="1"/>
  <c r="N2" i="8"/>
  <c r="AN3" i="7"/>
  <c r="AV3" i="7" s="1"/>
  <c r="P3" i="8"/>
  <c r="X3" i="8" s="1"/>
  <c r="AL4" i="7"/>
  <c r="AT4" i="7" s="1"/>
  <c r="N4" i="8"/>
  <c r="V4" i="8" s="1"/>
  <c r="AM3" i="7"/>
  <c r="AU3" i="7" s="1"/>
  <c r="O3" i="8"/>
  <c r="W3" i="8" s="1"/>
  <c r="AL3" i="7"/>
  <c r="AT3" i="7" s="1"/>
  <c r="N3" i="8"/>
  <c r="V3" i="8" s="1"/>
  <c r="AM2" i="7"/>
  <c r="AU2" i="7" s="1"/>
  <c r="O2" i="8"/>
  <c r="W2" i="8" s="1"/>
  <c r="AN2" i="7"/>
  <c r="AV2" i="7" s="1"/>
  <c r="P2" i="8"/>
  <c r="X2" i="8" s="1"/>
  <c r="AN4" i="7"/>
  <c r="AV4" i="7" s="1"/>
  <c r="P4" i="8"/>
  <c r="X4" i="8" s="1"/>
  <c r="AG10" i="7" a="1"/>
  <c r="AG11" i="7" s="1"/>
  <c r="V40" i="7"/>
  <c r="U42" i="7"/>
  <c r="S41" i="7"/>
  <c r="S42" i="7"/>
  <c r="Q42" i="7"/>
  <c r="T41" i="7"/>
  <c r="R40" i="7"/>
  <c r="V42" i="7"/>
  <c r="T42" i="7"/>
  <c r="Q40" i="7"/>
  <c r="V41" i="7"/>
  <c r="R41" i="7"/>
  <c r="U40" i="7"/>
  <c r="T40" i="7"/>
  <c r="S40" i="7"/>
  <c r="U41" i="7"/>
  <c r="R42" i="7"/>
  <c r="Q41" i="7"/>
  <c r="R39" i="7"/>
  <c r="U37" i="7"/>
  <c r="T39" i="7"/>
  <c r="V37" i="7"/>
  <c r="R38" i="7"/>
  <c r="Q38" i="7"/>
  <c r="S39" i="7"/>
  <c r="U39" i="7"/>
  <c r="U38" i="7"/>
  <c r="T38" i="7"/>
  <c r="Q37" i="7"/>
  <c r="S38" i="7"/>
  <c r="S37" i="7"/>
  <c r="V39" i="7"/>
  <c r="R37" i="7"/>
  <c r="Q39" i="7"/>
  <c r="T37" i="7"/>
  <c r="V38" i="7"/>
  <c r="M45" i="7" l="1"/>
  <c r="P5" i="8" s="1"/>
  <c r="X5" i="8" s="1"/>
  <c r="O47" i="7"/>
  <c r="R7" i="8" s="1"/>
  <c r="Z7" i="8" s="1"/>
  <c r="P47" i="7"/>
  <c r="S7" i="8" s="1"/>
  <c r="AA7" i="8" s="1"/>
  <c r="N47" i="7"/>
  <c r="AO7" i="7" s="1"/>
  <c r="AW7" i="7" s="1"/>
  <c r="K47" i="7"/>
  <c r="N7" i="8" s="1"/>
  <c r="V7" i="8" s="1"/>
  <c r="P45" i="7"/>
  <c r="AQ5" i="7" s="1"/>
  <c r="AY5" i="7" s="1"/>
  <c r="V2" i="8"/>
  <c r="AG10" i="7"/>
  <c r="AG12" i="7"/>
  <c r="K45" i="7"/>
  <c r="AL5" i="7" s="1"/>
  <c r="AT5" i="7" s="1"/>
  <c r="N46" i="7"/>
  <c r="K46" i="7"/>
  <c r="O45" i="7"/>
  <c r="N45" i="7"/>
  <c r="L47" i="7"/>
  <c r="AM7" i="7" s="1"/>
  <c r="AU7" i="7" s="1"/>
  <c r="O46" i="7"/>
  <c r="L46" i="7"/>
  <c r="M47" i="7"/>
  <c r="M46" i="7"/>
  <c r="L45" i="7"/>
  <c r="P46" i="7"/>
  <c r="AQ2" i="7" l="1"/>
  <c r="AY2" i="7" s="1"/>
  <c r="S2" i="8"/>
  <c r="AA2" i="8" s="1"/>
  <c r="AN5" i="7"/>
  <c r="AV5" i="7" s="1"/>
  <c r="AP7" i="7"/>
  <c r="AX7" i="7" s="1"/>
  <c r="AQ7" i="7"/>
  <c r="AY7" i="7" s="1"/>
  <c r="Q7" i="8"/>
  <c r="Y7" i="8" s="1"/>
  <c r="AL7" i="7"/>
  <c r="AT7" i="7" s="1"/>
  <c r="S5" i="8"/>
  <c r="AA5" i="8" s="1"/>
  <c r="Q4" i="8"/>
  <c r="Y4" i="8" s="1"/>
  <c r="AO4" i="7"/>
  <c r="AW4" i="7" s="1"/>
  <c r="AM6" i="7"/>
  <c r="AU6" i="7" s="1"/>
  <c r="R3" i="8"/>
  <c r="Z3" i="8" s="1"/>
  <c r="O6" i="8"/>
  <c r="W6" i="8" s="1"/>
  <c r="AO2" i="7"/>
  <c r="AW2" i="7" s="1"/>
  <c r="AM5" i="7"/>
  <c r="AU5" i="7" s="1"/>
  <c r="R2" i="8"/>
  <c r="Z2" i="8" s="1"/>
  <c r="O5" i="8"/>
  <c r="W5" i="8" s="1"/>
  <c r="AP6" i="7"/>
  <c r="AX6" i="7" s="1"/>
  <c r="R6" i="8"/>
  <c r="Z6" i="8" s="1"/>
  <c r="AL6" i="7"/>
  <c r="AT6" i="7" s="1"/>
  <c r="N6" i="8"/>
  <c r="V6" i="8" s="1"/>
  <c r="Q3" i="8"/>
  <c r="Y3" i="8" s="1"/>
  <c r="AN7" i="7"/>
  <c r="AV7" i="7" s="1"/>
  <c r="S4" i="8"/>
  <c r="AA4" i="8" s="1"/>
  <c r="P7" i="8"/>
  <c r="X7" i="8" s="1"/>
  <c r="AQ6" i="7"/>
  <c r="AY6" i="7" s="1"/>
  <c r="S6" i="8"/>
  <c r="AA6" i="8" s="1"/>
  <c r="AP5" i="7"/>
  <c r="AX5" i="7" s="1"/>
  <c r="R5" i="8"/>
  <c r="Z5" i="8" s="1"/>
  <c r="AN6" i="7"/>
  <c r="AV6" i="7" s="1"/>
  <c r="S3" i="8"/>
  <c r="AA3" i="8" s="1"/>
  <c r="P6" i="8"/>
  <c r="X6" i="8" s="1"/>
  <c r="AP4" i="7"/>
  <c r="AX4" i="7" s="1"/>
  <c r="O7" i="8"/>
  <c r="W7" i="8" s="1"/>
  <c r="R4" i="8"/>
  <c r="Z4" i="8" s="1"/>
  <c r="AO6" i="7"/>
  <c r="AW6" i="7" s="1"/>
  <c r="Q6" i="8"/>
  <c r="Y6" i="8" s="1"/>
  <c r="AO5" i="7"/>
  <c r="AW5" i="7" s="1"/>
  <c r="Q5" i="8"/>
  <c r="Y5" i="8" s="1"/>
  <c r="N5" i="8"/>
  <c r="V5" i="8" s="1"/>
  <c r="Q2" i="8"/>
  <c r="AP2" i="7"/>
  <c r="AX2" i="7" s="1"/>
  <c r="AO3" i="7"/>
  <c r="AW3" i="7" s="1"/>
  <c r="AQ4" i="7"/>
  <c r="AY4" i="7" s="1"/>
  <c r="AP3" i="7"/>
  <c r="AX3" i="7" s="1"/>
  <c r="AQ3" i="7"/>
  <c r="AY3" i="7" s="1"/>
  <c r="Y2" i="8" l="1"/>
  <c r="V18" i="8" s="1" a="1"/>
  <c r="N10" i="8" a="1"/>
  <c r="AL10" i="7" a="1"/>
  <c r="AO15" i="7" s="1"/>
  <c r="AW15" i="7" s="1"/>
  <c r="AT18" i="7" a="1"/>
  <c r="AX23" i="7" s="1"/>
  <c r="R13" i="8" l="1"/>
  <c r="Z13" i="8" s="1"/>
  <c r="S13" i="8"/>
  <c r="AA13" i="8" s="1"/>
  <c r="P12" i="8"/>
  <c r="X12" i="8" s="1"/>
  <c r="O12" i="8"/>
  <c r="W12" i="8" s="1"/>
  <c r="S14" i="8"/>
  <c r="AA14" i="8" s="1"/>
  <c r="P15" i="8"/>
  <c r="S11" i="8"/>
  <c r="AA11" i="8" s="1"/>
  <c r="O14" i="8"/>
  <c r="P11" i="8"/>
  <c r="X11" i="8" s="1"/>
  <c r="P10" i="8"/>
  <c r="X10" i="8" s="1"/>
  <c r="N15" i="8"/>
  <c r="O15" i="8"/>
  <c r="Q11" i="8"/>
  <c r="Y11" i="8" s="1"/>
  <c r="R14" i="8"/>
  <c r="Z14" i="8" s="1"/>
  <c r="P14" i="8"/>
  <c r="O11" i="8"/>
  <c r="W11" i="8" s="1"/>
  <c r="S12" i="8"/>
  <c r="AA12" i="8" s="1"/>
  <c r="S15" i="8"/>
  <c r="AA15" i="8" s="1"/>
  <c r="R11" i="8"/>
  <c r="Z11" i="8" s="1"/>
  <c r="N14" i="8"/>
  <c r="N13" i="8"/>
  <c r="Q15" i="8"/>
  <c r="Y15" i="8" s="1"/>
  <c r="Q10" i="8"/>
  <c r="Y10" i="8" s="1"/>
  <c r="O13" i="8"/>
  <c r="Q14" i="8"/>
  <c r="Y14" i="8" s="1"/>
  <c r="N11" i="8"/>
  <c r="V11" i="8" s="1"/>
  <c r="R12" i="8"/>
  <c r="Z12" i="8" s="1"/>
  <c r="Q12" i="8"/>
  <c r="Y12" i="8" s="1"/>
  <c r="S10" i="8"/>
  <c r="AA10" i="8" s="1"/>
  <c r="R15" i="8"/>
  <c r="Z15" i="8" s="1"/>
  <c r="N10" i="8"/>
  <c r="V10" i="8" s="1"/>
  <c r="R10" i="8"/>
  <c r="Z10" i="8" s="1"/>
  <c r="P13" i="8"/>
  <c r="N12" i="8"/>
  <c r="V12" i="8" s="1"/>
  <c r="O10" i="8"/>
  <c r="W10" i="8" s="1"/>
  <c r="Q13" i="8"/>
  <c r="Y13" i="8" s="1"/>
  <c r="Z22" i="8"/>
  <c r="V20" i="8"/>
  <c r="AA23" i="8"/>
  <c r="W21" i="8"/>
  <c r="Y18" i="8"/>
  <c r="Z21" i="8"/>
  <c r="V19" i="8"/>
  <c r="W22" i="8"/>
  <c r="Y19" i="8"/>
  <c r="Z23" i="8"/>
  <c r="X18" i="8"/>
  <c r="Y21" i="8"/>
  <c r="Z20" i="8"/>
  <c r="AA21" i="8"/>
  <c r="X22" i="8"/>
  <c r="Z19" i="8"/>
  <c r="W20" i="8"/>
  <c r="V22" i="8"/>
  <c r="X19" i="8"/>
  <c r="W23" i="8"/>
  <c r="Y20" i="8"/>
  <c r="V21" i="8"/>
  <c r="AA18" i="8"/>
  <c r="X23" i="8"/>
  <c r="W19" i="8"/>
  <c r="W46" i="7" s="1"/>
  <c r="AA22" i="8"/>
  <c r="X21" i="8"/>
  <c r="Z18" i="8"/>
  <c r="Y22" i="8"/>
  <c r="AA19" i="8"/>
  <c r="V23" i="8"/>
  <c r="X20" i="8"/>
  <c r="W47" i="7" s="1"/>
  <c r="Y23" i="8"/>
  <c r="AA20" i="8"/>
  <c r="W18" i="8"/>
  <c r="V18" i="8"/>
  <c r="W45" i="7" s="1"/>
  <c r="C9" i="6" s="1"/>
  <c r="AN10" i="7"/>
  <c r="AV10" i="7" s="1"/>
  <c r="AL13" i="7"/>
  <c r="AP15" i="7"/>
  <c r="AX15" i="7" s="1"/>
  <c r="AO12" i="7"/>
  <c r="AW12" i="7" s="1"/>
  <c r="AM15" i="7"/>
  <c r="AN11" i="7"/>
  <c r="AV11" i="7" s="1"/>
  <c r="AL14" i="7"/>
  <c r="AQ10" i="7"/>
  <c r="AY10" i="7" s="1"/>
  <c r="AO13" i="7"/>
  <c r="AW13" i="7" s="1"/>
  <c r="AL11" i="7"/>
  <c r="AT11" i="7" s="1"/>
  <c r="AP13" i="7"/>
  <c r="AX13" i="7" s="1"/>
  <c r="AO10" i="7"/>
  <c r="AW10" i="7" s="1"/>
  <c r="AM13" i="7"/>
  <c r="AQ15" i="7"/>
  <c r="AY15" i="7" s="1"/>
  <c r="AL12" i="7"/>
  <c r="AT12" i="7" s="1"/>
  <c r="AP14" i="7"/>
  <c r="AX14" i="7" s="1"/>
  <c r="AO11" i="7"/>
  <c r="AW11" i="7" s="1"/>
  <c r="AM14" i="7"/>
  <c r="AP11" i="7"/>
  <c r="AX11" i="7" s="1"/>
  <c r="AN14" i="7"/>
  <c r="AM11" i="7"/>
  <c r="AU11" i="7" s="1"/>
  <c r="AQ13" i="7"/>
  <c r="AY13" i="7" s="1"/>
  <c r="AL10" i="7"/>
  <c r="AT10" i="7" s="1"/>
  <c r="AP12" i="7"/>
  <c r="AX12" i="7" s="1"/>
  <c r="AN15" i="7"/>
  <c r="AM12" i="7"/>
  <c r="AU12" i="7" s="1"/>
  <c r="AQ14" i="7"/>
  <c r="AY14" i="7" s="1"/>
  <c r="AN12" i="7"/>
  <c r="AV12" i="7" s="1"/>
  <c r="AL15" i="7"/>
  <c r="AQ11" i="7"/>
  <c r="AY11" i="7" s="1"/>
  <c r="AO14" i="7"/>
  <c r="AW14" i="7" s="1"/>
  <c r="AP10" i="7"/>
  <c r="AX10" i="7" s="1"/>
  <c r="AN13" i="7"/>
  <c r="AM10" i="7"/>
  <c r="AU10" i="7" s="1"/>
  <c r="AQ12" i="7"/>
  <c r="AY12" i="7" s="1"/>
  <c r="AT18" i="7"/>
  <c r="AY22" i="7"/>
  <c r="AY20" i="7"/>
  <c r="AY19" i="7"/>
  <c r="AV19" i="7"/>
  <c r="AT22" i="7"/>
  <c r="AT19" i="7"/>
  <c r="AX21" i="7"/>
  <c r="AY18" i="7"/>
  <c r="AU18" i="7"/>
  <c r="AU23" i="7"/>
  <c r="AU22" i="7"/>
  <c r="AU21" i="7"/>
  <c r="AT20" i="7"/>
  <c r="AX22" i="7"/>
  <c r="AX19" i="7"/>
  <c r="AV22" i="7"/>
  <c r="AW23" i="7"/>
  <c r="AX20" i="7"/>
  <c r="AV23" i="7"/>
  <c r="AT23" i="7"/>
  <c r="AY21" i="7"/>
  <c r="AU20" i="7"/>
  <c r="AU19" i="7"/>
  <c r="AW18" i="7"/>
  <c r="AW22" i="7"/>
  <c r="AV20" i="7"/>
  <c r="AW21" i="7"/>
  <c r="AW20" i="7"/>
  <c r="AW19" i="7"/>
  <c r="AX18" i="7"/>
  <c r="AY23" i="7"/>
  <c r="AV21" i="7"/>
  <c r="AV18" i="7"/>
  <c r="AT21" i="7"/>
  <c r="W48" i="7" l="1"/>
  <c r="V13" i="8" a="1"/>
  <c r="AT13" i="7" a="1"/>
  <c r="AU15" i="7" s="1"/>
  <c r="W15" i="8" l="1"/>
  <c r="X15" i="8"/>
  <c r="W13" i="8"/>
  <c r="V14" i="8"/>
  <c r="V15" i="8"/>
  <c r="X13" i="8"/>
  <c r="W14" i="8"/>
  <c r="V13" i="8"/>
  <c r="X14" i="8"/>
  <c r="AU14" i="7"/>
  <c r="AV13" i="7"/>
  <c r="AV15" i="7"/>
  <c r="AT15" i="7"/>
  <c r="AU13" i="7"/>
  <c r="AT14" i="7"/>
  <c r="AT13" i="7"/>
  <c r="AV14" i="7"/>
  <c r="Q18" i="8" l="1" a="1"/>
  <c r="Q21" i="8" s="1"/>
  <c r="S48" i="7" s="1"/>
  <c r="AO18" i="7" a="1"/>
  <c r="AO23" i="7" s="1"/>
  <c r="Q18" i="8" l="1"/>
  <c r="S45" i="7" s="1"/>
  <c r="AA15" i="7" s="1"/>
  <c r="AO20" i="7"/>
  <c r="Q23" i="8"/>
  <c r="S50" i="7" s="1"/>
  <c r="AO21" i="7"/>
  <c r="AO18" i="7"/>
  <c r="Q22" i="8"/>
  <c r="S49" i="7" s="1"/>
  <c r="AO22" i="7"/>
  <c r="Q20" i="8"/>
  <c r="S47" i="7" s="1"/>
  <c r="AA17" i="7" s="1"/>
  <c r="Q19" i="8"/>
  <c r="S46" i="7" s="1"/>
  <c r="AA16" i="7" s="1"/>
  <c r="AO19" i="7"/>
  <c r="C6" i="6"/>
  <c r="AT3" i="6" s="1"/>
  <c r="AW24" i="6"/>
  <c r="AW25" i="6" s="1"/>
  <c r="AV24" i="6"/>
  <c r="AC24" i="6"/>
  <c r="AC25" i="6" s="1"/>
  <c r="AB24" i="6"/>
  <c r="C24" i="6"/>
  <c r="AV25" i="6" l="1"/>
  <c r="AB25" i="6"/>
  <c r="C25" i="6"/>
  <c r="AT5" i="6"/>
  <c r="AB442" i="6" a="1"/>
  <c r="C442" i="6" a="1"/>
  <c r="AV442" i="6" a="1"/>
  <c r="AB442" i="6" l="1"/>
  <c r="AD441" i="6" s="1"/>
  <c r="AV442" i="6"/>
  <c r="AX441" i="6" s="1"/>
  <c r="C442" i="6"/>
  <c r="AN426" i="6"/>
  <c r="AN413" i="6"/>
  <c r="AN397" i="6"/>
  <c r="AN372" i="6"/>
  <c r="AN332" i="6"/>
  <c r="AN324" i="6"/>
  <c r="AN308" i="6"/>
  <c r="AN217" i="6"/>
  <c r="AN185" i="6"/>
  <c r="AN158" i="6"/>
  <c r="AN134" i="6"/>
  <c r="AN126" i="6"/>
  <c r="AN102" i="6"/>
  <c r="AN94" i="6"/>
  <c r="AN70" i="6"/>
  <c r="AN62" i="6"/>
  <c r="AN440" i="6"/>
  <c r="AN357" i="6"/>
  <c r="AN325" i="6"/>
  <c r="AN378" i="6"/>
  <c r="AN362" i="6"/>
  <c r="AN346" i="6"/>
  <c r="AN314" i="6"/>
  <c r="AN306" i="6"/>
  <c r="AN298" i="6"/>
  <c r="AN290" i="6"/>
  <c r="AN282" i="6"/>
  <c r="AN274" i="6"/>
  <c r="AN266" i="6"/>
  <c r="AN258" i="6"/>
  <c r="AN242" i="6"/>
  <c r="AN234" i="6"/>
  <c r="AN226" i="6"/>
  <c r="AN214" i="6"/>
  <c r="AN198" i="6"/>
  <c r="AN182" i="6"/>
  <c r="AN148" i="6"/>
  <c r="AN116" i="6"/>
  <c r="AN84" i="6"/>
  <c r="AN398" i="6"/>
  <c r="AN341" i="6"/>
  <c r="AN410" i="6"/>
  <c r="AN245" i="6"/>
  <c r="AN221" i="6"/>
  <c r="AN339" i="6"/>
  <c r="AN183" i="6"/>
  <c r="AN167" i="6"/>
  <c r="AN360" i="6"/>
  <c r="AN344" i="6"/>
  <c r="AN312" i="6"/>
  <c r="AN288" i="6"/>
  <c r="AN280" i="6"/>
  <c r="AN248" i="6"/>
  <c r="AN224" i="6"/>
  <c r="AN177" i="6"/>
  <c r="AN162" i="6"/>
  <c r="AN154" i="6"/>
  <c r="AN122" i="6"/>
  <c r="AN90" i="6"/>
  <c r="AN58" i="6"/>
  <c r="AN424" i="6"/>
  <c r="AN388" i="6"/>
  <c r="AN211" i="6"/>
  <c r="AN432" i="6"/>
  <c r="AN285" i="6"/>
  <c r="AN261" i="6"/>
  <c r="AN229" i="6"/>
  <c r="AN189" i="6"/>
  <c r="AG50" i="6"/>
  <c r="AN200" i="6"/>
  <c r="AN208" i="6"/>
  <c r="AN436" i="6"/>
  <c r="AN429" i="6"/>
  <c r="AN411" i="6"/>
  <c r="AN349" i="6"/>
  <c r="AN275" i="6"/>
  <c r="AN267" i="6"/>
  <c r="AN243" i="6"/>
  <c r="AN235" i="6"/>
  <c r="AN218" i="6"/>
  <c r="AN202" i="6"/>
  <c r="AN186" i="6"/>
  <c r="AN170" i="6"/>
  <c r="AN401" i="6"/>
  <c r="AN315" i="6"/>
  <c r="AN196" i="6"/>
  <c r="AN180" i="6"/>
  <c r="AN382" i="6"/>
  <c r="AN374" i="6"/>
  <c r="AN350" i="6"/>
  <c r="AN326" i="6"/>
  <c r="AN302" i="6"/>
  <c r="AN294" i="6"/>
  <c r="AN270" i="6"/>
  <c r="AN262" i="6"/>
  <c r="AN254" i="6"/>
  <c r="AN238" i="6"/>
  <c r="AN222" i="6"/>
  <c r="AN190" i="6"/>
  <c r="AN174" i="6"/>
  <c r="AN159" i="6"/>
  <c r="AN151" i="6"/>
  <c r="AN143" i="6"/>
  <c r="AN135" i="6"/>
  <c r="AN127" i="6"/>
  <c r="AN119" i="6"/>
  <c r="AN111" i="6"/>
  <c r="AN103" i="6"/>
  <c r="AN95" i="6"/>
  <c r="AN87" i="6"/>
  <c r="AN79" i="6"/>
  <c r="AN71" i="6"/>
  <c r="AN63" i="6"/>
  <c r="AN55" i="6"/>
  <c r="AN152" i="6"/>
  <c r="AN120" i="6"/>
  <c r="AN88" i="6"/>
  <c r="AN56" i="6"/>
  <c r="BA50" i="6"/>
  <c r="CB107" i="6"/>
  <c r="CB149" i="6"/>
  <c r="CB190" i="6"/>
  <c r="CB235" i="6"/>
  <c r="CB299" i="6"/>
  <c r="CB409" i="6"/>
  <c r="CB79" i="6"/>
  <c r="CB121" i="6"/>
  <c r="CB217" i="6"/>
  <c r="CB262" i="6"/>
  <c r="CB322" i="6"/>
  <c r="CB398" i="6"/>
  <c r="CB67" i="6"/>
  <c r="CB109" i="6"/>
  <c r="CB205" i="6"/>
  <c r="CB250" i="6"/>
  <c r="CB310" i="6"/>
  <c r="CB386" i="6"/>
  <c r="CB54" i="6"/>
  <c r="CB81" i="6"/>
  <c r="CB177" i="6"/>
  <c r="CB273" i="6"/>
  <c r="CB329" i="6"/>
  <c r="CB365" i="6"/>
  <c r="CB80" i="6"/>
  <c r="CB122" i="6"/>
  <c r="CB215" i="6"/>
  <c r="CB290" i="6"/>
  <c r="CB363" i="6"/>
  <c r="CB433" i="6"/>
  <c r="CB159" i="6"/>
  <c r="CB94" i="6"/>
  <c r="CB187" i="6"/>
  <c r="CB284" i="6"/>
  <c r="CB374" i="6"/>
  <c r="CB418" i="6"/>
  <c r="CB147" i="6"/>
  <c r="CB82" i="6"/>
  <c r="CB230" i="6"/>
  <c r="CB275" i="6"/>
  <c r="CB336" i="6"/>
  <c r="CB406" i="6"/>
  <c r="CB119" i="6"/>
  <c r="CB161" i="6"/>
  <c r="CB202" i="6"/>
  <c r="CB247" i="6"/>
  <c r="CB311" i="6"/>
  <c r="CB388" i="6"/>
  <c r="CB68" i="6"/>
  <c r="CB160" i="6"/>
  <c r="CB204" i="6"/>
  <c r="CB245" i="6"/>
  <c r="CB301" i="6"/>
  <c r="CB337" i="6"/>
  <c r="CB440" i="6"/>
  <c r="CB132" i="6"/>
  <c r="CB174" i="6"/>
  <c r="CB268" i="6"/>
  <c r="CB288" i="6"/>
  <c r="CB360" i="6"/>
  <c r="CB439" i="6"/>
  <c r="CB120" i="6"/>
  <c r="CB162" i="6"/>
  <c r="CB256" i="6"/>
  <c r="CB304" i="6"/>
  <c r="CB348" i="6"/>
  <c r="CB427" i="6"/>
  <c r="CB92" i="6"/>
  <c r="CB134" i="6"/>
  <c r="CB227" i="6"/>
  <c r="CB316" i="6"/>
  <c r="CB375" i="6"/>
  <c r="CB408" i="6"/>
  <c r="CB57" i="6"/>
  <c r="CB176" i="6"/>
  <c r="CB220" i="6"/>
  <c r="CB261" i="6"/>
  <c r="CB317" i="6"/>
  <c r="CB353" i="6"/>
  <c r="CB56" i="6"/>
  <c r="CB148" i="6"/>
  <c r="CB192" i="6"/>
  <c r="CB233" i="6"/>
  <c r="CB324" i="6"/>
  <c r="CB376" i="6"/>
  <c r="CB428" i="6"/>
  <c r="CB136" i="6"/>
  <c r="CB180" i="6"/>
  <c r="CB272" i="6"/>
  <c r="CB292" i="6"/>
  <c r="CB364" i="6"/>
  <c r="CB416" i="6"/>
  <c r="CB108" i="6"/>
  <c r="CB150" i="6"/>
  <c r="CB244" i="6"/>
  <c r="CB291" i="6"/>
  <c r="CB405" i="6"/>
  <c r="CB438" i="6"/>
  <c r="CB171" i="6"/>
  <c r="CB106" i="6"/>
  <c r="CB199" i="6"/>
  <c r="CB293" i="6"/>
  <c r="CB347" i="6"/>
  <c r="CB411" i="6"/>
  <c r="CB143" i="6"/>
  <c r="CB78" i="6"/>
  <c r="CB226" i="6"/>
  <c r="CB271" i="6"/>
  <c r="CB335" i="6"/>
  <c r="CB402" i="6"/>
  <c r="CB131" i="6"/>
  <c r="CB173" i="6"/>
  <c r="CB214" i="6"/>
  <c r="CB259" i="6"/>
  <c r="CB323" i="6"/>
  <c r="CB400" i="6"/>
  <c r="CB103" i="6"/>
  <c r="CB145" i="6"/>
  <c r="CB186" i="6"/>
  <c r="CB231" i="6"/>
  <c r="CB370" i="6"/>
  <c r="CB401" i="6"/>
  <c r="CB52" i="6"/>
  <c r="CB144" i="6"/>
  <c r="CB188" i="6"/>
  <c r="CB280" i="6"/>
  <c r="CB308" i="6"/>
  <c r="CB372" i="6"/>
  <c r="CB424" i="6"/>
  <c r="CB116" i="6"/>
  <c r="CB158" i="6"/>
  <c r="CB252" i="6"/>
  <c r="CB298" i="6"/>
  <c r="CB344" i="6"/>
  <c r="CB423" i="6"/>
  <c r="CB104" i="6"/>
  <c r="CB146" i="6"/>
  <c r="CB240" i="6"/>
  <c r="CB287" i="6"/>
  <c r="CB389" i="6"/>
  <c r="CB430" i="6"/>
  <c r="CB76" i="6"/>
  <c r="CB118" i="6"/>
  <c r="CB211" i="6"/>
  <c r="CB286" i="6"/>
  <c r="CB359" i="6"/>
  <c r="CB425" i="6"/>
  <c r="CB75" i="6"/>
  <c r="CB117" i="6"/>
  <c r="CB213" i="6"/>
  <c r="CB258" i="6"/>
  <c r="CB318" i="6"/>
  <c r="CB394" i="6"/>
  <c r="CB62" i="6"/>
  <c r="CB89" i="6"/>
  <c r="CB185" i="6"/>
  <c r="CB281" i="6"/>
  <c r="CB350" i="6"/>
  <c r="CB373" i="6"/>
  <c r="CB65" i="6"/>
  <c r="CB77" i="6"/>
  <c r="CB228" i="6"/>
  <c r="CB269" i="6"/>
  <c r="CB325" i="6"/>
  <c r="CB361" i="6"/>
  <c r="CB64" i="6"/>
  <c r="CB156" i="6"/>
  <c r="CB200" i="6"/>
  <c r="CB241" i="6"/>
  <c r="CB297" i="6"/>
  <c r="CB393" i="6"/>
  <c r="CB436" i="6"/>
  <c r="CB91" i="6"/>
  <c r="CB133" i="6"/>
  <c r="CB229" i="6"/>
  <c r="CB274" i="6"/>
  <c r="CB334" i="6"/>
  <c r="CB391" i="6"/>
  <c r="CB63" i="6"/>
  <c r="CB105" i="6"/>
  <c r="CB201" i="6"/>
  <c r="CB246" i="6"/>
  <c r="CB306" i="6"/>
  <c r="CB382" i="6"/>
  <c r="CB66" i="6"/>
  <c r="CB93" i="6"/>
  <c r="CB189" i="6"/>
  <c r="CB234" i="6"/>
  <c r="CB366" i="6"/>
  <c r="CB377" i="6"/>
  <c r="CB53" i="6"/>
  <c r="CB172" i="6"/>
  <c r="CB216" i="6"/>
  <c r="CB257" i="6"/>
  <c r="CB313" i="6"/>
  <c r="CB349" i="6"/>
  <c r="CB128" i="6"/>
  <c r="CB170" i="6"/>
  <c r="CB264" i="6"/>
  <c r="CB362" i="6"/>
  <c r="CB356" i="6"/>
  <c r="CB435" i="6"/>
  <c r="CB100" i="6"/>
  <c r="CB142" i="6"/>
  <c r="CB236" i="6"/>
  <c r="CB346" i="6"/>
  <c r="CB383" i="6"/>
  <c r="CB422" i="6"/>
  <c r="CB88" i="6"/>
  <c r="CB130" i="6"/>
  <c r="CB223" i="6"/>
  <c r="CB296" i="6"/>
  <c r="CB371" i="6"/>
  <c r="CB404" i="6"/>
  <c r="CB167" i="6"/>
  <c r="CB102" i="6"/>
  <c r="CB195" i="6"/>
  <c r="CB289" i="6"/>
  <c r="CB343" i="6"/>
  <c r="CB407" i="6"/>
  <c r="CB59" i="6"/>
  <c r="CB101" i="6"/>
  <c r="CB197" i="6"/>
  <c r="CB242" i="6"/>
  <c r="CB302" i="6"/>
  <c r="CB397" i="6"/>
  <c r="CB61" i="6"/>
  <c r="CB73" i="6"/>
  <c r="CB224" i="6"/>
  <c r="CB265" i="6"/>
  <c r="CB321" i="6"/>
  <c r="CB357" i="6"/>
  <c r="CB60" i="6"/>
  <c r="CB168" i="6"/>
  <c r="CB212" i="6"/>
  <c r="CB253" i="6"/>
  <c r="CB309" i="6"/>
  <c r="CB345" i="6"/>
  <c r="CB441" i="6"/>
  <c r="CB140" i="6"/>
  <c r="CB184" i="6"/>
  <c r="CB276" i="6"/>
  <c r="CB300" i="6"/>
  <c r="CB368" i="6"/>
  <c r="CB420" i="6"/>
  <c r="CB139" i="6"/>
  <c r="CB74" i="6"/>
  <c r="CB222" i="6"/>
  <c r="CB267" i="6"/>
  <c r="CB331" i="6"/>
  <c r="CB413" i="6"/>
  <c r="CB111" i="6"/>
  <c r="CB153" i="6"/>
  <c r="CB194" i="6"/>
  <c r="CB239" i="6"/>
  <c r="CB303" i="6"/>
  <c r="CB429" i="6"/>
  <c r="CB99" i="6"/>
  <c r="CB141" i="6"/>
  <c r="CB182" i="6"/>
  <c r="CB282" i="6"/>
  <c r="CB354" i="6"/>
  <c r="CB399" i="6"/>
  <c r="CB71" i="6"/>
  <c r="CB113" i="6"/>
  <c r="CB209" i="6"/>
  <c r="CB254" i="6"/>
  <c r="CB314" i="6"/>
  <c r="CB390" i="6"/>
  <c r="CB155" i="6"/>
  <c r="CB90" i="6"/>
  <c r="CB183" i="6"/>
  <c r="CB283" i="6"/>
  <c r="CB358" i="6"/>
  <c r="CB414" i="6"/>
  <c r="CB127" i="6"/>
  <c r="CB169" i="6"/>
  <c r="CB210" i="6"/>
  <c r="CB255" i="6"/>
  <c r="CB319" i="6"/>
  <c r="CB396" i="6"/>
  <c r="CB115" i="6"/>
  <c r="CB157" i="6"/>
  <c r="CB198" i="6"/>
  <c r="CB243" i="6"/>
  <c r="CB307" i="6"/>
  <c r="CB384" i="6"/>
  <c r="CB87" i="6"/>
  <c r="CB129" i="6"/>
  <c r="CB225" i="6"/>
  <c r="CB270" i="6"/>
  <c r="CB330" i="6"/>
  <c r="CB387" i="6"/>
  <c r="CB58" i="6"/>
  <c r="CB85" i="6"/>
  <c r="CB181" i="6"/>
  <c r="CB277" i="6"/>
  <c r="CB333" i="6"/>
  <c r="CB369" i="6"/>
  <c r="CB69" i="6"/>
  <c r="CB164" i="6"/>
  <c r="CB208" i="6"/>
  <c r="CB249" i="6"/>
  <c r="CB305" i="6"/>
  <c r="CB341" i="6"/>
  <c r="CB437" i="6"/>
  <c r="CB152" i="6"/>
  <c r="CB196" i="6"/>
  <c r="CB237" i="6"/>
  <c r="CB378" i="6"/>
  <c r="CB380" i="6"/>
  <c r="CB432" i="6"/>
  <c r="CB124" i="6"/>
  <c r="CB166" i="6"/>
  <c r="CB260" i="6"/>
  <c r="CB320" i="6"/>
  <c r="CB352" i="6"/>
  <c r="CB431" i="6"/>
  <c r="CB123" i="6"/>
  <c r="CB165" i="6"/>
  <c r="CB206" i="6"/>
  <c r="CB251" i="6"/>
  <c r="CB315" i="6"/>
  <c r="CB392" i="6"/>
  <c r="CB95" i="6"/>
  <c r="CB137" i="6"/>
  <c r="CB178" i="6"/>
  <c r="CB278" i="6"/>
  <c r="CB338" i="6"/>
  <c r="CB395" i="6"/>
  <c r="CB83" i="6"/>
  <c r="CB125" i="6"/>
  <c r="CB221" i="6"/>
  <c r="CB266" i="6"/>
  <c r="CB326" i="6"/>
  <c r="CB421" i="6"/>
  <c r="CB55" i="6"/>
  <c r="CB97" i="6"/>
  <c r="CB193" i="6"/>
  <c r="CB238" i="6"/>
  <c r="CB385" i="6"/>
  <c r="CB381" i="6"/>
  <c r="CB96" i="6"/>
  <c r="CB138" i="6"/>
  <c r="CB232" i="6"/>
  <c r="CB332" i="6"/>
  <c r="CB379" i="6"/>
  <c r="CB412" i="6"/>
  <c r="CB175" i="6"/>
  <c r="CB110" i="6"/>
  <c r="CB203" i="6"/>
  <c r="CB312" i="6"/>
  <c r="CB351" i="6"/>
  <c r="CB415" i="6"/>
  <c r="CB163" i="6"/>
  <c r="CB98" i="6"/>
  <c r="CB191" i="6"/>
  <c r="CB285" i="6"/>
  <c r="CB339" i="6"/>
  <c r="CB426" i="6"/>
  <c r="CB135" i="6"/>
  <c r="CB70" i="6"/>
  <c r="CB218" i="6"/>
  <c r="CB263" i="6"/>
  <c r="CB327" i="6"/>
  <c r="CB403" i="6"/>
  <c r="CB112" i="6"/>
  <c r="CB154" i="6"/>
  <c r="CB248" i="6"/>
  <c r="CB295" i="6"/>
  <c r="CB340" i="6"/>
  <c r="CB419" i="6"/>
  <c r="CB84" i="6"/>
  <c r="CB126" i="6"/>
  <c r="CB219" i="6"/>
  <c r="CB294" i="6"/>
  <c r="CB367" i="6"/>
  <c r="CB434" i="6"/>
  <c r="CB72" i="6"/>
  <c r="CB114" i="6"/>
  <c r="CB207" i="6"/>
  <c r="CB328" i="6"/>
  <c r="CB355" i="6"/>
  <c r="CB417" i="6"/>
  <c r="CB151" i="6"/>
  <c r="CB86" i="6"/>
  <c r="CB179" i="6"/>
  <c r="CB279" i="6"/>
  <c r="CB342" i="6"/>
  <c r="CB410" i="6"/>
  <c r="C447" i="6" l="1"/>
  <c r="E53" i="6"/>
  <c r="O53" i="6" s="1"/>
  <c r="E55" i="6"/>
  <c r="O55" i="6" s="1"/>
  <c r="E54" i="6"/>
  <c r="O54" i="6" s="1"/>
  <c r="E51" i="6"/>
  <c r="F447" i="6" s="1"/>
  <c r="E52" i="6"/>
  <c r="G52" i="6" s="1"/>
  <c r="BH403" i="6"/>
  <c r="BH338" i="6"/>
  <c r="BH318" i="6"/>
  <c r="BH269" i="6"/>
  <c r="BH291" i="6"/>
  <c r="BH215" i="6"/>
  <c r="BH206" i="6"/>
  <c r="BH188" i="6"/>
  <c r="BH124" i="6"/>
  <c r="BH167" i="6"/>
  <c r="BH103" i="6"/>
  <c r="BH125" i="6"/>
  <c r="BH419" i="6"/>
  <c r="BH413" i="6"/>
  <c r="BH332" i="6"/>
  <c r="BH320" i="6"/>
  <c r="BH258" i="6"/>
  <c r="BH110" i="6"/>
  <c r="BH56" i="6"/>
  <c r="BH434" i="6"/>
  <c r="BH388" i="6"/>
  <c r="BH310" i="6"/>
  <c r="BH335" i="6"/>
  <c r="BH319" i="6"/>
  <c r="BH241" i="6"/>
  <c r="BH207" i="6"/>
  <c r="BH198" i="6"/>
  <c r="BH180" i="6"/>
  <c r="BH159" i="6"/>
  <c r="BH117" i="6"/>
  <c r="BH65" i="6"/>
  <c r="BH425" i="6"/>
  <c r="BH387" i="6"/>
  <c r="BH345" i="6"/>
  <c r="BH363" i="6"/>
  <c r="BH331" i="6"/>
  <c r="BH259" i="6"/>
  <c r="BH249" i="6"/>
  <c r="BH238" i="6"/>
  <c r="BH208" i="6"/>
  <c r="BH144" i="6"/>
  <c r="BH80" i="6"/>
  <c r="BH145" i="6"/>
  <c r="BH81" i="6"/>
  <c r="BH63" i="6"/>
  <c r="BH380" i="6"/>
  <c r="AY302" i="6"/>
  <c r="BH307" i="6"/>
  <c r="AY287" i="6"/>
  <c r="BH233" i="6"/>
  <c r="BH172" i="6"/>
  <c r="BH108" i="6"/>
  <c r="BH151" i="6"/>
  <c r="BH87" i="6"/>
  <c r="BH109" i="6"/>
  <c r="BH397" i="6"/>
  <c r="BH304" i="6"/>
  <c r="AZ242" i="6"/>
  <c r="BB242" i="6" s="1"/>
  <c r="BE242" i="6" s="1"/>
  <c r="AY377" i="6"/>
  <c r="BH365" i="6"/>
  <c r="BA339" i="6"/>
  <c r="BH279" i="6"/>
  <c r="BH182" i="6"/>
  <c r="BH79" i="6"/>
  <c r="BH407" i="6"/>
  <c r="BH342" i="6"/>
  <c r="BH322" i="6"/>
  <c r="AZ313" i="6"/>
  <c r="BH315" i="6"/>
  <c r="BH232" i="6"/>
  <c r="BH219" i="6"/>
  <c r="BH210" i="6"/>
  <c r="BH128" i="6"/>
  <c r="BH171" i="6"/>
  <c r="BH107" i="6"/>
  <c r="BH62" i="6"/>
  <c r="BH430" i="6"/>
  <c r="BH370" i="6"/>
  <c r="BH357" i="6"/>
  <c r="AY381" i="6"/>
  <c r="BH276" i="6"/>
  <c r="BA273" i="6"/>
  <c r="AZ183" i="6"/>
  <c r="BB183" i="6" s="1"/>
  <c r="BE183" i="6" s="1"/>
  <c r="BH156" i="6"/>
  <c r="BH92" i="6"/>
  <c r="BH135" i="6"/>
  <c r="BH71" i="6"/>
  <c r="AY399" i="6"/>
  <c r="AY386" i="6"/>
  <c r="BH288" i="6"/>
  <c r="BH193" i="6"/>
  <c r="BA142" i="6"/>
  <c r="BH438" i="6"/>
  <c r="BH362" i="6"/>
  <c r="AY343" i="6"/>
  <c r="AY268" i="6"/>
  <c r="BH263" i="6"/>
  <c r="BH175" i="6"/>
  <c r="BH212" i="6"/>
  <c r="AY84" i="6"/>
  <c r="AZ127" i="6"/>
  <c r="BH149" i="6"/>
  <c r="BH85" i="6"/>
  <c r="BH418" i="6"/>
  <c r="BH384" i="6"/>
  <c r="BH400" i="6"/>
  <c r="BH323" i="6"/>
  <c r="BH303" i="6"/>
  <c r="BH245" i="6"/>
  <c r="BH203" i="6"/>
  <c r="BH194" i="6"/>
  <c r="AZ112" i="6"/>
  <c r="BB112" i="6" s="1"/>
  <c r="BE112" i="6" s="1"/>
  <c r="BH61" i="6"/>
  <c r="BH421" i="6"/>
  <c r="BH416" i="6"/>
  <c r="BH354" i="6"/>
  <c r="BH341" i="6"/>
  <c r="BH347" i="6"/>
  <c r="BH325" i="6"/>
  <c r="AZ260" i="6"/>
  <c r="BB260" i="6" s="1"/>
  <c r="BE260" i="6" s="1"/>
  <c r="BH247" i="6"/>
  <c r="BH222" i="6"/>
  <c r="BH204" i="6"/>
  <c r="BH140" i="6"/>
  <c r="BH76" i="6"/>
  <c r="BH119" i="6"/>
  <c r="BH77" i="6"/>
  <c r="BH348" i="6"/>
  <c r="BH274" i="6"/>
  <c r="BH229" i="6"/>
  <c r="BH235" i="6"/>
  <c r="BH177" i="6"/>
  <c r="BH411" i="6"/>
  <c r="BH404" i="6"/>
  <c r="BH333" i="6"/>
  <c r="BH367" i="6"/>
  <c r="BH196" i="6"/>
  <c r="BH68" i="6"/>
  <c r="BH133" i="6"/>
  <c r="BH441" i="6"/>
  <c r="BH408" i="6"/>
  <c r="BH361" i="6"/>
  <c r="BH280" i="6"/>
  <c r="BH178" i="6"/>
  <c r="BH139" i="6"/>
  <c r="AN364" i="6"/>
  <c r="AN407" i="6"/>
  <c r="BH299" i="6"/>
  <c r="BH301" i="6"/>
  <c r="BH436" i="6"/>
  <c r="BH414" i="6"/>
  <c r="BH389" i="6"/>
  <c r="BH190" i="6"/>
  <c r="BH209" i="6"/>
  <c r="AN333" i="6"/>
  <c r="AN365" i="6"/>
  <c r="AE168" i="6"/>
  <c r="AN232" i="6"/>
  <c r="AN264" i="6"/>
  <c r="AG296" i="6"/>
  <c r="AN405" i="6"/>
  <c r="AN192" i="6"/>
  <c r="BH220" i="6"/>
  <c r="BH364" i="6"/>
  <c r="BA78" i="6"/>
  <c r="BH148" i="6"/>
  <c r="BH420" i="6"/>
  <c r="BH297" i="6"/>
  <c r="AF64" i="6"/>
  <c r="AN366" i="6"/>
  <c r="AN251" i="6"/>
  <c r="AN379" i="6"/>
  <c r="AN66" i="6"/>
  <c r="AG98" i="6"/>
  <c r="AN193" i="6"/>
  <c r="AN240" i="6"/>
  <c r="AE272" i="6"/>
  <c r="AN355" i="6"/>
  <c r="AN269" i="6"/>
  <c r="AE60" i="6"/>
  <c r="AN124" i="6"/>
  <c r="AN156" i="6"/>
  <c r="AE188" i="6"/>
  <c r="AN78" i="6"/>
  <c r="AN110" i="6"/>
  <c r="BA435" i="6"/>
  <c r="AZ346" i="6"/>
  <c r="BB346" i="6" s="1"/>
  <c r="BE346" i="6" s="1"/>
  <c r="AN212" i="6"/>
  <c r="AN395" i="6"/>
  <c r="AN376" i="6"/>
  <c r="AE373" i="6"/>
  <c r="BS151" i="6"/>
  <c r="BU151" i="6"/>
  <c r="BT151" i="6"/>
  <c r="BS84" i="6"/>
  <c r="BU84" i="6"/>
  <c r="BT84" i="6"/>
  <c r="BS191" i="6"/>
  <c r="BU191" i="6"/>
  <c r="BT191" i="6"/>
  <c r="BS232" i="6"/>
  <c r="BU232" i="6"/>
  <c r="BT232" i="6"/>
  <c r="BS221" i="6"/>
  <c r="BU221" i="6"/>
  <c r="BT221" i="6"/>
  <c r="BS352" i="6"/>
  <c r="BT352" i="6"/>
  <c r="BU352" i="6"/>
  <c r="BS277" i="6"/>
  <c r="BU277" i="6"/>
  <c r="BT277" i="6"/>
  <c r="BS279" i="6"/>
  <c r="BU279" i="6"/>
  <c r="BT279" i="6"/>
  <c r="BS294" i="6"/>
  <c r="BU294" i="6"/>
  <c r="BT294" i="6"/>
  <c r="BS154" i="6"/>
  <c r="BU154" i="6"/>
  <c r="BT154" i="6"/>
  <c r="BV154" i="6" s="1"/>
  <c r="BY154" i="6" s="1"/>
  <c r="BS98" i="6"/>
  <c r="BU98" i="6"/>
  <c r="BT98" i="6"/>
  <c r="BS238" i="6"/>
  <c r="BT238" i="6"/>
  <c r="BU238" i="6"/>
  <c r="BS125" i="6"/>
  <c r="BT125" i="6"/>
  <c r="BU125" i="6"/>
  <c r="BS165" i="6"/>
  <c r="BT165" i="6"/>
  <c r="BU165" i="6"/>
  <c r="BS432" i="6"/>
  <c r="BU432" i="6"/>
  <c r="BT432" i="6"/>
  <c r="BS69" i="6"/>
  <c r="BT69" i="6"/>
  <c r="BU69" i="6"/>
  <c r="BS87" i="6"/>
  <c r="BU87" i="6"/>
  <c r="BT87" i="6"/>
  <c r="BS319" i="6"/>
  <c r="BU319" i="6"/>
  <c r="BT319" i="6"/>
  <c r="BV319" i="6" s="1"/>
  <c r="BY319" i="6" s="1"/>
  <c r="BS314" i="6"/>
  <c r="BT314" i="6"/>
  <c r="BU314" i="6"/>
  <c r="BS303" i="6"/>
  <c r="BU303" i="6"/>
  <c r="BT303" i="6"/>
  <c r="BS111" i="6"/>
  <c r="BU111" i="6"/>
  <c r="BT111" i="6"/>
  <c r="BS140" i="6"/>
  <c r="BU140" i="6"/>
  <c r="BT140" i="6"/>
  <c r="BS357" i="6"/>
  <c r="BU357" i="6"/>
  <c r="BT357" i="6"/>
  <c r="BS102" i="6"/>
  <c r="BU102" i="6"/>
  <c r="BT102" i="6"/>
  <c r="BS410" i="6"/>
  <c r="BU410" i="6"/>
  <c r="BT410" i="6"/>
  <c r="BS86" i="6"/>
  <c r="BU86" i="6"/>
  <c r="BT86" i="6"/>
  <c r="BS328" i="6"/>
  <c r="BU328" i="6"/>
  <c r="BT328" i="6"/>
  <c r="BS434" i="6"/>
  <c r="BU434" i="6"/>
  <c r="BT434" i="6"/>
  <c r="BS126" i="6"/>
  <c r="BU126" i="6"/>
  <c r="BT126" i="6"/>
  <c r="BV126" i="6" s="1"/>
  <c r="BY126" i="6" s="1"/>
  <c r="BS295" i="6"/>
  <c r="BU295" i="6"/>
  <c r="BT295" i="6"/>
  <c r="BS403" i="6"/>
  <c r="BT403" i="6"/>
  <c r="BU403" i="6"/>
  <c r="BS70" i="6"/>
  <c r="BU70" i="6"/>
  <c r="BT70" i="6"/>
  <c r="BS285" i="6"/>
  <c r="BU285" i="6"/>
  <c r="BT285" i="6"/>
  <c r="BS415" i="6"/>
  <c r="BT415" i="6"/>
  <c r="BU415" i="6"/>
  <c r="BS110" i="6"/>
  <c r="BU110" i="6"/>
  <c r="BT110" i="6"/>
  <c r="BS332" i="6"/>
  <c r="BU332" i="6"/>
  <c r="BT332" i="6"/>
  <c r="BS381" i="6"/>
  <c r="BU381" i="6"/>
  <c r="BT381" i="6"/>
  <c r="BS97" i="6"/>
  <c r="BT97" i="6"/>
  <c r="BU97" i="6"/>
  <c r="BS266" i="6"/>
  <c r="BT266" i="6"/>
  <c r="BU266" i="6"/>
  <c r="BS395" i="6"/>
  <c r="BT395" i="6"/>
  <c r="BU395" i="6"/>
  <c r="BS137" i="6"/>
  <c r="BT137" i="6"/>
  <c r="BU137" i="6"/>
  <c r="BS251" i="6"/>
  <c r="BU251" i="6"/>
  <c r="BT251" i="6"/>
  <c r="BV251" i="6" s="1"/>
  <c r="BY251" i="6" s="1"/>
  <c r="BS431" i="6"/>
  <c r="BT431" i="6"/>
  <c r="BU431" i="6"/>
  <c r="BS166" i="6"/>
  <c r="BU166" i="6"/>
  <c r="BT166" i="6"/>
  <c r="BS378" i="6"/>
  <c r="BU378" i="6"/>
  <c r="BT378" i="6"/>
  <c r="BS437" i="6"/>
  <c r="BU437" i="6"/>
  <c r="BT437" i="6"/>
  <c r="BS208" i="6"/>
  <c r="BU208" i="6"/>
  <c r="BT208" i="6"/>
  <c r="BS333" i="6"/>
  <c r="BU333" i="6"/>
  <c r="BT333" i="6"/>
  <c r="BS58" i="6"/>
  <c r="BT58" i="6"/>
  <c r="BU58" i="6"/>
  <c r="BS225" i="6"/>
  <c r="BU225" i="6"/>
  <c r="BT225" i="6"/>
  <c r="BS307" i="6"/>
  <c r="BU307" i="6"/>
  <c r="BT307" i="6"/>
  <c r="BS115" i="6"/>
  <c r="BU115" i="6"/>
  <c r="BT115" i="6"/>
  <c r="BS210" i="6"/>
  <c r="BT210" i="6"/>
  <c r="BU210" i="6"/>
  <c r="BS358" i="6"/>
  <c r="BU358" i="6"/>
  <c r="BT358" i="6"/>
  <c r="BS155" i="6"/>
  <c r="BU155" i="6"/>
  <c r="BT155" i="6"/>
  <c r="BS209" i="6"/>
  <c r="BU209" i="6"/>
  <c r="BT209" i="6"/>
  <c r="BS354" i="6"/>
  <c r="BU354" i="6"/>
  <c r="BT354" i="6"/>
  <c r="BS99" i="6"/>
  <c r="BU99" i="6"/>
  <c r="BT99" i="6"/>
  <c r="BS194" i="6"/>
  <c r="BT194" i="6"/>
  <c r="BU194" i="6"/>
  <c r="BS331" i="6"/>
  <c r="BU331" i="6"/>
  <c r="BT331" i="6"/>
  <c r="BS139" i="6"/>
  <c r="BU139" i="6"/>
  <c r="BT139" i="6"/>
  <c r="BS276" i="6"/>
  <c r="BU276" i="6"/>
  <c r="BT276" i="6"/>
  <c r="BS345" i="6"/>
  <c r="BU345" i="6"/>
  <c r="BT345" i="6"/>
  <c r="BS168" i="6"/>
  <c r="BU168" i="6"/>
  <c r="BT168" i="6"/>
  <c r="BS265" i="6"/>
  <c r="BU265" i="6"/>
  <c r="BT265" i="6"/>
  <c r="BS397" i="6"/>
  <c r="BU397" i="6"/>
  <c r="BT397" i="6"/>
  <c r="BS101" i="6"/>
  <c r="BT101" i="6"/>
  <c r="BU101" i="6"/>
  <c r="BS289" i="6"/>
  <c r="BU289" i="6"/>
  <c r="BT289" i="6"/>
  <c r="BS404" i="6"/>
  <c r="BU404" i="6"/>
  <c r="BT404" i="6"/>
  <c r="BV404" i="6" s="1"/>
  <c r="BY404" i="6" s="1"/>
  <c r="BS130" i="6"/>
  <c r="BU130" i="6"/>
  <c r="BT130" i="6"/>
  <c r="BS346" i="6"/>
  <c r="BU346" i="6"/>
  <c r="BT346" i="6"/>
  <c r="BS435" i="6"/>
  <c r="BU435" i="6"/>
  <c r="BT435" i="6"/>
  <c r="BS170" i="6"/>
  <c r="BU170" i="6"/>
  <c r="BT170" i="6"/>
  <c r="BS257" i="6"/>
  <c r="BU257" i="6"/>
  <c r="BT257" i="6"/>
  <c r="BS377" i="6"/>
  <c r="BU377" i="6"/>
  <c r="BT377" i="6"/>
  <c r="BS93" i="6"/>
  <c r="BT93" i="6"/>
  <c r="BU93" i="6"/>
  <c r="BS246" i="6"/>
  <c r="BT246" i="6"/>
  <c r="BU246" i="6"/>
  <c r="BS391" i="6"/>
  <c r="BT391" i="6"/>
  <c r="BU391" i="6"/>
  <c r="BS133" i="6"/>
  <c r="BT133" i="6"/>
  <c r="BU133" i="6"/>
  <c r="BS297" i="6"/>
  <c r="BU297" i="6"/>
  <c r="BT297" i="6"/>
  <c r="BS64" i="6"/>
  <c r="BU64" i="6"/>
  <c r="BT64" i="6"/>
  <c r="BS228" i="6"/>
  <c r="BU228" i="6"/>
  <c r="BT228" i="6"/>
  <c r="BS350" i="6"/>
  <c r="BU350" i="6"/>
  <c r="BT350" i="6"/>
  <c r="BS62" i="6"/>
  <c r="BT62" i="6"/>
  <c r="BU62" i="6"/>
  <c r="BS213" i="6"/>
  <c r="BU213" i="6"/>
  <c r="BT213" i="6"/>
  <c r="BS359" i="6"/>
  <c r="BU359" i="6"/>
  <c r="BT359" i="6"/>
  <c r="BS76" i="6"/>
  <c r="BU76" i="6"/>
  <c r="BT76" i="6"/>
  <c r="BS240" i="6"/>
  <c r="BU240" i="6"/>
  <c r="BT240" i="6"/>
  <c r="BS344" i="6"/>
  <c r="BT344" i="6"/>
  <c r="BU344" i="6"/>
  <c r="BS116" i="6"/>
  <c r="BU116" i="6"/>
  <c r="BT116" i="6"/>
  <c r="BS280" i="6"/>
  <c r="BU280" i="6"/>
  <c r="BT280" i="6"/>
  <c r="BS401" i="6"/>
  <c r="BT401" i="6"/>
  <c r="BU401" i="6"/>
  <c r="BS145" i="6"/>
  <c r="BT145" i="6"/>
  <c r="BU145" i="6"/>
  <c r="BS259" i="6"/>
  <c r="BU259" i="6"/>
  <c r="BT259" i="6"/>
  <c r="BS402" i="6"/>
  <c r="BU402" i="6"/>
  <c r="BT402" i="6"/>
  <c r="BS78" i="6"/>
  <c r="BU78" i="6"/>
  <c r="BT78" i="6"/>
  <c r="BS293" i="6"/>
  <c r="BU293" i="6"/>
  <c r="BT293" i="6"/>
  <c r="BS438" i="6"/>
  <c r="BU438" i="6"/>
  <c r="BT438" i="6"/>
  <c r="BS150" i="6"/>
  <c r="BU150" i="6"/>
  <c r="BT150" i="6"/>
  <c r="BS292" i="6"/>
  <c r="BU292" i="6"/>
  <c r="BT292" i="6"/>
  <c r="BS428" i="6"/>
  <c r="BU428" i="6"/>
  <c r="BT428" i="6"/>
  <c r="BV428" i="6" s="1"/>
  <c r="BY428" i="6" s="1"/>
  <c r="BS192" i="6"/>
  <c r="BU192" i="6"/>
  <c r="BT192" i="6"/>
  <c r="BS317" i="6"/>
  <c r="BU317" i="6"/>
  <c r="BT317" i="6"/>
  <c r="BS57" i="6"/>
  <c r="BU57" i="6"/>
  <c r="BT57" i="6"/>
  <c r="BS227" i="6"/>
  <c r="BU227" i="6"/>
  <c r="BT227" i="6"/>
  <c r="BS348" i="6"/>
  <c r="BT348" i="6"/>
  <c r="BU348" i="6"/>
  <c r="BS120" i="6"/>
  <c r="BU120" i="6"/>
  <c r="BT120" i="6"/>
  <c r="BS268" i="6"/>
  <c r="BU268" i="6"/>
  <c r="BT268" i="6"/>
  <c r="BS337" i="6"/>
  <c r="BU337" i="6"/>
  <c r="BT337" i="6"/>
  <c r="BS160" i="6"/>
  <c r="BU160" i="6"/>
  <c r="BT160" i="6"/>
  <c r="BS247" i="6"/>
  <c r="BU247" i="6"/>
  <c r="BT247" i="6"/>
  <c r="BS406" i="6"/>
  <c r="BU406" i="6"/>
  <c r="BT406" i="6"/>
  <c r="BV406" i="6" s="1"/>
  <c r="BY406" i="6" s="1"/>
  <c r="BS82" i="6"/>
  <c r="BU82" i="6"/>
  <c r="BT82" i="6"/>
  <c r="BS284" i="6"/>
  <c r="BU284" i="6"/>
  <c r="BT284" i="6"/>
  <c r="BS433" i="6"/>
  <c r="BU433" i="6"/>
  <c r="BT433" i="6"/>
  <c r="BV433" i="6" s="1"/>
  <c r="BY433" i="6" s="1"/>
  <c r="BS122" i="6"/>
  <c r="BU122" i="6"/>
  <c r="BT122" i="6"/>
  <c r="BV122" i="6" s="1"/>
  <c r="BY122" i="6" s="1"/>
  <c r="BS273" i="6"/>
  <c r="BU273" i="6"/>
  <c r="BT273" i="6"/>
  <c r="BS386" i="6"/>
  <c r="BU386" i="6"/>
  <c r="BT386" i="6"/>
  <c r="BS109" i="6"/>
  <c r="BT109" i="6"/>
  <c r="BU109" i="6"/>
  <c r="BS262" i="6"/>
  <c r="BT262" i="6"/>
  <c r="BU262" i="6"/>
  <c r="BS409" i="6"/>
  <c r="BU409" i="6"/>
  <c r="BT409" i="6"/>
  <c r="BS149" i="6"/>
  <c r="BT149" i="6"/>
  <c r="BU149" i="6"/>
  <c r="BH432" i="6"/>
  <c r="BH398" i="6"/>
  <c r="BH390" i="6"/>
  <c r="BH368" i="6"/>
  <c r="AY318" i="6"/>
  <c r="BA318" i="6"/>
  <c r="AZ318" i="6"/>
  <c r="BB318" i="6" s="1"/>
  <c r="BE318" i="6" s="1"/>
  <c r="BH292" i="6"/>
  <c r="BH244" i="6"/>
  <c r="AY299" i="6"/>
  <c r="AY291" i="6"/>
  <c r="AZ291" i="6"/>
  <c r="BA291" i="6"/>
  <c r="AZ206" i="6"/>
  <c r="BA206" i="6"/>
  <c r="BH197" i="6"/>
  <c r="AY124" i="6"/>
  <c r="BA124" i="6"/>
  <c r="AZ124" i="6"/>
  <c r="BB124" i="6" s="1"/>
  <c r="BE124" i="6" s="1"/>
  <c r="AZ103" i="6"/>
  <c r="BH146" i="6"/>
  <c r="BH82" i="6"/>
  <c r="BH58" i="6"/>
  <c r="BH433" i="6"/>
  <c r="BA419" i="6"/>
  <c r="BA413" i="6"/>
  <c r="BH395" i="6"/>
  <c r="BH366" i="6"/>
  <c r="BH353" i="6"/>
  <c r="BH359" i="6"/>
  <c r="AY320" i="6"/>
  <c r="BA320" i="6"/>
  <c r="AZ320" i="6"/>
  <c r="BH272" i="6"/>
  <c r="BH267" i="6"/>
  <c r="AZ258" i="6"/>
  <c r="BH281" i="6"/>
  <c r="BH257" i="6"/>
  <c r="BH179" i="6"/>
  <c r="BH230" i="6"/>
  <c r="BH216" i="6"/>
  <c r="BH152" i="6"/>
  <c r="BH88" i="6"/>
  <c r="BH131" i="6"/>
  <c r="BH67" i="6"/>
  <c r="BH153" i="6"/>
  <c r="BH89" i="6"/>
  <c r="BH424" i="6"/>
  <c r="BH382" i="6"/>
  <c r="BH330" i="6"/>
  <c r="BH360" i="6"/>
  <c r="BH286" i="6"/>
  <c r="BH261" i="6"/>
  <c r="BH189" i="6"/>
  <c r="BH116" i="6"/>
  <c r="BH95" i="6"/>
  <c r="BH138" i="6"/>
  <c r="BH74" i="6"/>
  <c r="AY65" i="6"/>
  <c r="BA65" i="6"/>
  <c r="AZ65" i="6"/>
  <c r="BB65" i="6" s="1"/>
  <c r="BE65" i="6" s="1"/>
  <c r="BH422" i="6"/>
  <c r="BH405" i="6"/>
  <c r="BH358" i="6"/>
  <c r="BH312" i="6"/>
  <c r="BH264" i="6"/>
  <c r="BH250" i="6"/>
  <c r="BH224" i="6"/>
  <c r="BH217" i="6"/>
  <c r="BH123" i="6"/>
  <c r="BH166" i="6"/>
  <c r="BH102" i="6"/>
  <c r="AN80" i="6"/>
  <c r="AN112" i="6"/>
  <c r="AN144" i="6"/>
  <c r="AE63" i="6"/>
  <c r="AG63" i="6"/>
  <c r="AF63" i="6"/>
  <c r="AE95" i="6"/>
  <c r="AF95" i="6"/>
  <c r="AG95" i="6"/>
  <c r="AE127" i="6"/>
  <c r="AF127" i="6"/>
  <c r="AG127" i="6"/>
  <c r="AE159" i="6"/>
  <c r="AG159" i="6"/>
  <c r="AF159" i="6"/>
  <c r="AE222" i="6"/>
  <c r="AG222" i="6"/>
  <c r="AF222" i="6"/>
  <c r="AE254" i="6"/>
  <c r="AG254" i="6"/>
  <c r="AF254" i="6"/>
  <c r="AN286" i="6"/>
  <c r="AN318" i="6"/>
  <c r="AE350" i="6"/>
  <c r="AF350" i="6"/>
  <c r="AG350" i="6"/>
  <c r="AE382" i="6"/>
  <c r="AG382" i="6"/>
  <c r="AF382" i="6"/>
  <c r="AE315" i="6"/>
  <c r="AF315" i="6"/>
  <c r="AG315" i="6"/>
  <c r="AN385" i="6"/>
  <c r="AE186" i="6"/>
  <c r="AG186" i="6"/>
  <c r="AF186" i="6"/>
  <c r="AH186" i="6" s="1"/>
  <c r="AK186" i="6" s="1"/>
  <c r="AE235" i="6"/>
  <c r="AG235" i="6"/>
  <c r="AF235" i="6"/>
  <c r="AE267" i="6"/>
  <c r="AF267" i="6"/>
  <c r="AG267" i="6"/>
  <c r="AN299" i="6"/>
  <c r="AE349" i="6"/>
  <c r="AG349" i="6"/>
  <c r="AF349" i="6"/>
  <c r="AE411" i="6"/>
  <c r="AF411" i="6"/>
  <c r="AG411" i="6"/>
  <c r="AN219" i="6"/>
  <c r="AN384" i="6"/>
  <c r="AE200" i="6"/>
  <c r="AG200" i="6"/>
  <c r="AF200" i="6"/>
  <c r="AE229" i="6"/>
  <c r="AG229" i="6"/>
  <c r="AF229" i="6"/>
  <c r="AN337" i="6"/>
  <c r="AE211" i="6"/>
  <c r="AG211" i="6"/>
  <c r="AF211" i="6"/>
  <c r="AN327" i="6"/>
  <c r="AN408" i="6"/>
  <c r="AN82" i="6"/>
  <c r="AN114" i="6"/>
  <c r="AN146" i="6"/>
  <c r="AN65" i="6"/>
  <c r="AN97" i="6"/>
  <c r="AN129" i="6"/>
  <c r="AN163" i="6"/>
  <c r="AE224" i="6"/>
  <c r="AG224" i="6"/>
  <c r="AF224" i="6"/>
  <c r="AN256" i="6"/>
  <c r="AE288" i="6"/>
  <c r="AF288" i="6"/>
  <c r="AH288" i="6" s="1"/>
  <c r="AK288" i="6" s="1"/>
  <c r="AG288" i="6"/>
  <c r="AN320" i="6"/>
  <c r="AN352" i="6"/>
  <c r="AE167" i="6"/>
  <c r="AF167" i="6"/>
  <c r="AG167" i="6"/>
  <c r="AN321" i="6"/>
  <c r="AN389" i="6"/>
  <c r="AE221" i="6"/>
  <c r="AF221" i="6"/>
  <c r="AG221" i="6"/>
  <c r="AN369" i="6"/>
  <c r="AE341" i="6"/>
  <c r="AF341" i="6"/>
  <c r="AG341" i="6"/>
  <c r="AE398" i="6"/>
  <c r="AF398" i="6"/>
  <c r="AG398" i="6"/>
  <c r="AN76" i="6"/>
  <c r="AN108" i="6"/>
  <c r="AN140" i="6"/>
  <c r="AN59" i="6"/>
  <c r="AN91" i="6"/>
  <c r="AN123" i="6"/>
  <c r="AN155" i="6"/>
  <c r="AE214" i="6"/>
  <c r="AG214" i="6"/>
  <c r="AF214" i="6"/>
  <c r="AH214" i="6" s="1"/>
  <c r="AK214" i="6" s="1"/>
  <c r="AN250" i="6"/>
  <c r="AE282" i="6"/>
  <c r="AF282" i="6"/>
  <c r="AG282" i="6"/>
  <c r="AE314" i="6"/>
  <c r="AG314" i="6"/>
  <c r="AF314" i="6"/>
  <c r="AH314" i="6" s="1"/>
  <c r="AK314" i="6" s="1"/>
  <c r="AE346" i="6"/>
  <c r="AF346" i="6"/>
  <c r="AG346" i="6"/>
  <c r="AE378" i="6"/>
  <c r="AG378" i="6"/>
  <c r="AF378" i="6"/>
  <c r="AN220" i="6"/>
  <c r="AN377" i="6"/>
  <c r="AN178" i="6"/>
  <c r="AN231" i="6"/>
  <c r="AN263" i="6"/>
  <c r="AN295" i="6"/>
  <c r="AE440" i="6"/>
  <c r="AG440" i="6"/>
  <c r="AF440" i="6"/>
  <c r="AE62" i="6"/>
  <c r="AG62" i="6"/>
  <c r="AF62" i="6"/>
  <c r="AE94" i="6"/>
  <c r="AG94" i="6"/>
  <c r="AF94" i="6"/>
  <c r="AE126" i="6"/>
  <c r="AG126" i="6"/>
  <c r="AF126" i="6"/>
  <c r="AE158" i="6"/>
  <c r="AG158" i="6"/>
  <c r="AF158" i="6"/>
  <c r="AN77" i="6"/>
  <c r="AN109" i="6"/>
  <c r="AN141" i="6"/>
  <c r="AE185" i="6"/>
  <c r="AF185" i="6"/>
  <c r="AG185" i="6"/>
  <c r="AN236" i="6"/>
  <c r="AN268" i="6"/>
  <c r="AN300" i="6"/>
  <c r="AE332" i="6"/>
  <c r="AG332" i="6"/>
  <c r="AF332" i="6"/>
  <c r="AE364" i="6"/>
  <c r="AN191" i="6"/>
  <c r="AN347" i="6"/>
  <c r="AE413" i="6"/>
  <c r="AG413" i="6"/>
  <c r="AF413" i="6"/>
  <c r="AN213" i="6"/>
  <c r="AN249" i="6"/>
  <c r="AN281" i="6"/>
  <c r="AN317" i="6"/>
  <c r="AN375" i="6"/>
  <c r="AE426" i="6"/>
  <c r="AG426" i="6"/>
  <c r="AF426" i="6"/>
  <c r="AH426" i="6" s="1"/>
  <c r="AK426" i="6" s="1"/>
  <c r="AN394" i="6"/>
  <c r="AN412" i="6"/>
  <c r="AN439" i="6"/>
  <c r="AN277" i="6"/>
  <c r="AN399" i="6"/>
  <c r="AN404" i="6"/>
  <c r="AN437" i="6"/>
  <c r="BS207" i="6"/>
  <c r="BU207" i="6"/>
  <c r="BT207" i="6"/>
  <c r="BS135" i="6"/>
  <c r="BU135" i="6"/>
  <c r="BT135" i="6"/>
  <c r="BS385" i="6"/>
  <c r="BU385" i="6"/>
  <c r="BT385" i="6"/>
  <c r="BS206" i="6"/>
  <c r="BT206" i="6"/>
  <c r="BU206" i="6"/>
  <c r="BS341" i="6"/>
  <c r="BU341" i="6"/>
  <c r="BT341" i="6"/>
  <c r="BS243" i="6"/>
  <c r="BU243" i="6"/>
  <c r="BT243" i="6"/>
  <c r="BS283" i="6"/>
  <c r="BU283" i="6"/>
  <c r="BT283" i="6"/>
  <c r="BS390" i="6"/>
  <c r="BU390" i="6"/>
  <c r="BT390" i="6"/>
  <c r="BS113" i="6"/>
  <c r="BT113" i="6"/>
  <c r="BU113" i="6"/>
  <c r="BS282" i="6"/>
  <c r="BT282" i="6"/>
  <c r="BV282" i="6" s="1"/>
  <c r="BY282" i="6" s="1"/>
  <c r="BU282" i="6"/>
  <c r="BS429" i="6"/>
  <c r="BU429" i="6"/>
  <c r="BT429" i="6"/>
  <c r="BS153" i="6"/>
  <c r="BT153" i="6"/>
  <c r="BU153" i="6"/>
  <c r="BS267" i="6"/>
  <c r="BU267" i="6"/>
  <c r="BT267" i="6"/>
  <c r="BS420" i="6"/>
  <c r="BU420" i="6"/>
  <c r="BT420" i="6"/>
  <c r="BS184" i="6"/>
  <c r="BU184" i="6"/>
  <c r="BT184" i="6"/>
  <c r="BS309" i="6"/>
  <c r="BU309" i="6"/>
  <c r="BT309" i="6"/>
  <c r="BS60" i="6"/>
  <c r="BU60" i="6"/>
  <c r="BT60" i="6"/>
  <c r="BS224" i="6"/>
  <c r="BU224" i="6"/>
  <c r="BT224" i="6"/>
  <c r="BS302" i="6"/>
  <c r="BT302" i="6"/>
  <c r="BU302" i="6"/>
  <c r="BS59" i="6"/>
  <c r="BU59" i="6"/>
  <c r="BT59" i="6"/>
  <c r="BV59" i="6" s="1"/>
  <c r="BY59" i="6" s="1"/>
  <c r="BS195" i="6"/>
  <c r="BU195" i="6"/>
  <c r="BT195" i="6"/>
  <c r="BS371" i="6"/>
  <c r="BU371" i="6"/>
  <c r="BT371" i="6"/>
  <c r="BS88" i="6"/>
  <c r="BU88" i="6"/>
  <c r="BT88" i="6"/>
  <c r="BS236" i="6"/>
  <c r="BU236" i="6"/>
  <c r="BT236" i="6"/>
  <c r="BS356" i="6"/>
  <c r="BT356" i="6"/>
  <c r="BU356" i="6"/>
  <c r="BS128" i="6"/>
  <c r="BU128" i="6"/>
  <c r="BT128" i="6"/>
  <c r="BS216" i="6"/>
  <c r="BU216" i="6"/>
  <c r="BT216" i="6"/>
  <c r="BS366" i="6"/>
  <c r="BU366" i="6"/>
  <c r="BT366" i="6"/>
  <c r="BS66" i="6"/>
  <c r="BT66" i="6"/>
  <c r="BU66" i="6"/>
  <c r="BS201" i="6"/>
  <c r="BU201" i="6"/>
  <c r="BT201" i="6"/>
  <c r="BS334" i="6"/>
  <c r="BT334" i="6"/>
  <c r="BU334" i="6"/>
  <c r="BS91" i="6"/>
  <c r="BU91" i="6"/>
  <c r="BT91" i="6"/>
  <c r="BS241" i="6"/>
  <c r="BU241" i="6"/>
  <c r="BT241" i="6"/>
  <c r="BS361" i="6"/>
  <c r="BU361" i="6"/>
  <c r="BT361" i="6"/>
  <c r="BS77" i="6"/>
  <c r="BT77" i="6"/>
  <c r="BU77" i="6"/>
  <c r="BS281" i="6"/>
  <c r="BU281" i="6"/>
  <c r="BT281" i="6"/>
  <c r="BS394" i="6"/>
  <c r="BU394" i="6"/>
  <c r="BT394" i="6"/>
  <c r="BS117" i="6"/>
  <c r="BT117" i="6"/>
  <c r="BU117" i="6"/>
  <c r="BS286" i="6"/>
  <c r="BU286" i="6"/>
  <c r="BT286" i="6"/>
  <c r="BS430" i="6"/>
  <c r="BU430" i="6"/>
  <c r="BT430" i="6"/>
  <c r="BS146" i="6"/>
  <c r="BU146" i="6"/>
  <c r="BT146" i="6"/>
  <c r="BS298" i="6"/>
  <c r="BT298" i="6"/>
  <c r="BU298" i="6"/>
  <c r="BS424" i="6"/>
  <c r="BU424" i="6"/>
  <c r="BT424" i="6"/>
  <c r="BS188" i="6"/>
  <c r="BU188" i="6"/>
  <c r="BT188" i="6"/>
  <c r="BS370" i="6"/>
  <c r="BU370" i="6"/>
  <c r="BT370" i="6"/>
  <c r="BS103" i="6"/>
  <c r="BU103" i="6"/>
  <c r="BT103" i="6"/>
  <c r="BS214" i="6"/>
  <c r="BT214" i="6"/>
  <c r="BU214" i="6"/>
  <c r="BS335" i="6"/>
  <c r="BU335" i="6"/>
  <c r="BT335" i="6"/>
  <c r="BV335" i="6" s="1"/>
  <c r="BY335" i="6" s="1"/>
  <c r="BS143" i="6"/>
  <c r="BU143" i="6"/>
  <c r="BT143" i="6"/>
  <c r="BS199" i="6"/>
  <c r="BU199" i="6"/>
  <c r="BT199" i="6"/>
  <c r="BS405" i="6"/>
  <c r="BT405" i="6"/>
  <c r="BU405" i="6"/>
  <c r="BS108" i="6"/>
  <c r="BU108" i="6"/>
  <c r="BT108" i="6"/>
  <c r="BS272" i="6"/>
  <c r="BU272" i="6"/>
  <c r="BT272" i="6"/>
  <c r="BS376" i="6"/>
  <c r="BT376" i="6"/>
  <c r="BU376" i="6"/>
  <c r="BS148" i="6"/>
  <c r="BU148" i="6"/>
  <c r="BT148" i="6"/>
  <c r="BS261" i="6"/>
  <c r="BU261" i="6"/>
  <c r="BT261" i="6"/>
  <c r="BS408" i="6"/>
  <c r="BU408" i="6"/>
  <c r="BT408" i="6"/>
  <c r="BS134" i="6"/>
  <c r="BU134" i="6"/>
  <c r="BT134" i="6"/>
  <c r="BS304" i="6"/>
  <c r="BU304" i="6"/>
  <c r="BT304" i="6"/>
  <c r="BS439" i="6"/>
  <c r="BU439" i="6"/>
  <c r="BT439" i="6"/>
  <c r="BS174" i="6"/>
  <c r="BU174" i="6"/>
  <c r="BT174" i="6"/>
  <c r="BS301" i="6"/>
  <c r="BU301" i="6"/>
  <c r="BT301" i="6"/>
  <c r="BS68" i="6"/>
  <c r="BU68" i="6"/>
  <c r="BT68" i="6"/>
  <c r="BS202" i="6"/>
  <c r="BT202" i="6"/>
  <c r="BU202" i="6"/>
  <c r="BS336" i="6"/>
  <c r="BT336" i="6"/>
  <c r="BU336" i="6"/>
  <c r="BS147" i="6"/>
  <c r="BU147" i="6"/>
  <c r="BT147" i="6"/>
  <c r="BS187" i="6"/>
  <c r="BU187" i="6"/>
  <c r="BT187" i="6"/>
  <c r="BV187" i="6" s="1"/>
  <c r="BY187" i="6" s="1"/>
  <c r="BS363" i="6"/>
  <c r="BU363" i="6"/>
  <c r="BT363" i="6"/>
  <c r="BS80" i="6"/>
  <c r="BU80" i="6"/>
  <c r="BT80" i="6"/>
  <c r="BS177" i="6"/>
  <c r="BU177" i="6"/>
  <c r="BT177" i="6"/>
  <c r="BS310" i="6"/>
  <c r="BT310" i="6"/>
  <c r="BU310" i="6"/>
  <c r="BS67" i="6"/>
  <c r="BU67" i="6"/>
  <c r="BT67" i="6"/>
  <c r="BS217" i="6"/>
  <c r="BU217" i="6"/>
  <c r="BT217" i="6"/>
  <c r="BS299" i="6"/>
  <c r="BU299" i="6"/>
  <c r="BT299" i="6"/>
  <c r="BS107" i="6"/>
  <c r="BU107" i="6"/>
  <c r="BT107" i="6"/>
  <c r="BH439" i="6"/>
  <c r="AY414" i="6"/>
  <c r="AZ414" i="6"/>
  <c r="BH374" i="6"/>
  <c r="AZ389" i="6"/>
  <c r="BH352" i="6"/>
  <c r="BH371" i="6"/>
  <c r="AZ307" i="6"/>
  <c r="BH278" i="6"/>
  <c r="BH239" i="6"/>
  <c r="AY190" i="6"/>
  <c r="AZ190" i="6"/>
  <c r="BA190" i="6"/>
  <c r="BH181" i="6"/>
  <c r="BA172" i="6"/>
  <c r="BA108" i="6"/>
  <c r="AY151" i="6"/>
  <c r="AY87" i="6"/>
  <c r="AZ87" i="6"/>
  <c r="BA87" i="6"/>
  <c r="BH130" i="6"/>
  <c r="BH66" i="6"/>
  <c r="BH417" i="6"/>
  <c r="BH415" i="6"/>
  <c r="BH379" i="6"/>
  <c r="BH350" i="6"/>
  <c r="BH337" i="6"/>
  <c r="BH327" i="6"/>
  <c r="BH321" i="6"/>
  <c r="AY304" i="6"/>
  <c r="AZ304" i="6"/>
  <c r="BA304" i="6"/>
  <c r="BH256" i="6"/>
  <c r="BH251" i="6"/>
  <c r="BH240" i="6"/>
  <c r="BH226" i="6"/>
  <c r="BH218" i="6"/>
  <c r="BH200" i="6"/>
  <c r="BH136" i="6"/>
  <c r="BH72" i="6"/>
  <c r="BH115" i="6"/>
  <c r="BH158" i="6"/>
  <c r="BH94" i="6"/>
  <c r="BH137" i="6"/>
  <c r="BH73" i="6"/>
  <c r="BH55" i="6"/>
  <c r="BH431" i="6"/>
  <c r="BH372" i="6"/>
  <c r="BH344" i="6"/>
  <c r="BH294" i="6"/>
  <c r="BH270" i="6"/>
  <c r="BH225" i="6"/>
  <c r="BH231" i="6"/>
  <c r="BH191" i="6"/>
  <c r="BH173" i="6"/>
  <c r="BH164" i="6"/>
  <c r="BH100" i="6"/>
  <c r="BH143" i="6"/>
  <c r="BH122" i="6"/>
  <c r="BH165" i="6"/>
  <c r="BH101" i="6"/>
  <c r="BA436" i="6"/>
  <c r="BH394" i="6"/>
  <c r="BH385" i="6"/>
  <c r="BH296" i="6"/>
  <c r="BH248" i="6"/>
  <c r="BH285" i="6"/>
  <c r="BH201" i="6"/>
  <c r="BH192" i="6"/>
  <c r="BH150" i="6"/>
  <c r="BH86" i="6"/>
  <c r="BH129" i="6"/>
  <c r="AE56" i="6"/>
  <c r="AF56" i="6"/>
  <c r="AG56" i="6"/>
  <c r="AE88" i="6"/>
  <c r="AF88" i="6"/>
  <c r="AH88" i="6" s="1"/>
  <c r="AK88" i="6" s="1"/>
  <c r="AG88" i="6"/>
  <c r="AE120" i="6"/>
  <c r="AF120" i="6"/>
  <c r="AH120" i="6" s="1"/>
  <c r="AK120" i="6" s="1"/>
  <c r="AG120" i="6"/>
  <c r="AE152" i="6"/>
  <c r="AG152" i="6"/>
  <c r="AF152" i="6"/>
  <c r="AE71" i="6"/>
  <c r="AG71" i="6"/>
  <c r="AF71" i="6"/>
  <c r="AE103" i="6"/>
  <c r="AF103" i="6"/>
  <c r="AG103" i="6"/>
  <c r="AE135" i="6"/>
  <c r="AF135" i="6"/>
  <c r="AG135" i="6"/>
  <c r="AE174" i="6"/>
  <c r="AF174" i="6"/>
  <c r="AG174" i="6"/>
  <c r="AN230" i="6"/>
  <c r="AE262" i="6"/>
  <c r="AG262" i="6"/>
  <c r="AF262" i="6"/>
  <c r="AE294" i="6"/>
  <c r="AG294" i="6"/>
  <c r="AF294" i="6"/>
  <c r="AE326" i="6"/>
  <c r="AF326" i="6"/>
  <c r="AG326" i="6"/>
  <c r="AN358" i="6"/>
  <c r="AE180" i="6"/>
  <c r="AG180" i="6"/>
  <c r="AF180" i="6"/>
  <c r="AF333" i="6"/>
  <c r="AE401" i="6"/>
  <c r="AF401" i="6"/>
  <c r="AH401" i="6" s="1"/>
  <c r="AK401" i="6" s="1"/>
  <c r="AG401" i="6"/>
  <c r="AE202" i="6"/>
  <c r="AF202" i="6"/>
  <c r="AG202" i="6"/>
  <c r="AE243" i="6"/>
  <c r="AF243" i="6"/>
  <c r="AG243" i="6"/>
  <c r="AE275" i="6"/>
  <c r="AG275" i="6"/>
  <c r="AF275" i="6"/>
  <c r="AN309" i="6"/>
  <c r="AN400" i="6"/>
  <c r="AE261" i="6"/>
  <c r="AG261" i="6"/>
  <c r="AF261" i="6"/>
  <c r="AN383" i="6"/>
  <c r="AE388" i="6"/>
  <c r="AG388" i="6"/>
  <c r="AF388" i="6"/>
  <c r="AN387" i="6"/>
  <c r="AE58" i="6"/>
  <c r="AG58" i="6"/>
  <c r="AF58" i="6"/>
  <c r="AE90" i="6"/>
  <c r="AG90" i="6"/>
  <c r="AF90" i="6"/>
  <c r="AE122" i="6"/>
  <c r="AG122" i="6"/>
  <c r="AF122" i="6"/>
  <c r="AE154" i="6"/>
  <c r="AG154" i="6"/>
  <c r="AF154" i="6"/>
  <c r="AH154" i="6" s="1"/>
  <c r="AK154" i="6" s="1"/>
  <c r="AN73" i="6"/>
  <c r="AN105" i="6"/>
  <c r="AN137" i="6"/>
  <c r="AE177" i="6"/>
  <c r="AF177" i="6"/>
  <c r="AG177" i="6"/>
  <c r="AE232" i="6"/>
  <c r="AG264" i="6"/>
  <c r="AE296" i="6"/>
  <c r="AE360" i="6"/>
  <c r="AG360" i="6"/>
  <c r="AF360" i="6"/>
  <c r="AE183" i="6"/>
  <c r="AG183" i="6"/>
  <c r="AF183" i="6"/>
  <c r="AE339" i="6"/>
  <c r="AF339" i="6"/>
  <c r="AH339" i="6" s="1"/>
  <c r="AK339" i="6" s="1"/>
  <c r="AG339" i="6"/>
  <c r="AE405" i="6"/>
  <c r="AF405" i="6"/>
  <c r="AH405" i="6" s="1"/>
  <c r="AK405" i="6" s="1"/>
  <c r="AG405" i="6"/>
  <c r="AE245" i="6"/>
  <c r="AG245" i="6"/>
  <c r="AF245" i="6"/>
  <c r="AN419" i="6"/>
  <c r="AN52" i="6"/>
  <c r="AE84" i="6"/>
  <c r="AG84" i="6"/>
  <c r="AF84" i="6"/>
  <c r="AE116" i="6"/>
  <c r="AF116" i="6"/>
  <c r="AH116" i="6" s="1"/>
  <c r="AK116" i="6" s="1"/>
  <c r="AG116" i="6"/>
  <c r="AE148" i="6"/>
  <c r="AF148" i="6"/>
  <c r="AG148" i="6"/>
  <c r="AN67" i="6"/>
  <c r="AN99" i="6"/>
  <c r="AN131" i="6"/>
  <c r="AN166" i="6"/>
  <c r="AE226" i="6"/>
  <c r="AF226" i="6"/>
  <c r="AG226" i="6"/>
  <c r="AE258" i="6"/>
  <c r="AG258" i="6"/>
  <c r="AF258" i="6"/>
  <c r="AE290" i="6"/>
  <c r="AG290" i="6"/>
  <c r="AF290" i="6"/>
  <c r="AN322" i="6"/>
  <c r="AN354" i="6"/>
  <c r="AN172" i="6"/>
  <c r="AE325" i="6"/>
  <c r="AF325" i="6"/>
  <c r="AG325" i="6"/>
  <c r="AN393" i="6"/>
  <c r="AN194" i="6"/>
  <c r="AN239" i="6"/>
  <c r="AN271" i="6"/>
  <c r="AN303" i="6"/>
  <c r="AN195" i="6"/>
  <c r="AE70" i="6"/>
  <c r="AG70" i="6"/>
  <c r="AF70" i="6"/>
  <c r="AH70" i="6" s="1"/>
  <c r="AK70" i="6" s="1"/>
  <c r="AE102" i="6"/>
  <c r="AF102" i="6"/>
  <c r="AG102" i="6"/>
  <c r="AE134" i="6"/>
  <c r="AG134" i="6"/>
  <c r="AF134" i="6"/>
  <c r="AH134" i="6" s="1"/>
  <c r="AK134" i="6" s="1"/>
  <c r="AN53" i="6"/>
  <c r="AN85" i="6"/>
  <c r="AN117" i="6"/>
  <c r="AN149" i="6"/>
  <c r="AN201" i="6"/>
  <c r="AN244" i="6"/>
  <c r="AN276" i="6"/>
  <c r="AE308" i="6"/>
  <c r="AG308" i="6"/>
  <c r="AF308" i="6"/>
  <c r="AN340" i="6"/>
  <c r="AE372" i="6"/>
  <c r="AG372" i="6"/>
  <c r="AF372" i="6"/>
  <c r="AH372" i="6" s="1"/>
  <c r="AK372" i="6" s="1"/>
  <c r="AN207" i="6"/>
  <c r="AN363" i="6"/>
  <c r="AN165" i="6"/>
  <c r="AN225" i="6"/>
  <c r="AN257" i="6"/>
  <c r="AN289" i="6"/>
  <c r="AN331" i="6"/>
  <c r="AN391" i="6"/>
  <c r="AN416" i="6"/>
  <c r="AN431" i="6"/>
  <c r="AN187" i="6"/>
  <c r="AN205" i="6"/>
  <c r="AN293" i="6"/>
  <c r="AN434" i="6"/>
  <c r="AN422" i="6"/>
  <c r="AN386" i="6"/>
  <c r="BS342" i="6"/>
  <c r="BU342" i="6"/>
  <c r="BT342" i="6"/>
  <c r="BS248" i="6"/>
  <c r="BU248" i="6"/>
  <c r="BT248" i="6"/>
  <c r="BS175" i="6"/>
  <c r="BU175" i="6"/>
  <c r="BT175" i="6"/>
  <c r="BS338" i="6"/>
  <c r="BU338" i="6"/>
  <c r="BT338" i="6"/>
  <c r="BS237" i="6"/>
  <c r="BU237" i="6"/>
  <c r="BT237" i="6"/>
  <c r="BS387" i="6"/>
  <c r="BT387" i="6"/>
  <c r="BU387" i="6"/>
  <c r="BS169" i="6"/>
  <c r="BT169" i="6"/>
  <c r="BU169" i="6"/>
  <c r="BS114" i="6"/>
  <c r="BU114" i="6"/>
  <c r="BT114" i="6"/>
  <c r="BS263" i="6"/>
  <c r="BU263" i="6"/>
  <c r="BT263" i="6"/>
  <c r="BS412" i="6"/>
  <c r="BU412" i="6"/>
  <c r="BT412" i="6"/>
  <c r="BS278" i="6"/>
  <c r="BT278" i="6"/>
  <c r="BU278" i="6"/>
  <c r="BS196" i="6"/>
  <c r="BU196" i="6"/>
  <c r="BT196" i="6"/>
  <c r="BS181" i="6"/>
  <c r="BU181" i="6"/>
  <c r="BT181" i="6"/>
  <c r="BS127" i="6"/>
  <c r="BU127" i="6"/>
  <c r="BT127" i="6"/>
  <c r="BS71" i="6"/>
  <c r="BU71" i="6"/>
  <c r="BT71" i="6"/>
  <c r="BS368" i="6"/>
  <c r="BT368" i="6"/>
  <c r="BU368" i="6"/>
  <c r="BS242" i="6"/>
  <c r="BT242" i="6"/>
  <c r="BU242" i="6"/>
  <c r="BS296" i="6"/>
  <c r="BT296" i="6"/>
  <c r="BU296" i="6"/>
  <c r="BS422" i="6"/>
  <c r="BU422" i="6"/>
  <c r="BT422" i="6"/>
  <c r="BS362" i="6"/>
  <c r="BU362" i="6"/>
  <c r="BT362" i="6"/>
  <c r="BS349" i="6"/>
  <c r="BU349" i="6"/>
  <c r="BT349" i="6"/>
  <c r="BS172" i="6"/>
  <c r="BU172" i="6"/>
  <c r="BT172" i="6"/>
  <c r="BS234" i="6"/>
  <c r="BT234" i="6"/>
  <c r="BU234" i="6"/>
  <c r="BS382" i="6"/>
  <c r="BU382" i="6"/>
  <c r="BT382" i="6"/>
  <c r="BS105" i="6"/>
  <c r="BT105" i="6"/>
  <c r="BU105" i="6"/>
  <c r="BS274" i="6"/>
  <c r="BT274" i="6"/>
  <c r="BU274" i="6"/>
  <c r="BS436" i="6"/>
  <c r="BT436" i="6"/>
  <c r="BU436" i="6"/>
  <c r="BS200" i="6"/>
  <c r="BU200" i="6"/>
  <c r="BT200" i="6"/>
  <c r="BS325" i="6"/>
  <c r="BU325" i="6"/>
  <c r="BT325" i="6"/>
  <c r="BS65" i="6"/>
  <c r="BU65" i="6"/>
  <c r="BT65" i="6"/>
  <c r="BS185" i="6"/>
  <c r="BU185" i="6"/>
  <c r="BT185" i="6"/>
  <c r="BS318" i="6"/>
  <c r="BT318" i="6"/>
  <c r="BU318" i="6"/>
  <c r="BS75" i="6"/>
  <c r="BU75" i="6"/>
  <c r="BT75" i="6"/>
  <c r="BS211" i="6"/>
  <c r="BU211" i="6"/>
  <c r="BT211" i="6"/>
  <c r="BS389" i="6"/>
  <c r="BU389" i="6"/>
  <c r="BT389" i="6"/>
  <c r="BS104" i="6"/>
  <c r="BU104" i="6"/>
  <c r="BT104" i="6"/>
  <c r="BS252" i="6"/>
  <c r="BU252" i="6"/>
  <c r="BT252" i="6"/>
  <c r="BS372" i="6"/>
  <c r="BT372" i="6"/>
  <c r="BU372" i="6"/>
  <c r="BS144" i="6"/>
  <c r="BU144" i="6"/>
  <c r="BT144" i="6"/>
  <c r="BS231" i="6"/>
  <c r="BU231" i="6"/>
  <c r="BT231" i="6"/>
  <c r="BS400" i="6"/>
  <c r="BU400" i="6"/>
  <c r="BT400" i="6"/>
  <c r="BS173" i="6"/>
  <c r="BT173" i="6"/>
  <c r="BU173" i="6"/>
  <c r="BS271" i="6"/>
  <c r="BU271" i="6"/>
  <c r="BT271" i="6"/>
  <c r="BS411" i="6"/>
  <c r="BT411" i="6"/>
  <c r="BU411" i="6"/>
  <c r="BS106" i="6"/>
  <c r="BU106" i="6"/>
  <c r="BT106" i="6"/>
  <c r="BS291" i="6"/>
  <c r="BT291" i="6"/>
  <c r="BU291" i="6"/>
  <c r="BS416" i="6"/>
  <c r="BU416" i="6"/>
  <c r="BT416" i="6"/>
  <c r="BS180" i="6"/>
  <c r="BU180" i="6"/>
  <c r="BT180" i="6"/>
  <c r="BS324" i="6"/>
  <c r="BU324" i="6"/>
  <c r="BT324" i="6"/>
  <c r="BS56" i="6"/>
  <c r="BU56" i="6"/>
  <c r="BT56" i="6"/>
  <c r="BS220" i="6"/>
  <c r="BU220" i="6"/>
  <c r="BT220" i="6"/>
  <c r="BS375" i="6"/>
  <c r="BU375" i="6"/>
  <c r="BT375" i="6"/>
  <c r="BS92" i="6"/>
  <c r="BU92" i="6"/>
  <c r="BT92" i="6"/>
  <c r="BS256" i="6"/>
  <c r="BU256" i="6"/>
  <c r="BT256" i="6"/>
  <c r="BS360" i="6"/>
  <c r="BT360" i="6"/>
  <c r="BU360" i="6"/>
  <c r="BS132" i="6"/>
  <c r="BU132" i="6"/>
  <c r="BT132" i="6"/>
  <c r="BS245" i="6"/>
  <c r="BU245" i="6"/>
  <c r="BT245" i="6"/>
  <c r="BS388" i="6"/>
  <c r="BU388" i="6"/>
  <c r="BT388" i="6"/>
  <c r="BS161" i="6"/>
  <c r="BT161" i="6"/>
  <c r="BU161" i="6"/>
  <c r="BS275" i="6"/>
  <c r="BU275" i="6"/>
  <c r="BT275" i="6"/>
  <c r="BS418" i="6"/>
  <c r="BU418" i="6"/>
  <c r="BT418" i="6"/>
  <c r="BS94" i="6"/>
  <c r="BU94" i="6"/>
  <c r="BT94" i="6"/>
  <c r="BV94" i="6" s="1"/>
  <c r="BY94" i="6" s="1"/>
  <c r="BS290" i="6"/>
  <c r="BU290" i="6"/>
  <c r="BT290" i="6"/>
  <c r="BS365" i="6"/>
  <c r="BU365" i="6"/>
  <c r="BT365" i="6"/>
  <c r="BS81" i="6"/>
  <c r="BT81" i="6"/>
  <c r="BU81" i="6"/>
  <c r="BS250" i="6"/>
  <c r="BT250" i="6"/>
  <c r="BU250" i="6"/>
  <c r="BS398" i="6"/>
  <c r="BU398" i="6"/>
  <c r="BT398" i="6"/>
  <c r="BS121" i="6"/>
  <c r="BT121" i="6"/>
  <c r="BU121" i="6"/>
  <c r="BS235" i="6"/>
  <c r="BU235" i="6"/>
  <c r="BT235" i="6"/>
  <c r="BH423" i="6"/>
  <c r="BA430" i="6"/>
  <c r="AZ370" i="6"/>
  <c r="BB370" i="6" s="1"/>
  <c r="BE370" i="6" s="1"/>
  <c r="BH336" i="6"/>
  <c r="BH324" i="6"/>
  <c r="BH262" i="6"/>
  <c r="AY220" i="6"/>
  <c r="AY156" i="6"/>
  <c r="AZ92" i="6"/>
  <c r="BB92" i="6" s="1"/>
  <c r="BE92" i="6" s="1"/>
  <c r="AY135" i="6"/>
  <c r="AZ135" i="6"/>
  <c r="BA135" i="6"/>
  <c r="BH114" i="6"/>
  <c r="BH157" i="6"/>
  <c r="BH93" i="6"/>
  <c r="BH60" i="6"/>
  <c r="BH428" i="6"/>
  <c r="BH392" i="6"/>
  <c r="BH334" i="6"/>
  <c r="BA364" i="6"/>
  <c r="BH314" i="6"/>
  <c r="BH305" i="6"/>
  <c r="BH375" i="6"/>
  <c r="BH293" i="6"/>
  <c r="BH253" i="6"/>
  <c r="BH277" i="6"/>
  <c r="BH211" i="6"/>
  <c r="BH202" i="6"/>
  <c r="BH184" i="6"/>
  <c r="BH120" i="6"/>
  <c r="BH163" i="6"/>
  <c r="BH99" i="6"/>
  <c r="BH121" i="6"/>
  <c r="BH54" i="6"/>
  <c r="BH429" i="6"/>
  <c r="BH409" i="6"/>
  <c r="AY362" i="6"/>
  <c r="BA362" i="6"/>
  <c r="AZ362" i="6"/>
  <c r="BH328" i="6"/>
  <c r="BH316" i="6"/>
  <c r="BH254" i="6"/>
  <c r="BH243" i="6"/>
  <c r="BH221" i="6"/>
  <c r="BH170" i="6"/>
  <c r="BH106" i="6"/>
  <c r="BH52" i="6"/>
  <c r="AY420" i="6"/>
  <c r="BA420" i="6"/>
  <c r="AZ420" i="6"/>
  <c r="BH378" i="6"/>
  <c r="BH356" i="6"/>
  <c r="BH306" i="6"/>
  <c r="BH282" i="6"/>
  <c r="BH185" i="6"/>
  <c r="BH176" i="6"/>
  <c r="BH134" i="6"/>
  <c r="BH70" i="6"/>
  <c r="BH113" i="6"/>
  <c r="AN96" i="6"/>
  <c r="AN128" i="6"/>
  <c r="AE79" i="6"/>
  <c r="AG79" i="6"/>
  <c r="AF79" i="6"/>
  <c r="AE111" i="6"/>
  <c r="AG111" i="6"/>
  <c r="AF111" i="6"/>
  <c r="AE143" i="6"/>
  <c r="AG143" i="6"/>
  <c r="AF143" i="6"/>
  <c r="AE190" i="6"/>
  <c r="AG190" i="6"/>
  <c r="AF190" i="6"/>
  <c r="AE238" i="6"/>
  <c r="AF238" i="6"/>
  <c r="AG238" i="6"/>
  <c r="AE270" i="6"/>
  <c r="AG270" i="6"/>
  <c r="AF270" i="6"/>
  <c r="AH270" i="6" s="1"/>
  <c r="AK270" i="6" s="1"/>
  <c r="AE302" i="6"/>
  <c r="AF302" i="6"/>
  <c r="AG302" i="6"/>
  <c r="AN334" i="6"/>
  <c r="AE366" i="6"/>
  <c r="AF366" i="6"/>
  <c r="AG366" i="6"/>
  <c r="AE196" i="6"/>
  <c r="AF196" i="6"/>
  <c r="AG196" i="6"/>
  <c r="AN351" i="6"/>
  <c r="AN417" i="6"/>
  <c r="AE218" i="6"/>
  <c r="AG218" i="6"/>
  <c r="AF218" i="6"/>
  <c r="AH218" i="6" s="1"/>
  <c r="AK218" i="6" s="1"/>
  <c r="AF251" i="6"/>
  <c r="AH251" i="6" s="1"/>
  <c r="AK251" i="6" s="1"/>
  <c r="AF283" i="6"/>
  <c r="AE379" i="6"/>
  <c r="AF379" i="6"/>
  <c r="AG379" i="6"/>
  <c r="AE429" i="6"/>
  <c r="AG429" i="6"/>
  <c r="AF429" i="6"/>
  <c r="AN402" i="6"/>
  <c r="AN420" i="6"/>
  <c r="AE285" i="6"/>
  <c r="AG285" i="6"/>
  <c r="AF285" i="6"/>
  <c r="AN415" i="6"/>
  <c r="AE424" i="6"/>
  <c r="AF424" i="6"/>
  <c r="AG424" i="6"/>
  <c r="AN203" i="6"/>
  <c r="AE162" i="6"/>
  <c r="AG162" i="6"/>
  <c r="AF162" i="6"/>
  <c r="AN81" i="6"/>
  <c r="AN113" i="6"/>
  <c r="AN145" i="6"/>
  <c r="AE240" i="6"/>
  <c r="AG240" i="6"/>
  <c r="AN336" i="6"/>
  <c r="AN368" i="6"/>
  <c r="AN199" i="6"/>
  <c r="AE355" i="6"/>
  <c r="AG355" i="6"/>
  <c r="AF355" i="6"/>
  <c r="AN421" i="6"/>
  <c r="AE269" i="6"/>
  <c r="AE410" i="6"/>
  <c r="AG410" i="6"/>
  <c r="AF410" i="6"/>
  <c r="AN433" i="6"/>
  <c r="AG124" i="6"/>
  <c r="AF156" i="6"/>
  <c r="AN75" i="6"/>
  <c r="AN107" i="6"/>
  <c r="AN139" i="6"/>
  <c r="AE182" i="6"/>
  <c r="AG182" i="6"/>
  <c r="AF182" i="6"/>
  <c r="AE234" i="6"/>
  <c r="AG234" i="6"/>
  <c r="AF234" i="6"/>
  <c r="AE266" i="6"/>
  <c r="AG266" i="6"/>
  <c r="AF266" i="6"/>
  <c r="AE298" i="6"/>
  <c r="AF298" i="6"/>
  <c r="AH298" i="6" s="1"/>
  <c r="AK298" i="6" s="1"/>
  <c r="AG298" i="6"/>
  <c r="AN330" i="6"/>
  <c r="AE362" i="6"/>
  <c r="AF362" i="6"/>
  <c r="AG362" i="6"/>
  <c r="AN343" i="6"/>
  <c r="AN409" i="6"/>
  <c r="AN210" i="6"/>
  <c r="AN247" i="6"/>
  <c r="AN279" i="6"/>
  <c r="AE357" i="6"/>
  <c r="AG357" i="6"/>
  <c r="AF357" i="6"/>
  <c r="AE78" i="6"/>
  <c r="AG78" i="6"/>
  <c r="AF78" i="6"/>
  <c r="AE110" i="6"/>
  <c r="AG110" i="6"/>
  <c r="AF110" i="6"/>
  <c r="AE142" i="6"/>
  <c r="AF142" i="6"/>
  <c r="AN61" i="6"/>
  <c r="AN93" i="6"/>
  <c r="AN125" i="6"/>
  <c r="AN157" i="6"/>
  <c r="AE217" i="6"/>
  <c r="AG217" i="6"/>
  <c r="AF217" i="6"/>
  <c r="AN252" i="6"/>
  <c r="AN284" i="6"/>
  <c r="AN316" i="6"/>
  <c r="AN380" i="6"/>
  <c r="AN307" i="6"/>
  <c r="AN381" i="6"/>
  <c r="AN181" i="6"/>
  <c r="AN233" i="6"/>
  <c r="AN265" i="6"/>
  <c r="AN297" i="6"/>
  <c r="AN345" i="6"/>
  <c r="AE407" i="6"/>
  <c r="AG407" i="6"/>
  <c r="AF407" i="6"/>
  <c r="AN176" i="6"/>
  <c r="AN216" i="6"/>
  <c r="AN179" i="6"/>
  <c r="AN237" i="6"/>
  <c r="AN323" i="6"/>
  <c r="AN425" i="6"/>
  <c r="AN313" i="6"/>
  <c r="AN435" i="6"/>
  <c r="BS367" i="6"/>
  <c r="BU367" i="6"/>
  <c r="BT367" i="6"/>
  <c r="BS327" i="6"/>
  <c r="BU327" i="6"/>
  <c r="BT327" i="6"/>
  <c r="BS351" i="6"/>
  <c r="BU351" i="6"/>
  <c r="BT351" i="6"/>
  <c r="BS55" i="6"/>
  <c r="BU55" i="6"/>
  <c r="BT55" i="6"/>
  <c r="BS95" i="6"/>
  <c r="BU95" i="6"/>
  <c r="BT95" i="6"/>
  <c r="BS124" i="6"/>
  <c r="BU124" i="6"/>
  <c r="BT124" i="6"/>
  <c r="BS164" i="6"/>
  <c r="BU164" i="6"/>
  <c r="BT164" i="6"/>
  <c r="BS129" i="6"/>
  <c r="BT129" i="6"/>
  <c r="BU129" i="6"/>
  <c r="BS396" i="6"/>
  <c r="BU396" i="6"/>
  <c r="BT396" i="6"/>
  <c r="BS417" i="6"/>
  <c r="BU417" i="6"/>
  <c r="BT417" i="6"/>
  <c r="BS419" i="6"/>
  <c r="BT419" i="6"/>
  <c r="BU419" i="6"/>
  <c r="BS426" i="6"/>
  <c r="BU426" i="6"/>
  <c r="BT426" i="6"/>
  <c r="BS312" i="6"/>
  <c r="BU312" i="6"/>
  <c r="BT312" i="6"/>
  <c r="BS138" i="6"/>
  <c r="BU138" i="6"/>
  <c r="BT138" i="6"/>
  <c r="BS421" i="6"/>
  <c r="BU421" i="6"/>
  <c r="BT421" i="6"/>
  <c r="BS392" i="6"/>
  <c r="BU392" i="6"/>
  <c r="BT392" i="6"/>
  <c r="BV392" i="6" s="1"/>
  <c r="BY392" i="6" s="1"/>
  <c r="BS320" i="6"/>
  <c r="BU320" i="6"/>
  <c r="BT320" i="6"/>
  <c r="BS305" i="6"/>
  <c r="BU305" i="6"/>
  <c r="BT305" i="6"/>
  <c r="BS330" i="6"/>
  <c r="BT330" i="6"/>
  <c r="BU330" i="6"/>
  <c r="BS198" i="6"/>
  <c r="BT198" i="6"/>
  <c r="BU198" i="6"/>
  <c r="BS183" i="6"/>
  <c r="BU183" i="6"/>
  <c r="BT183" i="6"/>
  <c r="BV183" i="6" s="1"/>
  <c r="BY183" i="6" s="1"/>
  <c r="BS182" i="6"/>
  <c r="BT182" i="6"/>
  <c r="BU182" i="6"/>
  <c r="BS222" i="6"/>
  <c r="BT222" i="6"/>
  <c r="BU222" i="6"/>
  <c r="BS253" i="6"/>
  <c r="BU253" i="6"/>
  <c r="BT253" i="6"/>
  <c r="BS73" i="6"/>
  <c r="BT73" i="6"/>
  <c r="BU73" i="6"/>
  <c r="BS407" i="6"/>
  <c r="BT407" i="6"/>
  <c r="BU407" i="6"/>
  <c r="BS142" i="6"/>
  <c r="BU142" i="6"/>
  <c r="BT142" i="6"/>
  <c r="H50" i="6"/>
  <c r="BH51" i="6"/>
  <c r="AN51" i="6"/>
  <c r="BS179" i="6"/>
  <c r="BU179" i="6"/>
  <c r="BT179" i="6"/>
  <c r="BS355" i="6"/>
  <c r="BU355" i="6"/>
  <c r="BT355" i="6"/>
  <c r="BS72" i="6"/>
  <c r="BU72" i="6"/>
  <c r="BT72" i="6"/>
  <c r="BS219" i="6"/>
  <c r="BU219" i="6"/>
  <c r="BT219" i="6"/>
  <c r="BV219" i="6" s="1"/>
  <c r="BY219" i="6" s="1"/>
  <c r="BS340" i="6"/>
  <c r="BT340" i="6"/>
  <c r="BU340" i="6"/>
  <c r="BS112" i="6"/>
  <c r="BU112" i="6"/>
  <c r="BT112" i="6"/>
  <c r="BS218" i="6"/>
  <c r="BT218" i="6"/>
  <c r="BU218" i="6"/>
  <c r="BS339" i="6"/>
  <c r="BU339" i="6"/>
  <c r="BT339" i="6"/>
  <c r="BS163" i="6"/>
  <c r="BU163" i="6"/>
  <c r="BT163" i="6"/>
  <c r="BS203" i="6"/>
  <c r="BU203" i="6"/>
  <c r="BT203" i="6"/>
  <c r="BS379" i="6"/>
  <c r="BU379" i="6"/>
  <c r="BT379" i="6"/>
  <c r="BS96" i="6"/>
  <c r="BU96" i="6"/>
  <c r="BT96" i="6"/>
  <c r="BS193" i="6"/>
  <c r="BU193" i="6"/>
  <c r="BT193" i="6"/>
  <c r="BS326" i="6"/>
  <c r="BT326" i="6"/>
  <c r="BU326" i="6"/>
  <c r="BS83" i="6"/>
  <c r="BU83" i="6"/>
  <c r="BT83" i="6"/>
  <c r="BS178" i="6"/>
  <c r="BT178" i="6"/>
  <c r="BU178" i="6"/>
  <c r="BS315" i="6"/>
  <c r="BU315" i="6"/>
  <c r="BT315" i="6"/>
  <c r="BS123" i="6"/>
  <c r="BU123" i="6"/>
  <c r="BT123" i="6"/>
  <c r="BS260" i="6"/>
  <c r="BU260" i="6"/>
  <c r="BT260" i="6"/>
  <c r="BS380" i="6"/>
  <c r="BT380" i="6"/>
  <c r="BU380" i="6"/>
  <c r="BS152" i="6"/>
  <c r="BU152" i="6"/>
  <c r="BT152" i="6"/>
  <c r="BS249" i="6"/>
  <c r="BU249" i="6"/>
  <c r="BT249" i="6"/>
  <c r="BS369" i="6"/>
  <c r="BU369" i="6"/>
  <c r="BT369" i="6"/>
  <c r="BS85" i="6"/>
  <c r="BT85" i="6"/>
  <c r="BU85" i="6"/>
  <c r="BS270" i="6"/>
  <c r="BT270" i="6"/>
  <c r="BU270" i="6"/>
  <c r="BS384" i="6"/>
  <c r="BU384" i="6"/>
  <c r="BT384" i="6"/>
  <c r="BS157" i="6"/>
  <c r="BT157" i="6"/>
  <c r="BU157" i="6"/>
  <c r="BS255" i="6"/>
  <c r="BU255" i="6"/>
  <c r="BT255" i="6"/>
  <c r="BV255" i="6" s="1"/>
  <c r="BY255" i="6" s="1"/>
  <c r="BS414" i="6"/>
  <c r="BU414" i="6"/>
  <c r="BT414" i="6"/>
  <c r="BS90" i="6"/>
  <c r="BU90" i="6"/>
  <c r="BT90" i="6"/>
  <c r="BV90" i="6" s="1"/>
  <c r="BY90" i="6" s="1"/>
  <c r="BS254" i="6"/>
  <c r="BT254" i="6"/>
  <c r="BU254" i="6"/>
  <c r="BS399" i="6"/>
  <c r="BT399" i="6"/>
  <c r="BU399" i="6"/>
  <c r="BS141" i="6"/>
  <c r="BT141" i="6"/>
  <c r="BU141" i="6"/>
  <c r="BS239" i="6"/>
  <c r="BU239" i="6"/>
  <c r="BT239" i="6"/>
  <c r="BS413" i="6"/>
  <c r="BU413" i="6"/>
  <c r="BT413" i="6"/>
  <c r="BS74" i="6"/>
  <c r="BU74" i="6"/>
  <c r="BT74" i="6"/>
  <c r="BS300" i="6"/>
  <c r="BT300" i="6"/>
  <c r="BU300" i="6"/>
  <c r="BS441" i="6"/>
  <c r="BU441" i="6"/>
  <c r="BT441" i="6"/>
  <c r="BS212" i="6"/>
  <c r="BU212" i="6"/>
  <c r="BT212" i="6"/>
  <c r="BS321" i="6"/>
  <c r="BU321" i="6"/>
  <c r="BT321" i="6"/>
  <c r="BS61" i="6"/>
  <c r="BU61" i="6"/>
  <c r="BT61" i="6"/>
  <c r="BS197" i="6"/>
  <c r="BU197" i="6"/>
  <c r="BT197" i="6"/>
  <c r="BS343" i="6"/>
  <c r="BU343" i="6"/>
  <c r="BT343" i="6"/>
  <c r="BS167" i="6"/>
  <c r="BU167" i="6"/>
  <c r="BT167" i="6"/>
  <c r="BS223" i="6"/>
  <c r="BU223" i="6"/>
  <c r="BT223" i="6"/>
  <c r="BS383" i="6"/>
  <c r="BT383" i="6"/>
  <c r="BU383" i="6"/>
  <c r="BS100" i="6"/>
  <c r="BU100" i="6"/>
  <c r="BT100" i="6"/>
  <c r="BS264" i="6"/>
  <c r="BU264" i="6"/>
  <c r="BT264" i="6"/>
  <c r="BS313" i="6"/>
  <c r="BU313" i="6"/>
  <c r="BT313" i="6"/>
  <c r="BS53" i="6"/>
  <c r="BU53" i="6"/>
  <c r="BT53" i="6"/>
  <c r="BS189" i="6"/>
  <c r="BU189" i="6"/>
  <c r="BT189" i="6"/>
  <c r="BS306" i="6"/>
  <c r="BT306" i="6"/>
  <c r="BU306" i="6"/>
  <c r="BS63" i="6"/>
  <c r="BU63" i="6"/>
  <c r="BT63" i="6"/>
  <c r="BV63" i="6" s="1"/>
  <c r="BY63" i="6" s="1"/>
  <c r="BS229" i="6"/>
  <c r="BU229" i="6"/>
  <c r="BT229" i="6"/>
  <c r="BS393" i="6"/>
  <c r="BU393" i="6"/>
  <c r="BT393" i="6"/>
  <c r="BS156" i="6"/>
  <c r="BU156" i="6"/>
  <c r="BT156" i="6"/>
  <c r="BS269" i="6"/>
  <c r="BU269" i="6"/>
  <c r="BT269" i="6"/>
  <c r="BS373" i="6"/>
  <c r="BU373" i="6"/>
  <c r="BT373" i="6"/>
  <c r="BS89" i="6"/>
  <c r="BT89" i="6"/>
  <c r="BU89" i="6"/>
  <c r="BS258" i="6"/>
  <c r="BT258" i="6"/>
  <c r="BU258" i="6"/>
  <c r="BS425" i="6"/>
  <c r="BU425" i="6"/>
  <c r="BT425" i="6"/>
  <c r="BS118" i="6"/>
  <c r="BU118" i="6"/>
  <c r="BT118" i="6"/>
  <c r="BS287" i="6"/>
  <c r="BT287" i="6"/>
  <c r="BU287" i="6"/>
  <c r="BS423" i="6"/>
  <c r="BT423" i="6"/>
  <c r="BU423" i="6"/>
  <c r="BS158" i="6"/>
  <c r="BU158" i="6"/>
  <c r="BT158" i="6"/>
  <c r="BV158" i="6" s="1"/>
  <c r="BY158" i="6" s="1"/>
  <c r="BS308" i="6"/>
  <c r="BU308" i="6"/>
  <c r="BT308" i="6"/>
  <c r="BS52" i="6"/>
  <c r="BU52" i="6"/>
  <c r="BT52" i="6"/>
  <c r="BS186" i="6"/>
  <c r="BT186" i="6"/>
  <c r="BU186" i="6"/>
  <c r="BS323" i="6"/>
  <c r="BU323" i="6"/>
  <c r="BT323" i="6"/>
  <c r="BS131" i="6"/>
  <c r="BU131" i="6"/>
  <c r="BT131" i="6"/>
  <c r="BS226" i="6"/>
  <c r="BT226" i="6"/>
  <c r="BU226" i="6"/>
  <c r="BS347" i="6"/>
  <c r="BU347" i="6"/>
  <c r="BT347" i="6"/>
  <c r="BS171" i="6"/>
  <c r="BU171" i="6"/>
  <c r="BT171" i="6"/>
  <c r="BS244" i="6"/>
  <c r="BU244" i="6"/>
  <c r="BT244" i="6"/>
  <c r="BS364" i="6"/>
  <c r="BT364" i="6"/>
  <c r="BU364" i="6"/>
  <c r="BS136" i="6"/>
  <c r="BU136" i="6"/>
  <c r="BT136" i="6"/>
  <c r="BS233" i="6"/>
  <c r="BU233" i="6"/>
  <c r="BT233" i="6"/>
  <c r="BS353" i="6"/>
  <c r="BU353" i="6"/>
  <c r="BT353" i="6"/>
  <c r="BV353" i="6" s="1"/>
  <c r="BY353" i="6" s="1"/>
  <c r="BS176" i="6"/>
  <c r="BU176" i="6"/>
  <c r="BT176" i="6"/>
  <c r="BS316" i="6"/>
  <c r="BU316" i="6"/>
  <c r="BT316" i="6"/>
  <c r="BS427" i="6"/>
  <c r="BT427" i="6"/>
  <c r="BU427" i="6"/>
  <c r="BS162" i="6"/>
  <c r="BU162" i="6"/>
  <c r="BT162" i="6"/>
  <c r="BS288" i="6"/>
  <c r="BU288" i="6"/>
  <c r="BT288" i="6"/>
  <c r="BS440" i="6"/>
  <c r="BT440" i="6"/>
  <c r="BU440" i="6"/>
  <c r="BS204" i="6"/>
  <c r="BU204" i="6"/>
  <c r="BT204" i="6"/>
  <c r="BS311" i="6"/>
  <c r="BU311" i="6"/>
  <c r="BT311" i="6"/>
  <c r="BS119" i="6"/>
  <c r="BU119" i="6"/>
  <c r="BT119" i="6"/>
  <c r="BS230" i="6"/>
  <c r="BU230" i="6"/>
  <c r="BT230" i="6"/>
  <c r="BS374" i="6"/>
  <c r="BU374" i="6"/>
  <c r="BT374" i="6"/>
  <c r="BS159" i="6"/>
  <c r="BU159" i="6"/>
  <c r="BT159" i="6"/>
  <c r="BS215" i="6"/>
  <c r="BU215" i="6"/>
  <c r="BT215" i="6"/>
  <c r="BV215" i="6" s="1"/>
  <c r="BY215" i="6" s="1"/>
  <c r="BS329" i="6"/>
  <c r="BU329" i="6"/>
  <c r="BT329" i="6"/>
  <c r="BS54" i="6"/>
  <c r="BT54" i="6"/>
  <c r="BU54" i="6"/>
  <c r="BS205" i="6"/>
  <c r="BU205" i="6"/>
  <c r="BT205" i="6"/>
  <c r="BS322" i="6"/>
  <c r="BT322" i="6"/>
  <c r="BU322" i="6"/>
  <c r="BS79" i="6"/>
  <c r="BU79" i="6"/>
  <c r="BT79" i="6"/>
  <c r="BS190" i="6"/>
  <c r="BT190" i="6"/>
  <c r="BU190" i="6"/>
  <c r="AY421" i="6"/>
  <c r="BH401" i="6"/>
  <c r="BH308" i="6"/>
  <c r="BH255" i="6"/>
  <c r="BH246" i="6"/>
  <c r="BH234" i="6"/>
  <c r="BH213" i="6"/>
  <c r="AY204" i="6"/>
  <c r="BA204" i="6"/>
  <c r="AZ204" i="6"/>
  <c r="AY119" i="6"/>
  <c r="BH162" i="6"/>
  <c r="BH98" i="6"/>
  <c r="BH141" i="6"/>
  <c r="BH410" i="6"/>
  <c r="BH376" i="6"/>
  <c r="BH393" i="6"/>
  <c r="BH369" i="6"/>
  <c r="BH298" i="6"/>
  <c r="BH355" i="6"/>
  <c r="BH289" i="6"/>
  <c r="BH283" i="6"/>
  <c r="BA229" i="6"/>
  <c r="BH195" i="6"/>
  <c r="BH186" i="6"/>
  <c r="BH168" i="6"/>
  <c r="BH104" i="6"/>
  <c r="BH147" i="6"/>
  <c r="BH83" i="6"/>
  <c r="BH126" i="6"/>
  <c r="BH169" i="6"/>
  <c r="BH105" i="6"/>
  <c r="BH53" i="6"/>
  <c r="BH440" i="6"/>
  <c r="BH326" i="6"/>
  <c r="BH317" i="6"/>
  <c r="BH300" i="6"/>
  <c r="BH252" i="6"/>
  <c r="BH311" i="6"/>
  <c r="BH236" i="6"/>
  <c r="BH223" i="6"/>
  <c r="BH214" i="6"/>
  <c r="BH205" i="6"/>
  <c r="BH132" i="6"/>
  <c r="BH111" i="6"/>
  <c r="BH154" i="6"/>
  <c r="BH90" i="6"/>
  <c r="BH69" i="6"/>
  <c r="BH427" i="6"/>
  <c r="BH402" i="6"/>
  <c r="BH373" i="6"/>
  <c r="BH340" i="6"/>
  <c r="BH290" i="6"/>
  <c r="BH329" i="6"/>
  <c r="BH275" i="6"/>
  <c r="BH266" i="6"/>
  <c r="BH351" i="6"/>
  <c r="BH227" i="6"/>
  <c r="BH187" i="6"/>
  <c r="BH228" i="6"/>
  <c r="BH160" i="6"/>
  <c r="BH96" i="6"/>
  <c r="BH75" i="6"/>
  <c r="BH118" i="6"/>
  <c r="BH161" i="6"/>
  <c r="BH97" i="6"/>
  <c r="BH64" i="6"/>
  <c r="AN72" i="6"/>
  <c r="AN104" i="6"/>
  <c r="AN136" i="6"/>
  <c r="AE55" i="6"/>
  <c r="AG55" i="6"/>
  <c r="AF55" i="6"/>
  <c r="AE87" i="6"/>
  <c r="AF87" i="6"/>
  <c r="AG87" i="6"/>
  <c r="AE119" i="6"/>
  <c r="AF119" i="6"/>
  <c r="AG119" i="6"/>
  <c r="AE151" i="6"/>
  <c r="AF151" i="6"/>
  <c r="AG151" i="6"/>
  <c r="AN206" i="6"/>
  <c r="AE246" i="6"/>
  <c r="AG278" i="6"/>
  <c r="AN310" i="6"/>
  <c r="AN342" i="6"/>
  <c r="AE374" i="6"/>
  <c r="AF374" i="6"/>
  <c r="AG374" i="6"/>
  <c r="AG212" i="6"/>
  <c r="AN367" i="6"/>
  <c r="AE170" i="6"/>
  <c r="AG170" i="6"/>
  <c r="AF170" i="6"/>
  <c r="AG259" i="6"/>
  <c r="AE291" i="6"/>
  <c r="AN335" i="6"/>
  <c r="AE395" i="6"/>
  <c r="AG395" i="6"/>
  <c r="AF395" i="6"/>
  <c r="AH395" i="6" s="1"/>
  <c r="AK395" i="6" s="1"/>
  <c r="AE436" i="6"/>
  <c r="AF436" i="6"/>
  <c r="AG436" i="6"/>
  <c r="AE208" i="6"/>
  <c r="AG208" i="6"/>
  <c r="AF208" i="6"/>
  <c r="AE189" i="6"/>
  <c r="AF189" i="6"/>
  <c r="AG189" i="6"/>
  <c r="AE301" i="6"/>
  <c r="AG301" i="6"/>
  <c r="AE432" i="6"/>
  <c r="AF432" i="6"/>
  <c r="AG432" i="6"/>
  <c r="AN418" i="6"/>
  <c r="AN74" i="6"/>
  <c r="AN106" i="6"/>
  <c r="AN138" i="6"/>
  <c r="AN57" i="6"/>
  <c r="AN89" i="6"/>
  <c r="AN121" i="6"/>
  <c r="AN153" i="6"/>
  <c r="AN209" i="6"/>
  <c r="AE248" i="6"/>
  <c r="AG248" i="6"/>
  <c r="AF248" i="6"/>
  <c r="AE280" i="6"/>
  <c r="AF280" i="6"/>
  <c r="AH280" i="6" s="1"/>
  <c r="AK280" i="6" s="1"/>
  <c r="AG280" i="6"/>
  <c r="AE312" i="6"/>
  <c r="AF312" i="6"/>
  <c r="AG312" i="6"/>
  <c r="AE344" i="6"/>
  <c r="AG344" i="6"/>
  <c r="AF344" i="6"/>
  <c r="AE376" i="6"/>
  <c r="AG376" i="6"/>
  <c r="AF376" i="6"/>
  <c r="AG373" i="6"/>
  <c r="AF173" i="6"/>
  <c r="AN311" i="6"/>
  <c r="AN430" i="6"/>
  <c r="AN392" i="6"/>
  <c r="AN68" i="6"/>
  <c r="AN100" i="6"/>
  <c r="AN132" i="6"/>
  <c r="AN164" i="6"/>
  <c r="AN83" i="6"/>
  <c r="AN115" i="6"/>
  <c r="AN147" i="6"/>
  <c r="AE198" i="6"/>
  <c r="AG198" i="6"/>
  <c r="AF198" i="6"/>
  <c r="AH198" i="6" s="1"/>
  <c r="AK198" i="6" s="1"/>
  <c r="AE242" i="6"/>
  <c r="AG242" i="6"/>
  <c r="AF242" i="6"/>
  <c r="AE274" i="6"/>
  <c r="AF274" i="6"/>
  <c r="AG274" i="6"/>
  <c r="AE306" i="6"/>
  <c r="AF306" i="6"/>
  <c r="AG306" i="6"/>
  <c r="AN338" i="6"/>
  <c r="AN370" i="6"/>
  <c r="AN204" i="6"/>
  <c r="AN359" i="6"/>
  <c r="AN161" i="6"/>
  <c r="AN223" i="6"/>
  <c r="AN255" i="6"/>
  <c r="AN287" i="6"/>
  <c r="AN403" i="6"/>
  <c r="AN54" i="6"/>
  <c r="AN86" i="6"/>
  <c r="AN118" i="6"/>
  <c r="AN150" i="6"/>
  <c r="AN69" i="6"/>
  <c r="AN101" i="6"/>
  <c r="AN133" i="6"/>
  <c r="AN169" i="6"/>
  <c r="AN228" i="6"/>
  <c r="AN260" i="6"/>
  <c r="AN292" i="6"/>
  <c r="AE324" i="6"/>
  <c r="AG324" i="6"/>
  <c r="AF324" i="6"/>
  <c r="AN356" i="6"/>
  <c r="AN175" i="6"/>
  <c r="AN329" i="6"/>
  <c r="AE397" i="6"/>
  <c r="AG397" i="6"/>
  <c r="AF397" i="6"/>
  <c r="AN197" i="6"/>
  <c r="AN241" i="6"/>
  <c r="AN273" i="6"/>
  <c r="AN305" i="6"/>
  <c r="AN361" i="6"/>
  <c r="AN423" i="6"/>
  <c r="AN441" i="6"/>
  <c r="AN396" i="6"/>
  <c r="AN406" i="6"/>
  <c r="AN253" i="6"/>
  <c r="AN353" i="6"/>
  <c r="AN184" i="6"/>
  <c r="AN371" i="6"/>
  <c r="AN428" i="6"/>
  <c r="H55" i="6"/>
  <c r="G55" i="6" l="1"/>
  <c r="O51" i="6"/>
  <c r="E447" i="6"/>
  <c r="BH391" i="6"/>
  <c r="AZ391" i="6"/>
  <c r="BG391" i="6" s="1"/>
  <c r="BH295" i="6"/>
  <c r="AY295" i="6"/>
  <c r="BH437" i="6"/>
  <c r="BA437" i="6"/>
  <c r="AY437" i="6"/>
  <c r="AZ437" i="6"/>
  <c r="BB437" i="6" s="1"/>
  <c r="BE437" i="6" s="1"/>
  <c r="BH412" i="6"/>
  <c r="BA412" i="6"/>
  <c r="BH284" i="6"/>
  <c r="BA284" i="6"/>
  <c r="AZ284" i="6"/>
  <c r="BB284" i="6" s="1"/>
  <c r="BE284" i="6" s="1"/>
  <c r="AY284" i="6"/>
  <c r="BA57" i="6"/>
  <c r="AZ57" i="6"/>
  <c r="AZ383" i="6"/>
  <c r="BA383" i="6"/>
  <c r="AZ237" i="6"/>
  <c r="BB237" i="6" s="1"/>
  <c r="BE237" i="6" s="1"/>
  <c r="AY237" i="6"/>
  <c r="BH426" i="6"/>
  <c r="AZ426" i="6"/>
  <c r="BG426" i="6" s="1"/>
  <c r="AY229" i="6"/>
  <c r="AZ436" i="6"/>
  <c r="AY389" i="6"/>
  <c r="AY435" i="6"/>
  <c r="BA119" i="6"/>
  <c r="AY71" i="6"/>
  <c r="AZ357" i="6"/>
  <c r="BB357" i="6" s="1"/>
  <c r="BE357" i="6" s="1"/>
  <c r="AY436" i="6"/>
  <c r="AZ413" i="6"/>
  <c r="BG413" i="6" s="1"/>
  <c r="BA103" i="6"/>
  <c r="AY206" i="6"/>
  <c r="AZ299" i="6"/>
  <c r="BG299" i="6" s="1"/>
  <c r="BA357" i="6"/>
  <c r="AZ229" i="6"/>
  <c r="BB229" i="6" s="1"/>
  <c r="BE229" i="6" s="1"/>
  <c r="AZ119" i="6"/>
  <c r="AY357" i="6"/>
  <c r="BA389" i="6"/>
  <c r="BA414" i="6"/>
  <c r="AY413" i="6"/>
  <c r="AY103" i="6"/>
  <c r="BA299" i="6"/>
  <c r="G51" i="6"/>
  <c r="R51" i="6" s="1"/>
  <c r="U51" i="6" s="1"/>
  <c r="W51" i="6" s="1"/>
  <c r="BH199" i="6"/>
  <c r="BA199" i="6"/>
  <c r="AY199" i="6"/>
  <c r="AZ199" i="6"/>
  <c r="BB199" i="6" s="1"/>
  <c r="BE199" i="6" s="1"/>
  <c r="BH309" i="6"/>
  <c r="BA309" i="6"/>
  <c r="AY309" i="6"/>
  <c r="AZ309" i="6"/>
  <c r="BB309" i="6" s="1"/>
  <c r="BE309" i="6" s="1"/>
  <c r="BH349" i="6"/>
  <c r="AZ349" i="6"/>
  <c r="BG349" i="6" s="1"/>
  <c r="BA297" i="6"/>
  <c r="BA148" i="6"/>
  <c r="BA391" i="6"/>
  <c r="AY364" i="6"/>
  <c r="AZ430" i="6"/>
  <c r="BG430" i="6" s="1"/>
  <c r="AZ209" i="6"/>
  <c r="BG209" i="6" s="1"/>
  <c r="BA307" i="6"/>
  <c r="AZ380" i="6"/>
  <c r="BB380" i="6" s="1"/>
  <c r="BE380" i="6" s="1"/>
  <c r="BA258" i="6"/>
  <c r="AY419" i="6"/>
  <c r="BA167" i="6"/>
  <c r="AZ215" i="6"/>
  <c r="BB215" i="6" s="1"/>
  <c r="BE215" i="6" s="1"/>
  <c r="AZ403" i="6"/>
  <c r="BB403" i="6" s="1"/>
  <c r="BE403" i="6" s="1"/>
  <c r="AY391" i="6"/>
  <c r="AZ156" i="6"/>
  <c r="BB156" i="6" s="1"/>
  <c r="BE156" i="6" s="1"/>
  <c r="AZ295" i="6"/>
  <c r="BB295" i="6" s="1"/>
  <c r="BE295" i="6" s="1"/>
  <c r="AY430" i="6"/>
  <c r="BA209" i="6"/>
  <c r="BA151" i="6"/>
  <c r="AY307" i="6"/>
  <c r="AY258" i="6"/>
  <c r="BA215" i="6"/>
  <c r="BA403" i="6"/>
  <c r="AY347" i="6"/>
  <c r="AZ364" i="6"/>
  <c r="BG364" i="6" s="1"/>
  <c r="BA156" i="6"/>
  <c r="BA295" i="6"/>
  <c r="AY209" i="6"/>
  <c r="AZ151" i="6"/>
  <c r="BB151" i="6" s="1"/>
  <c r="BE151" i="6" s="1"/>
  <c r="AZ419" i="6"/>
  <c r="BG419" i="6" s="1"/>
  <c r="AY215" i="6"/>
  <c r="AY403" i="6"/>
  <c r="E56" i="6"/>
  <c r="O56" i="6" s="1"/>
  <c r="BH271" i="6"/>
  <c r="AY271" i="6"/>
  <c r="AZ271" i="6"/>
  <c r="BB271" i="6" s="1"/>
  <c r="BE271" i="6" s="1"/>
  <c r="BA271" i="6"/>
  <c r="AZ396" i="6"/>
  <c r="BB396" i="6" s="1"/>
  <c r="BE396" i="6" s="1"/>
  <c r="AY396" i="6"/>
  <c r="BH174" i="6"/>
  <c r="AY174" i="6"/>
  <c r="BA174" i="6"/>
  <c r="AZ174" i="6"/>
  <c r="BH91" i="6"/>
  <c r="AZ91" i="6"/>
  <c r="BG91" i="6" s="1"/>
  <c r="BA91" i="6"/>
  <c r="AY91" i="6"/>
  <c r="BH265" i="6"/>
  <c r="AY265" i="6"/>
  <c r="BA265" i="6"/>
  <c r="AZ265" i="6"/>
  <c r="BA140" i="6"/>
  <c r="AZ354" i="6"/>
  <c r="BB354" i="6" s="1"/>
  <c r="BE354" i="6" s="1"/>
  <c r="AZ297" i="6"/>
  <c r="BG297" i="6" s="1"/>
  <c r="AY148" i="6"/>
  <c r="AY349" i="6"/>
  <c r="AZ193" i="6"/>
  <c r="BB193" i="6" s="1"/>
  <c r="BE193" i="6" s="1"/>
  <c r="BA92" i="6"/>
  <c r="BA370" i="6"/>
  <c r="AY172" i="6"/>
  <c r="AY301" i="6"/>
  <c r="AZ332" i="6"/>
  <c r="BB332" i="6" s="1"/>
  <c r="BE332" i="6" s="1"/>
  <c r="AZ140" i="6"/>
  <c r="BB140" i="6" s="1"/>
  <c r="BE140" i="6" s="1"/>
  <c r="AZ347" i="6"/>
  <c r="BB347" i="6" s="1"/>
  <c r="BE347" i="6" s="1"/>
  <c r="AY297" i="6"/>
  <c r="BA193" i="6"/>
  <c r="BA71" i="6"/>
  <c r="AY92" i="6"/>
  <c r="AZ220" i="6"/>
  <c r="BB220" i="6" s="1"/>
  <c r="BE220" i="6" s="1"/>
  <c r="AY370" i="6"/>
  <c r="AY188" i="6"/>
  <c r="AY140" i="6"/>
  <c r="BA347" i="6"/>
  <c r="AZ148" i="6"/>
  <c r="BG148" i="6" s="1"/>
  <c r="BA349" i="6"/>
  <c r="AY193" i="6"/>
  <c r="AZ71" i="6"/>
  <c r="BG71" i="6" s="1"/>
  <c r="BA220" i="6"/>
  <c r="AZ172" i="6"/>
  <c r="BB172" i="6" s="1"/>
  <c r="BE172" i="6" s="1"/>
  <c r="BH155" i="6"/>
  <c r="BA155" i="6"/>
  <c r="AY155" i="6"/>
  <c r="AZ155" i="6"/>
  <c r="BG155" i="6" s="1"/>
  <c r="BH406" i="6"/>
  <c r="AY406" i="6"/>
  <c r="BA406" i="6"/>
  <c r="AZ406" i="6"/>
  <c r="BG406" i="6" s="1"/>
  <c r="AY59" i="6"/>
  <c r="AZ59" i="6"/>
  <c r="BG59" i="6" s="1"/>
  <c r="BA426" i="6"/>
  <c r="BA177" i="6"/>
  <c r="AZ76" i="6"/>
  <c r="BB76" i="6" s="1"/>
  <c r="BE76" i="6" s="1"/>
  <c r="AZ341" i="6"/>
  <c r="BG341" i="6" s="1"/>
  <c r="BA354" i="6"/>
  <c r="BA84" i="6"/>
  <c r="AZ399" i="6"/>
  <c r="BB399" i="6" s="1"/>
  <c r="BE399" i="6" s="1"/>
  <c r="AY273" i="6"/>
  <c r="AZ276" i="6"/>
  <c r="BB276" i="6" s="1"/>
  <c r="BE276" i="6" s="1"/>
  <c r="AZ62" i="6"/>
  <c r="BB62" i="6" s="1"/>
  <c r="BE62" i="6" s="1"/>
  <c r="AY412" i="6"/>
  <c r="AY57" i="6"/>
  <c r="AY108" i="6"/>
  <c r="AZ233" i="6"/>
  <c r="BB233" i="6" s="1"/>
  <c r="BE233" i="6" s="1"/>
  <c r="AZ302" i="6"/>
  <c r="BB302" i="6" s="1"/>
  <c r="BE302" i="6" s="1"/>
  <c r="BA380" i="6"/>
  <c r="AZ388" i="6"/>
  <c r="BG388" i="6" s="1"/>
  <c r="BA332" i="6"/>
  <c r="AZ167" i="6"/>
  <c r="BG167" i="6" s="1"/>
  <c r="BA76" i="6"/>
  <c r="BA341" i="6"/>
  <c r="AZ421" i="6"/>
  <c r="BB421" i="6" s="1"/>
  <c r="BE421" i="6" s="1"/>
  <c r="BA276" i="6"/>
  <c r="BA62" i="6"/>
  <c r="BA233" i="6"/>
  <c r="BA302" i="6"/>
  <c r="AY380" i="6"/>
  <c r="BA301" i="6"/>
  <c r="BA388" i="6"/>
  <c r="AY332" i="6"/>
  <c r="AY167" i="6"/>
  <c r="AZ188" i="6"/>
  <c r="BG188" i="6" s="1"/>
  <c r="AY426" i="6"/>
  <c r="AZ177" i="6"/>
  <c r="BB177" i="6" s="1"/>
  <c r="BE177" i="6" s="1"/>
  <c r="AY354" i="6"/>
  <c r="AY177" i="6"/>
  <c r="AY76" i="6"/>
  <c r="AY341" i="6"/>
  <c r="BA421" i="6"/>
  <c r="AZ343" i="6"/>
  <c r="BB343" i="6" s="1"/>
  <c r="BE343" i="6" s="1"/>
  <c r="AY142" i="6"/>
  <c r="AY276" i="6"/>
  <c r="AY62" i="6"/>
  <c r="AZ412" i="6"/>
  <c r="BG412" i="6" s="1"/>
  <c r="AY339" i="6"/>
  <c r="AZ108" i="6"/>
  <c r="BB108" i="6" s="1"/>
  <c r="BE108" i="6" s="1"/>
  <c r="AY233" i="6"/>
  <c r="AZ301" i="6"/>
  <c r="BG301" i="6" s="1"/>
  <c r="AY388" i="6"/>
  <c r="BA188" i="6"/>
  <c r="AF264" i="6"/>
  <c r="AM264" i="6" s="1"/>
  <c r="AE264" i="6"/>
  <c r="AG251" i="6"/>
  <c r="AE251" i="6"/>
  <c r="AF240" i="6"/>
  <c r="AH240" i="6" s="1"/>
  <c r="AK240" i="6" s="1"/>
  <c r="AE212" i="6"/>
  <c r="AF212" i="6"/>
  <c r="AH212" i="6" s="1"/>
  <c r="AK212" i="6" s="1"/>
  <c r="AF193" i="6"/>
  <c r="AE193" i="6"/>
  <c r="AG193" i="6"/>
  <c r="AG188" i="6"/>
  <c r="AF98" i="6"/>
  <c r="AM98" i="6" s="1"/>
  <c r="AF364" i="6"/>
  <c r="AH364" i="6" s="1"/>
  <c r="AK364" i="6" s="1"/>
  <c r="AG364" i="6"/>
  <c r="BH59" i="6"/>
  <c r="BH142" i="6"/>
  <c r="BH399" i="6"/>
  <c r="BH396" i="6"/>
  <c r="BH383" i="6"/>
  <c r="BH237" i="6"/>
  <c r="BH127" i="6"/>
  <c r="BH386" i="6"/>
  <c r="BH183" i="6"/>
  <c r="BH381" i="6"/>
  <c r="BH377" i="6"/>
  <c r="BH287" i="6"/>
  <c r="BH346" i="6"/>
  <c r="BH435" i="6"/>
  <c r="BH260" i="6"/>
  <c r="BH112" i="6"/>
  <c r="BH343" i="6"/>
  <c r="BH78" i="6"/>
  <c r="BH313" i="6"/>
  <c r="BH339" i="6"/>
  <c r="BH57" i="6"/>
  <c r="BH84" i="6"/>
  <c r="BH268" i="6"/>
  <c r="BH273" i="6"/>
  <c r="BH242" i="6"/>
  <c r="BH302" i="6"/>
  <c r="AG365" i="6"/>
  <c r="AE365" i="6"/>
  <c r="AF365" i="6"/>
  <c r="AH365" i="6" s="1"/>
  <c r="AK365" i="6" s="1"/>
  <c r="AG333" i="6"/>
  <c r="AE333" i="6"/>
  <c r="AG269" i="6"/>
  <c r="AF269" i="6"/>
  <c r="AF232" i="6"/>
  <c r="AH232" i="6" s="1"/>
  <c r="AK232" i="6" s="1"/>
  <c r="AG232" i="6"/>
  <c r="AG192" i="6"/>
  <c r="AE192" i="6"/>
  <c r="AF192" i="6"/>
  <c r="AG156" i="6"/>
  <c r="AE156" i="6"/>
  <c r="AF124" i="6"/>
  <c r="AM124" i="6" s="1"/>
  <c r="AE124" i="6"/>
  <c r="AF66" i="6"/>
  <c r="AM66" i="6" s="1"/>
  <c r="AE66" i="6"/>
  <c r="AG66" i="6"/>
  <c r="AE173" i="6"/>
  <c r="AN173" i="6"/>
  <c r="AE390" i="6"/>
  <c r="AN390" i="6"/>
  <c r="AG291" i="6"/>
  <c r="AN291" i="6"/>
  <c r="AF278" i="6"/>
  <c r="AM278" i="6" s="1"/>
  <c r="AN278" i="6"/>
  <c r="AF373" i="6"/>
  <c r="AM373" i="6" s="1"/>
  <c r="AN373" i="6"/>
  <c r="AF301" i="6"/>
  <c r="AM301" i="6" s="1"/>
  <c r="AN301" i="6"/>
  <c r="AE259" i="6"/>
  <c r="AN259" i="6"/>
  <c r="AF246" i="6"/>
  <c r="AH246" i="6" s="1"/>
  <c r="AK246" i="6" s="1"/>
  <c r="AN246" i="6"/>
  <c r="AF215" i="6"/>
  <c r="AM215" i="6" s="1"/>
  <c r="AN215" i="6"/>
  <c r="AE427" i="6"/>
  <c r="AN427" i="6"/>
  <c r="AE227" i="6"/>
  <c r="AN227" i="6"/>
  <c r="AF348" i="6"/>
  <c r="AM348" i="6" s="1"/>
  <c r="AN348" i="6"/>
  <c r="AG438" i="6"/>
  <c r="AN438" i="6"/>
  <c r="AF92" i="6"/>
  <c r="AM92" i="6" s="1"/>
  <c r="AN92" i="6"/>
  <c r="AF304" i="6"/>
  <c r="AN304" i="6"/>
  <c r="AE130" i="6"/>
  <c r="AN130" i="6"/>
  <c r="AF319" i="6"/>
  <c r="AM319" i="6" s="1"/>
  <c r="AN319" i="6"/>
  <c r="AE160" i="6"/>
  <c r="AN160" i="6"/>
  <c r="AG328" i="6"/>
  <c r="AN328" i="6"/>
  <c r="AG414" i="6"/>
  <c r="AN414" i="6"/>
  <c r="AG171" i="6"/>
  <c r="AN171" i="6"/>
  <c r="AG142" i="6"/>
  <c r="AN142" i="6"/>
  <c r="AF188" i="6"/>
  <c r="AH188" i="6" s="1"/>
  <c r="AK188" i="6" s="1"/>
  <c r="AN188" i="6"/>
  <c r="AG60" i="6"/>
  <c r="AN60" i="6"/>
  <c r="AG272" i="6"/>
  <c r="AN272" i="6"/>
  <c r="AE98" i="6"/>
  <c r="AN98" i="6"/>
  <c r="AE283" i="6"/>
  <c r="AN283" i="6"/>
  <c r="AE64" i="6"/>
  <c r="AN64" i="6"/>
  <c r="AF296" i="6"/>
  <c r="AN296" i="6"/>
  <c r="AG168" i="6"/>
  <c r="AN168" i="6"/>
  <c r="G54" i="6"/>
  <c r="R54" i="6" s="1"/>
  <c r="U54" i="6" s="1"/>
  <c r="W54" i="6" s="1"/>
  <c r="AY260" i="6"/>
  <c r="AE171" i="6"/>
  <c r="BA313" i="6"/>
  <c r="AZ78" i="6"/>
  <c r="BG78" i="6" s="1"/>
  <c r="AG427" i="6"/>
  <c r="BA242" i="6"/>
  <c r="AG215" i="6"/>
  <c r="AY346" i="6"/>
  <c r="AE348" i="6"/>
  <c r="AF160" i="6"/>
  <c r="AM160" i="6" s="1"/>
  <c r="AZ381" i="6"/>
  <c r="AF328" i="6"/>
  <c r="AH328" i="6" s="1"/>
  <c r="AK328" i="6" s="1"/>
  <c r="AE215" i="6"/>
  <c r="AF427" i="6"/>
  <c r="AM427" i="6" s="1"/>
  <c r="AF227" i="6"/>
  <c r="AH227" i="6" s="1"/>
  <c r="AK227" i="6" s="1"/>
  <c r="AY127" i="6"/>
  <c r="AZ377" i="6"/>
  <c r="BG377" i="6" s="1"/>
  <c r="AG227" i="6"/>
  <c r="BA346" i="6"/>
  <c r="BA260" i="6"/>
  <c r="AE319" i="6"/>
  <c r="AY112" i="6"/>
  <c r="AF171" i="6"/>
  <c r="AM171" i="6" s="1"/>
  <c r="BA377" i="6"/>
  <c r="CA63" i="6"/>
  <c r="AF438" i="6"/>
  <c r="AM438" i="6" s="1"/>
  <c r="AG92" i="6"/>
  <c r="AG304" i="6"/>
  <c r="BA183" i="6"/>
  <c r="AE414" i="6"/>
  <c r="F55" i="6"/>
  <c r="G53" i="6"/>
  <c r="H53" i="6"/>
  <c r="F53" i="6"/>
  <c r="H52" i="6"/>
  <c r="O52" i="6"/>
  <c r="AG173" i="6"/>
  <c r="AG390" i="6"/>
  <c r="AE92" i="6"/>
  <c r="AE304" i="6"/>
  <c r="AG160" i="6"/>
  <c r="AZ268" i="6"/>
  <c r="BB268" i="6" s="1"/>
  <c r="BE268" i="6" s="1"/>
  <c r="AZ386" i="6"/>
  <c r="BG386" i="6" s="1"/>
  <c r="BA381" i="6"/>
  <c r="AY313" i="6"/>
  <c r="AP3" i="6"/>
  <c r="AX3" i="6" s="1"/>
  <c r="AF390" i="6"/>
  <c r="AF291" i="6"/>
  <c r="AM291" i="6" s="1"/>
  <c r="AF259" i="6"/>
  <c r="AH259" i="6" s="1"/>
  <c r="AK259" i="6" s="1"/>
  <c r="AG246" i="6"/>
  <c r="AZ435" i="6"/>
  <c r="BG435" i="6" s="1"/>
  <c r="BA59" i="6"/>
  <c r="AY383" i="6"/>
  <c r="AG348" i="6"/>
  <c r="AE438" i="6"/>
  <c r="AF60" i="6"/>
  <c r="AF272" i="6"/>
  <c r="AM272" i="6" s="1"/>
  <c r="AF130" i="6"/>
  <c r="AH130" i="6" s="1"/>
  <c r="AK130" i="6" s="1"/>
  <c r="AG319" i="6"/>
  <c r="AG283" i="6"/>
  <c r="AG64" i="6"/>
  <c r="BA112" i="6"/>
  <c r="BA237" i="6"/>
  <c r="BA127" i="6"/>
  <c r="AZ84" i="6"/>
  <c r="BB84" i="6" s="1"/>
  <c r="BE84" i="6" s="1"/>
  <c r="BA268" i="6"/>
  <c r="BA343" i="6"/>
  <c r="AZ142" i="6"/>
  <c r="BG142" i="6" s="1"/>
  <c r="BA386" i="6"/>
  <c r="BA399" i="6"/>
  <c r="AZ273" i="6"/>
  <c r="BA396" i="6"/>
  <c r="AE328" i="6"/>
  <c r="AF414" i="6"/>
  <c r="AM414" i="6" s="1"/>
  <c r="AF168" i="6"/>
  <c r="AM168" i="6" s="1"/>
  <c r="AZ339" i="6"/>
  <c r="BB339" i="6" s="1"/>
  <c r="BE339" i="6" s="1"/>
  <c r="BA287" i="6"/>
  <c r="F52" i="6"/>
  <c r="AE278" i="6"/>
  <c r="AG130" i="6"/>
  <c r="AY78" i="6"/>
  <c r="AY183" i="6"/>
  <c r="AY242" i="6"/>
  <c r="AZ287" i="6"/>
  <c r="BB287" i="6" s="1"/>
  <c r="BE287" i="6" s="1"/>
  <c r="H54" i="6"/>
  <c r="H51" i="6"/>
  <c r="BG437" i="6"/>
  <c r="CA59" i="6"/>
  <c r="M52" i="6"/>
  <c r="AM280" i="6"/>
  <c r="AM298" i="6"/>
  <c r="BG399" i="6"/>
  <c r="AM116" i="6"/>
  <c r="AM218" i="6"/>
  <c r="F54" i="6"/>
  <c r="BG229" i="6"/>
  <c r="BG92" i="6"/>
  <c r="AM134" i="6"/>
  <c r="AM70" i="6"/>
  <c r="AM314" i="6"/>
  <c r="AM214" i="6"/>
  <c r="AM395" i="6"/>
  <c r="BG112" i="6"/>
  <c r="AM401" i="6"/>
  <c r="AM426" i="6"/>
  <c r="BG65" i="6"/>
  <c r="BG318" i="6"/>
  <c r="CA158" i="6"/>
  <c r="CA353" i="6"/>
  <c r="CA428" i="6"/>
  <c r="CA126" i="6"/>
  <c r="CA215" i="6"/>
  <c r="CA187" i="6"/>
  <c r="AF423" i="6"/>
  <c r="AH423" i="6" s="1"/>
  <c r="AK423" i="6" s="1"/>
  <c r="AE423" i="6"/>
  <c r="AG423" i="6"/>
  <c r="AE342" i="6"/>
  <c r="AG342" i="6"/>
  <c r="AF342" i="6"/>
  <c r="AY64" i="6"/>
  <c r="BA64" i="6"/>
  <c r="AZ64" i="6"/>
  <c r="AY340" i="6"/>
  <c r="BA340" i="6"/>
  <c r="AZ340" i="6"/>
  <c r="AY300" i="6"/>
  <c r="BA300" i="6"/>
  <c r="AZ300" i="6"/>
  <c r="AY98" i="6"/>
  <c r="BA98" i="6"/>
  <c r="AZ98" i="6"/>
  <c r="AE223" i="6"/>
  <c r="AG223" i="6"/>
  <c r="AF223" i="6"/>
  <c r="AY53" i="6"/>
  <c r="AZ53" i="6"/>
  <c r="BA53" i="6"/>
  <c r="AY298" i="6"/>
  <c r="AZ298" i="6"/>
  <c r="BB298" i="6" s="1"/>
  <c r="BE298" i="6" s="1"/>
  <c r="BA298" i="6"/>
  <c r="AY162" i="6"/>
  <c r="BA162" i="6"/>
  <c r="AZ162" i="6"/>
  <c r="AY308" i="6"/>
  <c r="BA308" i="6"/>
  <c r="AZ308" i="6"/>
  <c r="AY134" i="6"/>
  <c r="BA134" i="6"/>
  <c r="AZ134" i="6"/>
  <c r="AY185" i="6"/>
  <c r="BA185" i="6"/>
  <c r="AZ185" i="6"/>
  <c r="AY52" i="6"/>
  <c r="BA52" i="6"/>
  <c r="AZ52" i="6"/>
  <c r="AY184" i="6"/>
  <c r="AZ184" i="6"/>
  <c r="BA184" i="6"/>
  <c r="AY202" i="6"/>
  <c r="AZ202" i="6"/>
  <c r="BA202" i="6"/>
  <c r="AY314" i="6"/>
  <c r="AZ314" i="6"/>
  <c r="BA314" i="6"/>
  <c r="AY334" i="6"/>
  <c r="AZ334" i="6"/>
  <c r="BA334" i="6"/>
  <c r="AE354" i="6"/>
  <c r="AF354" i="6"/>
  <c r="AG354" i="6"/>
  <c r="AE400" i="6"/>
  <c r="AF400" i="6"/>
  <c r="AG400" i="6"/>
  <c r="AY136" i="6"/>
  <c r="AZ136" i="6"/>
  <c r="BB136" i="6" s="1"/>
  <c r="BE136" i="6" s="1"/>
  <c r="BA136" i="6"/>
  <c r="AY226" i="6"/>
  <c r="AZ226" i="6"/>
  <c r="BA226" i="6"/>
  <c r="AY321" i="6"/>
  <c r="AZ321" i="6"/>
  <c r="BA321" i="6"/>
  <c r="AY379" i="6"/>
  <c r="AZ379" i="6"/>
  <c r="BA379" i="6"/>
  <c r="AY417" i="6"/>
  <c r="BA417" i="6"/>
  <c r="AZ417" i="6"/>
  <c r="BB417" i="6" s="1"/>
  <c r="BE417" i="6" s="1"/>
  <c r="AY239" i="6"/>
  <c r="AZ239" i="6"/>
  <c r="BA239" i="6"/>
  <c r="AE408" i="6"/>
  <c r="AG408" i="6"/>
  <c r="AF408" i="6"/>
  <c r="AH408" i="6" s="1"/>
  <c r="AK408" i="6" s="1"/>
  <c r="AY102" i="6"/>
  <c r="AZ102" i="6"/>
  <c r="BA102" i="6"/>
  <c r="AY189" i="6"/>
  <c r="AZ189" i="6"/>
  <c r="BA189" i="6"/>
  <c r="AY230" i="6"/>
  <c r="AZ230" i="6"/>
  <c r="BA230" i="6"/>
  <c r="AY353" i="6"/>
  <c r="AZ353" i="6"/>
  <c r="BB353" i="6" s="1"/>
  <c r="BE353" i="6" s="1"/>
  <c r="BA353" i="6"/>
  <c r="AY197" i="6"/>
  <c r="BA197" i="6"/>
  <c r="AZ197" i="6"/>
  <c r="AE150" i="6"/>
  <c r="AG150" i="6"/>
  <c r="AF150" i="6"/>
  <c r="AY266" i="6"/>
  <c r="AZ266" i="6"/>
  <c r="BA266" i="6"/>
  <c r="AY105" i="6"/>
  <c r="BA105" i="6"/>
  <c r="AZ105" i="6"/>
  <c r="AY168" i="6"/>
  <c r="BA168" i="6"/>
  <c r="AZ168" i="6"/>
  <c r="BB168" i="6" s="1"/>
  <c r="BE168" i="6" s="1"/>
  <c r="AY186" i="6"/>
  <c r="AZ186" i="6"/>
  <c r="BA186" i="6"/>
  <c r="AY283" i="6"/>
  <c r="BA283" i="6"/>
  <c r="AZ283" i="6"/>
  <c r="AE409" i="6"/>
  <c r="AG409" i="6"/>
  <c r="AF409" i="6"/>
  <c r="AH409" i="6" s="1"/>
  <c r="AK409" i="6" s="1"/>
  <c r="AE139" i="6"/>
  <c r="AF139" i="6"/>
  <c r="AG139" i="6"/>
  <c r="AY316" i="6"/>
  <c r="AZ316" i="6"/>
  <c r="BA316" i="6"/>
  <c r="AY328" i="6"/>
  <c r="BA328" i="6"/>
  <c r="AZ328" i="6"/>
  <c r="BB328" i="6" s="1"/>
  <c r="BE328" i="6" s="1"/>
  <c r="AY163" i="6"/>
  <c r="AZ163" i="6"/>
  <c r="BA163" i="6"/>
  <c r="AY262" i="6"/>
  <c r="BA262" i="6"/>
  <c r="AZ262" i="6"/>
  <c r="AE422" i="6"/>
  <c r="AG422" i="6"/>
  <c r="AF422" i="6"/>
  <c r="AE322" i="6"/>
  <c r="AF322" i="6"/>
  <c r="AG322" i="6"/>
  <c r="AE387" i="6"/>
  <c r="AG387" i="6"/>
  <c r="AF387" i="6"/>
  <c r="AE383" i="6"/>
  <c r="AG383" i="6"/>
  <c r="AF383" i="6"/>
  <c r="AH383" i="6" s="1"/>
  <c r="AK383" i="6" s="1"/>
  <c r="AE230" i="6"/>
  <c r="AG230" i="6"/>
  <c r="AF230" i="6"/>
  <c r="AY150" i="6"/>
  <c r="BA150" i="6"/>
  <c r="AZ150" i="6"/>
  <c r="AY248" i="6"/>
  <c r="BA248" i="6"/>
  <c r="AZ248" i="6"/>
  <c r="BB248" i="6" s="1"/>
  <c r="BE248" i="6" s="1"/>
  <c r="AY270" i="6"/>
  <c r="BA270" i="6"/>
  <c r="AZ270" i="6"/>
  <c r="AY372" i="6"/>
  <c r="BA372" i="6"/>
  <c r="AZ372" i="6"/>
  <c r="BB372" i="6" s="1"/>
  <c r="BE372" i="6" s="1"/>
  <c r="AY115" i="6"/>
  <c r="AZ115" i="6"/>
  <c r="BA115" i="6"/>
  <c r="AY327" i="6"/>
  <c r="AZ327" i="6"/>
  <c r="BA327" i="6"/>
  <c r="AY181" i="6"/>
  <c r="AZ181" i="6"/>
  <c r="BA181" i="6"/>
  <c r="AY278" i="6"/>
  <c r="BA278" i="6"/>
  <c r="AZ278" i="6"/>
  <c r="AY352" i="6"/>
  <c r="BA352" i="6"/>
  <c r="AZ352" i="6"/>
  <c r="AY374" i="6"/>
  <c r="AZ374" i="6"/>
  <c r="BB374" i="6" s="1"/>
  <c r="BE374" i="6" s="1"/>
  <c r="BA374" i="6"/>
  <c r="AE375" i="6"/>
  <c r="AF375" i="6"/>
  <c r="AG375" i="6"/>
  <c r="AE250" i="6"/>
  <c r="AF250" i="6"/>
  <c r="AG250" i="6"/>
  <c r="AE114" i="6"/>
  <c r="AG114" i="6"/>
  <c r="AF114" i="6"/>
  <c r="AY166" i="6"/>
  <c r="AZ166" i="6"/>
  <c r="BA166" i="6"/>
  <c r="AY74" i="6"/>
  <c r="AZ74" i="6"/>
  <c r="BA74" i="6"/>
  <c r="AY152" i="6"/>
  <c r="BA152" i="6"/>
  <c r="AZ152" i="6"/>
  <c r="AY267" i="6"/>
  <c r="AZ267" i="6"/>
  <c r="BA267" i="6"/>
  <c r="AY82" i="6"/>
  <c r="BA82" i="6"/>
  <c r="AZ82" i="6"/>
  <c r="AY390" i="6"/>
  <c r="BA390" i="6"/>
  <c r="AZ390" i="6"/>
  <c r="AE403" i="6"/>
  <c r="AF403" i="6"/>
  <c r="AG403" i="6"/>
  <c r="AY90" i="6"/>
  <c r="BA90" i="6"/>
  <c r="AZ90" i="6"/>
  <c r="AE305" i="6"/>
  <c r="AG305" i="6"/>
  <c r="AF305" i="6"/>
  <c r="AE359" i="6"/>
  <c r="AG359" i="6"/>
  <c r="AF359" i="6"/>
  <c r="AH359" i="6" s="1"/>
  <c r="AK359" i="6" s="1"/>
  <c r="AF392" i="6"/>
  <c r="AH392" i="6" s="1"/>
  <c r="AK392" i="6" s="1"/>
  <c r="AE392" i="6"/>
  <c r="AG392" i="6"/>
  <c r="AY118" i="6"/>
  <c r="BA118" i="6"/>
  <c r="AZ118" i="6"/>
  <c r="AY154" i="6"/>
  <c r="BA154" i="6"/>
  <c r="AZ154" i="6"/>
  <c r="AY169" i="6"/>
  <c r="BA169" i="6"/>
  <c r="AZ169" i="6"/>
  <c r="AY147" i="6"/>
  <c r="AZ147" i="6"/>
  <c r="BA147" i="6"/>
  <c r="AY195" i="6"/>
  <c r="AZ195" i="6"/>
  <c r="BB195" i="6" s="1"/>
  <c r="BE195" i="6" s="1"/>
  <c r="BA195" i="6"/>
  <c r="AY289" i="6"/>
  <c r="AZ289" i="6"/>
  <c r="BA289" i="6"/>
  <c r="AY369" i="6"/>
  <c r="AZ369" i="6"/>
  <c r="BA369" i="6"/>
  <c r="AY410" i="6"/>
  <c r="AZ410" i="6"/>
  <c r="BA410" i="6"/>
  <c r="AY213" i="6"/>
  <c r="BA213" i="6"/>
  <c r="AZ213" i="6"/>
  <c r="AY401" i="6"/>
  <c r="BA401" i="6"/>
  <c r="AZ401" i="6"/>
  <c r="AE252" i="6"/>
  <c r="AF252" i="6"/>
  <c r="AG252" i="6"/>
  <c r="AE145" i="6"/>
  <c r="AG145" i="6"/>
  <c r="AF145" i="6"/>
  <c r="AE420" i="6"/>
  <c r="AF420" i="6"/>
  <c r="AG420" i="6"/>
  <c r="AE128" i="6"/>
  <c r="AF128" i="6"/>
  <c r="AG128" i="6"/>
  <c r="AY378" i="6"/>
  <c r="BA378" i="6"/>
  <c r="AZ378" i="6"/>
  <c r="AY54" i="6"/>
  <c r="BA54" i="6"/>
  <c r="AZ54" i="6"/>
  <c r="BB54" i="6" s="1"/>
  <c r="BE54" i="6" s="1"/>
  <c r="AY293" i="6"/>
  <c r="AZ293" i="6"/>
  <c r="BA293" i="6"/>
  <c r="AY428" i="6"/>
  <c r="BA428" i="6"/>
  <c r="AZ428" i="6"/>
  <c r="AY336" i="6"/>
  <c r="BA336" i="6"/>
  <c r="AZ336" i="6"/>
  <c r="AE99" i="6"/>
  <c r="AF99" i="6"/>
  <c r="AG99" i="6"/>
  <c r="AE137" i="6"/>
  <c r="AF137" i="6"/>
  <c r="AG137" i="6"/>
  <c r="AE309" i="6"/>
  <c r="AG309" i="6"/>
  <c r="AF309" i="6"/>
  <c r="AY231" i="6"/>
  <c r="BA231" i="6"/>
  <c r="AZ231" i="6"/>
  <c r="AY137" i="6"/>
  <c r="BA137" i="6"/>
  <c r="AZ137" i="6"/>
  <c r="AY251" i="6"/>
  <c r="AZ251" i="6"/>
  <c r="BA251" i="6"/>
  <c r="AY337" i="6"/>
  <c r="BA337" i="6"/>
  <c r="AZ337" i="6"/>
  <c r="AF144" i="6"/>
  <c r="AH144" i="6" s="1"/>
  <c r="AK144" i="6" s="1"/>
  <c r="AE144" i="6"/>
  <c r="AG144" i="6"/>
  <c r="AY312" i="6"/>
  <c r="BA312" i="6"/>
  <c r="AZ312" i="6"/>
  <c r="AY153" i="6"/>
  <c r="AZ153" i="6"/>
  <c r="BA153" i="6"/>
  <c r="AY131" i="6"/>
  <c r="BA131" i="6"/>
  <c r="AZ131" i="6"/>
  <c r="AY433" i="6"/>
  <c r="BA433" i="6"/>
  <c r="AZ433" i="6"/>
  <c r="AY244" i="6"/>
  <c r="AZ244" i="6"/>
  <c r="BB244" i="6" s="1"/>
  <c r="BE244" i="6" s="1"/>
  <c r="BA244" i="6"/>
  <c r="AF206" i="6"/>
  <c r="AH206" i="6" s="1"/>
  <c r="AK206" i="6" s="1"/>
  <c r="AE206" i="6"/>
  <c r="AG206" i="6"/>
  <c r="AY205" i="6"/>
  <c r="BA205" i="6"/>
  <c r="AZ205" i="6"/>
  <c r="AY355" i="6"/>
  <c r="BA355" i="6"/>
  <c r="AZ355" i="6"/>
  <c r="AE199" i="6"/>
  <c r="AG199" i="6"/>
  <c r="AF199" i="6"/>
  <c r="AE417" i="6"/>
  <c r="AG417" i="6"/>
  <c r="AF417" i="6"/>
  <c r="AH417" i="6" s="1"/>
  <c r="AK417" i="6" s="1"/>
  <c r="AY106" i="6"/>
  <c r="BA106" i="6"/>
  <c r="AZ106" i="6"/>
  <c r="AY254" i="6"/>
  <c r="AZ254" i="6"/>
  <c r="BA254" i="6"/>
  <c r="AY409" i="6"/>
  <c r="AZ409" i="6"/>
  <c r="BA409" i="6"/>
  <c r="AY277" i="6"/>
  <c r="BA277" i="6"/>
  <c r="AZ277" i="6"/>
  <c r="AE393" i="6"/>
  <c r="AG393" i="6"/>
  <c r="AF393" i="6"/>
  <c r="AE166" i="6"/>
  <c r="AG166" i="6"/>
  <c r="AF166" i="6"/>
  <c r="AY173" i="6"/>
  <c r="BA173" i="6"/>
  <c r="AZ173" i="6"/>
  <c r="AY55" i="6"/>
  <c r="BA55" i="6"/>
  <c r="AZ55" i="6"/>
  <c r="AY350" i="6"/>
  <c r="BA350" i="6"/>
  <c r="AZ350" i="6"/>
  <c r="BB350" i="6" s="1"/>
  <c r="BE350" i="6" s="1"/>
  <c r="AY130" i="6"/>
  <c r="AZ130" i="6"/>
  <c r="BA130" i="6"/>
  <c r="AF268" i="6"/>
  <c r="AH268" i="6" s="1"/>
  <c r="AK268" i="6" s="1"/>
  <c r="AE268" i="6"/>
  <c r="AG268" i="6"/>
  <c r="AE385" i="6"/>
  <c r="AG385" i="6"/>
  <c r="AF385" i="6"/>
  <c r="AE112" i="6"/>
  <c r="AG112" i="6"/>
  <c r="AF112" i="6"/>
  <c r="AY250" i="6"/>
  <c r="BA250" i="6"/>
  <c r="AZ250" i="6"/>
  <c r="AY330" i="6"/>
  <c r="AZ330" i="6"/>
  <c r="BB330" i="6" s="1"/>
  <c r="BE330" i="6" s="1"/>
  <c r="BA330" i="6"/>
  <c r="AY257" i="6"/>
  <c r="AZ257" i="6"/>
  <c r="BA257" i="6"/>
  <c r="AY395" i="6"/>
  <c r="AZ395" i="6"/>
  <c r="BA395" i="6"/>
  <c r="AY292" i="6"/>
  <c r="BA292" i="6"/>
  <c r="AZ292" i="6"/>
  <c r="BB292" i="6" s="1"/>
  <c r="BE292" i="6" s="1"/>
  <c r="AY368" i="6"/>
  <c r="BA368" i="6"/>
  <c r="AZ368" i="6"/>
  <c r="AE441" i="6"/>
  <c r="AF441" i="6"/>
  <c r="AG441" i="6"/>
  <c r="AF361" i="6"/>
  <c r="AH361" i="6" s="1"/>
  <c r="AK361" i="6" s="1"/>
  <c r="AE361" i="6"/>
  <c r="AG361" i="6"/>
  <c r="AE273" i="6"/>
  <c r="AF273" i="6"/>
  <c r="AG273" i="6"/>
  <c r="AF175" i="6"/>
  <c r="AH175" i="6" s="1"/>
  <c r="AK175" i="6" s="1"/>
  <c r="AE175" i="6"/>
  <c r="AG175" i="6"/>
  <c r="AE169" i="6"/>
  <c r="AG169" i="6"/>
  <c r="AF169" i="6"/>
  <c r="AH169" i="6" s="1"/>
  <c r="AK169" i="6" s="1"/>
  <c r="AE69" i="6"/>
  <c r="AG69" i="6"/>
  <c r="AF69" i="6"/>
  <c r="AE86" i="6"/>
  <c r="AG86" i="6"/>
  <c r="AF86" i="6"/>
  <c r="AH86" i="6" s="1"/>
  <c r="AK86" i="6" s="1"/>
  <c r="AE287" i="6"/>
  <c r="AG287" i="6"/>
  <c r="AF287" i="6"/>
  <c r="AE161" i="6"/>
  <c r="AG161" i="6"/>
  <c r="AF161" i="6"/>
  <c r="AE370" i="6"/>
  <c r="AG370" i="6"/>
  <c r="AF370" i="6"/>
  <c r="AH370" i="6" s="1"/>
  <c r="AK370" i="6" s="1"/>
  <c r="AM242" i="6"/>
  <c r="AH242" i="6"/>
  <c r="AK242" i="6" s="1"/>
  <c r="AE132" i="6"/>
  <c r="AG132" i="6"/>
  <c r="AF132" i="6"/>
  <c r="AM376" i="6"/>
  <c r="AH376" i="6"/>
  <c r="AK376" i="6" s="1"/>
  <c r="AE89" i="6"/>
  <c r="AF89" i="6"/>
  <c r="AG89" i="6"/>
  <c r="AE74" i="6"/>
  <c r="AF74" i="6"/>
  <c r="AG74" i="6"/>
  <c r="AH301" i="6"/>
  <c r="AK301" i="6" s="1"/>
  <c r="AM189" i="6"/>
  <c r="AH189" i="6"/>
  <c r="AK189" i="6" s="1"/>
  <c r="AH291" i="6"/>
  <c r="AK291" i="6" s="1"/>
  <c r="AM119" i="6"/>
  <c r="AH119" i="6"/>
  <c r="AK119" i="6" s="1"/>
  <c r="AE136" i="6"/>
  <c r="AG136" i="6"/>
  <c r="AF136" i="6"/>
  <c r="AY160" i="6"/>
  <c r="AZ160" i="6"/>
  <c r="BB160" i="6" s="1"/>
  <c r="BE160" i="6" s="1"/>
  <c r="BA160" i="6"/>
  <c r="AY361" i="6"/>
  <c r="AZ361" i="6"/>
  <c r="BA361" i="6"/>
  <c r="AY133" i="6"/>
  <c r="AZ133" i="6"/>
  <c r="BA133" i="6"/>
  <c r="AY196" i="6"/>
  <c r="BA196" i="6"/>
  <c r="AZ196" i="6"/>
  <c r="AY367" i="6"/>
  <c r="AZ367" i="6"/>
  <c r="BA367" i="6"/>
  <c r="AY317" i="6"/>
  <c r="BA317" i="6"/>
  <c r="AZ317" i="6"/>
  <c r="BG346" i="6"/>
  <c r="AY440" i="6"/>
  <c r="BA440" i="6"/>
  <c r="AZ440" i="6"/>
  <c r="AY274" i="6"/>
  <c r="BA274" i="6"/>
  <c r="AZ274" i="6"/>
  <c r="AY141" i="6"/>
  <c r="BA141" i="6"/>
  <c r="AZ141" i="6"/>
  <c r="BG204" i="6"/>
  <c r="BB204" i="6"/>
  <c r="BE204" i="6" s="1"/>
  <c r="BG260" i="6"/>
  <c r="CA159" i="6"/>
  <c r="BV159" i="6"/>
  <c r="BY159" i="6" s="1"/>
  <c r="CA311" i="6"/>
  <c r="BV311" i="6"/>
  <c r="BY311" i="6" s="1"/>
  <c r="CA162" i="6"/>
  <c r="BV162" i="6"/>
  <c r="BY162" i="6" s="1"/>
  <c r="CA427" i="6"/>
  <c r="BV427" i="6"/>
  <c r="BY427" i="6" s="1"/>
  <c r="CA233" i="6"/>
  <c r="BV233" i="6"/>
  <c r="BY233" i="6" s="1"/>
  <c r="CA171" i="6"/>
  <c r="BV171" i="6"/>
  <c r="BY171" i="6" s="1"/>
  <c r="CA323" i="6"/>
  <c r="BV323" i="6"/>
  <c r="BY323" i="6" s="1"/>
  <c r="CA186" i="6"/>
  <c r="BV186" i="6"/>
  <c r="BY186" i="6" s="1"/>
  <c r="BS45" i="6"/>
  <c r="CA287" i="6"/>
  <c r="BV287" i="6"/>
  <c r="BY287" i="6" s="1"/>
  <c r="CA89" i="6"/>
  <c r="BV89" i="6"/>
  <c r="BY89" i="6" s="1"/>
  <c r="CA156" i="6"/>
  <c r="BV156" i="6"/>
  <c r="BY156" i="6" s="1"/>
  <c r="CA189" i="6"/>
  <c r="BV189" i="6"/>
  <c r="BY189" i="6" s="1"/>
  <c r="CA100" i="6"/>
  <c r="BV100" i="6"/>
  <c r="BY100" i="6" s="1"/>
  <c r="CA383" i="6"/>
  <c r="BV383" i="6"/>
  <c r="BY383" i="6" s="1"/>
  <c r="CA343" i="6"/>
  <c r="BV343" i="6"/>
  <c r="BY343" i="6" s="1"/>
  <c r="CA212" i="6"/>
  <c r="BV212" i="6"/>
  <c r="BY212" i="6" s="1"/>
  <c r="CA413" i="6"/>
  <c r="BV413" i="6"/>
  <c r="BY413" i="6" s="1"/>
  <c r="CA85" i="6"/>
  <c r="BV85" i="6"/>
  <c r="BY85" i="6" s="1"/>
  <c r="CA152" i="6"/>
  <c r="BV152" i="6"/>
  <c r="BY152" i="6" s="1"/>
  <c r="CA380" i="6"/>
  <c r="BV380" i="6"/>
  <c r="BY380" i="6" s="1"/>
  <c r="CA315" i="6"/>
  <c r="BV315" i="6"/>
  <c r="BY315" i="6" s="1"/>
  <c r="CA178" i="6"/>
  <c r="BV178" i="6"/>
  <c r="BY178" i="6" s="1"/>
  <c r="CA193" i="6"/>
  <c r="BV193" i="6"/>
  <c r="BY193" i="6" s="1"/>
  <c r="CA163" i="6"/>
  <c r="BV163" i="6"/>
  <c r="BY163" i="6" s="1"/>
  <c r="AG51" i="6"/>
  <c r="AF51" i="6"/>
  <c r="CA73" i="6"/>
  <c r="BV73" i="6"/>
  <c r="BY73" i="6" s="1"/>
  <c r="CA198" i="6"/>
  <c r="BV198" i="6"/>
  <c r="BY198" i="6" s="1"/>
  <c r="CA320" i="6"/>
  <c r="BV320" i="6"/>
  <c r="BY320" i="6" s="1"/>
  <c r="CA426" i="6"/>
  <c r="BV426" i="6"/>
  <c r="BY426" i="6" s="1"/>
  <c r="CA419" i="6"/>
  <c r="BV419" i="6"/>
  <c r="BY419" i="6" s="1"/>
  <c r="CA55" i="6"/>
  <c r="BV55" i="6"/>
  <c r="BY55" i="6" s="1"/>
  <c r="AE435" i="6"/>
  <c r="AG435" i="6"/>
  <c r="AF435" i="6"/>
  <c r="AE176" i="6"/>
  <c r="AG176" i="6"/>
  <c r="AF176" i="6"/>
  <c r="AE345" i="6"/>
  <c r="AG345" i="6"/>
  <c r="AF345" i="6"/>
  <c r="AE181" i="6"/>
  <c r="AG181" i="6"/>
  <c r="AF181" i="6"/>
  <c r="AE284" i="6"/>
  <c r="AF284" i="6"/>
  <c r="AG284" i="6"/>
  <c r="AM142" i="6"/>
  <c r="AH142" i="6"/>
  <c r="AK142" i="6" s="1"/>
  <c r="AE210" i="6"/>
  <c r="AG210" i="6"/>
  <c r="AF210" i="6"/>
  <c r="AH210" i="6" s="1"/>
  <c r="AK210" i="6" s="1"/>
  <c r="AE343" i="6"/>
  <c r="AG343" i="6"/>
  <c r="AF343" i="6"/>
  <c r="AH343" i="6" s="1"/>
  <c r="AK343" i="6" s="1"/>
  <c r="AF330" i="6"/>
  <c r="AH330" i="6" s="1"/>
  <c r="AK330" i="6" s="1"/>
  <c r="AE330" i="6"/>
  <c r="AG330" i="6"/>
  <c r="AM234" i="6"/>
  <c r="AH234" i="6"/>
  <c r="AK234" i="6" s="1"/>
  <c r="AE107" i="6"/>
  <c r="AG107" i="6"/>
  <c r="AF107" i="6"/>
  <c r="AH107" i="6" s="1"/>
  <c r="AK107" i="6" s="1"/>
  <c r="AE336" i="6"/>
  <c r="AF336" i="6"/>
  <c r="AH336" i="6" s="1"/>
  <c r="AK336" i="6" s="1"/>
  <c r="AG336" i="6"/>
  <c r="AF113" i="6"/>
  <c r="AH113" i="6" s="1"/>
  <c r="AK113" i="6" s="1"/>
  <c r="AE113" i="6"/>
  <c r="AG113" i="6"/>
  <c r="AM424" i="6"/>
  <c r="AH424" i="6"/>
  <c r="AK424" i="6" s="1"/>
  <c r="AE402" i="6"/>
  <c r="AG402" i="6"/>
  <c r="AF402" i="6"/>
  <c r="AE351" i="6"/>
  <c r="AG351" i="6"/>
  <c r="AF351" i="6"/>
  <c r="AE334" i="6"/>
  <c r="AF334" i="6"/>
  <c r="AG334" i="6"/>
  <c r="AM270" i="6"/>
  <c r="AM79" i="6"/>
  <c r="AH79" i="6"/>
  <c r="AK79" i="6" s="1"/>
  <c r="AY70" i="6"/>
  <c r="BA70" i="6"/>
  <c r="AZ70" i="6"/>
  <c r="AY194" i="6"/>
  <c r="BA194" i="6"/>
  <c r="AZ194" i="6"/>
  <c r="AY282" i="6"/>
  <c r="AZ282" i="6"/>
  <c r="BA282" i="6"/>
  <c r="AY356" i="6"/>
  <c r="AZ356" i="6"/>
  <c r="BA356" i="6"/>
  <c r="AY384" i="6"/>
  <c r="BA384" i="6"/>
  <c r="AZ384" i="6"/>
  <c r="BB384" i="6" s="1"/>
  <c r="BE384" i="6" s="1"/>
  <c r="AY149" i="6"/>
  <c r="AZ149" i="6"/>
  <c r="BA149" i="6"/>
  <c r="AY170" i="6"/>
  <c r="BA170" i="6"/>
  <c r="AZ170" i="6"/>
  <c r="AY221" i="6"/>
  <c r="BA221" i="6"/>
  <c r="AZ221" i="6"/>
  <c r="AY263" i="6"/>
  <c r="AZ263" i="6"/>
  <c r="BA263" i="6"/>
  <c r="AY429" i="6"/>
  <c r="BA429" i="6"/>
  <c r="AZ429" i="6"/>
  <c r="AY121" i="6"/>
  <c r="AZ121" i="6"/>
  <c r="BA121" i="6"/>
  <c r="AY99" i="6"/>
  <c r="AZ99" i="6"/>
  <c r="BA99" i="6"/>
  <c r="AY120" i="6"/>
  <c r="AZ120" i="6"/>
  <c r="BA120" i="6"/>
  <c r="AY305" i="6"/>
  <c r="BA305" i="6"/>
  <c r="AZ305" i="6"/>
  <c r="AY392" i="6"/>
  <c r="BA392" i="6"/>
  <c r="AZ392" i="6"/>
  <c r="AY60" i="6"/>
  <c r="BA60" i="6"/>
  <c r="AZ60" i="6"/>
  <c r="AY114" i="6"/>
  <c r="BA114" i="6"/>
  <c r="AZ114" i="6"/>
  <c r="BG370" i="6"/>
  <c r="CA398" i="6"/>
  <c r="BV398" i="6"/>
  <c r="BY398" i="6" s="1"/>
  <c r="CA250" i="6"/>
  <c r="BV250" i="6"/>
  <c r="BY250" i="6" s="1"/>
  <c r="CA290" i="6"/>
  <c r="BV290" i="6"/>
  <c r="BY290" i="6" s="1"/>
  <c r="CA388" i="6"/>
  <c r="BV388" i="6"/>
  <c r="BY388" i="6" s="1"/>
  <c r="CA256" i="6"/>
  <c r="BV256" i="6"/>
  <c r="BY256" i="6" s="1"/>
  <c r="CA56" i="6"/>
  <c r="BV56" i="6"/>
  <c r="BY56" i="6" s="1"/>
  <c r="CA211" i="6"/>
  <c r="BV211" i="6"/>
  <c r="BY211" i="6" s="1"/>
  <c r="CA65" i="6"/>
  <c r="BV65" i="6"/>
  <c r="BY65" i="6" s="1"/>
  <c r="CA105" i="6"/>
  <c r="BV105" i="6"/>
  <c r="BY105" i="6" s="1"/>
  <c r="CA172" i="6"/>
  <c r="BV172" i="6"/>
  <c r="BY172" i="6" s="1"/>
  <c r="CA242" i="6"/>
  <c r="BV242" i="6"/>
  <c r="BY242" i="6" s="1"/>
  <c r="CA127" i="6"/>
  <c r="BV127" i="6"/>
  <c r="BY127" i="6" s="1"/>
  <c r="CA412" i="6"/>
  <c r="BV412" i="6"/>
  <c r="BY412" i="6" s="1"/>
  <c r="CA248" i="6"/>
  <c r="BV248" i="6"/>
  <c r="BY248" i="6" s="1"/>
  <c r="AE391" i="6"/>
  <c r="AF391" i="6"/>
  <c r="AG391" i="6"/>
  <c r="AE225" i="6"/>
  <c r="AF225" i="6"/>
  <c r="AG225" i="6"/>
  <c r="AM372" i="6"/>
  <c r="AE340" i="6"/>
  <c r="AG340" i="6"/>
  <c r="AF340" i="6"/>
  <c r="AE276" i="6"/>
  <c r="AG276" i="6"/>
  <c r="AF276" i="6"/>
  <c r="AE117" i="6"/>
  <c r="AG117" i="6"/>
  <c r="AF117" i="6"/>
  <c r="AH117" i="6" s="1"/>
  <c r="AK117" i="6" s="1"/>
  <c r="AM102" i="6"/>
  <c r="AH102" i="6"/>
  <c r="AK102" i="6" s="1"/>
  <c r="AE271" i="6"/>
  <c r="AG271" i="6"/>
  <c r="AF271" i="6"/>
  <c r="AE172" i="6"/>
  <c r="AF172" i="6"/>
  <c r="AG172" i="6"/>
  <c r="AM258" i="6"/>
  <c r="AH258" i="6"/>
  <c r="AK258" i="6" s="1"/>
  <c r="AM226" i="6"/>
  <c r="AH226" i="6"/>
  <c r="AK226" i="6" s="1"/>
  <c r="AE52" i="6"/>
  <c r="AF52" i="6"/>
  <c r="AG52" i="6"/>
  <c r="AM405" i="6"/>
  <c r="AM339" i="6"/>
  <c r="AM183" i="6"/>
  <c r="AH183" i="6"/>
  <c r="AK183" i="6" s="1"/>
  <c r="AE73" i="6"/>
  <c r="AF73" i="6"/>
  <c r="AG73" i="6"/>
  <c r="AM90" i="6"/>
  <c r="AH90" i="6"/>
  <c r="AK90" i="6" s="1"/>
  <c r="AM388" i="6"/>
  <c r="AH388" i="6"/>
  <c r="AK388" i="6" s="1"/>
  <c r="AH171" i="6"/>
  <c r="AK171" i="6" s="1"/>
  <c r="AM275" i="6"/>
  <c r="AH275" i="6"/>
  <c r="AK275" i="6" s="1"/>
  <c r="AM243" i="6"/>
  <c r="AH243" i="6"/>
  <c r="AK243" i="6" s="1"/>
  <c r="AM180" i="6"/>
  <c r="AH180" i="6"/>
  <c r="AK180" i="6" s="1"/>
  <c r="AE358" i="6"/>
  <c r="AF358" i="6"/>
  <c r="AG358" i="6"/>
  <c r="AM294" i="6"/>
  <c r="AH294" i="6"/>
  <c r="AK294" i="6" s="1"/>
  <c r="AM135" i="6"/>
  <c r="AH135" i="6"/>
  <c r="AK135" i="6" s="1"/>
  <c r="AM152" i="6"/>
  <c r="AH152" i="6"/>
  <c r="AK152" i="6" s="1"/>
  <c r="AM120" i="6"/>
  <c r="AM56" i="6"/>
  <c r="AH56" i="6"/>
  <c r="AK56" i="6" s="1"/>
  <c r="AY86" i="6"/>
  <c r="BA86" i="6"/>
  <c r="AZ86" i="6"/>
  <c r="AY171" i="6"/>
  <c r="BA171" i="6"/>
  <c r="AZ171" i="6"/>
  <c r="AY201" i="6"/>
  <c r="BA201" i="6"/>
  <c r="AZ201" i="6"/>
  <c r="AY285" i="6"/>
  <c r="BA285" i="6"/>
  <c r="AZ285" i="6"/>
  <c r="AY122" i="6"/>
  <c r="BA122" i="6"/>
  <c r="AZ122" i="6"/>
  <c r="AY164" i="6"/>
  <c r="BA164" i="6"/>
  <c r="AZ164" i="6"/>
  <c r="BB164" i="6" s="1"/>
  <c r="BE164" i="6" s="1"/>
  <c r="AY191" i="6"/>
  <c r="BA191" i="6"/>
  <c r="AZ191" i="6"/>
  <c r="BB191" i="6" s="1"/>
  <c r="BE191" i="6" s="1"/>
  <c r="AY225" i="6"/>
  <c r="BA225" i="6"/>
  <c r="AZ225" i="6"/>
  <c r="BB225" i="6" s="1"/>
  <c r="BE225" i="6" s="1"/>
  <c r="AY431" i="6"/>
  <c r="AZ431" i="6"/>
  <c r="BA431" i="6"/>
  <c r="AY73" i="6"/>
  <c r="BA73" i="6"/>
  <c r="AZ73" i="6"/>
  <c r="AY158" i="6"/>
  <c r="AZ158" i="6"/>
  <c r="BA158" i="6"/>
  <c r="AY72" i="6"/>
  <c r="BA72" i="6"/>
  <c r="AZ72" i="6"/>
  <c r="BB72" i="6" s="1"/>
  <c r="BE72" i="6" s="1"/>
  <c r="AY200" i="6"/>
  <c r="BA200" i="6"/>
  <c r="AZ200" i="6"/>
  <c r="CA217" i="6"/>
  <c r="BV217" i="6"/>
  <c r="BY217" i="6" s="1"/>
  <c r="CA80" i="6"/>
  <c r="BV80" i="6"/>
  <c r="BY80" i="6" s="1"/>
  <c r="CA439" i="6"/>
  <c r="BV439" i="6"/>
  <c r="BY439" i="6" s="1"/>
  <c r="CA261" i="6"/>
  <c r="BV261" i="6"/>
  <c r="BY261" i="6" s="1"/>
  <c r="CA108" i="6"/>
  <c r="BV108" i="6"/>
  <c r="BY108" i="6" s="1"/>
  <c r="CA405" i="6"/>
  <c r="BV405" i="6"/>
  <c r="BY405" i="6" s="1"/>
  <c r="CA335" i="6"/>
  <c r="CA424" i="6"/>
  <c r="BV424" i="6"/>
  <c r="BY424" i="6" s="1"/>
  <c r="CA298" i="6"/>
  <c r="BV298" i="6"/>
  <c r="BY298" i="6" s="1"/>
  <c r="CA286" i="6"/>
  <c r="BV286" i="6"/>
  <c r="BY286" i="6" s="1"/>
  <c r="CA117" i="6"/>
  <c r="BV117" i="6"/>
  <c r="BY117" i="6" s="1"/>
  <c r="CA216" i="6"/>
  <c r="BV216" i="6"/>
  <c r="BY216" i="6" s="1"/>
  <c r="CA88" i="6"/>
  <c r="BV88" i="6"/>
  <c r="BY88" i="6" s="1"/>
  <c r="CA224" i="6"/>
  <c r="BV224" i="6"/>
  <c r="BY224" i="6" s="1"/>
  <c r="CA420" i="6"/>
  <c r="BV420" i="6"/>
  <c r="BY420" i="6" s="1"/>
  <c r="CA282" i="6"/>
  <c r="CA341" i="6"/>
  <c r="BV341" i="6"/>
  <c r="BY341" i="6" s="1"/>
  <c r="CA206" i="6"/>
  <c r="BV206" i="6"/>
  <c r="BY206" i="6" s="1"/>
  <c r="CA207" i="6"/>
  <c r="BV207" i="6"/>
  <c r="BY207" i="6" s="1"/>
  <c r="AE437" i="6"/>
  <c r="AF437" i="6"/>
  <c r="AH437" i="6" s="1"/>
  <c r="AK437" i="6" s="1"/>
  <c r="AG437" i="6"/>
  <c r="AE439" i="6"/>
  <c r="AG439" i="6"/>
  <c r="AF439" i="6"/>
  <c r="AE213" i="6"/>
  <c r="AF213" i="6"/>
  <c r="AG213" i="6"/>
  <c r="AE347" i="6"/>
  <c r="AF347" i="6"/>
  <c r="AG347" i="6"/>
  <c r="AE236" i="6"/>
  <c r="AG236" i="6"/>
  <c r="AF236" i="6"/>
  <c r="AE141" i="6"/>
  <c r="AF141" i="6"/>
  <c r="AG141" i="6"/>
  <c r="AM62" i="6"/>
  <c r="AH62" i="6"/>
  <c r="AK62" i="6" s="1"/>
  <c r="AE231" i="6"/>
  <c r="AG231" i="6"/>
  <c r="AF231" i="6"/>
  <c r="AM378" i="6"/>
  <c r="AH378" i="6"/>
  <c r="AK378" i="6" s="1"/>
  <c r="AM346" i="6"/>
  <c r="AH346" i="6"/>
  <c r="AK346" i="6" s="1"/>
  <c r="AE123" i="6"/>
  <c r="AF123" i="6"/>
  <c r="AG123" i="6"/>
  <c r="AE108" i="6"/>
  <c r="AG108" i="6"/>
  <c r="AF108" i="6"/>
  <c r="AE369" i="6"/>
  <c r="AF369" i="6"/>
  <c r="AG369" i="6"/>
  <c r="AM167" i="6"/>
  <c r="AH167" i="6"/>
  <c r="AK167" i="6" s="1"/>
  <c r="AM288" i="6"/>
  <c r="AE97" i="6"/>
  <c r="AG97" i="6"/>
  <c r="AF97" i="6"/>
  <c r="AE384" i="6"/>
  <c r="AG384" i="6"/>
  <c r="AF384" i="6"/>
  <c r="AM186" i="6"/>
  <c r="AE318" i="6"/>
  <c r="AF318" i="6"/>
  <c r="AG318" i="6"/>
  <c r="AM159" i="6"/>
  <c r="AH159" i="6"/>
  <c r="AK159" i="6" s="1"/>
  <c r="AM127" i="6"/>
  <c r="AH127" i="6"/>
  <c r="AK127" i="6" s="1"/>
  <c r="AE80" i="6"/>
  <c r="AF80" i="6"/>
  <c r="AG80" i="6"/>
  <c r="AY123" i="6"/>
  <c r="AZ123" i="6"/>
  <c r="BA123" i="6"/>
  <c r="AY249" i="6"/>
  <c r="AZ249" i="6"/>
  <c r="BA249" i="6"/>
  <c r="AY264" i="6"/>
  <c r="BA264" i="6"/>
  <c r="AZ264" i="6"/>
  <c r="BB264" i="6" s="1"/>
  <c r="BE264" i="6" s="1"/>
  <c r="AY363" i="6"/>
  <c r="BA363" i="6"/>
  <c r="AZ363" i="6"/>
  <c r="AY117" i="6"/>
  <c r="BA117" i="6"/>
  <c r="AZ117" i="6"/>
  <c r="AY138" i="6"/>
  <c r="AZ138" i="6"/>
  <c r="BA138" i="6"/>
  <c r="AY180" i="6"/>
  <c r="BA180" i="6"/>
  <c r="AZ180" i="6"/>
  <c r="AY207" i="6"/>
  <c r="AZ207" i="6"/>
  <c r="BB207" i="6" s="1"/>
  <c r="BE207" i="6" s="1"/>
  <c r="BA207" i="6"/>
  <c r="AY286" i="6"/>
  <c r="BA286" i="6"/>
  <c r="AZ286" i="6"/>
  <c r="AY360" i="6"/>
  <c r="BA360" i="6"/>
  <c r="AZ360" i="6"/>
  <c r="AY382" i="6"/>
  <c r="BA382" i="6"/>
  <c r="AZ382" i="6"/>
  <c r="AY434" i="6"/>
  <c r="AZ434" i="6"/>
  <c r="BA434" i="6"/>
  <c r="AY89" i="6"/>
  <c r="BA89" i="6"/>
  <c r="AZ89" i="6"/>
  <c r="AY272" i="6"/>
  <c r="BA272" i="6"/>
  <c r="AZ272" i="6"/>
  <c r="AY58" i="6"/>
  <c r="BA58" i="6"/>
  <c r="AZ58" i="6"/>
  <c r="BB58" i="6" s="1"/>
  <c r="BE58" i="6" s="1"/>
  <c r="BG124" i="6"/>
  <c r="BG309" i="6"/>
  <c r="AY338" i="6"/>
  <c r="AZ338" i="6"/>
  <c r="BB338" i="6" s="1"/>
  <c r="BE338" i="6" s="1"/>
  <c r="BA338" i="6"/>
  <c r="AY432" i="6"/>
  <c r="AZ432" i="6"/>
  <c r="BA432" i="6"/>
  <c r="CA409" i="6"/>
  <c r="BV409" i="6"/>
  <c r="BY409" i="6" s="1"/>
  <c r="CA262" i="6"/>
  <c r="BV262" i="6"/>
  <c r="BY262" i="6" s="1"/>
  <c r="CA273" i="6"/>
  <c r="BV273" i="6"/>
  <c r="BY273" i="6" s="1"/>
  <c r="CA160" i="6"/>
  <c r="BV160" i="6"/>
  <c r="BY160" i="6" s="1"/>
  <c r="CA192" i="6"/>
  <c r="BV192" i="6"/>
  <c r="BY192" i="6" s="1"/>
  <c r="CA293" i="6"/>
  <c r="BV293" i="6"/>
  <c r="BY293" i="6" s="1"/>
  <c r="CA401" i="6"/>
  <c r="BV401" i="6"/>
  <c r="BY401" i="6" s="1"/>
  <c r="CA213" i="6"/>
  <c r="BV213" i="6"/>
  <c r="BY213" i="6" s="1"/>
  <c r="CA62" i="6"/>
  <c r="BV62" i="6"/>
  <c r="BY62" i="6" s="1"/>
  <c r="CA64" i="6"/>
  <c r="BV64" i="6"/>
  <c r="BY64" i="6" s="1"/>
  <c r="CA93" i="6"/>
  <c r="BV93" i="6"/>
  <c r="BY93" i="6" s="1"/>
  <c r="CA170" i="6"/>
  <c r="BV170" i="6"/>
  <c r="BY170" i="6" s="1"/>
  <c r="CA404" i="6"/>
  <c r="CA289" i="6"/>
  <c r="BV289" i="6"/>
  <c r="BY289" i="6" s="1"/>
  <c r="CA101" i="6"/>
  <c r="BV101" i="6"/>
  <c r="BY101" i="6" s="1"/>
  <c r="CA168" i="6"/>
  <c r="BV168" i="6"/>
  <c r="BY168" i="6" s="1"/>
  <c r="CA331" i="6"/>
  <c r="BV331" i="6"/>
  <c r="BY331" i="6" s="1"/>
  <c r="CA194" i="6"/>
  <c r="BV194" i="6"/>
  <c r="BY194" i="6" s="1"/>
  <c r="CA209" i="6"/>
  <c r="BV209" i="6"/>
  <c r="BY209" i="6" s="1"/>
  <c r="CA115" i="6"/>
  <c r="BV115" i="6"/>
  <c r="BY115" i="6" s="1"/>
  <c r="CA333" i="6"/>
  <c r="BV333" i="6"/>
  <c r="BY333" i="6" s="1"/>
  <c r="CA166" i="6"/>
  <c r="BV166" i="6"/>
  <c r="BY166" i="6" s="1"/>
  <c r="CA431" i="6"/>
  <c r="BV431" i="6"/>
  <c r="BY431" i="6" s="1"/>
  <c r="CA97" i="6"/>
  <c r="BV97" i="6"/>
  <c r="BY97" i="6" s="1"/>
  <c r="CA110" i="6"/>
  <c r="BV110" i="6"/>
  <c r="BY110" i="6" s="1"/>
  <c r="CA415" i="6"/>
  <c r="BV415" i="6"/>
  <c r="BY415" i="6" s="1"/>
  <c r="CA86" i="6"/>
  <c r="BV86" i="6"/>
  <c r="BY86" i="6" s="1"/>
  <c r="CA140" i="6"/>
  <c r="BV140" i="6"/>
  <c r="BY140" i="6" s="1"/>
  <c r="CA319" i="6"/>
  <c r="CA87" i="6"/>
  <c r="BV87" i="6"/>
  <c r="BY87" i="6" s="1"/>
  <c r="CA69" i="6"/>
  <c r="BV69" i="6"/>
  <c r="BY69" i="6" s="1"/>
  <c r="CA238" i="6"/>
  <c r="BV238" i="6"/>
  <c r="BY238" i="6" s="1"/>
  <c r="CA279" i="6"/>
  <c r="BV279" i="6"/>
  <c r="BY279" i="6" s="1"/>
  <c r="CA232" i="6"/>
  <c r="BV232" i="6"/>
  <c r="BY232" i="6" s="1"/>
  <c r="AE371" i="6"/>
  <c r="AG371" i="6"/>
  <c r="AF371" i="6"/>
  <c r="AH371" i="6" s="1"/>
  <c r="AK371" i="6" s="1"/>
  <c r="AE253" i="6"/>
  <c r="AG253" i="6"/>
  <c r="AF253" i="6"/>
  <c r="AE241" i="6"/>
  <c r="AG241" i="6"/>
  <c r="AF241" i="6"/>
  <c r="AE356" i="6"/>
  <c r="AF356" i="6"/>
  <c r="AG356" i="6"/>
  <c r="AE292" i="6"/>
  <c r="AG292" i="6"/>
  <c r="AF292" i="6"/>
  <c r="AE133" i="6"/>
  <c r="AG133" i="6"/>
  <c r="AF133" i="6"/>
  <c r="AH133" i="6" s="1"/>
  <c r="AK133" i="6" s="1"/>
  <c r="AE54" i="6"/>
  <c r="AF54" i="6"/>
  <c r="AG54" i="6"/>
  <c r="AE255" i="6"/>
  <c r="AG255" i="6"/>
  <c r="AF255" i="6"/>
  <c r="AE338" i="6"/>
  <c r="AF338" i="6"/>
  <c r="AG338" i="6"/>
  <c r="AE115" i="6"/>
  <c r="AF115" i="6"/>
  <c r="AG115" i="6"/>
  <c r="AE100" i="6"/>
  <c r="AF100" i="6"/>
  <c r="AG100" i="6"/>
  <c r="AE430" i="6"/>
  <c r="AG430" i="6"/>
  <c r="AF430" i="6"/>
  <c r="AH430" i="6" s="1"/>
  <c r="AK430" i="6" s="1"/>
  <c r="AM248" i="6"/>
  <c r="AH248" i="6"/>
  <c r="AK248" i="6" s="1"/>
  <c r="AE209" i="6"/>
  <c r="AF209" i="6"/>
  <c r="AG209" i="6"/>
  <c r="AE57" i="6"/>
  <c r="AF57" i="6"/>
  <c r="AG57" i="6"/>
  <c r="AE418" i="6"/>
  <c r="AF418" i="6"/>
  <c r="AG418" i="6"/>
  <c r="AE367" i="6"/>
  <c r="AG367" i="6"/>
  <c r="AF367" i="6"/>
  <c r="AM151" i="6"/>
  <c r="AH151" i="6"/>
  <c r="AK151" i="6" s="1"/>
  <c r="AM55" i="6"/>
  <c r="AH55" i="6"/>
  <c r="AK55" i="6" s="1"/>
  <c r="AE104" i="6"/>
  <c r="AF104" i="6"/>
  <c r="AG104" i="6"/>
  <c r="AY97" i="6"/>
  <c r="BA97" i="6"/>
  <c r="AZ97" i="6"/>
  <c r="AY75" i="6"/>
  <c r="BA75" i="6"/>
  <c r="AZ75" i="6"/>
  <c r="AY228" i="6"/>
  <c r="AZ228" i="6"/>
  <c r="BA228" i="6"/>
  <c r="AY227" i="6"/>
  <c r="BA227" i="6"/>
  <c r="AZ227" i="6"/>
  <c r="BB227" i="6" s="1"/>
  <c r="BE227" i="6" s="1"/>
  <c r="AY275" i="6"/>
  <c r="AZ275" i="6"/>
  <c r="BA275" i="6"/>
  <c r="AY290" i="6"/>
  <c r="AZ290" i="6"/>
  <c r="BB290" i="6" s="1"/>
  <c r="BE290" i="6" s="1"/>
  <c r="BA290" i="6"/>
  <c r="AY373" i="6"/>
  <c r="AZ373" i="6"/>
  <c r="BA373" i="6"/>
  <c r="AY427" i="6"/>
  <c r="BA427" i="6"/>
  <c r="AZ427" i="6"/>
  <c r="AY111" i="6"/>
  <c r="AZ111" i="6"/>
  <c r="BA111" i="6"/>
  <c r="AY223" i="6"/>
  <c r="AZ223" i="6"/>
  <c r="BB223" i="6" s="1"/>
  <c r="BE223" i="6" s="1"/>
  <c r="BA223" i="6"/>
  <c r="AY252" i="6"/>
  <c r="BA252" i="6"/>
  <c r="AZ252" i="6"/>
  <c r="BB252" i="6" s="1"/>
  <c r="BE252" i="6" s="1"/>
  <c r="AY326" i="6"/>
  <c r="BA326" i="6"/>
  <c r="AZ326" i="6"/>
  <c r="BB326" i="6" s="1"/>
  <c r="BE326" i="6" s="1"/>
  <c r="AY83" i="6"/>
  <c r="AZ83" i="6"/>
  <c r="BA83" i="6"/>
  <c r="AY104" i="6"/>
  <c r="BA104" i="6"/>
  <c r="AZ104" i="6"/>
  <c r="BB104" i="6" s="1"/>
  <c r="BE104" i="6" s="1"/>
  <c r="BG177" i="6"/>
  <c r="AY348" i="6"/>
  <c r="BA348" i="6"/>
  <c r="AZ348" i="6"/>
  <c r="AY393" i="6"/>
  <c r="BA393" i="6"/>
  <c r="AZ393" i="6"/>
  <c r="AY222" i="6"/>
  <c r="AZ222" i="6"/>
  <c r="BA222" i="6"/>
  <c r="AY246" i="6"/>
  <c r="BA246" i="6"/>
  <c r="AZ246" i="6"/>
  <c r="BB246" i="6" s="1"/>
  <c r="BE246" i="6" s="1"/>
  <c r="AY325" i="6"/>
  <c r="AZ325" i="6"/>
  <c r="BA325" i="6"/>
  <c r="BG383" i="6"/>
  <c r="BB383" i="6"/>
  <c r="BE383" i="6" s="1"/>
  <c r="AY416" i="6"/>
  <c r="BA416" i="6"/>
  <c r="AZ416" i="6"/>
  <c r="CA79" i="6"/>
  <c r="BV79" i="6"/>
  <c r="BY79" i="6" s="1"/>
  <c r="CA322" i="6"/>
  <c r="BV322" i="6"/>
  <c r="BY322" i="6" s="1"/>
  <c r="CA329" i="6"/>
  <c r="BV329" i="6"/>
  <c r="BY329" i="6" s="1"/>
  <c r="CA119" i="6"/>
  <c r="BV119" i="6"/>
  <c r="BY119" i="6" s="1"/>
  <c r="CA288" i="6"/>
  <c r="BV288" i="6"/>
  <c r="BY288" i="6" s="1"/>
  <c r="CA176" i="6"/>
  <c r="BV176" i="6"/>
  <c r="BY176" i="6" s="1"/>
  <c r="CA244" i="6"/>
  <c r="BV244" i="6"/>
  <c r="BY244" i="6" s="1"/>
  <c r="CA131" i="6"/>
  <c r="BV131" i="6"/>
  <c r="BY131" i="6" s="1"/>
  <c r="CA308" i="6"/>
  <c r="BV308" i="6"/>
  <c r="BY308" i="6" s="1"/>
  <c r="CA423" i="6"/>
  <c r="BV423" i="6"/>
  <c r="BY423" i="6" s="1"/>
  <c r="CA425" i="6"/>
  <c r="BV425" i="6"/>
  <c r="BY425" i="6" s="1"/>
  <c r="CA258" i="6"/>
  <c r="BV258" i="6"/>
  <c r="BY258" i="6" s="1"/>
  <c r="CA269" i="6"/>
  <c r="BV269" i="6"/>
  <c r="BY269" i="6" s="1"/>
  <c r="CA264" i="6"/>
  <c r="BV264" i="6"/>
  <c r="BY264" i="6" s="1"/>
  <c r="CA167" i="6"/>
  <c r="BV167" i="6"/>
  <c r="BY167" i="6" s="1"/>
  <c r="CA321" i="6"/>
  <c r="BV321" i="6"/>
  <c r="BY321" i="6" s="1"/>
  <c r="CA74" i="6"/>
  <c r="BV74" i="6"/>
  <c r="BY74" i="6" s="1"/>
  <c r="CA254" i="6"/>
  <c r="BV254" i="6"/>
  <c r="BY254" i="6" s="1"/>
  <c r="CA384" i="6"/>
  <c r="BV384" i="6"/>
  <c r="BY384" i="6" s="1"/>
  <c r="CA270" i="6"/>
  <c r="BV270" i="6"/>
  <c r="BY270" i="6" s="1"/>
  <c r="CA249" i="6"/>
  <c r="BV249" i="6"/>
  <c r="BY249" i="6" s="1"/>
  <c r="CA123" i="6"/>
  <c r="BV123" i="6"/>
  <c r="BY123" i="6" s="1"/>
  <c r="CA203" i="6"/>
  <c r="BV203" i="6"/>
  <c r="BY203" i="6" s="1"/>
  <c r="CA112" i="6"/>
  <c r="BV112" i="6"/>
  <c r="BY112" i="6" s="1"/>
  <c r="CA340" i="6"/>
  <c r="BV340" i="6"/>
  <c r="BY340" i="6" s="1"/>
  <c r="CA179" i="6"/>
  <c r="BV179" i="6"/>
  <c r="BY179" i="6" s="1"/>
  <c r="BA51" i="6"/>
  <c r="AZ51" i="6"/>
  <c r="CA142" i="6"/>
  <c r="BV142" i="6"/>
  <c r="BY142" i="6" s="1"/>
  <c r="CA407" i="6"/>
  <c r="BV407" i="6"/>
  <c r="BY407" i="6" s="1"/>
  <c r="CA182" i="6"/>
  <c r="BV182" i="6"/>
  <c r="BY182" i="6" s="1"/>
  <c r="CA305" i="6"/>
  <c r="BV305" i="6"/>
  <c r="BY305" i="6" s="1"/>
  <c r="CA312" i="6"/>
  <c r="BV312" i="6"/>
  <c r="BY312" i="6" s="1"/>
  <c r="CA396" i="6"/>
  <c r="BV396" i="6"/>
  <c r="BY396" i="6" s="1"/>
  <c r="CA129" i="6"/>
  <c r="BV129" i="6"/>
  <c r="BY129" i="6" s="1"/>
  <c r="CA95" i="6"/>
  <c r="BV95" i="6"/>
  <c r="BY95" i="6" s="1"/>
  <c r="CA367" i="6"/>
  <c r="BV367" i="6"/>
  <c r="BY367" i="6" s="1"/>
  <c r="AE313" i="6"/>
  <c r="AG313" i="6"/>
  <c r="AF313" i="6"/>
  <c r="AF237" i="6"/>
  <c r="AH237" i="6" s="1"/>
  <c r="AK237" i="6" s="1"/>
  <c r="AE237" i="6"/>
  <c r="AG237" i="6"/>
  <c r="AM407" i="6"/>
  <c r="AH407" i="6"/>
  <c r="AK407" i="6" s="1"/>
  <c r="AE297" i="6"/>
  <c r="AF297" i="6"/>
  <c r="AH297" i="6" s="1"/>
  <c r="AK297" i="6" s="1"/>
  <c r="AG297" i="6"/>
  <c r="AE381" i="6"/>
  <c r="AF381" i="6"/>
  <c r="AH381" i="6" s="1"/>
  <c r="AK381" i="6" s="1"/>
  <c r="AG381" i="6"/>
  <c r="AE93" i="6"/>
  <c r="AF93" i="6"/>
  <c r="AG93" i="6"/>
  <c r="AM78" i="6"/>
  <c r="AH78" i="6"/>
  <c r="AK78" i="6" s="1"/>
  <c r="AM188" i="6"/>
  <c r="AM362" i="6"/>
  <c r="AH362" i="6"/>
  <c r="AK362" i="6" s="1"/>
  <c r="AM266" i="6"/>
  <c r="AH266" i="6"/>
  <c r="AK266" i="6" s="1"/>
  <c r="AE75" i="6"/>
  <c r="AG75" i="6"/>
  <c r="AF75" i="6"/>
  <c r="AE421" i="6"/>
  <c r="AG421" i="6"/>
  <c r="AF421" i="6"/>
  <c r="AM304" i="6"/>
  <c r="AH304" i="6"/>
  <c r="AK304" i="6" s="1"/>
  <c r="AE81" i="6"/>
  <c r="AF81" i="6"/>
  <c r="AG81" i="6"/>
  <c r="AM429" i="6"/>
  <c r="AH429" i="6"/>
  <c r="AK429" i="6" s="1"/>
  <c r="AM379" i="6"/>
  <c r="AH379" i="6"/>
  <c r="AK379" i="6" s="1"/>
  <c r="AM366" i="6"/>
  <c r="AH366" i="6"/>
  <c r="AK366" i="6" s="1"/>
  <c r="AM238" i="6"/>
  <c r="AH238" i="6"/>
  <c r="AK238" i="6" s="1"/>
  <c r="AM111" i="6"/>
  <c r="AH111" i="6"/>
  <c r="AK111" i="6" s="1"/>
  <c r="AE96" i="6"/>
  <c r="AG96" i="6"/>
  <c r="AF96" i="6"/>
  <c r="AH96" i="6" s="1"/>
  <c r="AK96" i="6" s="1"/>
  <c r="AY61" i="6"/>
  <c r="AZ61" i="6"/>
  <c r="BA61" i="6"/>
  <c r="AY176" i="6"/>
  <c r="BA176" i="6"/>
  <c r="AZ176" i="6"/>
  <c r="AY203" i="6"/>
  <c r="BA203" i="6"/>
  <c r="AZ203" i="6"/>
  <c r="BB203" i="6" s="1"/>
  <c r="BE203" i="6" s="1"/>
  <c r="AY303" i="6"/>
  <c r="BA303" i="6"/>
  <c r="AZ303" i="6"/>
  <c r="AY400" i="6"/>
  <c r="BA400" i="6"/>
  <c r="AZ400" i="6"/>
  <c r="AY418" i="6"/>
  <c r="BA418" i="6"/>
  <c r="AZ418" i="6"/>
  <c r="AY175" i="6"/>
  <c r="BA175" i="6"/>
  <c r="AZ175" i="6"/>
  <c r="AY211" i="6"/>
  <c r="BA211" i="6"/>
  <c r="AZ211" i="6"/>
  <c r="AY253" i="6"/>
  <c r="BA253" i="6"/>
  <c r="AZ253" i="6"/>
  <c r="AY375" i="6"/>
  <c r="BA375" i="6"/>
  <c r="AZ375" i="6"/>
  <c r="AY93" i="6"/>
  <c r="BA93" i="6"/>
  <c r="AZ93" i="6"/>
  <c r="BG135" i="6"/>
  <c r="BB135" i="6"/>
  <c r="BE135" i="6" s="1"/>
  <c r="BG273" i="6"/>
  <c r="BB273" i="6"/>
  <c r="BE273" i="6" s="1"/>
  <c r="AY324" i="6"/>
  <c r="BA324" i="6"/>
  <c r="AZ324" i="6"/>
  <c r="AY423" i="6"/>
  <c r="BA423" i="6"/>
  <c r="AZ423" i="6"/>
  <c r="CA365" i="6"/>
  <c r="BV365" i="6"/>
  <c r="BY365" i="6" s="1"/>
  <c r="CA220" i="6"/>
  <c r="BV220" i="6"/>
  <c r="BY220" i="6" s="1"/>
  <c r="CA416" i="6"/>
  <c r="BV416" i="6"/>
  <c r="BY416" i="6" s="1"/>
  <c r="CA291" i="6"/>
  <c r="BV291" i="6"/>
  <c r="BY291" i="6" s="1"/>
  <c r="CA271" i="6"/>
  <c r="BV271" i="6"/>
  <c r="BY271" i="6" s="1"/>
  <c r="CA173" i="6"/>
  <c r="BV173" i="6"/>
  <c r="BY173" i="6" s="1"/>
  <c r="CA144" i="6"/>
  <c r="BV144" i="6"/>
  <c r="BY144" i="6" s="1"/>
  <c r="CA372" i="6"/>
  <c r="BV372" i="6"/>
  <c r="BY372" i="6" s="1"/>
  <c r="CA389" i="6"/>
  <c r="BV389" i="6"/>
  <c r="BY389" i="6" s="1"/>
  <c r="CA185" i="6"/>
  <c r="BV185" i="6"/>
  <c r="BY185" i="6" s="1"/>
  <c r="CA274" i="6"/>
  <c r="BV274" i="6"/>
  <c r="BY274" i="6" s="1"/>
  <c r="CA422" i="6"/>
  <c r="BV422" i="6"/>
  <c r="BY422" i="6" s="1"/>
  <c r="CA296" i="6"/>
  <c r="BV296" i="6"/>
  <c r="BY296" i="6" s="1"/>
  <c r="CA71" i="6"/>
  <c r="BV71" i="6"/>
  <c r="BY71" i="6" s="1"/>
  <c r="CA387" i="6"/>
  <c r="BV387" i="6"/>
  <c r="BY387" i="6" s="1"/>
  <c r="CA175" i="6"/>
  <c r="BV175" i="6"/>
  <c r="BY175" i="6" s="1"/>
  <c r="AE434" i="6"/>
  <c r="AG434" i="6"/>
  <c r="AF434" i="6"/>
  <c r="AE187" i="6"/>
  <c r="AG187" i="6"/>
  <c r="AF187" i="6"/>
  <c r="AE331" i="6"/>
  <c r="AG331" i="6"/>
  <c r="AF331" i="6"/>
  <c r="AE165" i="6"/>
  <c r="AG165" i="6"/>
  <c r="AF165" i="6"/>
  <c r="AM308" i="6"/>
  <c r="AH308" i="6"/>
  <c r="AK308" i="6" s="1"/>
  <c r="AE244" i="6"/>
  <c r="AF244" i="6"/>
  <c r="AG244" i="6"/>
  <c r="AE85" i="6"/>
  <c r="AF85" i="6"/>
  <c r="AG85" i="6"/>
  <c r="AE239" i="6"/>
  <c r="AG239" i="6"/>
  <c r="AF239" i="6"/>
  <c r="AH239" i="6" s="1"/>
  <c r="AK239" i="6" s="1"/>
  <c r="AM290" i="6"/>
  <c r="AH290" i="6"/>
  <c r="AK290" i="6" s="1"/>
  <c r="AE131" i="6"/>
  <c r="AG131" i="6"/>
  <c r="AF131" i="6"/>
  <c r="AE67" i="6"/>
  <c r="AG67" i="6"/>
  <c r="AF67" i="6"/>
  <c r="AM84" i="6"/>
  <c r="AH84" i="6"/>
  <c r="AK84" i="6" s="1"/>
  <c r="AE419" i="6"/>
  <c r="AG419" i="6"/>
  <c r="AF419" i="6"/>
  <c r="AM245" i="6"/>
  <c r="AH245" i="6"/>
  <c r="AK245" i="6" s="1"/>
  <c r="AM296" i="6"/>
  <c r="AH296" i="6"/>
  <c r="AK296" i="6" s="1"/>
  <c r="AM122" i="6"/>
  <c r="AH122" i="6"/>
  <c r="AK122" i="6" s="1"/>
  <c r="AM261" i="6"/>
  <c r="AH261" i="6"/>
  <c r="AK261" i="6" s="1"/>
  <c r="AM333" i="6"/>
  <c r="AH333" i="6"/>
  <c r="AK333" i="6" s="1"/>
  <c r="AM174" i="6"/>
  <c r="AH174" i="6"/>
  <c r="AK174" i="6" s="1"/>
  <c r="AM71" i="6"/>
  <c r="AH71" i="6"/>
  <c r="AK71" i="6" s="1"/>
  <c r="AY128" i="6"/>
  <c r="BA128" i="6"/>
  <c r="AZ128" i="6"/>
  <c r="BB128" i="6" s="1"/>
  <c r="BE128" i="6" s="1"/>
  <c r="AY210" i="6"/>
  <c r="BA210" i="6"/>
  <c r="AZ210" i="6"/>
  <c r="AY315" i="6"/>
  <c r="BA315" i="6"/>
  <c r="AZ315" i="6"/>
  <c r="AY296" i="6"/>
  <c r="BA296" i="6"/>
  <c r="AZ296" i="6"/>
  <c r="AY322" i="6"/>
  <c r="BA322" i="6"/>
  <c r="AZ322" i="6"/>
  <c r="BB322" i="6" s="1"/>
  <c r="BE322" i="6" s="1"/>
  <c r="AY394" i="6"/>
  <c r="AZ394" i="6"/>
  <c r="BA394" i="6"/>
  <c r="AY407" i="6"/>
  <c r="BA407" i="6"/>
  <c r="AZ407" i="6"/>
  <c r="BB407" i="6" s="1"/>
  <c r="BE407" i="6" s="1"/>
  <c r="AY101" i="6"/>
  <c r="AZ101" i="6"/>
  <c r="BA101" i="6"/>
  <c r="AY79" i="6"/>
  <c r="AZ79" i="6"/>
  <c r="BA79" i="6"/>
  <c r="AY344" i="6"/>
  <c r="BA344" i="6"/>
  <c r="AZ344" i="6"/>
  <c r="AY218" i="6"/>
  <c r="AZ218" i="6"/>
  <c r="BA218" i="6"/>
  <c r="AY240" i="6"/>
  <c r="BA240" i="6"/>
  <c r="AZ240" i="6"/>
  <c r="AY256" i="6"/>
  <c r="BA256" i="6"/>
  <c r="AZ256" i="6"/>
  <c r="BB256" i="6" s="1"/>
  <c r="BE256" i="6" s="1"/>
  <c r="AY415" i="6"/>
  <c r="BA415" i="6"/>
  <c r="AZ415" i="6"/>
  <c r="BB415" i="6" s="1"/>
  <c r="BE415" i="6" s="1"/>
  <c r="BG57" i="6"/>
  <c r="BB57" i="6"/>
  <c r="BE57" i="6" s="1"/>
  <c r="AY66" i="6"/>
  <c r="AZ66" i="6"/>
  <c r="BA66" i="6"/>
  <c r="BG87" i="6"/>
  <c r="BB87" i="6"/>
  <c r="BE87" i="6" s="1"/>
  <c r="BG190" i="6"/>
  <c r="BB190" i="6"/>
  <c r="BE190" i="6" s="1"/>
  <c r="AY371" i="6"/>
  <c r="BA371" i="6"/>
  <c r="AZ371" i="6"/>
  <c r="BB371" i="6" s="1"/>
  <c r="BE371" i="6" s="1"/>
  <c r="BG389" i="6"/>
  <c r="BB389" i="6"/>
  <c r="BE389" i="6" s="1"/>
  <c r="AY439" i="6"/>
  <c r="AZ439" i="6"/>
  <c r="BA439" i="6"/>
  <c r="CA299" i="6"/>
  <c r="BV299" i="6"/>
  <c r="BY299" i="6" s="1"/>
  <c r="CA177" i="6"/>
  <c r="BV177" i="6"/>
  <c r="BY177" i="6" s="1"/>
  <c r="CA202" i="6"/>
  <c r="BV202" i="6"/>
  <c r="BY202" i="6" s="1"/>
  <c r="CA174" i="6"/>
  <c r="BV174" i="6"/>
  <c r="BY174" i="6" s="1"/>
  <c r="CA408" i="6"/>
  <c r="BV408" i="6"/>
  <c r="BY408" i="6" s="1"/>
  <c r="CA272" i="6"/>
  <c r="BV272" i="6"/>
  <c r="BY272" i="6" s="1"/>
  <c r="CA143" i="6"/>
  <c r="BV143" i="6"/>
  <c r="BY143" i="6" s="1"/>
  <c r="CA214" i="6"/>
  <c r="BV214" i="6"/>
  <c r="BY214" i="6" s="1"/>
  <c r="CA188" i="6"/>
  <c r="BV188" i="6"/>
  <c r="BY188" i="6" s="1"/>
  <c r="CA430" i="6"/>
  <c r="BV430" i="6"/>
  <c r="BY430" i="6" s="1"/>
  <c r="CA281" i="6"/>
  <c r="BV281" i="6"/>
  <c r="BY281" i="6" s="1"/>
  <c r="CA77" i="6"/>
  <c r="BV77" i="6"/>
  <c r="BY77" i="6" s="1"/>
  <c r="CA91" i="6"/>
  <c r="BV91" i="6"/>
  <c r="BY91" i="6" s="1"/>
  <c r="CA334" i="6"/>
  <c r="BV334" i="6"/>
  <c r="BY334" i="6" s="1"/>
  <c r="CA366" i="6"/>
  <c r="BV366" i="6"/>
  <c r="BY366" i="6" s="1"/>
  <c r="CA236" i="6"/>
  <c r="BV236" i="6"/>
  <c r="BY236" i="6" s="1"/>
  <c r="CA184" i="6"/>
  <c r="BV184" i="6"/>
  <c r="BY184" i="6" s="1"/>
  <c r="CA429" i="6"/>
  <c r="BV429" i="6"/>
  <c r="BY429" i="6" s="1"/>
  <c r="CA113" i="6"/>
  <c r="BV113" i="6"/>
  <c r="BY113" i="6" s="1"/>
  <c r="CA243" i="6"/>
  <c r="BV243" i="6"/>
  <c r="BY243" i="6" s="1"/>
  <c r="CA135" i="6"/>
  <c r="BV135" i="6"/>
  <c r="BY135" i="6" s="1"/>
  <c r="AE404" i="6"/>
  <c r="AG404" i="6"/>
  <c r="AF404" i="6"/>
  <c r="AE412" i="6"/>
  <c r="AG412" i="6"/>
  <c r="AF412" i="6"/>
  <c r="AH412" i="6" s="1"/>
  <c r="AK412" i="6" s="1"/>
  <c r="AE317" i="6"/>
  <c r="AG317" i="6"/>
  <c r="AF317" i="6"/>
  <c r="AM413" i="6"/>
  <c r="AH413" i="6"/>
  <c r="AK413" i="6" s="1"/>
  <c r="AE191" i="6"/>
  <c r="AG191" i="6"/>
  <c r="AF191" i="6"/>
  <c r="AE300" i="6"/>
  <c r="AF300" i="6"/>
  <c r="AG300" i="6"/>
  <c r="AE109" i="6"/>
  <c r="AG109" i="6"/>
  <c r="AF109" i="6"/>
  <c r="AM94" i="6"/>
  <c r="AH94" i="6"/>
  <c r="AK94" i="6" s="1"/>
  <c r="AE178" i="6"/>
  <c r="AG178" i="6"/>
  <c r="AF178" i="6"/>
  <c r="AE91" i="6"/>
  <c r="AF91" i="6"/>
  <c r="AG91" i="6"/>
  <c r="AE76" i="6"/>
  <c r="AG76" i="6"/>
  <c r="AF76" i="6"/>
  <c r="AE389" i="6"/>
  <c r="AF389" i="6"/>
  <c r="AG389" i="6"/>
  <c r="AE256" i="6"/>
  <c r="AF256" i="6"/>
  <c r="AG256" i="6"/>
  <c r="AE65" i="6"/>
  <c r="AF65" i="6"/>
  <c r="AG65" i="6"/>
  <c r="AE327" i="6"/>
  <c r="AG327" i="6"/>
  <c r="AF327" i="6"/>
  <c r="AE337" i="6"/>
  <c r="AG337" i="6"/>
  <c r="AF337" i="6"/>
  <c r="AM200" i="6"/>
  <c r="AH200" i="6"/>
  <c r="AK200" i="6" s="1"/>
  <c r="AE219" i="6"/>
  <c r="AG219" i="6"/>
  <c r="AF219" i="6"/>
  <c r="AM349" i="6"/>
  <c r="AH349" i="6"/>
  <c r="AK349" i="6" s="1"/>
  <c r="AF299" i="6"/>
  <c r="AH299" i="6" s="1"/>
  <c r="AK299" i="6" s="1"/>
  <c r="AE299" i="6"/>
  <c r="AG299" i="6"/>
  <c r="AM235" i="6"/>
  <c r="AH235" i="6"/>
  <c r="AK235" i="6" s="1"/>
  <c r="AM382" i="6"/>
  <c r="AH382" i="6"/>
  <c r="AK382" i="6" s="1"/>
  <c r="AM350" i="6"/>
  <c r="AH350" i="6"/>
  <c r="AK350" i="6" s="1"/>
  <c r="AE286" i="6"/>
  <c r="AG286" i="6"/>
  <c r="AF286" i="6"/>
  <c r="AM222" i="6"/>
  <c r="AH222" i="6"/>
  <c r="AK222" i="6" s="1"/>
  <c r="AM63" i="6"/>
  <c r="AH63" i="6"/>
  <c r="AK63" i="6" s="1"/>
  <c r="AY63" i="6"/>
  <c r="BA63" i="6"/>
  <c r="AZ63" i="6"/>
  <c r="AY80" i="6"/>
  <c r="AZ80" i="6"/>
  <c r="BB80" i="6" s="1"/>
  <c r="BE80" i="6" s="1"/>
  <c r="BA80" i="6"/>
  <c r="AY217" i="6"/>
  <c r="AZ217" i="6"/>
  <c r="BA217" i="6"/>
  <c r="AY345" i="6"/>
  <c r="AZ345" i="6"/>
  <c r="BA345" i="6"/>
  <c r="AY405" i="6"/>
  <c r="AZ405" i="6"/>
  <c r="BA405" i="6"/>
  <c r="AY95" i="6"/>
  <c r="BA95" i="6"/>
  <c r="AZ95" i="6"/>
  <c r="AY261" i="6"/>
  <c r="AZ261" i="6"/>
  <c r="BA261" i="6"/>
  <c r="AY319" i="6"/>
  <c r="BA319" i="6"/>
  <c r="AZ319" i="6"/>
  <c r="BB388" i="6"/>
  <c r="BE388" i="6" s="1"/>
  <c r="AY424" i="6"/>
  <c r="AZ424" i="6"/>
  <c r="BA424" i="6"/>
  <c r="AY67" i="6"/>
  <c r="AZ67" i="6"/>
  <c r="BA67" i="6"/>
  <c r="AY88" i="6"/>
  <c r="BA88" i="6"/>
  <c r="AZ88" i="6"/>
  <c r="BB88" i="6" s="1"/>
  <c r="BE88" i="6" s="1"/>
  <c r="AY216" i="6"/>
  <c r="BA216" i="6"/>
  <c r="AZ216" i="6"/>
  <c r="AY179" i="6"/>
  <c r="AZ179" i="6"/>
  <c r="BA179" i="6"/>
  <c r="AY281" i="6"/>
  <c r="AZ281" i="6"/>
  <c r="BA281" i="6"/>
  <c r="BG320" i="6"/>
  <c r="BB320" i="6"/>
  <c r="BE320" i="6" s="1"/>
  <c r="AY359" i="6"/>
  <c r="BA359" i="6"/>
  <c r="AZ359" i="6"/>
  <c r="AY366" i="6"/>
  <c r="BA366" i="6"/>
  <c r="AZ366" i="6"/>
  <c r="AY125" i="6"/>
  <c r="AZ125" i="6"/>
  <c r="BA125" i="6"/>
  <c r="AY146" i="6"/>
  <c r="BA146" i="6"/>
  <c r="AZ146" i="6"/>
  <c r="BG291" i="6"/>
  <c r="BB291" i="6"/>
  <c r="BE291" i="6" s="1"/>
  <c r="CA386" i="6"/>
  <c r="BV386" i="6"/>
  <c r="BY386" i="6" s="1"/>
  <c r="CA406" i="6"/>
  <c r="CA247" i="6"/>
  <c r="BV247" i="6"/>
  <c r="BY247" i="6" s="1"/>
  <c r="CA120" i="6"/>
  <c r="BV120" i="6"/>
  <c r="BY120" i="6" s="1"/>
  <c r="CA348" i="6"/>
  <c r="BV348" i="6"/>
  <c r="BY348" i="6" s="1"/>
  <c r="CA317" i="6"/>
  <c r="BV317" i="6"/>
  <c r="BY317" i="6" s="1"/>
  <c r="CA438" i="6"/>
  <c r="BV438" i="6"/>
  <c r="BY438" i="6" s="1"/>
  <c r="CA259" i="6"/>
  <c r="BV259" i="6"/>
  <c r="BY259" i="6" s="1"/>
  <c r="CA145" i="6"/>
  <c r="BV145" i="6"/>
  <c r="BY145" i="6" s="1"/>
  <c r="CA116" i="6"/>
  <c r="BV116" i="6"/>
  <c r="BY116" i="6" s="1"/>
  <c r="CA344" i="6"/>
  <c r="BV344" i="6"/>
  <c r="BY344" i="6" s="1"/>
  <c r="CA359" i="6"/>
  <c r="BV359" i="6"/>
  <c r="BY359" i="6" s="1"/>
  <c r="CA228" i="6"/>
  <c r="BV228" i="6"/>
  <c r="BY228" i="6" s="1"/>
  <c r="CA246" i="6"/>
  <c r="BV246" i="6"/>
  <c r="BY246" i="6" s="1"/>
  <c r="CA257" i="6"/>
  <c r="BV257" i="6"/>
  <c r="BY257" i="6" s="1"/>
  <c r="CA130" i="6"/>
  <c r="BV130" i="6"/>
  <c r="BY130" i="6" s="1"/>
  <c r="CA265" i="6"/>
  <c r="BV265" i="6"/>
  <c r="BY265" i="6" s="1"/>
  <c r="CA139" i="6"/>
  <c r="BV139" i="6"/>
  <c r="BY139" i="6" s="1"/>
  <c r="CA354" i="6"/>
  <c r="BV354" i="6"/>
  <c r="BY354" i="6" s="1"/>
  <c r="CA378" i="6"/>
  <c r="BV378" i="6"/>
  <c r="BY378" i="6" s="1"/>
  <c r="CA266" i="6"/>
  <c r="BV266" i="6"/>
  <c r="BY266" i="6" s="1"/>
  <c r="CA332" i="6"/>
  <c r="BV332" i="6"/>
  <c r="BY332" i="6" s="1"/>
  <c r="CA70" i="6"/>
  <c r="BV70" i="6"/>
  <c r="BY70" i="6" s="1"/>
  <c r="CA403" i="6"/>
  <c r="BV403" i="6"/>
  <c r="BY403" i="6" s="1"/>
  <c r="CA328" i="6"/>
  <c r="BV328" i="6"/>
  <c r="BY328" i="6" s="1"/>
  <c r="CA357" i="6"/>
  <c r="BV357" i="6"/>
  <c r="BY357" i="6" s="1"/>
  <c r="CA125" i="6"/>
  <c r="BV125" i="6"/>
  <c r="BY125" i="6" s="1"/>
  <c r="CA154" i="6"/>
  <c r="CA294" i="6"/>
  <c r="BV294" i="6"/>
  <c r="BY294" i="6" s="1"/>
  <c r="CA221" i="6"/>
  <c r="BV221" i="6"/>
  <c r="BY221" i="6" s="1"/>
  <c r="CA151" i="6"/>
  <c r="BV151" i="6"/>
  <c r="BY151" i="6" s="1"/>
  <c r="I55" i="6"/>
  <c r="L55" i="6" s="1"/>
  <c r="R55" i="6"/>
  <c r="AE184" i="6"/>
  <c r="AG184" i="6"/>
  <c r="AF184" i="6"/>
  <c r="AE406" i="6"/>
  <c r="AF406" i="6"/>
  <c r="AG406" i="6"/>
  <c r="AE197" i="6"/>
  <c r="AF197" i="6"/>
  <c r="AG197" i="6"/>
  <c r="AE329" i="6"/>
  <c r="AF329" i="6"/>
  <c r="AH329" i="6" s="1"/>
  <c r="AK329" i="6" s="1"/>
  <c r="AG329" i="6"/>
  <c r="AM324" i="6"/>
  <c r="AH324" i="6"/>
  <c r="AK324" i="6" s="1"/>
  <c r="AE260" i="6"/>
  <c r="AF260" i="6"/>
  <c r="AH260" i="6" s="1"/>
  <c r="AK260" i="6" s="1"/>
  <c r="AG260" i="6"/>
  <c r="AE101" i="6"/>
  <c r="AG101" i="6"/>
  <c r="AF101" i="6"/>
  <c r="AH101" i="6" s="1"/>
  <c r="AK101" i="6" s="1"/>
  <c r="AM274" i="6"/>
  <c r="AH274" i="6"/>
  <c r="AK274" i="6" s="1"/>
  <c r="AE83" i="6"/>
  <c r="AG83" i="6"/>
  <c r="AF83" i="6"/>
  <c r="AE68" i="6"/>
  <c r="AF68" i="6"/>
  <c r="AG68" i="6"/>
  <c r="AE311" i="6"/>
  <c r="AF311" i="6"/>
  <c r="AH311" i="6" s="1"/>
  <c r="AK311" i="6" s="1"/>
  <c r="AG311" i="6"/>
  <c r="AE153" i="6"/>
  <c r="AG153" i="6"/>
  <c r="AF153" i="6"/>
  <c r="AE138" i="6"/>
  <c r="AG138" i="6"/>
  <c r="AF138" i="6"/>
  <c r="AM432" i="6"/>
  <c r="AH432" i="6"/>
  <c r="AK432" i="6" s="1"/>
  <c r="AM208" i="6"/>
  <c r="AH208" i="6"/>
  <c r="AK208" i="6" s="1"/>
  <c r="AM436" i="6"/>
  <c r="AH436" i="6"/>
  <c r="AK436" i="6" s="1"/>
  <c r="AM170" i="6"/>
  <c r="AH170" i="6"/>
  <c r="AK170" i="6" s="1"/>
  <c r="AE72" i="6"/>
  <c r="AF72" i="6"/>
  <c r="AG72" i="6"/>
  <c r="AY161" i="6"/>
  <c r="BA161" i="6"/>
  <c r="AZ161" i="6"/>
  <c r="AY139" i="6"/>
  <c r="AZ139" i="6"/>
  <c r="BA139" i="6"/>
  <c r="AY178" i="6"/>
  <c r="AZ178" i="6"/>
  <c r="BA178" i="6"/>
  <c r="AY351" i="6"/>
  <c r="BA351" i="6"/>
  <c r="AZ351" i="6"/>
  <c r="AY280" i="6"/>
  <c r="BA280" i="6"/>
  <c r="AZ280" i="6"/>
  <c r="BB280" i="6" s="1"/>
  <c r="BE280" i="6" s="1"/>
  <c r="AY408" i="6"/>
  <c r="BA408" i="6"/>
  <c r="AZ408" i="6"/>
  <c r="AY441" i="6"/>
  <c r="AZ441" i="6"/>
  <c r="BB441" i="6" s="1"/>
  <c r="BE441" i="6" s="1"/>
  <c r="BA441" i="6"/>
  <c r="AY68" i="6"/>
  <c r="BA68" i="6"/>
  <c r="AZ68" i="6"/>
  <c r="BB68" i="6" s="1"/>
  <c r="BE68" i="6" s="1"/>
  <c r="AY236" i="6"/>
  <c r="AZ236" i="6"/>
  <c r="BA236" i="6"/>
  <c r="AY333" i="6"/>
  <c r="BA333" i="6"/>
  <c r="AZ333" i="6"/>
  <c r="AY376" i="6"/>
  <c r="AZ376" i="6"/>
  <c r="BB376" i="6" s="1"/>
  <c r="BE376" i="6" s="1"/>
  <c r="BA376" i="6"/>
  <c r="BG119" i="6"/>
  <c r="BB119" i="6"/>
  <c r="BE119" i="6" s="1"/>
  <c r="AY234" i="6"/>
  <c r="BA234" i="6"/>
  <c r="AZ234" i="6"/>
  <c r="AY255" i="6"/>
  <c r="AZ255" i="6"/>
  <c r="BA255" i="6"/>
  <c r="BG347" i="6"/>
  <c r="CA230" i="6"/>
  <c r="BV230" i="6"/>
  <c r="BY230" i="6" s="1"/>
  <c r="CA316" i="6"/>
  <c r="BV316" i="6"/>
  <c r="BY316" i="6" s="1"/>
  <c r="CA52" i="6"/>
  <c r="BV52" i="6"/>
  <c r="BY52" i="6" s="1"/>
  <c r="BZ52" i="6"/>
  <c r="BZ53" i="6" s="1"/>
  <c r="BZ54" i="6" s="1"/>
  <c r="BZ55" i="6" s="1"/>
  <c r="BZ56" i="6" s="1"/>
  <c r="BZ57" i="6" s="1"/>
  <c r="BZ58" i="6" s="1"/>
  <c r="BZ59" i="6" s="1"/>
  <c r="BZ60" i="6" s="1"/>
  <c r="BZ61" i="6" s="1"/>
  <c r="BZ62" i="6" s="1"/>
  <c r="BZ63" i="6" s="1"/>
  <c r="BZ64" i="6" s="1"/>
  <c r="BZ65" i="6" s="1"/>
  <c r="BZ66" i="6" s="1"/>
  <c r="BZ67" i="6" s="1"/>
  <c r="BZ68" i="6" s="1"/>
  <c r="BZ69" i="6" s="1"/>
  <c r="BZ70" i="6" s="1"/>
  <c r="BZ71" i="6" s="1"/>
  <c r="BZ72" i="6" s="1"/>
  <c r="BZ73" i="6" s="1"/>
  <c r="BZ74" i="6" s="1"/>
  <c r="BZ75" i="6" s="1"/>
  <c r="BZ76" i="6" s="1"/>
  <c r="BZ77" i="6" s="1"/>
  <c r="BZ78" i="6" s="1"/>
  <c r="BZ79" i="6" s="1"/>
  <c r="BZ80" i="6" s="1"/>
  <c r="BZ81" i="6" s="1"/>
  <c r="BZ82" i="6" s="1"/>
  <c r="BZ83" i="6" s="1"/>
  <c r="BZ84" i="6" s="1"/>
  <c r="BZ85" i="6" s="1"/>
  <c r="BZ86" i="6" s="1"/>
  <c r="BZ87" i="6" s="1"/>
  <c r="BZ88" i="6" s="1"/>
  <c r="BZ89" i="6" s="1"/>
  <c r="BZ90" i="6" s="1"/>
  <c r="BZ91" i="6" s="1"/>
  <c r="BZ92" i="6" s="1"/>
  <c r="BZ93" i="6" s="1"/>
  <c r="BZ94" i="6" s="1"/>
  <c r="BZ95" i="6" s="1"/>
  <c r="BZ96" i="6" s="1"/>
  <c r="BZ97" i="6" s="1"/>
  <c r="BZ98" i="6" s="1"/>
  <c r="BZ99" i="6" s="1"/>
  <c r="BZ100" i="6" s="1"/>
  <c r="BZ101" i="6" s="1"/>
  <c r="BZ102" i="6" s="1"/>
  <c r="BZ103" i="6" s="1"/>
  <c r="BZ104" i="6" s="1"/>
  <c r="BZ105" i="6" s="1"/>
  <c r="BZ106" i="6" s="1"/>
  <c r="BZ107" i="6" s="1"/>
  <c r="BZ108" i="6" s="1"/>
  <c r="BZ109" i="6" s="1"/>
  <c r="BZ110" i="6" s="1"/>
  <c r="BZ111" i="6" s="1"/>
  <c r="BZ112" i="6" s="1"/>
  <c r="BZ113" i="6" s="1"/>
  <c r="BZ114" i="6" s="1"/>
  <c r="BZ115" i="6" s="1"/>
  <c r="BZ116" i="6" s="1"/>
  <c r="BZ117" i="6" s="1"/>
  <c r="BZ118" i="6" s="1"/>
  <c r="BZ119" i="6" s="1"/>
  <c r="BZ120" i="6" s="1"/>
  <c r="BZ121" i="6" s="1"/>
  <c r="BZ122" i="6" s="1"/>
  <c r="BZ123" i="6" s="1"/>
  <c r="BZ124" i="6" s="1"/>
  <c r="BZ125" i="6" s="1"/>
  <c r="BZ126" i="6" s="1"/>
  <c r="BZ127" i="6" s="1"/>
  <c r="BZ128" i="6" s="1"/>
  <c r="BZ129" i="6" s="1"/>
  <c r="BZ130" i="6" s="1"/>
  <c r="BZ131" i="6" s="1"/>
  <c r="BZ132" i="6" s="1"/>
  <c r="BZ133" i="6" s="1"/>
  <c r="BZ134" i="6" s="1"/>
  <c r="BZ135" i="6" s="1"/>
  <c r="BZ136" i="6" s="1"/>
  <c r="BZ137" i="6" s="1"/>
  <c r="BZ138" i="6" s="1"/>
  <c r="BZ139" i="6" s="1"/>
  <c r="BZ140" i="6" s="1"/>
  <c r="BZ141" i="6" s="1"/>
  <c r="BZ142" i="6" s="1"/>
  <c r="BZ143" i="6" s="1"/>
  <c r="BZ144" i="6" s="1"/>
  <c r="BZ145" i="6" s="1"/>
  <c r="BZ146" i="6" s="1"/>
  <c r="BZ147" i="6" s="1"/>
  <c r="BZ148" i="6" s="1"/>
  <c r="BZ149" i="6" s="1"/>
  <c r="BZ150" i="6" s="1"/>
  <c r="BZ151" i="6" s="1"/>
  <c r="BZ152" i="6" s="1"/>
  <c r="BZ153" i="6" s="1"/>
  <c r="BZ154" i="6" s="1"/>
  <c r="BZ155" i="6" s="1"/>
  <c r="BZ156" i="6" s="1"/>
  <c r="BZ157" i="6" s="1"/>
  <c r="BZ158" i="6" s="1"/>
  <c r="BZ159" i="6" s="1"/>
  <c r="BZ160" i="6" s="1"/>
  <c r="BZ161" i="6" s="1"/>
  <c r="BZ162" i="6" s="1"/>
  <c r="BZ163" i="6" s="1"/>
  <c r="BZ164" i="6" s="1"/>
  <c r="BZ165" i="6" s="1"/>
  <c r="BZ166" i="6" s="1"/>
  <c r="BZ167" i="6" s="1"/>
  <c r="BZ168" i="6" s="1"/>
  <c r="BZ169" i="6" s="1"/>
  <c r="BZ170" i="6" s="1"/>
  <c r="BZ171" i="6" s="1"/>
  <c r="BZ172" i="6" s="1"/>
  <c r="BZ173" i="6" s="1"/>
  <c r="BZ174" i="6" s="1"/>
  <c r="BZ175" i="6" s="1"/>
  <c r="BZ176" i="6" s="1"/>
  <c r="BZ177" i="6" s="1"/>
  <c r="BZ178" i="6" s="1"/>
  <c r="BZ179" i="6" s="1"/>
  <c r="BZ180" i="6" s="1"/>
  <c r="BZ181" i="6" s="1"/>
  <c r="BZ182" i="6" s="1"/>
  <c r="BZ183" i="6" s="1"/>
  <c r="BZ184" i="6" s="1"/>
  <c r="BZ185" i="6" s="1"/>
  <c r="BZ186" i="6" s="1"/>
  <c r="BZ187" i="6" s="1"/>
  <c r="BZ188" i="6" s="1"/>
  <c r="BZ189" i="6" s="1"/>
  <c r="BZ190" i="6" s="1"/>
  <c r="BZ191" i="6" s="1"/>
  <c r="BZ192" i="6" s="1"/>
  <c r="BZ193" i="6" s="1"/>
  <c r="BZ194" i="6" s="1"/>
  <c r="BZ195" i="6" s="1"/>
  <c r="BZ196" i="6" s="1"/>
  <c r="BZ197" i="6" s="1"/>
  <c r="BZ198" i="6" s="1"/>
  <c r="BZ199" i="6" s="1"/>
  <c r="BZ200" i="6" s="1"/>
  <c r="BZ201" i="6" s="1"/>
  <c r="BZ202" i="6" s="1"/>
  <c r="BZ203" i="6" s="1"/>
  <c r="BZ204" i="6" s="1"/>
  <c r="BZ205" i="6" s="1"/>
  <c r="BZ206" i="6" s="1"/>
  <c r="BZ207" i="6" s="1"/>
  <c r="BZ208" i="6" s="1"/>
  <c r="BZ209" i="6" s="1"/>
  <c r="BZ210" i="6" s="1"/>
  <c r="BZ211" i="6" s="1"/>
  <c r="BZ212" i="6" s="1"/>
  <c r="BZ213" i="6" s="1"/>
  <c r="BZ214" i="6" s="1"/>
  <c r="BZ215" i="6" s="1"/>
  <c r="BZ216" i="6" s="1"/>
  <c r="BZ217" i="6" s="1"/>
  <c r="BZ218" i="6" s="1"/>
  <c r="BZ219" i="6" s="1"/>
  <c r="BZ220" i="6" s="1"/>
  <c r="BZ221" i="6" s="1"/>
  <c r="BZ222" i="6" s="1"/>
  <c r="BZ223" i="6" s="1"/>
  <c r="BZ224" i="6" s="1"/>
  <c r="BZ225" i="6" s="1"/>
  <c r="BZ226" i="6" s="1"/>
  <c r="BZ227" i="6" s="1"/>
  <c r="BZ228" i="6" s="1"/>
  <c r="BZ229" i="6" s="1"/>
  <c r="BZ230" i="6" s="1"/>
  <c r="BZ231" i="6" s="1"/>
  <c r="BZ232" i="6" s="1"/>
  <c r="BZ233" i="6" s="1"/>
  <c r="BZ234" i="6" s="1"/>
  <c r="BZ235" i="6" s="1"/>
  <c r="BZ236" i="6" s="1"/>
  <c r="BZ237" i="6" s="1"/>
  <c r="BZ238" i="6" s="1"/>
  <c r="BZ239" i="6" s="1"/>
  <c r="BZ240" i="6" s="1"/>
  <c r="BZ241" i="6" s="1"/>
  <c r="BZ242" i="6" s="1"/>
  <c r="BZ243" i="6" s="1"/>
  <c r="BZ244" i="6" s="1"/>
  <c r="BZ245" i="6" s="1"/>
  <c r="BZ246" i="6" s="1"/>
  <c r="BZ247" i="6" s="1"/>
  <c r="BZ248" i="6" s="1"/>
  <c r="BZ249" i="6" s="1"/>
  <c r="BZ250" i="6" s="1"/>
  <c r="BZ251" i="6" s="1"/>
  <c r="BZ252" i="6" s="1"/>
  <c r="BZ253" i="6" s="1"/>
  <c r="BZ254" i="6" s="1"/>
  <c r="BZ255" i="6" s="1"/>
  <c r="BZ256" i="6" s="1"/>
  <c r="BZ257" i="6" s="1"/>
  <c r="BZ258" i="6" s="1"/>
  <c r="BZ259" i="6" s="1"/>
  <c r="BZ260" i="6" s="1"/>
  <c r="BZ261" i="6" s="1"/>
  <c r="BZ262" i="6" s="1"/>
  <c r="BZ263" i="6" s="1"/>
  <c r="BZ264" i="6" s="1"/>
  <c r="BZ265" i="6" s="1"/>
  <c r="BZ266" i="6" s="1"/>
  <c r="BZ267" i="6" s="1"/>
  <c r="BZ268" i="6" s="1"/>
  <c r="BZ269" i="6" s="1"/>
  <c r="BZ270" i="6" s="1"/>
  <c r="BZ271" i="6" s="1"/>
  <c r="BZ272" i="6" s="1"/>
  <c r="BZ273" i="6" s="1"/>
  <c r="BZ274" i="6" s="1"/>
  <c r="BZ275" i="6" s="1"/>
  <c r="BZ276" i="6" s="1"/>
  <c r="BZ277" i="6" s="1"/>
  <c r="BZ278" i="6" s="1"/>
  <c r="BZ279" i="6" s="1"/>
  <c r="BZ280" i="6" s="1"/>
  <c r="BZ281" i="6" s="1"/>
  <c r="BZ282" i="6" s="1"/>
  <c r="BZ283" i="6" s="1"/>
  <c r="BZ284" i="6" s="1"/>
  <c r="BZ285" i="6" s="1"/>
  <c r="BZ286" i="6" s="1"/>
  <c r="BZ287" i="6" s="1"/>
  <c r="BZ288" i="6" s="1"/>
  <c r="BZ289" i="6" s="1"/>
  <c r="BZ290" i="6" s="1"/>
  <c r="BZ291" i="6" s="1"/>
  <c r="BZ292" i="6" s="1"/>
  <c r="BZ293" i="6" s="1"/>
  <c r="BZ294" i="6" s="1"/>
  <c r="BZ295" i="6" s="1"/>
  <c r="BZ296" i="6" s="1"/>
  <c r="BZ297" i="6" s="1"/>
  <c r="BZ298" i="6" s="1"/>
  <c r="BZ299" i="6" s="1"/>
  <c r="BZ300" i="6" s="1"/>
  <c r="BZ301" i="6" s="1"/>
  <c r="BZ302" i="6" s="1"/>
  <c r="BZ303" i="6" s="1"/>
  <c r="BZ304" i="6" s="1"/>
  <c r="BZ305" i="6" s="1"/>
  <c r="BZ306" i="6" s="1"/>
  <c r="BZ307" i="6" s="1"/>
  <c r="BZ308" i="6" s="1"/>
  <c r="BZ309" i="6" s="1"/>
  <c r="BZ310" i="6" s="1"/>
  <c r="BZ311" i="6" s="1"/>
  <c r="BZ312" i="6" s="1"/>
  <c r="BZ313" i="6" s="1"/>
  <c r="BZ314" i="6" s="1"/>
  <c r="BZ315" i="6" s="1"/>
  <c r="BZ316" i="6" s="1"/>
  <c r="BZ317" i="6" s="1"/>
  <c r="BZ318" i="6" s="1"/>
  <c r="BZ319" i="6" s="1"/>
  <c r="BZ320" i="6" s="1"/>
  <c r="BZ321" i="6" s="1"/>
  <c r="BZ322" i="6" s="1"/>
  <c r="BZ323" i="6" s="1"/>
  <c r="BZ324" i="6" s="1"/>
  <c r="BZ325" i="6" s="1"/>
  <c r="BZ326" i="6" s="1"/>
  <c r="BZ327" i="6" s="1"/>
  <c r="BZ328" i="6" s="1"/>
  <c r="BZ329" i="6" s="1"/>
  <c r="BZ330" i="6" s="1"/>
  <c r="BZ331" i="6" s="1"/>
  <c r="BZ332" i="6" s="1"/>
  <c r="BZ333" i="6" s="1"/>
  <c r="BZ334" i="6" s="1"/>
  <c r="BZ335" i="6" s="1"/>
  <c r="BZ336" i="6" s="1"/>
  <c r="BZ337" i="6" s="1"/>
  <c r="BZ338" i="6" s="1"/>
  <c r="BZ339" i="6" s="1"/>
  <c r="BZ340" i="6" s="1"/>
  <c r="BZ341" i="6" s="1"/>
  <c r="BZ342" i="6" s="1"/>
  <c r="BZ343" i="6" s="1"/>
  <c r="BZ344" i="6" s="1"/>
  <c r="BZ345" i="6" s="1"/>
  <c r="BZ346" i="6" s="1"/>
  <c r="BZ347" i="6" s="1"/>
  <c r="BZ348" i="6" s="1"/>
  <c r="BZ349" i="6" s="1"/>
  <c r="BZ350" i="6" s="1"/>
  <c r="BZ351" i="6" s="1"/>
  <c r="BZ352" i="6" s="1"/>
  <c r="BZ353" i="6" s="1"/>
  <c r="BZ354" i="6" s="1"/>
  <c r="BZ355" i="6" s="1"/>
  <c r="BZ356" i="6" s="1"/>
  <c r="BZ357" i="6" s="1"/>
  <c r="BZ358" i="6" s="1"/>
  <c r="BZ359" i="6" s="1"/>
  <c r="BZ360" i="6" s="1"/>
  <c r="BZ361" i="6" s="1"/>
  <c r="BZ362" i="6" s="1"/>
  <c r="BZ363" i="6" s="1"/>
  <c r="BZ364" i="6" s="1"/>
  <c r="BZ365" i="6" s="1"/>
  <c r="BZ366" i="6" s="1"/>
  <c r="BZ367" i="6" s="1"/>
  <c r="BZ368" i="6" s="1"/>
  <c r="BZ369" i="6" s="1"/>
  <c r="BZ370" i="6" s="1"/>
  <c r="BZ371" i="6" s="1"/>
  <c r="BZ372" i="6" s="1"/>
  <c r="BZ373" i="6" s="1"/>
  <c r="BZ374" i="6" s="1"/>
  <c r="BZ375" i="6" s="1"/>
  <c r="BZ376" i="6" s="1"/>
  <c r="BZ377" i="6" s="1"/>
  <c r="BZ378" i="6" s="1"/>
  <c r="BZ379" i="6" s="1"/>
  <c r="BZ380" i="6" s="1"/>
  <c r="BZ381" i="6" s="1"/>
  <c r="BZ382" i="6" s="1"/>
  <c r="BZ383" i="6" s="1"/>
  <c r="BZ384" i="6" s="1"/>
  <c r="BZ385" i="6" s="1"/>
  <c r="BZ386" i="6" s="1"/>
  <c r="BZ387" i="6" s="1"/>
  <c r="BZ388" i="6" s="1"/>
  <c r="BZ389" i="6" s="1"/>
  <c r="BZ390" i="6" s="1"/>
  <c r="BZ391" i="6" s="1"/>
  <c r="BZ392" i="6" s="1"/>
  <c r="BZ393" i="6" s="1"/>
  <c r="BZ394" i="6" s="1"/>
  <c r="BZ395" i="6" s="1"/>
  <c r="BZ396" i="6" s="1"/>
  <c r="BZ397" i="6" s="1"/>
  <c r="BZ398" i="6" s="1"/>
  <c r="BZ399" i="6" s="1"/>
  <c r="BZ400" i="6" s="1"/>
  <c r="BZ401" i="6" s="1"/>
  <c r="BZ402" i="6" s="1"/>
  <c r="BZ403" i="6" s="1"/>
  <c r="BZ404" i="6" s="1"/>
  <c r="BZ405" i="6" s="1"/>
  <c r="BZ406" i="6" s="1"/>
  <c r="BZ407" i="6" s="1"/>
  <c r="BZ408" i="6" s="1"/>
  <c r="BZ409" i="6" s="1"/>
  <c r="BZ410" i="6" s="1"/>
  <c r="BZ411" i="6" s="1"/>
  <c r="BZ412" i="6" s="1"/>
  <c r="BZ413" i="6" s="1"/>
  <c r="BZ414" i="6" s="1"/>
  <c r="BZ415" i="6" s="1"/>
  <c r="BZ416" i="6" s="1"/>
  <c r="BZ417" i="6" s="1"/>
  <c r="BZ418" i="6" s="1"/>
  <c r="BZ419" i="6" s="1"/>
  <c r="BZ420" i="6" s="1"/>
  <c r="BZ421" i="6" s="1"/>
  <c r="BZ422" i="6" s="1"/>
  <c r="BZ423" i="6" s="1"/>
  <c r="BZ424" i="6" s="1"/>
  <c r="BZ425" i="6" s="1"/>
  <c r="BZ426" i="6" s="1"/>
  <c r="BZ427" i="6" s="1"/>
  <c r="BZ428" i="6" s="1"/>
  <c r="BZ429" i="6" s="1"/>
  <c r="BZ430" i="6" s="1"/>
  <c r="BZ431" i="6" s="1"/>
  <c r="BZ432" i="6" s="1"/>
  <c r="BZ433" i="6" s="1"/>
  <c r="BZ434" i="6" s="1"/>
  <c r="BZ435" i="6" s="1"/>
  <c r="BZ436" i="6" s="1"/>
  <c r="BZ437" i="6" s="1"/>
  <c r="BZ438" i="6" s="1"/>
  <c r="BZ439" i="6" s="1"/>
  <c r="BZ440" i="6" s="1"/>
  <c r="BZ441" i="6" s="1"/>
  <c r="BZ45" i="6" s="1"/>
  <c r="CA118" i="6"/>
  <c r="BV118" i="6"/>
  <c r="BY118" i="6" s="1"/>
  <c r="CA373" i="6"/>
  <c r="BV373" i="6"/>
  <c r="BY373" i="6" s="1"/>
  <c r="CA229" i="6"/>
  <c r="BV229" i="6"/>
  <c r="BY229" i="6" s="1"/>
  <c r="CA306" i="6"/>
  <c r="BV306" i="6"/>
  <c r="BY306" i="6" s="1"/>
  <c r="CA313" i="6"/>
  <c r="BV313" i="6"/>
  <c r="BY313" i="6" s="1"/>
  <c r="CA223" i="6"/>
  <c r="BV223" i="6"/>
  <c r="BY223" i="6" s="1"/>
  <c r="CA61" i="6"/>
  <c r="BV61" i="6"/>
  <c r="BY61" i="6" s="1"/>
  <c r="CA399" i="6"/>
  <c r="BV399" i="6"/>
  <c r="BY399" i="6" s="1"/>
  <c r="CA255" i="6"/>
  <c r="CA369" i="6"/>
  <c r="BV369" i="6"/>
  <c r="BY369" i="6" s="1"/>
  <c r="CA260" i="6"/>
  <c r="BV260" i="6"/>
  <c r="BY260" i="6" s="1"/>
  <c r="CA83" i="6"/>
  <c r="BV83" i="6"/>
  <c r="BY83" i="6" s="1"/>
  <c r="CA326" i="6"/>
  <c r="BV326" i="6"/>
  <c r="BY326" i="6" s="1"/>
  <c r="CA379" i="6"/>
  <c r="BV379" i="6"/>
  <c r="BY379" i="6" s="1"/>
  <c r="CA355" i="6"/>
  <c r="BV355" i="6"/>
  <c r="BY355" i="6" s="1"/>
  <c r="BU51" i="6"/>
  <c r="BT51" i="6"/>
  <c r="CA253" i="6"/>
  <c r="BV253" i="6"/>
  <c r="BY253" i="6" s="1"/>
  <c r="CA222" i="6"/>
  <c r="BV222" i="6"/>
  <c r="BY222" i="6" s="1"/>
  <c r="CA138" i="6"/>
  <c r="BV138" i="6"/>
  <c r="BY138" i="6" s="1"/>
  <c r="CA417" i="6"/>
  <c r="BV417" i="6"/>
  <c r="BY417" i="6" s="1"/>
  <c r="CA124" i="6"/>
  <c r="BV124" i="6"/>
  <c r="BY124" i="6" s="1"/>
  <c r="CA327" i="6"/>
  <c r="BV327" i="6"/>
  <c r="BY327" i="6" s="1"/>
  <c r="AE425" i="6"/>
  <c r="AG425" i="6"/>
  <c r="AF425" i="6"/>
  <c r="AE179" i="6"/>
  <c r="AG179" i="6"/>
  <c r="AF179" i="6"/>
  <c r="AE265" i="6"/>
  <c r="AF265" i="6"/>
  <c r="AH265" i="6" s="1"/>
  <c r="AK265" i="6" s="1"/>
  <c r="AG265" i="6"/>
  <c r="AE307" i="6"/>
  <c r="AF307" i="6"/>
  <c r="AG307" i="6"/>
  <c r="AE157" i="6"/>
  <c r="AG157" i="6"/>
  <c r="AF157" i="6"/>
  <c r="AH157" i="6" s="1"/>
  <c r="AK157" i="6" s="1"/>
  <c r="AE61" i="6"/>
  <c r="AF61" i="6"/>
  <c r="AG61" i="6"/>
  <c r="AM110" i="6"/>
  <c r="AH110" i="6"/>
  <c r="AK110" i="6" s="1"/>
  <c r="AE279" i="6"/>
  <c r="AG279" i="6"/>
  <c r="AF279" i="6"/>
  <c r="AM156" i="6"/>
  <c r="AH156" i="6"/>
  <c r="AK156" i="6" s="1"/>
  <c r="AE433" i="6"/>
  <c r="AG433" i="6"/>
  <c r="AF433" i="6"/>
  <c r="AM355" i="6"/>
  <c r="AH355" i="6"/>
  <c r="AK355" i="6" s="1"/>
  <c r="AM162" i="6"/>
  <c r="AH162" i="6"/>
  <c r="AK162" i="6" s="1"/>
  <c r="AE203" i="6"/>
  <c r="AF203" i="6"/>
  <c r="AG203" i="6"/>
  <c r="AE415" i="6"/>
  <c r="AG415" i="6"/>
  <c r="AF415" i="6"/>
  <c r="AM283" i="6"/>
  <c r="AH283" i="6"/>
  <c r="AK283" i="6" s="1"/>
  <c r="AM196" i="6"/>
  <c r="AH196" i="6"/>
  <c r="AK196" i="6" s="1"/>
  <c r="AM302" i="6"/>
  <c r="AH302" i="6"/>
  <c r="AK302" i="6" s="1"/>
  <c r="AM143" i="6"/>
  <c r="AH143" i="6"/>
  <c r="AK143" i="6" s="1"/>
  <c r="AM64" i="6"/>
  <c r="AH64" i="6"/>
  <c r="AK64" i="6" s="1"/>
  <c r="AY113" i="6"/>
  <c r="AZ113" i="6"/>
  <c r="BA113" i="6"/>
  <c r="AY245" i="6"/>
  <c r="AZ245" i="6"/>
  <c r="BA245" i="6"/>
  <c r="AY323" i="6"/>
  <c r="AZ323" i="6"/>
  <c r="BA323" i="6"/>
  <c r="AY306" i="6"/>
  <c r="BA306" i="6"/>
  <c r="AZ306" i="6"/>
  <c r="BB306" i="6" s="1"/>
  <c r="BE306" i="6" s="1"/>
  <c r="BG420" i="6"/>
  <c r="BB420" i="6"/>
  <c r="BE420" i="6" s="1"/>
  <c r="BG127" i="6"/>
  <c r="BB127" i="6"/>
  <c r="BE127" i="6" s="1"/>
  <c r="AY212" i="6"/>
  <c r="AZ212" i="6"/>
  <c r="BA212" i="6"/>
  <c r="AY243" i="6"/>
  <c r="AZ243" i="6"/>
  <c r="BA243" i="6"/>
  <c r="AY288" i="6"/>
  <c r="AZ288" i="6"/>
  <c r="BB288" i="6" s="1"/>
  <c r="BE288" i="6" s="1"/>
  <c r="BA288" i="6"/>
  <c r="AY157" i="6"/>
  <c r="BA157" i="6"/>
  <c r="AZ157" i="6"/>
  <c r="BG174" i="6"/>
  <c r="BB174" i="6"/>
  <c r="BE174" i="6" s="1"/>
  <c r="BG381" i="6"/>
  <c r="BB381" i="6"/>
  <c r="BE381" i="6" s="1"/>
  <c r="CA235" i="6"/>
  <c r="BV235" i="6"/>
  <c r="BY235" i="6" s="1"/>
  <c r="CA121" i="6"/>
  <c r="BV121" i="6"/>
  <c r="BY121" i="6" s="1"/>
  <c r="CA275" i="6"/>
  <c r="BV275" i="6"/>
  <c r="BY275" i="6" s="1"/>
  <c r="CA161" i="6"/>
  <c r="BV161" i="6"/>
  <c r="BY161" i="6" s="1"/>
  <c r="CA132" i="6"/>
  <c r="BV132" i="6"/>
  <c r="BY132" i="6" s="1"/>
  <c r="CA360" i="6"/>
  <c r="BV360" i="6"/>
  <c r="BY360" i="6" s="1"/>
  <c r="CA375" i="6"/>
  <c r="BV375" i="6"/>
  <c r="BY375" i="6" s="1"/>
  <c r="CA180" i="6"/>
  <c r="BV180" i="6"/>
  <c r="BY180" i="6" s="1"/>
  <c r="CA231" i="6"/>
  <c r="BV231" i="6"/>
  <c r="BY231" i="6" s="1"/>
  <c r="CA104" i="6"/>
  <c r="BV104" i="6"/>
  <c r="BY104" i="6" s="1"/>
  <c r="CA200" i="6"/>
  <c r="BV200" i="6"/>
  <c r="BY200" i="6" s="1"/>
  <c r="CA436" i="6"/>
  <c r="BV436" i="6"/>
  <c r="BY436" i="6" s="1"/>
  <c r="CA382" i="6"/>
  <c r="BV382" i="6"/>
  <c r="BY382" i="6" s="1"/>
  <c r="CA234" i="6"/>
  <c r="BV234" i="6"/>
  <c r="BY234" i="6" s="1"/>
  <c r="CA362" i="6"/>
  <c r="BV362" i="6"/>
  <c r="BY362" i="6" s="1"/>
  <c r="CA196" i="6"/>
  <c r="BV196" i="6"/>
  <c r="BY196" i="6" s="1"/>
  <c r="CA278" i="6"/>
  <c r="BV278" i="6"/>
  <c r="BY278" i="6" s="1"/>
  <c r="CA114" i="6"/>
  <c r="BV114" i="6"/>
  <c r="BY114" i="6" s="1"/>
  <c r="CA169" i="6"/>
  <c r="BV169" i="6"/>
  <c r="BY169" i="6" s="1"/>
  <c r="CA338" i="6"/>
  <c r="BV338" i="6"/>
  <c r="BY338" i="6" s="1"/>
  <c r="AE386" i="6"/>
  <c r="AG386" i="6"/>
  <c r="AF386" i="6"/>
  <c r="AE293" i="6"/>
  <c r="AG293" i="6"/>
  <c r="AF293" i="6"/>
  <c r="AE431" i="6"/>
  <c r="AG431" i="6"/>
  <c r="AF431" i="6"/>
  <c r="AE289" i="6"/>
  <c r="AG289" i="6"/>
  <c r="AF289" i="6"/>
  <c r="AE363" i="6"/>
  <c r="AF363" i="6"/>
  <c r="AG363" i="6"/>
  <c r="AE201" i="6"/>
  <c r="AF201" i="6"/>
  <c r="AG201" i="6"/>
  <c r="AE53" i="6"/>
  <c r="AF53" i="6"/>
  <c r="AG53" i="6"/>
  <c r="AE195" i="6"/>
  <c r="AG195" i="6"/>
  <c r="AF195" i="6"/>
  <c r="AE194" i="6"/>
  <c r="AG194" i="6"/>
  <c r="AF194" i="6"/>
  <c r="AM325" i="6"/>
  <c r="AH325" i="6"/>
  <c r="AK325" i="6" s="1"/>
  <c r="AM192" i="6"/>
  <c r="AH192" i="6"/>
  <c r="AK192" i="6" s="1"/>
  <c r="AM326" i="6"/>
  <c r="AH326" i="6"/>
  <c r="AK326" i="6" s="1"/>
  <c r="AY129" i="6"/>
  <c r="BA129" i="6"/>
  <c r="AZ129" i="6"/>
  <c r="AY192" i="6"/>
  <c r="BA192" i="6"/>
  <c r="AZ192" i="6"/>
  <c r="AY219" i="6"/>
  <c r="BA219" i="6"/>
  <c r="AZ219" i="6"/>
  <c r="BB219" i="6" s="1"/>
  <c r="BE219" i="6" s="1"/>
  <c r="BG313" i="6"/>
  <c r="BB313" i="6"/>
  <c r="BE313" i="6" s="1"/>
  <c r="AY385" i="6"/>
  <c r="BA385" i="6"/>
  <c r="AZ385" i="6"/>
  <c r="AY165" i="6"/>
  <c r="BA165" i="6"/>
  <c r="AZ165" i="6"/>
  <c r="AY143" i="6"/>
  <c r="BA143" i="6"/>
  <c r="AZ143" i="6"/>
  <c r="AY365" i="6"/>
  <c r="BA365" i="6"/>
  <c r="AZ365" i="6"/>
  <c r="BG307" i="6"/>
  <c r="BB307" i="6"/>
  <c r="BE307" i="6" s="1"/>
  <c r="BG414" i="6"/>
  <c r="BB414" i="6"/>
  <c r="BE414" i="6" s="1"/>
  <c r="CA107" i="6"/>
  <c r="BV107" i="6"/>
  <c r="BY107" i="6" s="1"/>
  <c r="CA147" i="6"/>
  <c r="BV147" i="6"/>
  <c r="BY147" i="6" s="1"/>
  <c r="CA336" i="6"/>
  <c r="BV336" i="6"/>
  <c r="BY336" i="6" s="1"/>
  <c r="CA301" i="6"/>
  <c r="BV301" i="6"/>
  <c r="BY301" i="6" s="1"/>
  <c r="CA134" i="6"/>
  <c r="BV134" i="6"/>
  <c r="BY134" i="6" s="1"/>
  <c r="CA199" i="6"/>
  <c r="BV199" i="6"/>
  <c r="BY199" i="6" s="1"/>
  <c r="CA370" i="6"/>
  <c r="BV370" i="6"/>
  <c r="BY370" i="6" s="1"/>
  <c r="CA146" i="6"/>
  <c r="BV146" i="6"/>
  <c r="BY146" i="6" s="1"/>
  <c r="CA394" i="6"/>
  <c r="BV394" i="6"/>
  <c r="BY394" i="6" s="1"/>
  <c r="CA241" i="6"/>
  <c r="BV241" i="6"/>
  <c r="BY241" i="6" s="1"/>
  <c r="CA195" i="6"/>
  <c r="BV195" i="6"/>
  <c r="BY195" i="6" s="1"/>
  <c r="CA302" i="6"/>
  <c r="BV302" i="6"/>
  <c r="BY302" i="6" s="1"/>
  <c r="CA309" i="6"/>
  <c r="BV309" i="6"/>
  <c r="BY309" i="6" s="1"/>
  <c r="CA283" i="6"/>
  <c r="BV283" i="6"/>
  <c r="BY283" i="6" s="1"/>
  <c r="CA385" i="6"/>
  <c r="BV385" i="6"/>
  <c r="BY385" i="6" s="1"/>
  <c r="AE399" i="6"/>
  <c r="AG399" i="6"/>
  <c r="AF399" i="6"/>
  <c r="AE394" i="6"/>
  <c r="AG394" i="6"/>
  <c r="AF394" i="6"/>
  <c r="AE281" i="6"/>
  <c r="AG281" i="6"/>
  <c r="AF281" i="6"/>
  <c r="AM332" i="6"/>
  <c r="AH332" i="6"/>
  <c r="AK332" i="6" s="1"/>
  <c r="AM185" i="6"/>
  <c r="AH185" i="6"/>
  <c r="AK185" i="6" s="1"/>
  <c r="AE77" i="6"/>
  <c r="AG77" i="6"/>
  <c r="AF77" i="6"/>
  <c r="AM126" i="6"/>
  <c r="AH126" i="6"/>
  <c r="AK126" i="6" s="1"/>
  <c r="AE295" i="6"/>
  <c r="AF295" i="6"/>
  <c r="AG295" i="6"/>
  <c r="AE377" i="6"/>
  <c r="AG377" i="6"/>
  <c r="AF377" i="6"/>
  <c r="AH377" i="6" s="1"/>
  <c r="AK377" i="6" s="1"/>
  <c r="AE59" i="6"/>
  <c r="AF59" i="6"/>
  <c r="AH59" i="6" s="1"/>
  <c r="AK59" i="6" s="1"/>
  <c r="AG59" i="6"/>
  <c r="AM341" i="6"/>
  <c r="AH341" i="6"/>
  <c r="AK341" i="6" s="1"/>
  <c r="AM221" i="6"/>
  <c r="AH221" i="6"/>
  <c r="AK221" i="6" s="1"/>
  <c r="AE321" i="6"/>
  <c r="AF321" i="6"/>
  <c r="AH321" i="6" s="1"/>
  <c r="AK321" i="6" s="1"/>
  <c r="AG321" i="6"/>
  <c r="AE352" i="6"/>
  <c r="AF352" i="6"/>
  <c r="AG352" i="6"/>
  <c r="AM224" i="6"/>
  <c r="AH224" i="6"/>
  <c r="AK224" i="6" s="1"/>
  <c r="AE163" i="6"/>
  <c r="AG163" i="6"/>
  <c r="AF163" i="6"/>
  <c r="AH163" i="6" s="1"/>
  <c r="AK163" i="6" s="1"/>
  <c r="AE146" i="6"/>
  <c r="AG146" i="6"/>
  <c r="AF146" i="6"/>
  <c r="AF82" i="6"/>
  <c r="AH82" i="6" s="1"/>
  <c r="AK82" i="6" s="1"/>
  <c r="AE82" i="6"/>
  <c r="AG82" i="6"/>
  <c r="AM211" i="6"/>
  <c r="AH211" i="6"/>
  <c r="AK211" i="6" s="1"/>
  <c r="AM229" i="6"/>
  <c r="AH229" i="6"/>
  <c r="AK229" i="6" s="1"/>
  <c r="AM254" i="6"/>
  <c r="AH254" i="6"/>
  <c r="AK254" i="6" s="1"/>
  <c r="AY81" i="6"/>
  <c r="AZ81" i="6"/>
  <c r="BA81" i="6"/>
  <c r="AY144" i="6"/>
  <c r="BA144" i="6"/>
  <c r="AZ144" i="6"/>
  <c r="BB144" i="6" s="1"/>
  <c r="BE144" i="6" s="1"/>
  <c r="AY224" i="6"/>
  <c r="AZ224" i="6"/>
  <c r="BA224" i="6"/>
  <c r="AY358" i="6"/>
  <c r="AZ358" i="6"/>
  <c r="BB358" i="6" s="1"/>
  <c r="BE358" i="6" s="1"/>
  <c r="BA358" i="6"/>
  <c r="AY422" i="6"/>
  <c r="AZ422" i="6"/>
  <c r="BA422" i="6"/>
  <c r="AY159" i="6"/>
  <c r="AZ159" i="6"/>
  <c r="BA159" i="6"/>
  <c r="AY241" i="6"/>
  <c r="BA241" i="6"/>
  <c r="AZ241" i="6"/>
  <c r="BB241" i="6" s="1"/>
  <c r="BE241" i="6" s="1"/>
  <c r="AY335" i="6"/>
  <c r="AZ335" i="6"/>
  <c r="BA335" i="6"/>
  <c r="AY310" i="6"/>
  <c r="BA310" i="6"/>
  <c r="AZ310" i="6"/>
  <c r="BB310" i="6" s="1"/>
  <c r="BE310" i="6" s="1"/>
  <c r="AY56" i="6"/>
  <c r="BA56" i="6"/>
  <c r="AZ56" i="6"/>
  <c r="BG258" i="6"/>
  <c r="BB258" i="6"/>
  <c r="BE258" i="6" s="1"/>
  <c r="BG103" i="6"/>
  <c r="BB103" i="6"/>
  <c r="BE103" i="6" s="1"/>
  <c r="BG206" i="6"/>
  <c r="BB206" i="6"/>
  <c r="BE206" i="6" s="1"/>
  <c r="CA149" i="6"/>
  <c r="BV149" i="6"/>
  <c r="BY149" i="6" s="1"/>
  <c r="CA82" i="6"/>
  <c r="BV82" i="6"/>
  <c r="BY82" i="6" s="1"/>
  <c r="CA268" i="6"/>
  <c r="BV268" i="6"/>
  <c r="BY268" i="6" s="1"/>
  <c r="CA57" i="6"/>
  <c r="BV57" i="6"/>
  <c r="BY57" i="6" s="1"/>
  <c r="CA150" i="6"/>
  <c r="BV150" i="6"/>
  <c r="BY150" i="6" s="1"/>
  <c r="CA402" i="6"/>
  <c r="BV402" i="6"/>
  <c r="BY402" i="6" s="1"/>
  <c r="CA280" i="6"/>
  <c r="BV280" i="6"/>
  <c r="BY280" i="6" s="1"/>
  <c r="CA76" i="6"/>
  <c r="BV76" i="6"/>
  <c r="BY76" i="6" s="1"/>
  <c r="CA350" i="6"/>
  <c r="BV350" i="6"/>
  <c r="BY350" i="6" s="1"/>
  <c r="CA391" i="6"/>
  <c r="BV391" i="6"/>
  <c r="BY391" i="6" s="1"/>
  <c r="CA377" i="6"/>
  <c r="BV377" i="6"/>
  <c r="BY377" i="6" s="1"/>
  <c r="CA346" i="6"/>
  <c r="BV346" i="6"/>
  <c r="BY346" i="6" s="1"/>
  <c r="CA397" i="6"/>
  <c r="BV397" i="6"/>
  <c r="BY397" i="6" s="1"/>
  <c r="CA276" i="6"/>
  <c r="BV276" i="6"/>
  <c r="BY276" i="6" s="1"/>
  <c r="CA99" i="6"/>
  <c r="BV99" i="6"/>
  <c r="BY99" i="6" s="1"/>
  <c r="CA358" i="6"/>
  <c r="BV358" i="6"/>
  <c r="BY358" i="6" s="1"/>
  <c r="CA210" i="6"/>
  <c r="BV210" i="6"/>
  <c r="BY210" i="6" s="1"/>
  <c r="CA225" i="6"/>
  <c r="BV225" i="6"/>
  <c r="BY225" i="6" s="1"/>
  <c r="CA58" i="6"/>
  <c r="BV58" i="6"/>
  <c r="BY58" i="6" s="1"/>
  <c r="CA437" i="6"/>
  <c r="BV437" i="6"/>
  <c r="BY437" i="6" s="1"/>
  <c r="CA251" i="6"/>
  <c r="CA395" i="6"/>
  <c r="BV395" i="6"/>
  <c r="BY395" i="6" s="1"/>
  <c r="CA381" i="6"/>
  <c r="BV381" i="6"/>
  <c r="BY381" i="6" s="1"/>
  <c r="CA285" i="6"/>
  <c r="BV285" i="6"/>
  <c r="BY285" i="6" s="1"/>
  <c r="CA434" i="6"/>
  <c r="BV434" i="6"/>
  <c r="BY434" i="6" s="1"/>
  <c r="CA102" i="6"/>
  <c r="BV102" i="6"/>
  <c r="BY102" i="6" s="1"/>
  <c r="CA303" i="6"/>
  <c r="BV303" i="6"/>
  <c r="BY303" i="6" s="1"/>
  <c r="CA314" i="6"/>
  <c r="BV314" i="6"/>
  <c r="BY314" i="6" s="1"/>
  <c r="CA432" i="6"/>
  <c r="BV432" i="6"/>
  <c r="BY432" i="6" s="1"/>
  <c r="CA165" i="6"/>
  <c r="BV165" i="6"/>
  <c r="BY165" i="6" s="1"/>
  <c r="CA98" i="6"/>
  <c r="BV98" i="6"/>
  <c r="BY98" i="6" s="1"/>
  <c r="CA84" i="6"/>
  <c r="BV84" i="6"/>
  <c r="BY84" i="6" s="1"/>
  <c r="I52" i="6"/>
  <c r="L52" i="6" s="1"/>
  <c r="R52" i="6"/>
  <c r="AE428" i="6"/>
  <c r="AF428" i="6"/>
  <c r="AG428" i="6"/>
  <c r="AE353" i="6"/>
  <c r="AG353" i="6"/>
  <c r="AF353" i="6"/>
  <c r="AE396" i="6"/>
  <c r="AF396" i="6"/>
  <c r="AH396" i="6" s="1"/>
  <c r="AK396" i="6" s="1"/>
  <c r="AG396" i="6"/>
  <c r="AM397" i="6"/>
  <c r="AH397" i="6"/>
  <c r="AK397" i="6" s="1"/>
  <c r="AE228" i="6"/>
  <c r="AF228" i="6"/>
  <c r="AH228" i="6" s="1"/>
  <c r="AK228" i="6" s="1"/>
  <c r="AG228" i="6"/>
  <c r="AE118" i="6"/>
  <c r="AF118" i="6"/>
  <c r="AG118" i="6"/>
  <c r="AE204" i="6"/>
  <c r="AF204" i="6"/>
  <c r="AG204" i="6"/>
  <c r="AM306" i="6"/>
  <c r="AH306" i="6"/>
  <c r="AK306" i="6" s="1"/>
  <c r="AM198" i="6"/>
  <c r="AE147" i="6"/>
  <c r="AG147" i="6"/>
  <c r="AF147" i="6"/>
  <c r="AH147" i="6" s="1"/>
  <c r="AK147" i="6" s="1"/>
  <c r="AE164" i="6"/>
  <c r="AG164" i="6"/>
  <c r="AF164" i="6"/>
  <c r="AH164" i="6" s="1"/>
  <c r="AK164" i="6" s="1"/>
  <c r="AM173" i="6"/>
  <c r="AH173" i="6"/>
  <c r="AK173" i="6" s="1"/>
  <c r="AM344" i="6"/>
  <c r="AH344" i="6"/>
  <c r="AK344" i="6" s="1"/>
  <c r="AM312" i="6"/>
  <c r="AH312" i="6"/>
  <c r="AK312" i="6" s="1"/>
  <c r="AE121" i="6"/>
  <c r="AG121" i="6"/>
  <c r="AF121" i="6"/>
  <c r="AE106" i="6"/>
  <c r="AG106" i="6"/>
  <c r="AF106" i="6"/>
  <c r="AM390" i="6"/>
  <c r="AH390" i="6"/>
  <c r="AK390" i="6" s="1"/>
  <c r="AE335" i="6"/>
  <c r="AF335" i="6"/>
  <c r="AG335" i="6"/>
  <c r="AM374" i="6"/>
  <c r="AH374" i="6"/>
  <c r="AK374" i="6" s="1"/>
  <c r="AE310" i="6"/>
  <c r="AG310" i="6"/>
  <c r="AF310" i="6"/>
  <c r="AM87" i="6"/>
  <c r="AH87" i="6"/>
  <c r="AK87" i="6" s="1"/>
  <c r="AY96" i="6"/>
  <c r="BA96" i="6"/>
  <c r="AZ96" i="6"/>
  <c r="BB96" i="6" s="1"/>
  <c r="BE96" i="6" s="1"/>
  <c r="AY187" i="6"/>
  <c r="BA187" i="6"/>
  <c r="AZ187" i="6"/>
  <c r="BB187" i="6" s="1"/>
  <c r="BE187" i="6" s="1"/>
  <c r="AY329" i="6"/>
  <c r="AZ329" i="6"/>
  <c r="BA329" i="6"/>
  <c r="AY402" i="6"/>
  <c r="AZ402" i="6"/>
  <c r="BA402" i="6"/>
  <c r="AY69" i="6"/>
  <c r="BA69" i="6"/>
  <c r="AZ69" i="6"/>
  <c r="AY132" i="6"/>
  <c r="BA132" i="6"/>
  <c r="AZ132" i="6"/>
  <c r="BB132" i="6" s="1"/>
  <c r="BE132" i="6" s="1"/>
  <c r="AY214" i="6"/>
  <c r="AZ214" i="6"/>
  <c r="BA214" i="6"/>
  <c r="AY311" i="6"/>
  <c r="AZ311" i="6"/>
  <c r="BA311" i="6"/>
  <c r="AY404" i="6"/>
  <c r="AZ404" i="6"/>
  <c r="BA404" i="6"/>
  <c r="AY411" i="6"/>
  <c r="BA411" i="6"/>
  <c r="AZ411" i="6"/>
  <c r="BB411" i="6" s="1"/>
  <c r="BE411" i="6" s="1"/>
  <c r="AY126" i="6"/>
  <c r="BA126" i="6"/>
  <c r="AZ126" i="6"/>
  <c r="AY235" i="6"/>
  <c r="BA235" i="6"/>
  <c r="AZ235" i="6"/>
  <c r="AY77" i="6"/>
  <c r="BA77" i="6"/>
  <c r="AZ77" i="6"/>
  <c r="AY247" i="6"/>
  <c r="AZ247" i="6"/>
  <c r="BA247" i="6"/>
  <c r="CA190" i="6"/>
  <c r="BV190" i="6"/>
  <c r="BY190" i="6" s="1"/>
  <c r="CA205" i="6"/>
  <c r="BV205" i="6"/>
  <c r="BY205" i="6" s="1"/>
  <c r="CA54" i="6"/>
  <c r="BV54" i="6"/>
  <c r="BY54" i="6" s="1"/>
  <c r="CA374" i="6"/>
  <c r="BV374" i="6"/>
  <c r="BY374" i="6" s="1"/>
  <c r="CA204" i="6"/>
  <c r="BV204" i="6"/>
  <c r="BY204" i="6" s="1"/>
  <c r="CA440" i="6"/>
  <c r="BV440" i="6"/>
  <c r="BY440" i="6" s="1"/>
  <c r="CA136" i="6"/>
  <c r="BV136" i="6"/>
  <c r="BY136" i="6" s="1"/>
  <c r="CA364" i="6"/>
  <c r="BV364" i="6"/>
  <c r="BY364" i="6" s="1"/>
  <c r="CA347" i="6"/>
  <c r="BV347" i="6"/>
  <c r="BY347" i="6" s="1"/>
  <c r="CA226" i="6"/>
  <c r="BV226" i="6"/>
  <c r="BY226" i="6" s="1"/>
  <c r="CA393" i="6"/>
  <c r="BV393" i="6"/>
  <c r="BY393" i="6" s="1"/>
  <c r="CA53" i="6"/>
  <c r="BV53" i="6"/>
  <c r="BY53" i="6" s="1"/>
  <c r="CA197" i="6"/>
  <c r="BV197" i="6"/>
  <c r="BY197" i="6" s="1"/>
  <c r="CA441" i="6"/>
  <c r="BV441" i="6"/>
  <c r="BY441" i="6" s="1"/>
  <c r="CA300" i="6"/>
  <c r="BV300" i="6"/>
  <c r="BY300" i="6" s="1"/>
  <c r="CA239" i="6"/>
  <c r="BV239" i="6"/>
  <c r="BY239" i="6" s="1"/>
  <c r="CA141" i="6"/>
  <c r="BV141" i="6"/>
  <c r="BY141" i="6" s="1"/>
  <c r="CA90" i="6"/>
  <c r="CA414" i="6"/>
  <c r="BV414" i="6"/>
  <c r="BY414" i="6" s="1"/>
  <c r="CA157" i="6"/>
  <c r="BV157" i="6"/>
  <c r="BY157" i="6" s="1"/>
  <c r="CA96" i="6"/>
  <c r="BV96" i="6"/>
  <c r="BY96" i="6" s="1"/>
  <c r="CA339" i="6"/>
  <c r="BV339" i="6"/>
  <c r="BY339" i="6" s="1"/>
  <c r="CA218" i="6"/>
  <c r="BV218" i="6"/>
  <c r="BY218" i="6" s="1"/>
  <c r="CA219" i="6"/>
  <c r="CA72" i="6"/>
  <c r="BV72" i="6"/>
  <c r="BY72" i="6" s="1"/>
  <c r="CA183" i="6"/>
  <c r="CA330" i="6"/>
  <c r="BV330" i="6"/>
  <c r="BY330" i="6" s="1"/>
  <c r="CA392" i="6"/>
  <c r="CA421" i="6"/>
  <c r="BV421" i="6"/>
  <c r="BY421" i="6" s="1"/>
  <c r="CA164" i="6"/>
  <c r="BV164" i="6"/>
  <c r="BY164" i="6" s="1"/>
  <c r="CA351" i="6"/>
  <c r="BV351" i="6"/>
  <c r="BY351" i="6" s="1"/>
  <c r="AE323" i="6"/>
  <c r="AG323" i="6"/>
  <c r="AF323" i="6"/>
  <c r="AE216" i="6"/>
  <c r="AF216" i="6"/>
  <c r="AG216" i="6"/>
  <c r="AE233" i="6"/>
  <c r="AG233" i="6"/>
  <c r="AF233" i="6"/>
  <c r="AE380" i="6"/>
  <c r="AG380" i="6"/>
  <c r="AF380" i="6"/>
  <c r="AH380" i="6" s="1"/>
  <c r="AK380" i="6" s="1"/>
  <c r="AE316" i="6"/>
  <c r="AG316" i="6"/>
  <c r="AF316" i="6"/>
  <c r="AM217" i="6"/>
  <c r="AH217" i="6"/>
  <c r="AK217" i="6" s="1"/>
  <c r="AE125" i="6"/>
  <c r="AG125" i="6"/>
  <c r="AF125" i="6"/>
  <c r="AM357" i="6"/>
  <c r="AH357" i="6"/>
  <c r="AK357" i="6" s="1"/>
  <c r="AE247" i="6"/>
  <c r="AG247" i="6"/>
  <c r="AF247" i="6"/>
  <c r="AM182" i="6"/>
  <c r="AH182" i="6"/>
  <c r="AK182" i="6" s="1"/>
  <c r="AM60" i="6"/>
  <c r="AH60" i="6"/>
  <c r="AK60" i="6" s="1"/>
  <c r="AM410" i="6"/>
  <c r="AH410" i="6"/>
  <c r="AK410" i="6" s="1"/>
  <c r="AM269" i="6"/>
  <c r="AH269" i="6"/>
  <c r="AK269" i="6" s="1"/>
  <c r="AE368" i="6"/>
  <c r="AG368" i="6"/>
  <c r="AF368" i="6"/>
  <c r="AM240" i="6"/>
  <c r="AM193" i="6"/>
  <c r="AH193" i="6"/>
  <c r="AK193" i="6" s="1"/>
  <c r="AM285" i="6"/>
  <c r="AH285" i="6"/>
  <c r="AK285" i="6" s="1"/>
  <c r="AM251" i="6"/>
  <c r="AM190" i="6"/>
  <c r="AH190" i="6"/>
  <c r="AK190" i="6" s="1"/>
  <c r="BB155" i="6"/>
  <c r="BE155" i="6" s="1"/>
  <c r="AY85" i="6"/>
  <c r="BA85" i="6"/>
  <c r="AZ85" i="6"/>
  <c r="BB148" i="6"/>
  <c r="BE148" i="6" s="1"/>
  <c r="BG265" i="6"/>
  <c r="BB265" i="6"/>
  <c r="BE265" i="6" s="1"/>
  <c r="BG362" i="6"/>
  <c r="BB362" i="6"/>
  <c r="BE362" i="6" s="1"/>
  <c r="AY438" i="6"/>
  <c r="BA438" i="6"/>
  <c r="AZ438" i="6"/>
  <c r="BG156" i="6"/>
  <c r="BG183" i="6"/>
  <c r="BG396" i="6"/>
  <c r="CA81" i="6"/>
  <c r="BV81" i="6"/>
  <c r="BY81" i="6" s="1"/>
  <c r="CA94" i="6"/>
  <c r="CA418" i="6"/>
  <c r="BV418" i="6"/>
  <c r="BY418" i="6" s="1"/>
  <c r="CA245" i="6"/>
  <c r="BV245" i="6"/>
  <c r="BY245" i="6" s="1"/>
  <c r="CA92" i="6"/>
  <c r="BV92" i="6"/>
  <c r="BY92" i="6" s="1"/>
  <c r="CA324" i="6"/>
  <c r="BV324" i="6"/>
  <c r="BY324" i="6" s="1"/>
  <c r="CA106" i="6"/>
  <c r="BV106" i="6"/>
  <c r="BY106" i="6" s="1"/>
  <c r="CA411" i="6"/>
  <c r="BV411" i="6"/>
  <c r="BY411" i="6" s="1"/>
  <c r="CA400" i="6"/>
  <c r="BV400" i="6"/>
  <c r="BY400" i="6" s="1"/>
  <c r="CA252" i="6"/>
  <c r="BV252" i="6"/>
  <c r="BY252" i="6" s="1"/>
  <c r="CA75" i="6"/>
  <c r="BV75" i="6"/>
  <c r="BY75" i="6" s="1"/>
  <c r="CA318" i="6"/>
  <c r="BV318" i="6"/>
  <c r="BY318" i="6" s="1"/>
  <c r="CA325" i="6"/>
  <c r="BV325" i="6"/>
  <c r="BY325" i="6" s="1"/>
  <c r="CA349" i="6"/>
  <c r="BV349" i="6"/>
  <c r="BY349" i="6" s="1"/>
  <c r="CA368" i="6"/>
  <c r="BV368" i="6"/>
  <c r="BY368" i="6" s="1"/>
  <c r="CA181" i="6"/>
  <c r="BV181" i="6"/>
  <c r="BY181" i="6" s="1"/>
  <c r="CA263" i="6"/>
  <c r="BV263" i="6"/>
  <c r="BY263" i="6" s="1"/>
  <c r="CA237" i="6"/>
  <c r="BV237" i="6"/>
  <c r="BY237" i="6" s="1"/>
  <c r="CA342" i="6"/>
  <c r="BV342" i="6"/>
  <c r="BY342" i="6" s="1"/>
  <c r="AE205" i="6"/>
  <c r="AF205" i="6"/>
  <c r="AG205" i="6"/>
  <c r="AE416" i="6"/>
  <c r="AF416" i="6"/>
  <c r="AG416" i="6"/>
  <c r="AE257" i="6"/>
  <c r="AG257" i="6"/>
  <c r="AF257" i="6"/>
  <c r="AE207" i="6"/>
  <c r="AG207" i="6"/>
  <c r="AF207" i="6"/>
  <c r="AE149" i="6"/>
  <c r="AG149" i="6"/>
  <c r="AF149" i="6"/>
  <c r="AE303" i="6"/>
  <c r="AG303" i="6"/>
  <c r="AF303" i="6"/>
  <c r="AH303" i="6" s="1"/>
  <c r="AK303" i="6" s="1"/>
  <c r="AM148" i="6"/>
  <c r="AH148" i="6"/>
  <c r="AK148" i="6" s="1"/>
  <c r="AM360" i="6"/>
  <c r="AH360" i="6"/>
  <c r="AK360" i="6" s="1"/>
  <c r="AM177" i="6"/>
  <c r="AH177" i="6"/>
  <c r="AK177" i="6" s="1"/>
  <c r="AE105" i="6"/>
  <c r="AF105" i="6"/>
  <c r="AG105" i="6"/>
  <c r="AM154" i="6"/>
  <c r="AM58" i="6"/>
  <c r="AH58" i="6"/>
  <c r="AK58" i="6" s="1"/>
  <c r="AM202" i="6"/>
  <c r="AH202" i="6"/>
  <c r="AK202" i="6" s="1"/>
  <c r="AM262" i="6"/>
  <c r="AH262" i="6"/>
  <c r="AK262" i="6" s="1"/>
  <c r="AM103" i="6"/>
  <c r="AH103" i="6"/>
  <c r="AK103" i="6" s="1"/>
  <c r="AM88" i="6"/>
  <c r="AY107" i="6"/>
  <c r="AZ107" i="6"/>
  <c r="BA107" i="6"/>
  <c r="AY232" i="6"/>
  <c r="AZ232" i="6"/>
  <c r="BA232" i="6"/>
  <c r="AY342" i="6"/>
  <c r="AZ342" i="6"/>
  <c r="BB342" i="6" s="1"/>
  <c r="BE342" i="6" s="1"/>
  <c r="BA342" i="6"/>
  <c r="BG436" i="6"/>
  <c r="BB436" i="6"/>
  <c r="BE436" i="6" s="1"/>
  <c r="AY100" i="6"/>
  <c r="BA100" i="6"/>
  <c r="AZ100" i="6"/>
  <c r="BB100" i="6" s="1"/>
  <c r="BE100" i="6" s="1"/>
  <c r="AY182" i="6"/>
  <c r="BA182" i="6"/>
  <c r="AZ182" i="6"/>
  <c r="AY279" i="6"/>
  <c r="AZ279" i="6"/>
  <c r="BA279" i="6"/>
  <c r="AY294" i="6"/>
  <c r="AZ294" i="6"/>
  <c r="BB294" i="6" s="1"/>
  <c r="BE294" i="6" s="1"/>
  <c r="BA294" i="6"/>
  <c r="AY94" i="6"/>
  <c r="BA94" i="6"/>
  <c r="AZ94" i="6"/>
  <c r="BG242" i="6"/>
  <c r="BG304" i="6"/>
  <c r="BB304" i="6"/>
  <c r="BE304" i="6" s="1"/>
  <c r="AY397" i="6"/>
  <c r="BA397" i="6"/>
  <c r="AZ397" i="6"/>
  <c r="BB397" i="6" s="1"/>
  <c r="BE397" i="6" s="1"/>
  <c r="AY109" i="6"/>
  <c r="BA109" i="6"/>
  <c r="AZ109" i="6"/>
  <c r="CA67" i="6"/>
  <c r="BV67" i="6"/>
  <c r="BY67" i="6" s="1"/>
  <c r="CA310" i="6"/>
  <c r="BV310" i="6"/>
  <c r="BY310" i="6" s="1"/>
  <c r="CA363" i="6"/>
  <c r="BV363" i="6"/>
  <c r="BY363" i="6" s="1"/>
  <c r="CA68" i="6"/>
  <c r="BV68" i="6"/>
  <c r="BY68" i="6" s="1"/>
  <c r="CA304" i="6"/>
  <c r="BV304" i="6"/>
  <c r="BY304" i="6" s="1"/>
  <c r="CA148" i="6"/>
  <c r="BV148" i="6"/>
  <c r="BY148" i="6" s="1"/>
  <c r="CA376" i="6"/>
  <c r="BV376" i="6"/>
  <c r="BY376" i="6" s="1"/>
  <c r="CA103" i="6"/>
  <c r="BV103" i="6"/>
  <c r="BY103" i="6" s="1"/>
  <c r="CA361" i="6"/>
  <c r="BV361" i="6"/>
  <c r="BY361" i="6" s="1"/>
  <c r="CA201" i="6"/>
  <c r="BV201" i="6"/>
  <c r="BY201" i="6" s="1"/>
  <c r="CA66" i="6"/>
  <c r="BV66" i="6"/>
  <c r="BY66" i="6" s="1"/>
  <c r="CA128" i="6"/>
  <c r="BV128" i="6"/>
  <c r="BY128" i="6" s="1"/>
  <c r="CA356" i="6"/>
  <c r="BV356" i="6"/>
  <c r="BY356" i="6" s="1"/>
  <c r="CA371" i="6"/>
  <c r="BV371" i="6"/>
  <c r="BY371" i="6" s="1"/>
  <c r="CA60" i="6"/>
  <c r="BV60" i="6"/>
  <c r="BY60" i="6" s="1"/>
  <c r="CA267" i="6"/>
  <c r="BV267" i="6"/>
  <c r="BY267" i="6" s="1"/>
  <c r="CA153" i="6"/>
  <c r="BV153" i="6"/>
  <c r="BY153" i="6" s="1"/>
  <c r="CA390" i="6"/>
  <c r="BV390" i="6"/>
  <c r="BY390" i="6" s="1"/>
  <c r="AE277" i="6"/>
  <c r="AG277" i="6"/>
  <c r="AF277" i="6"/>
  <c r="AH277" i="6" s="1"/>
  <c r="AK277" i="6" s="1"/>
  <c r="AE249" i="6"/>
  <c r="AF249" i="6"/>
  <c r="AH249" i="6" s="1"/>
  <c r="AK249" i="6" s="1"/>
  <c r="AG249" i="6"/>
  <c r="AM158" i="6"/>
  <c r="AH158" i="6"/>
  <c r="AK158" i="6" s="1"/>
  <c r="AM440" i="6"/>
  <c r="AH440" i="6"/>
  <c r="AK440" i="6" s="1"/>
  <c r="AE263" i="6"/>
  <c r="AG263" i="6"/>
  <c r="AF263" i="6"/>
  <c r="AE220" i="6"/>
  <c r="AG220" i="6"/>
  <c r="AF220" i="6"/>
  <c r="AM282" i="6"/>
  <c r="AH282" i="6"/>
  <c r="AK282" i="6" s="1"/>
  <c r="AE155" i="6"/>
  <c r="AG155" i="6"/>
  <c r="AF155" i="6"/>
  <c r="AE140" i="6"/>
  <c r="AG140" i="6"/>
  <c r="AF140" i="6"/>
  <c r="AM398" i="6"/>
  <c r="AH398" i="6"/>
  <c r="AK398" i="6" s="1"/>
  <c r="AE320" i="6"/>
  <c r="AG320" i="6"/>
  <c r="AF320" i="6"/>
  <c r="AE129" i="6"/>
  <c r="AF129" i="6"/>
  <c r="AH129" i="6" s="1"/>
  <c r="AK129" i="6" s="1"/>
  <c r="AG129" i="6"/>
  <c r="AM411" i="6"/>
  <c r="AH411" i="6"/>
  <c r="AK411" i="6" s="1"/>
  <c r="AM267" i="6"/>
  <c r="AH267" i="6"/>
  <c r="AK267" i="6" s="1"/>
  <c r="AM315" i="6"/>
  <c r="AH315" i="6"/>
  <c r="AK315" i="6" s="1"/>
  <c r="AM95" i="6"/>
  <c r="AH95" i="6"/>
  <c r="AK95" i="6" s="1"/>
  <c r="AY145" i="6"/>
  <c r="BA145" i="6"/>
  <c r="AZ145" i="6"/>
  <c r="AY208" i="6"/>
  <c r="BA208" i="6"/>
  <c r="AZ208" i="6"/>
  <c r="AY238" i="6"/>
  <c r="BA238" i="6"/>
  <c r="AZ238" i="6"/>
  <c r="AY259" i="6"/>
  <c r="AZ259" i="6"/>
  <c r="BA259" i="6"/>
  <c r="AY331" i="6"/>
  <c r="AZ331" i="6"/>
  <c r="BA331" i="6"/>
  <c r="AY387" i="6"/>
  <c r="AZ387" i="6"/>
  <c r="BA387" i="6"/>
  <c r="AY425" i="6"/>
  <c r="AZ425" i="6"/>
  <c r="BB425" i="6" s="1"/>
  <c r="BE425" i="6" s="1"/>
  <c r="BA425" i="6"/>
  <c r="AY116" i="6"/>
  <c r="BA116" i="6"/>
  <c r="AZ116" i="6"/>
  <c r="BB116" i="6" s="1"/>
  <c r="BE116" i="6" s="1"/>
  <c r="AY198" i="6"/>
  <c r="AZ198" i="6"/>
  <c r="BA198" i="6"/>
  <c r="AY110" i="6"/>
  <c r="AZ110" i="6"/>
  <c r="BA110" i="6"/>
  <c r="BG332" i="6"/>
  <c r="AY269" i="6"/>
  <c r="BA269" i="6"/>
  <c r="AZ269" i="6"/>
  <c r="AY398" i="6"/>
  <c r="BA398" i="6"/>
  <c r="AZ398" i="6"/>
  <c r="CA109" i="6"/>
  <c r="BV109" i="6"/>
  <c r="BY109" i="6" s="1"/>
  <c r="CA122" i="6"/>
  <c r="CA433" i="6"/>
  <c r="CA284" i="6"/>
  <c r="BV284" i="6"/>
  <c r="BY284" i="6" s="1"/>
  <c r="CA337" i="6"/>
  <c r="BV337" i="6"/>
  <c r="BY337" i="6" s="1"/>
  <c r="CA227" i="6"/>
  <c r="BV227" i="6"/>
  <c r="BY227" i="6" s="1"/>
  <c r="CA292" i="6"/>
  <c r="BV292" i="6"/>
  <c r="BY292" i="6" s="1"/>
  <c r="CA78" i="6"/>
  <c r="BV78" i="6"/>
  <c r="BY78" i="6" s="1"/>
  <c r="CA240" i="6"/>
  <c r="BV240" i="6"/>
  <c r="BY240" i="6" s="1"/>
  <c r="CA297" i="6"/>
  <c r="BV297" i="6"/>
  <c r="BY297" i="6" s="1"/>
  <c r="CA133" i="6"/>
  <c r="BV133" i="6"/>
  <c r="BY133" i="6" s="1"/>
  <c r="CA435" i="6"/>
  <c r="BV435" i="6"/>
  <c r="BY435" i="6" s="1"/>
  <c r="CA345" i="6"/>
  <c r="BV345" i="6"/>
  <c r="BY345" i="6" s="1"/>
  <c r="CA155" i="6"/>
  <c r="BV155" i="6"/>
  <c r="BY155" i="6" s="1"/>
  <c r="CA307" i="6"/>
  <c r="BV307" i="6"/>
  <c r="BY307" i="6" s="1"/>
  <c r="CA208" i="6"/>
  <c r="BV208" i="6"/>
  <c r="BY208" i="6" s="1"/>
  <c r="CA137" i="6"/>
  <c r="BV137" i="6"/>
  <c r="BY137" i="6" s="1"/>
  <c r="CA295" i="6"/>
  <c r="BV295" i="6"/>
  <c r="BY295" i="6" s="1"/>
  <c r="CA410" i="6"/>
  <c r="BV410" i="6"/>
  <c r="BY410" i="6" s="1"/>
  <c r="CA111" i="6"/>
  <c r="BV111" i="6"/>
  <c r="BY111" i="6" s="1"/>
  <c r="CA277" i="6"/>
  <c r="BV277" i="6"/>
  <c r="BY277" i="6" s="1"/>
  <c r="CA352" i="6"/>
  <c r="BV352" i="6"/>
  <c r="BY352" i="6" s="1"/>
  <c r="CA191" i="6"/>
  <c r="BV191" i="6"/>
  <c r="BY191" i="6" s="1"/>
  <c r="V52" i="6"/>
  <c r="G56" i="6"/>
  <c r="N56" i="6" s="1"/>
  <c r="BG287" i="6" l="1"/>
  <c r="BG357" i="6"/>
  <c r="AH98" i="6"/>
  <c r="AK98" i="6" s="1"/>
  <c r="AH215" i="6"/>
  <c r="AK215" i="6" s="1"/>
  <c r="AM365" i="6"/>
  <c r="BB435" i="6"/>
  <c r="BE435" i="6" s="1"/>
  <c r="BG284" i="6"/>
  <c r="AH319" i="6"/>
  <c r="AK319" i="6" s="1"/>
  <c r="AM227" i="6"/>
  <c r="I54" i="6"/>
  <c r="L54" i="6" s="1"/>
  <c r="AH272" i="6"/>
  <c r="AK272" i="6" s="1"/>
  <c r="AH427" i="6"/>
  <c r="AK427" i="6" s="1"/>
  <c r="AM232" i="6"/>
  <c r="AH168" i="6"/>
  <c r="AK168" i="6" s="1"/>
  <c r="BG151" i="6"/>
  <c r="BB412" i="6"/>
  <c r="BE412" i="6" s="1"/>
  <c r="BB364" i="6"/>
  <c r="BE364" i="6" s="1"/>
  <c r="BG193" i="6"/>
  <c r="BB413" i="6"/>
  <c r="BE413" i="6" s="1"/>
  <c r="BG237" i="6"/>
  <c r="BB297" i="6"/>
  <c r="BE297" i="6" s="1"/>
  <c r="BG172" i="6"/>
  <c r="BG140" i="6"/>
  <c r="BB167" i="6"/>
  <c r="BE167" i="6" s="1"/>
  <c r="BG271" i="6"/>
  <c r="BG295" i="6"/>
  <c r="BG76" i="6"/>
  <c r="BG380" i="6"/>
  <c r="BG215" i="6"/>
  <c r="BB391" i="6"/>
  <c r="BE391" i="6" s="1"/>
  <c r="BB349" i="6"/>
  <c r="BE349" i="6" s="1"/>
  <c r="BB299" i="6"/>
  <c r="BE299" i="6" s="1"/>
  <c r="BB426" i="6"/>
  <c r="BE426" i="6" s="1"/>
  <c r="BG302" i="6"/>
  <c r="AH348" i="6"/>
  <c r="AK348" i="6" s="1"/>
  <c r="AH92" i="6"/>
  <c r="AK92" i="6" s="1"/>
  <c r="AH438" i="6"/>
  <c r="AK438" i="6" s="1"/>
  <c r="AH160" i="6"/>
  <c r="AK160" i="6" s="1"/>
  <c r="AH278" i="6"/>
  <c r="AK278" i="6" s="1"/>
  <c r="F56" i="6"/>
  <c r="AM212" i="6"/>
  <c r="T51" i="6"/>
  <c r="W28" i="6"/>
  <c r="J51" i="6"/>
  <c r="J52" i="6" s="1"/>
  <c r="J53" i="6" s="1"/>
  <c r="J54" i="6" s="1"/>
  <c r="W25" i="6"/>
  <c r="K51" i="6"/>
  <c r="W27" i="6"/>
  <c r="W26" i="6"/>
  <c r="I51" i="6"/>
  <c r="L51" i="6" s="1"/>
  <c r="S51" i="6"/>
  <c r="S52" i="6" s="1"/>
  <c r="S53" i="6" s="1"/>
  <c r="S54" i="6" s="1"/>
  <c r="S55" i="6" s="1"/>
  <c r="S56" i="6" s="1"/>
  <c r="H56" i="6"/>
  <c r="BG343" i="6"/>
  <c r="BB430" i="6"/>
  <c r="BE430" i="6" s="1"/>
  <c r="BB71" i="6"/>
  <c r="BE71" i="6" s="1"/>
  <c r="BB91" i="6"/>
  <c r="BE91" i="6" s="1"/>
  <c r="AH66" i="6"/>
  <c r="AK66" i="6" s="1"/>
  <c r="BB377" i="6"/>
  <c r="BE377" i="6" s="1"/>
  <c r="BG220" i="6"/>
  <c r="AH264" i="6"/>
  <c r="AK264" i="6" s="1"/>
  <c r="BG84" i="6"/>
  <c r="AM364" i="6"/>
  <c r="BG199" i="6"/>
  <c r="BB419" i="6"/>
  <c r="BE419" i="6" s="1"/>
  <c r="BB209" i="6"/>
  <c r="BE209" i="6" s="1"/>
  <c r="BG403" i="6"/>
  <c r="E57" i="6"/>
  <c r="O57" i="6" s="1"/>
  <c r="BB188" i="6"/>
  <c r="BE188" i="6" s="1"/>
  <c r="BG339" i="6"/>
  <c r="BB59" i="6"/>
  <c r="BE59" i="6" s="1"/>
  <c r="BG268" i="6"/>
  <c r="BG354" i="6"/>
  <c r="BB341" i="6"/>
  <c r="BE341" i="6" s="1"/>
  <c r="BB301" i="6"/>
  <c r="BE301" i="6" s="1"/>
  <c r="BB406" i="6"/>
  <c r="BE406" i="6" s="1"/>
  <c r="BG421" i="6"/>
  <c r="BB142" i="6"/>
  <c r="BE142" i="6" s="1"/>
  <c r="BG276" i="6"/>
  <c r="BG233" i="6"/>
  <c r="BG62" i="6"/>
  <c r="BG108" i="6"/>
  <c r="AH124" i="6"/>
  <c r="AK124" i="6" s="1"/>
  <c r="V53" i="6"/>
  <c r="V54" i="6" s="1"/>
  <c r="V55" i="6" s="1"/>
  <c r="V56" i="6" s="1"/>
  <c r="I53" i="6"/>
  <c r="L53" i="6" s="1"/>
  <c r="AH373" i="6"/>
  <c r="AK373" i="6" s="1"/>
  <c r="AM259" i="6"/>
  <c r="AM246" i="6"/>
  <c r="AM328" i="6"/>
  <c r="BB78" i="6"/>
  <c r="BE78" i="6" s="1"/>
  <c r="AM130" i="6"/>
  <c r="AH414" i="6"/>
  <c r="AK414" i="6" s="1"/>
  <c r="M53" i="6"/>
  <c r="M54" i="6" s="1"/>
  <c r="M55" i="6" s="1"/>
  <c r="M56" i="6" s="1"/>
  <c r="R53" i="6"/>
  <c r="U53" i="6" s="1"/>
  <c r="W53" i="6" s="1"/>
  <c r="AP5" i="6"/>
  <c r="AX5" i="6" s="1"/>
  <c r="AR3" i="6"/>
  <c r="AW3" i="6" s="1"/>
  <c r="AY3" i="6" s="1"/>
  <c r="BB386" i="6"/>
  <c r="BE386" i="6" s="1"/>
  <c r="AM361" i="6"/>
  <c r="AM321" i="6"/>
  <c r="AM239" i="6"/>
  <c r="BG358" i="6"/>
  <c r="AM157" i="6"/>
  <c r="BG417" i="6"/>
  <c r="BG96" i="6"/>
  <c r="AM164" i="6"/>
  <c r="AM147" i="6"/>
  <c r="BG248" i="6"/>
  <c r="AM383" i="6"/>
  <c r="BG353" i="6"/>
  <c r="BG203" i="6"/>
  <c r="BG207" i="6"/>
  <c r="AM343" i="6"/>
  <c r="AM169" i="6"/>
  <c r="BG441" i="6"/>
  <c r="BG280" i="6"/>
  <c r="AM101" i="6"/>
  <c r="BG371" i="6"/>
  <c r="AM370" i="6"/>
  <c r="AM359" i="6"/>
  <c r="BG374" i="6"/>
  <c r="AM408" i="6"/>
  <c r="BG116" i="6"/>
  <c r="AM380" i="6"/>
  <c r="AM329" i="6"/>
  <c r="AM412" i="6"/>
  <c r="BG350" i="6"/>
  <c r="AM417" i="6"/>
  <c r="AM175" i="6"/>
  <c r="BG415" i="6"/>
  <c r="AM237" i="6"/>
  <c r="BG100" i="6"/>
  <c r="BG187" i="6"/>
  <c r="AM396" i="6"/>
  <c r="BG144" i="6"/>
  <c r="BG306" i="6"/>
  <c r="BG104" i="6"/>
  <c r="BG338" i="6"/>
  <c r="BG72" i="6"/>
  <c r="BG191" i="6"/>
  <c r="BG164" i="6"/>
  <c r="BG330" i="6"/>
  <c r="AM268" i="6"/>
  <c r="BG136" i="6"/>
  <c r="BG425" i="6"/>
  <c r="AM277" i="6"/>
  <c r="BG294" i="6"/>
  <c r="BG342" i="6"/>
  <c r="AM303" i="6"/>
  <c r="BG132" i="6"/>
  <c r="BG310" i="6"/>
  <c r="AM163" i="6"/>
  <c r="BG219" i="6"/>
  <c r="BG223" i="6"/>
  <c r="BG264" i="6"/>
  <c r="BG54" i="6"/>
  <c r="BG259" i="6"/>
  <c r="BB259" i="6"/>
  <c r="BE259" i="6" s="1"/>
  <c r="AM310" i="6"/>
  <c r="AH310" i="6"/>
  <c r="AK310" i="6" s="1"/>
  <c r="AM295" i="6"/>
  <c r="AH295" i="6"/>
  <c r="AK295" i="6" s="1"/>
  <c r="BG165" i="6"/>
  <c r="BB165" i="6"/>
  <c r="BE165" i="6" s="1"/>
  <c r="AM279" i="6"/>
  <c r="AH279" i="6"/>
  <c r="AK279" i="6" s="1"/>
  <c r="BG255" i="6"/>
  <c r="BB255" i="6"/>
  <c r="BE255" i="6" s="1"/>
  <c r="BG376" i="6"/>
  <c r="BG351" i="6"/>
  <c r="BB351" i="6"/>
  <c r="BE351" i="6" s="1"/>
  <c r="BG178" i="6"/>
  <c r="BB178" i="6"/>
  <c r="BE178" i="6" s="1"/>
  <c r="AM68" i="6"/>
  <c r="AH68" i="6"/>
  <c r="AK68" i="6" s="1"/>
  <c r="BG146" i="6"/>
  <c r="BB146" i="6"/>
  <c r="BE146" i="6" s="1"/>
  <c r="BG125" i="6"/>
  <c r="BB125" i="6"/>
  <c r="BE125" i="6" s="1"/>
  <c r="BG366" i="6"/>
  <c r="BB366" i="6"/>
  <c r="BE366" i="6" s="1"/>
  <c r="BG179" i="6"/>
  <c r="BB179" i="6"/>
  <c r="BE179" i="6" s="1"/>
  <c r="BG80" i="6"/>
  <c r="AM299" i="6"/>
  <c r="AM256" i="6"/>
  <c r="AH256" i="6"/>
  <c r="AK256" i="6" s="1"/>
  <c r="AM109" i="6"/>
  <c r="AH109" i="6"/>
  <c r="AK109" i="6" s="1"/>
  <c r="AM300" i="6"/>
  <c r="AH300" i="6"/>
  <c r="AK300" i="6" s="1"/>
  <c r="BG439" i="6"/>
  <c r="BB439" i="6"/>
  <c r="BE439" i="6" s="1"/>
  <c r="BG101" i="6"/>
  <c r="BB101" i="6"/>
  <c r="BE101" i="6" s="1"/>
  <c r="BG407" i="6"/>
  <c r="BG315" i="6"/>
  <c r="BB315" i="6"/>
  <c r="BE315" i="6" s="1"/>
  <c r="BG128" i="6"/>
  <c r="AM419" i="6"/>
  <c r="AH419" i="6"/>
  <c r="AK419" i="6" s="1"/>
  <c r="AM131" i="6"/>
  <c r="AH131" i="6"/>
  <c r="AK131" i="6" s="1"/>
  <c r="AM331" i="6"/>
  <c r="AH331" i="6"/>
  <c r="AK331" i="6" s="1"/>
  <c r="BG324" i="6"/>
  <c r="BB324" i="6"/>
  <c r="BE324" i="6" s="1"/>
  <c r="BG211" i="6"/>
  <c r="BB211" i="6"/>
  <c r="BE211" i="6" s="1"/>
  <c r="BG303" i="6"/>
  <c r="BB303" i="6"/>
  <c r="BE303" i="6" s="1"/>
  <c r="AM81" i="6"/>
  <c r="AH81" i="6"/>
  <c r="AK81" i="6" s="1"/>
  <c r="AM421" i="6"/>
  <c r="AH421" i="6"/>
  <c r="AK421" i="6" s="1"/>
  <c r="BG416" i="6"/>
  <c r="BB416" i="6"/>
  <c r="BE416" i="6" s="1"/>
  <c r="BG325" i="6"/>
  <c r="BB325" i="6"/>
  <c r="BE325" i="6" s="1"/>
  <c r="BG83" i="6"/>
  <c r="BB83" i="6"/>
  <c r="BE83" i="6" s="1"/>
  <c r="BG326" i="6"/>
  <c r="BG252" i="6"/>
  <c r="BG290" i="6"/>
  <c r="BG275" i="6"/>
  <c r="BB275" i="6"/>
  <c r="BE275" i="6" s="1"/>
  <c r="BG97" i="6"/>
  <c r="BB97" i="6"/>
  <c r="BE97" i="6" s="1"/>
  <c r="AM104" i="6"/>
  <c r="AH104" i="6"/>
  <c r="AK104" i="6" s="1"/>
  <c r="AM418" i="6"/>
  <c r="AH418" i="6"/>
  <c r="AK418" i="6" s="1"/>
  <c r="AM430" i="6"/>
  <c r="AM115" i="6"/>
  <c r="AH115" i="6"/>
  <c r="AK115" i="6" s="1"/>
  <c r="AM253" i="6"/>
  <c r="AH253" i="6"/>
  <c r="AK253" i="6" s="1"/>
  <c r="BG432" i="6"/>
  <c r="BB432" i="6"/>
  <c r="BE432" i="6" s="1"/>
  <c r="BG89" i="6"/>
  <c r="BB89" i="6"/>
  <c r="BE89" i="6" s="1"/>
  <c r="BG434" i="6"/>
  <c r="BB434" i="6"/>
  <c r="BE434" i="6" s="1"/>
  <c r="AM80" i="6"/>
  <c r="AH80" i="6"/>
  <c r="AK80" i="6" s="1"/>
  <c r="AM369" i="6"/>
  <c r="AH369" i="6"/>
  <c r="AK369" i="6" s="1"/>
  <c r="AM231" i="6"/>
  <c r="AH231" i="6"/>
  <c r="AK231" i="6" s="1"/>
  <c r="AM236" i="6"/>
  <c r="AH236" i="6"/>
  <c r="AK236" i="6" s="1"/>
  <c r="AM347" i="6"/>
  <c r="AH347" i="6"/>
  <c r="AK347" i="6" s="1"/>
  <c r="AM437" i="6"/>
  <c r="BG200" i="6"/>
  <c r="BB200" i="6"/>
  <c r="BE200" i="6" s="1"/>
  <c r="BG158" i="6"/>
  <c r="BB158" i="6"/>
  <c r="BE158" i="6" s="1"/>
  <c r="BG225" i="6"/>
  <c r="BG122" i="6"/>
  <c r="BB122" i="6"/>
  <c r="BE122" i="6" s="1"/>
  <c r="BG86" i="6"/>
  <c r="BB86" i="6"/>
  <c r="BE86" i="6" s="1"/>
  <c r="AM172" i="6"/>
  <c r="AH172" i="6"/>
  <c r="AK172" i="6" s="1"/>
  <c r="BG60" i="6"/>
  <c r="BB60" i="6"/>
  <c r="BE60" i="6" s="1"/>
  <c r="BG305" i="6"/>
  <c r="BB305" i="6"/>
  <c r="BE305" i="6" s="1"/>
  <c r="BG120" i="6"/>
  <c r="BB120" i="6"/>
  <c r="BE120" i="6" s="1"/>
  <c r="BG121" i="6"/>
  <c r="BB121" i="6"/>
  <c r="BE121" i="6" s="1"/>
  <c r="BG221" i="6"/>
  <c r="BB221" i="6"/>
  <c r="BE221" i="6" s="1"/>
  <c r="AM351" i="6"/>
  <c r="AH351" i="6"/>
  <c r="AK351" i="6" s="1"/>
  <c r="AM336" i="6"/>
  <c r="AM107" i="6"/>
  <c r="AM330" i="6"/>
  <c r="AM210" i="6"/>
  <c r="AM435" i="6"/>
  <c r="AH435" i="6"/>
  <c r="AK435" i="6" s="1"/>
  <c r="BG317" i="6"/>
  <c r="BB317" i="6"/>
  <c r="BE317" i="6" s="1"/>
  <c r="BG367" i="6"/>
  <c r="BB367" i="6"/>
  <c r="BE367" i="6" s="1"/>
  <c r="BG160" i="6"/>
  <c r="AM89" i="6"/>
  <c r="AH89" i="6"/>
  <c r="AK89" i="6" s="1"/>
  <c r="AM132" i="6"/>
  <c r="AH132" i="6"/>
  <c r="AK132" i="6" s="1"/>
  <c r="AM287" i="6"/>
  <c r="AH287" i="6"/>
  <c r="AK287" i="6" s="1"/>
  <c r="BG368" i="6"/>
  <c r="BB368" i="6"/>
  <c r="BE368" i="6" s="1"/>
  <c r="BG292" i="6"/>
  <c r="BG395" i="6"/>
  <c r="BB395" i="6"/>
  <c r="BE395" i="6" s="1"/>
  <c r="AM112" i="6"/>
  <c r="AH112" i="6"/>
  <c r="AK112" i="6" s="1"/>
  <c r="BG173" i="6"/>
  <c r="BB173" i="6"/>
  <c r="BE173" i="6" s="1"/>
  <c r="BG254" i="6"/>
  <c r="BB254" i="6"/>
  <c r="BE254" i="6" s="1"/>
  <c r="BG355" i="6"/>
  <c r="BB355" i="6"/>
  <c r="BE355" i="6" s="1"/>
  <c r="BG137" i="6"/>
  <c r="BB137" i="6"/>
  <c r="BE137" i="6" s="1"/>
  <c r="BG378" i="6"/>
  <c r="BB378" i="6"/>
  <c r="BE378" i="6" s="1"/>
  <c r="AM128" i="6"/>
  <c r="AH128" i="6"/>
  <c r="AK128" i="6" s="1"/>
  <c r="BG289" i="6"/>
  <c r="BB289" i="6"/>
  <c r="BE289" i="6" s="1"/>
  <c r="BG154" i="6"/>
  <c r="BB154" i="6"/>
  <c r="BE154" i="6" s="1"/>
  <c r="BG152" i="6"/>
  <c r="BB152" i="6"/>
  <c r="BE152" i="6" s="1"/>
  <c r="BG74" i="6"/>
  <c r="BB74" i="6"/>
  <c r="BE74" i="6" s="1"/>
  <c r="AM375" i="6"/>
  <c r="AH375" i="6"/>
  <c r="AK375" i="6" s="1"/>
  <c r="BG327" i="6"/>
  <c r="BB327" i="6"/>
  <c r="BE327" i="6" s="1"/>
  <c r="BG150" i="6"/>
  <c r="BB150" i="6"/>
  <c r="BE150" i="6" s="1"/>
  <c r="AM422" i="6"/>
  <c r="AH422" i="6"/>
  <c r="AK422" i="6" s="1"/>
  <c r="BG102" i="6"/>
  <c r="BB102" i="6"/>
  <c r="BE102" i="6" s="1"/>
  <c r="BG226" i="6"/>
  <c r="BB226" i="6"/>
  <c r="BE226" i="6" s="1"/>
  <c r="BG314" i="6"/>
  <c r="BB314" i="6"/>
  <c r="BE314" i="6" s="1"/>
  <c r="BG52" i="6"/>
  <c r="BB52" i="6"/>
  <c r="BE52" i="6" s="1"/>
  <c r="BF52" i="6"/>
  <c r="BF53" i="6" s="1"/>
  <c r="BF54" i="6" s="1"/>
  <c r="BF55" i="6" s="1"/>
  <c r="BF56" i="6" s="1"/>
  <c r="BF57" i="6" s="1"/>
  <c r="BF58" i="6" s="1"/>
  <c r="BF59" i="6" s="1"/>
  <c r="BF60" i="6" s="1"/>
  <c r="BF61" i="6" s="1"/>
  <c r="BF62" i="6" s="1"/>
  <c r="BF63" i="6" s="1"/>
  <c r="BF64" i="6" s="1"/>
  <c r="BF65" i="6" s="1"/>
  <c r="BF66" i="6" s="1"/>
  <c r="BF67" i="6" s="1"/>
  <c r="BF68" i="6" s="1"/>
  <c r="BF69" i="6" s="1"/>
  <c r="BF70" i="6" s="1"/>
  <c r="BF71" i="6" s="1"/>
  <c r="BF72" i="6" s="1"/>
  <c r="BF73" i="6" s="1"/>
  <c r="BF74" i="6" s="1"/>
  <c r="BF75" i="6" s="1"/>
  <c r="BF76" i="6" s="1"/>
  <c r="BF77" i="6" s="1"/>
  <c r="BF78" i="6" s="1"/>
  <c r="BF79" i="6" s="1"/>
  <c r="BF80" i="6" s="1"/>
  <c r="BF81" i="6" s="1"/>
  <c r="BF82" i="6" s="1"/>
  <c r="BF83" i="6" s="1"/>
  <c r="BF84" i="6" s="1"/>
  <c r="BF85" i="6" s="1"/>
  <c r="BF86" i="6" s="1"/>
  <c r="BF87" i="6" s="1"/>
  <c r="BF88" i="6" s="1"/>
  <c r="BF89" i="6" s="1"/>
  <c r="BF90" i="6" s="1"/>
  <c r="BF91" i="6" s="1"/>
  <c r="BF92" i="6" s="1"/>
  <c r="BF93" i="6" s="1"/>
  <c r="BF94" i="6" s="1"/>
  <c r="BF95" i="6" s="1"/>
  <c r="BF96" i="6" s="1"/>
  <c r="BF97" i="6" s="1"/>
  <c r="BF98" i="6" s="1"/>
  <c r="BF99" i="6" s="1"/>
  <c r="BF100" i="6" s="1"/>
  <c r="BF101" i="6" s="1"/>
  <c r="BF102" i="6" s="1"/>
  <c r="BF103" i="6" s="1"/>
  <c r="BF104" i="6" s="1"/>
  <c r="BF105" i="6" s="1"/>
  <c r="BF106" i="6" s="1"/>
  <c r="BF107" i="6" s="1"/>
  <c r="BF108" i="6" s="1"/>
  <c r="BF109" i="6" s="1"/>
  <c r="BF110" i="6" s="1"/>
  <c r="BF111" i="6" s="1"/>
  <c r="BF112" i="6" s="1"/>
  <c r="BF113" i="6" s="1"/>
  <c r="BF114" i="6" s="1"/>
  <c r="BF115" i="6" s="1"/>
  <c r="BF116" i="6" s="1"/>
  <c r="BF117" i="6" s="1"/>
  <c r="BF118" i="6" s="1"/>
  <c r="BF119" i="6" s="1"/>
  <c r="BF120" i="6" s="1"/>
  <c r="BF121" i="6" s="1"/>
  <c r="BF122" i="6" s="1"/>
  <c r="BF123" i="6" s="1"/>
  <c r="BF124" i="6" s="1"/>
  <c r="BF125" i="6" s="1"/>
  <c r="BF126" i="6" s="1"/>
  <c r="BF127" i="6" s="1"/>
  <c r="BF128" i="6" s="1"/>
  <c r="BF129" i="6" s="1"/>
  <c r="BF130" i="6" s="1"/>
  <c r="BF131" i="6" s="1"/>
  <c r="BF132" i="6" s="1"/>
  <c r="BF133" i="6" s="1"/>
  <c r="BF134" i="6" s="1"/>
  <c r="BF135" i="6" s="1"/>
  <c r="BF136" i="6" s="1"/>
  <c r="BF137" i="6" s="1"/>
  <c r="BF138" i="6" s="1"/>
  <c r="BF139" i="6" s="1"/>
  <c r="BF140" i="6" s="1"/>
  <c r="BF141" i="6" s="1"/>
  <c r="BF142" i="6" s="1"/>
  <c r="BF143" i="6" s="1"/>
  <c r="BF144" i="6" s="1"/>
  <c r="BF145" i="6" s="1"/>
  <c r="BF146" i="6" s="1"/>
  <c r="BF147" i="6" s="1"/>
  <c r="BF148" i="6" s="1"/>
  <c r="BF149" i="6" s="1"/>
  <c r="BF150" i="6" s="1"/>
  <c r="BF151" i="6" s="1"/>
  <c r="BF152" i="6" s="1"/>
  <c r="BF153" i="6" s="1"/>
  <c r="BF154" i="6" s="1"/>
  <c r="BF155" i="6" s="1"/>
  <c r="BF156" i="6" s="1"/>
  <c r="BF157" i="6" s="1"/>
  <c r="BF158" i="6" s="1"/>
  <c r="BF159" i="6" s="1"/>
  <c r="BF160" i="6" s="1"/>
  <c r="BF161" i="6" s="1"/>
  <c r="BF162" i="6" s="1"/>
  <c r="BF163" i="6" s="1"/>
  <c r="BF164" i="6" s="1"/>
  <c r="BF165" i="6" s="1"/>
  <c r="BF166" i="6" s="1"/>
  <c r="BF167" i="6" s="1"/>
  <c r="BF168" i="6" s="1"/>
  <c r="BF169" i="6" s="1"/>
  <c r="BF170" i="6" s="1"/>
  <c r="BF171" i="6" s="1"/>
  <c r="BF172" i="6" s="1"/>
  <c r="BF173" i="6" s="1"/>
  <c r="BF174" i="6" s="1"/>
  <c r="BF175" i="6" s="1"/>
  <c r="BF176" i="6" s="1"/>
  <c r="BF177" i="6" s="1"/>
  <c r="BF178" i="6" s="1"/>
  <c r="BF179" i="6" s="1"/>
  <c r="BF180" i="6" s="1"/>
  <c r="BF181" i="6" s="1"/>
  <c r="BF182" i="6" s="1"/>
  <c r="BF183" i="6" s="1"/>
  <c r="BF184" i="6" s="1"/>
  <c r="BF185" i="6" s="1"/>
  <c r="BF186" i="6" s="1"/>
  <c r="BF187" i="6" s="1"/>
  <c r="BF188" i="6" s="1"/>
  <c r="BF189" i="6" s="1"/>
  <c r="BF190" i="6" s="1"/>
  <c r="BF191" i="6" s="1"/>
  <c r="BF192" i="6" s="1"/>
  <c r="BF193" i="6" s="1"/>
  <c r="BF194" i="6" s="1"/>
  <c r="BF195" i="6" s="1"/>
  <c r="BF196" i="6" s="1"/>
  <c r="BF197" i="6" s="1"/>
  <c r="BF198" i="6" s="1"/>
  <c r="BF199" i="6" s="1"/>
  <c r="BF200" i="6" s="1"/>
  <c r="BF201" i="6" s="1"/>
  <c r="BF202" i="6" s="1"/>
  <c r="BF203" i="6" s="1"/>
  <c r="BF204" i="6" s="1"/>
  <c r="BF205" i="6" s="1"/>
  <c r="BF206" i="6" s="1"/>
  <c r="BF207" i="6" s="1"/>
  <c r="BF208" i="6" s="1"/>
  <c r="BF209" i="6" s="1"/>
  <c r="BF210" i="6" s="1"/>
  <c r="BF211" i="6" s="1"/>
  <c r="BF212" i="6" s="1"/>
  <c r="BF213" i="6" s="1"/>
  <c r="BF214" i="6" s="1"/>
  <c r="BF215" i="6" s="1"/>
  <c r="BF216" i="6" s="1"/>
  <c r="BF217" i="6" s="1"/>
  <c r="BF218" i="6" s="1"/>
  <c r="BF219" i="6" s="1"/>
  <c r="BF220" i="6" s="1"/>
  <c r="BF221" i="6" s="1"/>
  <c r="BF222" i="6" s="1"/>
  <c r="BF223" i="6" s="1"/>
  <c r="BF224" i="6" s="1"/>
  <c r="BF225" i="6" s="1"/>
  <c r="BF226" i="6" s="1"/>
  <c r="BF227" i="6" s="1"/>
  <c r="BF228" i="6" s="1"/>
  <c r="BF229" i="6" s="1"/>
  <c r="BF230" i="6" s="1"/>
  <c r="BF231" i="6" s="1"/>
  <c r="BF232" i="6" s="1"/>
  <c r="BF233" i="6" s="1"/>
  <c r="BF234" i="6" s="1"/>
  <c r="BF235" i="6" s="1"/>
  <c r="BF236" i="6" s="1"/>
  <c r="BF237" i="6" s="1"/>
  <c r="BF238" i="6" s="1"/>
  <c r="BF239" i="6" s="1"/>
  <c r="BF240" i="6" s="1"/>
  <c r="BF241" i="6" s="1"/>
  <c r="BF242" i="6" s="1"/>
  <c r="BF243" i="6" s="1"/>
  <c r="BF244" i="6" s="1"/>
  <c r="BF245" i="6" s="1"/>
  <c r="BF246" i="6" s="1"/>
  <c r="BF247" i="6" s="1"/>
  <c r="BF248" i="6" s="1"/>
  <c r="BF249" i="6" s="1"/>
  <c r="BF250" i="6" s="1"/>
  <c r="BF251" i="6" s="1"/>
  <c r="BF252" i="6" s="1"/>
  <c r="BF253" i="6" s="1"/>
  <c r="BF254" i="6" s="1"/>
  <c r="BF255" i="6" s="1"/>
  <c r="BF256" i="6" s="1"/>
  <c r="BF257" i="6" s="1"/>
  <c r="BF258" i="6" s="1"/>
  <c r="BF259" i="6" s="1"/>
  <c r="BF260" i="6" s="1"/>
  <c r="BF261" i="6" s="1"/>
  <c r="BF262" i="6" s="1"/>
  <c r="BF263" i="6" s="1"/>
  <c r="BF264" i="6" s="1"/>
  <c r="BF265" i="6" s="1"/>
  <c r="BF266" i="6" s="1"/>
  <c r="BF267" i="6" s="1"/>
  <c r="BF268" i="6" s="1"/>
  <c r="BF269" i="6" s="1"/>
  <c r="BF270" i="6" s="1"/>
  <c r="BF271" i="6" s="1"/>
  <c r="BF272" i="6" s="1"/>
  <c r="BF273" i="6" s="1"/>
  <c r="BF274" i="6" s="1"/>
  <c r="BF275" i="6" s="1"/>
  <c r="BF276" i="6" s="1"/>
  <c r="BF277" i="6" s="1"/>
  <c r="BF278" i="6" s="1"/>
  <c r="BF279" i="6" s="1"/>
  <c r="BF280" i="6" s="1"/>
  <c r="BF281" i="6" s="1"/>
  <c r="BF282" i="6" s="1"/>
  <c r="BF283" i="6" s="1"/>
  <c r="BF284" i="6" s="1"/>
  <c r="BF285" i="6" s="1"/>
  <c r="BF286" i="6" s="1"/>
  <c r="BF287" i="6" s="1"/>
  <c r="BF288" i="6" s="1"/>
  <c r="BF289" i="6" s="1"/>
  <c r="BF290" i="6" s="1"/>
  <c r="BF291" i="6" s="1"/>
  <c r="BF292" i="6" s="1"/>
  <c r="BF293" i="6" s="1"/>
  <c r="BF294" i="6" s="1"/>
  <c r="BF295" i="6" s="1"/>
  <c r="BF296" i="6" s="1"/>
  <c r="BF297" i="6" s="1"/>
  <c r="BF298" i="6" s="1"/>
  <c r="BF299" i="6" s="1"/>
  <c r="BF300" i="6" s="1"/>
  <c r="BF301" i="6" s="1"/>
  <c r="BF302" i="6" s="1"/>
  <c r="BF303" i="6" s="1"/>
  <c r="BF304" i="6" s="1"/>
  <c r="BF305" i="6" s="1"/>
  <c r="BF306" i="6" s="1"/>
  <c r="BF307" i="6" s="1"/>
  <c r="BF308" i="6" s="1"/>
  <c r="BF309" i="6" s="1"/>
  <c r="BF310" i="6" s="1"/>
  <c r="BF311" i="6" s="1"/>
  <c r="BF312" i="6" s="1"/>
  <c r="BF313" i="6" s="1"/>
  <c r="BF314" i="6" s="1"/>
  <c r="BF315" i="6" s="1"/>
  <c r="BF316" i="6" s="1"/>
  <c r="BF317" i="6" s="1"/>
  <c r="BF318" i="6" s="1"/>
  <c r="BF319" i="6" s="1"/>
  <c r="BF320" i="6" s="1"/>
  <c r="BF321" i="6" s="1"/>
  <c r="BF322" i="6" s="1"/>
  <c r="BF323" i="6" s="1"/>
  <c r="BF324" i="6" s="1"/>
  <c r="BF325" i="6" s="1"/>
  <c r="BF326" i="6" s="1"/>
  <c r="BF327" i="6" s="1"/>
  <c r="BF328" i="6" s="1"/>
  <c r="BF329" i="6" s="1"/>
  <c r="BF330" i="6" s="1"/>
  <c r="BF331" i="6" s="1"/>
  <c r="BF332" i="6" s="1"/>
  <c r="BF333" i="6" s="1"/>
  <c r="BF334" i="6" s="1"/>
  <c r="BF335" i="6" s="1"/>
  <c r="BF336" i="6" s="1"/>
  <c r="BF337" i="6" s="1"/>
  <c r="BF338" i="6" s="1"/>
  <c r="BF339" i="6" s="1"/>
  <c r="BF340" i="6" s="1"/>
  <c r="BF341" i="6" s="1"/>
  <c r="BF342" i="6" s="1"/>
  <c r="BF343" i="6" s="1"/>
  <c r="BF344" i="6" s="1"/>
  <c r="BF345" i="6" s="1"/>
  <c r="BF346" i="6" s="1"/>
  <c r="BF347" i="6" s="1"/>
  <c r="BF348" i="6" s="1"/>
  <c r="BF349" i="6" s="1"/>
  <c r="BF350" i="6" s="1"/>
  <c r="BF351" i="6" s="1"/>
  <c r="BF352" i="6" s="1"/>
  <c r="BF353" i="6" s="1"/>
  <c r="BF354" i="6" s="1"/>
  <c r="BF355" i="6" s="1"/>
  <c r="BF356" i="6" s="1"/>
  <c r="BF357" i="6" s="1"/>
  <c r="BF358" i="6" s="1"/>
  <c r="BF359" i="6" s="1"/>
  <c r="BF360" i="6" s="1"/>
  <c r="BF361" i="6" s="1"/>
  <c r="BF362" i="6" s="1"/>
  <c r="BF363" i="6" s="1"/>
  <c r="BF364" i="6" s="1"/>
  <c r="BF365" i="6" s="1"/>
  <c r="BF366" i="6" s="1"/>
  <c r="BF367" i="6" s="1"/>
  <c r="BF368" i="6" s="1"/>
  <c r="BF369" i="6" s="1"/>
  <c r="BF370" i="6" s="1"/>
  <c r="BF371" i="6" s="1"/>
  <c r="BF372" i="6" s="1"/>
  <c r="BF373" i="6" s="1"/>
  <c r="BF374" i="6" s="1"/>
  <c r="BF375" i="6" s="1"/>
  <c r="BF376" i="6" s="1"/>
  <c r="BF377" i="6" s="1"/>
  <c r="BF378" i="6" s="1"/>
  <c r="BF379" i="6" s="1"/>
  <c r="BF380" i="6" s="1"/>
  <c r="BF381" i="6" s="1"/>
  <c r="BF382" i="6" s="1"/>
  <c r="BF383" i="6" s="1"/>
  <c r="BF384" i="6" s="1"/>
  <c r="BF385" i="6" s="1"/>
  <c r="BF386" i="6" s="1"/>
  <c r="BF387" i="6" s="1"/>
  <c r="BF388" i="6" s="1"/>
  <c r="BF389" i="6" s="1"/>
  <c r="BF390" i="6" s="1"/>
  <c r="BF391" i="6" s="1"/>
  <c r="BF392" i="6" s="1"/>
  <c r="BF393" i="6" s="1"/>
  <c r="BF394" i="6" s="1"/>
  <c r="BF395" i="6" s="1"/>
  <c r="BF396" i="6" s="1"/>
  <c r="BF397" i="6" s="1"/>
  <c r="BF398" i="6" s="1"/>
  <c r="BF399" i="6" s="1"/>
  <c r="BF400" i="6" s="1"/>
  <c r="BF401" i="6" s="1"/>
  <c r="BF402" i="6" s="1"/>
  <c r="BF403" i="6" s="1"/>
  <c r="BF404" i="6" s="1"/>
  <c r="BF405" i="6" s="1"/>
  <c r="BF406" i="6" s="1"/>
  <c r="BF407" i="6" s="1"/>
  <c r="BF408" i="6" s="1"/>
  <c r="BF409" i="6" s="1"/>
  <c r="BF410" i="6" s="1"/>
  <c r="BF411" i="6" s="1"/>
  <c r="BF412" i="6" s="1"/>
  <c r="BF413" i="6" s="1"/>
  <c r="BF414" i="6" s="1"/>
  <c r="BF415" i="6" s="1"/>
  <c r="BF416" i="6" s="1"/>
  <c r="BF417" i="6" s="1"/>
  <c r="BF418" i="6" s="1"/>
  <c r="BF419" i="6" s="1"/>
  <c r="BF420" i="6" s="1"/>
  <c r="BF421" i="6" s="1"/>
  <c r="BF422" i="6" s="1"/>
  <c r="BF423" i="6" s="1"/>
  <c r="BF424" i="6" s="1"/>
  <c r="BF425" i="6" s="1"/>
  <c r="BF426" i="6" s="1"/>
  <c r="BF427" i="6" s="1"/>
  <c r="BF428" i="6" s="1"/>
  <c r="BF429" i="6" s="1"/>
  <c r="BF430" i="6" s="1"/>
  <c r="BF431" i="6" s="1"/>
  <c r="BF432" i="6" s="1"/>
  <c r="BF433" i="6" s="1"/>
  <c r="BF434" i="6" s="1"/>
  <c r="BF435" i="6" s="1"/>
  <c r="BF436" i="6" s="1"/>
  <c r="BF437" i="6" s="1"/>
  <c r="BF438" i="6" s="1"/>
  <c r="BF439" i="6" s="1"/>
  <c r="BF440" i="6" s="1"/>
  <c r="BF441" i="6" s="1"/>
  <c r="BF45" i="6" s="1"/>
  <c r="BG162" i="6"/>
  <c r="BB162" i="6"/>
  <c r="BE162" i="6" s="1"/>
  <c r="BG298" i="6"/>
  <c r="BG53" i="6"/>
  <c r="BB53" i="6"/>
  <c r="BE53" i="6" s="1"/>
  <c r="BG300" i="6"/>
  <c r="BB300" i="6"/>
  <c r="BE300" i="6" s="1"/>
  <c r="AM423" i="6"/>
  <c r="BG145" i="6"/>
  <c r="BB145" i="6"/>
  <c r="BE145" i="6" s="1"/>
  <c r="AM140" i="6"/>
  <c r="AH140" i="6"/>
  <c r="AK140" i="6" s="1"/>
  <c r="AM220" i="6"/>
  <c r="AH220" i="6"/>
  <c r="AK220" i="6" s="1"/>
  <c r="BG107" i="6"/>
  <c r="BB107" i="6"/>
  <c r="BE107" i="6" s="1"/>
  <c r="AM323" i="6"/>
  <c r="AH323" i="6"/>
  <c r="AK323" i="6" s="1"/>
  <c r="BG329" i="6"/>
  <c r="BB329" i="6"/>
  <c r="BE329" i="6" s="1"/>
  <c r="BG212" i="6"/>
  <c r="BB212" i="6"/>
  <c r="BE212" i="6" s="1"/>
  <c r="BG269" i="6"/>
  <c r="BB269" i="6"/>
  <c r="BE269" i="6" s="1"/>
  <c r="AM149" i="6"/>
  <c r="AH149" i="6"/>
  <c r="AK149" i="6" s="1"/>
  <c r="AM247" i="6"/>
  <c r="AH247" i="6"/>
  <c r="AK247" i="6" s="1"/>
  <c r="BG247" i="6"/>
  <c r="BB247" i="6"/>
  <c r="BE247" i="6" s="1"/>
  <c r="BG126" i="6"/>
  <c r="BB126" i="6"/>
  <c r="BE126" i="6" s="1"/>
  <c r="BG404" i="6"/>
  <c r="BB404" i="6"/>
  <c r="BE404" i="6" s="1"/>
  <c r="BG69" i="6"/>
  <c r="BB69" i="6"/>
  <c r="BE69" i="6" s="1"/>
  <c r="BG402" i="6"/>
  <c r="BB402" i="6"/>
  <c r="BE402" i="6" s="1"/>
  <c r="AM121" i="6"/>
  <c r="AH121" i="6"/>
  <c r="AK121" i="6" s="1"/>
  <c r="AM118" i="6"/>
  <c r="AH118" i="6"/>
  <c r="AK118" i="6" s="1"/>
  <c r="AM353" i="6"/>
  <c r="AH353" i="6"/>
  <c r="AK353" i="6" s="1"/>
  <c r="AM428" i="6"/>
  <c r="AH428" i="6"/>
  <c r="AK428" i="6" s="1"/>
  <c r="AY45" i="6"/>
  <c r="BG422" i="6"/>
  <c r="BB422" i="6"/>
  <c r="BE422" i="6" s="1"/>
  <c r="AM352" i="6"/>
  <c r="AH352" i="6"/>
  <c r="AK352" i="6" s="1"/>
  <c r="AM399" i="6"/>
  <c r="AH399" i="6"/>
  <c r="AK399" i="6" s="1"/>
  <c r="BG143" i="6"/>
  <c r="BB143" i="6"/>
  <c r="BE143" i="6" s="1"/>
  <c r="BG385" i="6"/>
  <c r="BB385" i="6"/>
  <c r="BE385" i="6" s="1"/>
  <c r="BG129" i="6"/>
  <c r="BB129" i="6"/>
  <c r="BE129" i="6" s="1"/>
  <c r="AM363" i="6"/>
  <c r="AH363" i="6"/>
  <c r="AK363" i="6" s="1"/>
  <c r="AM293" i="6"/>
  <c r="AH293" i="6"/>
  <c r="AK293" i="6" s="1"/>
  <c r="BG157" i="6"/>
  <c r="BB157" i="6"/>
  <c r="BE157" i="6" s="1"/>
  <c r="BG243" i="6"/>
  <c r="BB243" i="6"/>
  <c r="BE243" i="6" s="1"/>
  <c r="BG113" i="6"/>
  <c r="BB113" i="6"/>
  <c r="BE113" i="6" s="1"/>
  <c r="AM415" i="6"/>
  <c r="AH415" i="6"/>
  <c r="AK415" i="6" s="1"/>
  <c r="AM203" i="6"/>
  <c r="AH203" i="6"/>
  <c r="AK203" i="6" s="1"/>
  <c r="AM433" i="6"/>
  <c r="AH433" i="6"/>
  <c r="AK433" i="6" s="1"/>
  <c r="AM307" i="6"/>
  <c r="AH307" i="6"/>
  <c r="AK307" i="6" s="1"/>
  <c r="CA51" i="6"/>
  <c r="BX51" i="6"/>
  <c r="BV51" i="6"/>
  <c r="BY51" i="6" s="1"/>
  <c r="BW51" i="6"/>
  <c r="BG408" i="6"/>
  <c r="BB408" i="6"/>
  <c r="BE408" i="6" s="1"/>
  <c r="BG161" i="6"/>
  <c r="BB161" i="6"/>
  <c r="BE161" i="6" s="1"/>
  <c r="AM72" i="6"/>
  <c r="AH72" i="6"/>
  <c r="AK72" i="6" s="1"/>
  <c r="AM406" i="6"/>
  <c r="AH406" i="6"/>
  <c r="AK406" i="6" s="1"/>
  <c r="BG281" i="6"/>
  <c r="BB281" i="6"/>
  <c r="BE281" i="6" s="1"/>
  <c r="BG424" i="6"/>
  <c r="BB424" i="6"/>
  <c r="BE424" i="6" s="1"/>
  <c r="BG319" i="6"/>
  <c r="BB319" i="6"/>
  <c r="BE319" i="6" s="1"/>
  <c r="BG261" i="6"/>
  <c r="BB261" i="6"/>
  <c r="BE261" i="6" s="1"/>
  <c r="BG217" i="6"/>
  <c r="BB217" i="6"/>
  <c r="BE217" i="6" s="1"/>
  <c r="AM219" i="6"/>
  <c r="AH219" i="6"/>
  <c r="AK219" i="6" s="1"/>
  <c r="AM327" i="6"/>
  <c r="AH327" i="6"/>
  <c r="AK327" i="6" s="1"/>
  <c r="AM65" i="6"/>
  <c r="AH65" i="6"/>
  <c r="AK65" i="6" s="1"/>
  <c r="AM76" i="6"/>
  <c r="AH76" i="6"/>
  <c r="AK76" i="6" s="1"/>
  <c r="AM91" i="6"/>
  <c r="AH91" i="6"/>
  <c r="AK91" i="6" s="1"/>
  <c r="BG66" i="6"/>
  <c r="BB66" i="6"/>
  <c r="BE66" i="6" s="1"/>
  <c r="BG240" i="6"/>
  <c r="BB240" i="6"/>
  <c r="BE240" i="6" s="1"/>
  <c r="BG218" i="6"/>
  <c r="BB218" i="6"/>
  <c r="BE218" i="6" s="1"/>
  <c r="BG344" i="6"/>
  <c r="BB344" i="6"/>
  <c r="BE344" i="6" s="1"/>
  <c r="BG79" i="6"/>
  <c r="BB79" i="6"/>
  <c r="BE79" i="6" s="1"/>
  <c r="BG322" i="6"/>
  <c r="BG296" i="6"/>
  <c r="BB296" i="6"/>
  <c r="BE296" i="6" s="1"/>
  <c r="AM67" i="6"/>
  <c r="AH67" i="6"/>
  <c r="AK67" i="6" s="1"/>
  <c r="AM244" i="6"/>
  <c r="AH244" i="6"/>
  <c r="AK244" i="6" s="1"/>
  <c r="AM165" i="6"/>
  <c r="AH165" i="6"/>
  <c r="AK165" i="6" s="1"/>
  <c r="BG423" i="6"/>
  <c r="BB423" i="6"/>
  <c r="BE423" i="6" s="1"/>
  <c r="BG253" i="6"/>
  <c r="BB253" i="6"/>
  <c r="BE253" i="6" s="1"/>
  <c r="BG175" i="6"/>
  <c r="BB175" i="6"/>
  <c r="BE175" i="6" s="1"/>
  <c r="BG400" i="6"/>
  <c r="BB400" i="6"/>
  <c r="BE400" i="6" s="1"/>
  <c r="AM313" i="6"/>
  <c r="AH313" i="6"/>
  <c r="AK313" i="6" s="1"/>
  <c r="BG427" i="6"/>
  <c r="BB427" i="6"/>
  <c r="BE427" i="6" s="1"/>
  <c r="BG373" i="6"/>
  <c r="BB373" i="6"/>
  <c r="BE373" i="6" s="1"/>
  <c r="BG75" i="6"/>
  <c r="BB75" i="6"/>
  <c r="BE75" i="6" s="1"/>
  <c r="AM100" i="6"/>
  <c r="AH100" i="6"/>
  <c r="AK100" i="6" s="1"/>
  <c r="AM255" i="6"/>
  <c r="AH255" i="6"/>
  <c r="AK255" i="6" s="1"/>
  <c r="AM54" i="6"/>
  <c r="AH54" i="6"/>
  <c r="AK54" i="6" s="1"/>
  <c r="AM241" i="6"/>
  <c r="AH241" i="6"/>
  <c r="AK241" i="6" s="1"/>
  <c r="BG272" i="6"/>
  <c r="BB272" i="6"/>
  <c r="BE272" i="6" s="1"/>
  <c r="BG360" i="6"/>
  <c r="BB360" i="6"/>
  <c r="BE360" i="6" s="1"/>
  <c r="BG180" i="6"/>
  <c r="BB180" i="6"/>
  <c r="BE180" i="6" s="1"/>
  <c r="BG138" i="6"/>
  <c r="BB138" i="6"/>
  <c r="BE138" i="6" s="1"/>
  <c r="BG123" i="6"/>
  <c r="BB123" i="6"/>
  <c r="BE123" i="6" s="1"/>
  <c r="AM97" i="6"/>
  <c r="AH97" i="6"/>
  <c r="AK97" i="6" s="1"/>
  <c r="AM439" i="6"/>
  <c r="AH439" i="6"/>
  <c r="AK439" i="6" s="1"/>
  <c r="BG171" i="6"/>
  <c r="BB171" i="6"/>
  <c r="BE171" i="6" s="1"/>
  <c r="AM358" i="6"/>
  <c r="AH358" i="6"/>
  <c r="AK358" i="6" s="1"/>
  <c r="AM52" i="6"/>
  <c r="AH52" i="6"/>
  <c r="AK52" i="6" s="1"/>
  <c r="AL52" i="6"/>
  <c r="AL53" i="6" s="1"/>
  <c r="AL54" i="6" s="1"/>
  <c r="AL55" i="6" s="1"/>
  <c r="AL56" i="6" s="1"/>
  <c r="AL57" i="6" s="1"/>
  <c r="AL58" i="6" s="1"/>
  <c r="AL59" i="6" s="1"/>
  <c r="AL60" i="6" s="1"/>
  <c r="AL61" i="6" s="1"/>
  <c r="AL62" i="6" s="1"/>
  <c r="AL63" i="6" s="1"/>
  <c r="AL64" i="6" s="1"/>
  <c r="AL65" i="6" s="1"/>
  <c r="AL66" i="6" s="1"/>
  <c r="AL67" i="6" s="1"/>
  <c r="AL68" i="6" s="1"/>
  <c r="AL69" i="6" s="1"/>
  <c r="AL70" i="6" s="1"/>
  <c r="AL71" i="6" s="1"/>
  <c r="AL72" i="6" s="1"/>
  <c r="AL73" i="6" s="1"/>
  <c r="AL74" i="6" s="1"/>
  <c r="AL75" i="6" s="1"/>
  <c r="AL76" i="6" s="1"/>
  <c r="AL77" i="6" s="1"/>
  <c r="AL78" i="6" s="1"/>
  <c r="AL79" i="6" s="1"/>
  <c r="AL80" i="6" s="1"/>
  <c r="AL81" i="6" s="1"/>
  <c r="AL82" i="6" s="1"/>
  <c r="AL83" i="6" s="1"/>
  <c r="AL84" i="6" s="1"/>
  <c r="AL85" i="6" s="1"/>
  <c r="AL86" i="6" s="1"/>
  <c r="AL87" i="6" s="1"/>
  <c r="AL88" i="6" s="1"/>
  <c r="AL89" i="6" s="1"/>
  <c r="AL90" i="6" s="1"/>
  <c r="AL91" i="6" s="1"/>
  <c r="AL92" i="6" s="1"/>
  <c r="AL93" i="6" s="1"/>
  <c r="AL94" i="6" s="1"/>
  <c r="AL95" i="6" s="1"/>
  <c r="AL96" i="6" s="1"/>
  <c r="AL97" i="6" s="1"/>
  <c r="AL98" i="6" s="1"/>
  <c r="AL99" i="6" s="1"/>
  <c r="AL100" i="6" s="1"/>
  <c r="AL101" i="6" s="1"/>
  <c r="AL102" i="6" s="1"/>
  <c r="AL103" i="6" s="1"/>
  <c r="AL104" i="6" s="1"/>
  <c r="AL105" i="6" s="1"/>
  <c r="AL106" i="6" s="1"/>
  <c r="AL107" i="6" s="1"/>
  <c r="AL108" i="6" s="1"/>
  <c r="AL109" i="6" s="1"/>
  <c r="AL110" i="6" s="1"/>
  <c r="AL111" i="6" s="1"/>
  <c r="AL112" i="6" s="1"/>
  <c r="AL113" i="6" s="1"/>
  <c r="AL114" i="6" s="1"/>
  <c r="AL115" i="6" s="1"/>
  <c r="AL116" i="6" s="1"/>
  <c r="AL117" i="6" s="1"/>
  <c r="AL118" i="6" s="1"/>
  <c r="AL119" i="6" s="1"/>
  <c r="AL120" i="6" s="1"/>
  <c r="AL121" i="6" s="1"/>
  <c r="AL122" i="6" s="1"/>
  <c r="AL123" i="6" s="1"/>
  <c r="AL124" i="6" s="1"/>
  <c r="AL125" i="6" s="1"/>
  <c r="AL126" i="6" s="1"/>
  <c r="AL127" i="6" s="1"/>
  <c r="AL128" i="6" s="1"/>
  <c r="AL129" i="6" s="1"/>
  <c r="AL130" i="6" s="1"/>
  <c r="AL131" i="6" s="1"/>
  <c r="AL132" i="6" s="1"/>
  <c r="AL133" i="6" s="1"/>
  <c r="AL134" i="6" s="1"/>
  <c r="AL135" i="6" s="1"/>
  <c r="AL136" i="6" s="1"/>
  <c r="AL137" i="6" s="1"/>
  <c r="AL138" i="6" s="1"/>
  <c r="AL139" i="6" s="1"/>
  <c r="AL140" i="6" s="1"/>
  <c r="AL141" i="6" s="1"/>
  <c r="AL142" i="6" s="1"/>
  <c r="AL143" i="6" s="1"/>
  <c r="AL144" i="6" s="1"/>
  <c r="AL145" i="6" s="1"/>
  <c r="AL146" i="6" s="1"/>
  <c r="AL147" i="6" s="1"/>
  <c r="AL148" i="6" s="1"/>
  <c r="AL149" i="6" s="1"/>
  <c r="AL150" i="6" s="1"/>
  <c r="AL151" i="6" s="1"/>
  <c r="AL152" i="6" s="1"/>
  <c r="AL153" i="6" s="1"/>
  <c r="AL154" i="6" s="1"/>
  <c r="AL155" i="6" s="1"/>
  <c r="AL156" i="6" s="1"/>
  <c r="AL157" i="6" s="1"/>
  <c r="AL158" i="6" s="1"/>
  <c r="AL159" i="6" s="1"/>
  <c r="AL160" i="6" s="1"/>
  <c r="AL161" i="6" s="1"/>
  <c r="AL162" i="6" s="1"/>
  <c r="AL163" i="6" s="1"/>
  <c r="AL164" i="6" s="1"/>
  <c r="AL165" i="6" s="1"/>
  <c r="AL166" i="6" s="1"/>
  <c r="AL167" i="6" s="1"/>
  <c r="AL168" i="6" s="1"/>
  <c r="AL169" i="6" s="1"/>
  <c r="AL170" i="6" s="1"/>
  <c r="AL171" i="6" s="1"/>
  <c r="AL172" i="6" s="1"/>
  <c r="AL173" i="6" s="1"/>
  <c r="AL174" i="6" s="1"/>
  <c r="AL175" i="6" s="1"/>
  <c r="AL176" i="6" s="1"/>
  <c r="AL177" i="6" s="1"/>
  <c r="AL178" i="6" s="1"/>
  <c r="AL179" i="6" s="1"/>
  <c r="AL180" i="6" s="1"/>
  <c r="AL181" i="6" s="1"/>
  <c r="AL182" i="6" s="1"/>
  <c r="AL183" i="6" s="1"/>
  <c r="AL184" i="6" s="1"/>
  <c r="AL185" i="6" s="1"/>
  <c r="AL186" i="6" s="1"/>
  <c r="AL187" i="6" s="1"/>
  <c r="AL188" i="6" s="1"/>
  <c r="AL189" i="6" s="1"/>
  <c r="AL190" i="6" s="1"/>
  <c r="AL191" i="6" s="1"/>
  <c r="AL192" i="6" s="1"/>
  <c r="AL193" i="6" s="1"/>
  <c r="AL194" i="6" s="1"/>
  <c r="AL195" i="6" s="1"/>
  <c r="AL196" i="6" s="1"/>
  <c r="AL197" i="6" s="1"/>
  <c r="AL198" i="6" s="1"/>
  <c r="AL199" i="6" s="1"/>
  <c r="AL200" i="6" s="1"/>
  <c r="AL201" i="6" s="1"/>
  <c r="AL202" i="6" s="1"/>
  <c r="AL203" i="6" s="1"/>
  <c r="AL204" i="6" s="1"/>
  <c r="AL205" i="6" s="1"/>
  <c r="AL206" i="6" s="1"/>
  <c r="AL207" i="6" s="1"/>
  <c r="AL208" i="6" s="1"/>
  <c r="AL209" i="6" s="1"/>
  <c r="AL210" i="6" s="1"/>
  <c r="AL211" i="6" s="1"/>
  <c r="AL212" i="6" s="1"/>
  <c r="AL213" i="6" s="1"/>
  <c r="AL214" i="6" s="1"/>
  <c r="AL215" i="6" s="1"/>
  <c r="AL216" i="6" s="1"/>
  <c r="AL217" i="6" s="1"/>
  <c r="AL218" i="6" s="1"/>
  <c r="AL219" i="6" s="1"/>
  <c r="AL220" i="6" s="1"/>
  <c r="AL221" i="6" s="1"/>
  <c r="AL222" i="6" s="1"/>
  <c r="AL223" i="6" s="1"/>
  <c r="AL224" i="6" s="1"/>
  <c r="AL225" i="6" s="1"/>
  <c r="AL226" i="6" s="1"/>
  <c r="AL227" i="6" s="1"/>
  <c r="AL228" i="6" s="1"/>
  <c r="AL229" i="6" s="1"/>
  <c r="AL230" i="6" s="1"/>
  <c r="AL231" i="6" s="1"/>
  <c r="AL232" i="6" s="1"/>
  <c r="AL233" i="6" s="1"/>
  <c r="AL234" i="6" s="1"/>
  <c r="AL235" i="6" s="1"/>
  <c r="AL236" i="6" s="1"/>
  <c r="AL237" i="6" s="1"/>
  <c r="AL238" i="6" s="1"/>
  <c r="AL239" i="6" s="1"/>
  <c r="AL240" i="6" s="1"/>
  <c r="AL241" i="6" s="1"/>
  <c r="AL242" i="6" s="1"/>
  <c r="AL243" i="6" s="1"/>
  <c r="AL244" i="6" s="1"/>
  <c r="AL245" i="6" s="1"/>
  <c r="AL246" i="6" s="1"/>
  <c r="AL247" i="6" s="1"/>
  <c r="AL248" i="6" s="1"/>
  <c r="AL249" i="6" s="1"/>
  <c r="AL250" i="6" s="1"/>
  <c r="AL251" i="6" s="1"/>
  <c r="AL252" i="6" s="1"/>
  <c r="AL253" i="6" s="1"/>
  <c r="AL254" i="6" s="1"/>
  <c r="AL255" i="6" s="1"/>
  <c r="AL256" i="6" s="1"/>
  <c r="AL257" i="6" s="1"/>
  <c r="AL258" i="6" s="1"/>
  <c r="AL259" i="6" s="1"/>
  <c r="AL260" i="6" s="1"/>
  <c r="AL261" i="6" s="1"/>
  <c r="AL262" i="6" s="1"/>
  <c r="AL263" i="6" s="1"/>
  <c r="AL264" i="6" s="1"/>
  <c r="AL265" i="6" s="1"/>
  <c r="AL266" i="6" s="1"/>
  <c r="AL267" i="6" s="1"/>
  <c r="AL268" i="6" s="1"/>
  <c r="AL269" i="6" s="1"/>
  <c r="AL270" i="6" s="1"/>
  <c r="AL271" i="6" s="1"/>
  <c r="AL272" i="6" s="1"/>
  <c r="AL273" i="6" s="1"/>
  <c r="AL274" i="6" s="1"/>
  <c r="AL275" i="6" s="1"/>
  <c r="AL276" i="6" s="1"/>
  <c r="AL277" i="6" s="1"/>
  <c r="AL278" i="6" s="1"/>
  <c r="AL279" i="6" s="1"/>
  <c r="AL280" i="6" s="1"/>
  <c r="AL281" i="6" s="1"/>
  <c r="AL282" i="6" s="1"/>
  <c r="AL283" i="6" s="1"/>
  <c r="AL284" i="6" s="1"/>
  <c r="AL285" i="6" s="1"/>
  <c r="AL286" i="6" s="1"/>
  <c r="AL287" i="6" s="1"/>
  <c r="AL288" i="6" s="1"/>
  <c r="AL289" i="6" s="1"/>
  <c r="AL290" i="6" s="1"/>
  <c r="AL291" i="6" s="1"/>
  <c r="AL292" i="6" s="1"/>
  <c r="AL293" i="6" s="1"/>
  <c r="AL294" i="6" s="1"/>
  <c r="AL295" i="6" s="1"/>
  <c r="AL296" i="6" s="1"/>
  <c r="AL297" i="6" s="1"/>
  <c r="AL298" i="6" s="1"/>
  <c r="AL299" i="6" s="1"/>
  <c r="AL300" i="6" s="1"/>
  <c r="AL301" i="6" s="1"/>
  <c r="AL302" i="6" s="1"/>
  <c r="AL303" i="6" s="1"/>
  <c r="AL304" i="6" s="1"/>
  <c r="AL305" i="6" s="1"/>
  <c r="AL306" i="6" s="1"/>
  <c r="AL307" i="6" s="1"/>
  <c r="AL308" i="6" s="1"/>
  <c r="AL309" i="6" s="1"/>
  <c r="AL310" i="6" s="1"/>
  <c r="AL311" i="6" s="1"/>
  <c r="AL312" i="6" s="1"/>
  <c r="AL313" i="6" s="1"/>
  <c r="AL314" i="6" s="1"/>
  <c r="AL315" i="6" s="1"/>
  <c r="AL316" i="6" s="1"/>
  <c r="AL317" i="6" s="1"/>
  <c r="AL318" i="6" s="1"/>
  <c r="AL319" i="6" s="1"/>
  <c r="AL320" i="6" s="1"/>
  <c r="AL321" i="6" s="1"/>
  <c r="AL322" i="6" s="1"/>
  <c r="AL323" i="6" s="1"/>
  <c r="AL324" i="6" s="1"/>
  <c r="AL325" i="6" s="1"/>
  <c r="AL326" i="6" s="1"/>
  <c r="AL327" i="6" s="1"/>
  <c r="AL328" i="6" s="1"/>
  <c r="AL329" i="6" s="1"/>
  <c r="AL330" i="6" s="1"/>
  <c r="AL331" i="6" s="1"/>
  <c r="AL332" i="6" s="1"/>
  <c r="AL333" i="6" s="1"/>
  <c r="AL334" i="6" s="1"/>
  <c r="AL335" i="6" s="1"/>
  <c r="AL336" i="6" s="1"/>
  <c r="AL337" i="6" s="1"/>
  <c r="AL338" i="6" s="1"/>
  <c r="AL339" i="6" s="1"/>
  <c r="AL340" i="6" s="1"/>
  <c r="AL341" i="6" s="1"/>
  <c r="AL342" i="6" s="1"/>
  <c r="AL343" i="6" s="1"/>
  <c r="AL344" i="6" s="1"/>
  <c r="AL345" i="6" s="1"/>
  <c r="AL346" i="6" s="1"/>
  <c r="AL347" i="6" s="1"/>
  <c r="AL348" i="6" s="1"/>
  <c r="AL349" i="6" s="1"/>
  <c r="AL350" i="6" s="1"/>
  <c r="AL351" i="6" s="1"/>
  <c r="AL352" i="6" s="1"/>
  <c r="AL353" i="6" s="1"/>
  <c r="AL354" i="6" s="1"/>
  <c r="AL355" i="6" s="1"/>
  <c r="AL356" i="6" s="1"/>
  <c r="AL357" i="6" s="1"/>
  <c r="AL358" i="6" s="1"/>
  <c r="AL359" i="6" s="1"/>
  <c r="AL360" i="6" s="1"/>
  <c r="AL361" i="6" s="1"/>
  <c r="AL362" i="6" s="1"/>
  <c r="AL363" i="6" s="1"/>
  <c r="AL364" i="6" s="1"/>
  <c r="AL365" i="6" s="1"/>
  <c r="AL366" i="6" s="1"/>
  <c r="AL367" i="6" s="1"/>
  <c r="AL368" i="6" s="1"/>
  <c r="AL369" i="6" s="1"/>
  <c r="AL370" i="6" s="1"/>
  <c r="AL371" i="6" s="1"/>
  <c r="AL372" i="6" s="1"/>
  <c r="AL373" i="6" s="1"/>
  <c r="AL374" i="6" s="1"/>
  <c r="AL375" i="6" s="1"/>
  <c r="AL376" i="6" s="1"/>
  <c r="AL377" i="6" s="1"/>
  <c r="AL378" i="6" s="1"/>
  <c r="AL379" i="6" s="1"/>
  <c r="AL380" i="6" s="1"/>
  <c r="AL381" i="6" s="1"/>
  <c r="AL382" i="6" s="1"/>
  <c r="AL383" i="6" s="1"/>
  <c r="AL384" i="6" s="1"/>
  <c r="AL385" i="6" s="1"/>
  <c r="AL386" i="6" s="1"/>
  <c r="AL387" i="6" s="1"/>
  <c r="AL388" i="6" s="1"/>
  <c r="AL389" i="6" s="1"/>
  <c r="AL390" i="6" s="1"/>
  <c r="AL391" i="6" s="1"/>
  <c r="AL392" i="6" s="1"/>
  <c r="AL393" i="6" s="1"/>
  <c r="AL394" i="6" s="1"/>
  <c r="AL395" i="6" s="1"/>
  <c r="AL396" i="6" s="1"/>
  <c r="AL397" i="6" s="1"/>
  <c r="AL398" i="6" s="1"/>
  <c r="AL399" i="6" s="1"/>
  <c r="AL400" i="6" s="1"/>
  <c r="AL401" i="6" s="1"/>
  <c r="AL402" i="6" s="1"/>
  <c r="AL403" i="6" s="1"/>
  <c r="AL404" i="6" s="1"/>
  <c r="AL405" i="6" s="1"/>
  <c r="AL406" i="6" s="1"/>
  <c r="AL407" i="6" s="1"/>
  <c r="AL408" i="6" s="1"/>
  <c r="AL409" i="6" s="1"/>
  <c r="AL410" i="6" s="1"/>
  <c r="AL411" i="6" s="1"/>
  <c r="AL412" i="6" s="1"/>
  <c r="AL413" i="6" s="1"/>
  <c r="AL414" i="6" s="1"/>
  <c r="AL415" i="6" s="1"/>
  <c r="AL416" i="6" s="1"/>
  <c r="AL417" i="6" s="1"/>
  <c r="AL418" i="6" s="1"/>
  <c r="AL419" i="6" s="1"/>
  <c r="AL420" i="6" s="1"/>
  <c r="AL421" i="6" s="1"/>
  <c r="AL422" i="6" s="1"/>
  <c r="AL423" i="6" s="1"/>
  <c r="AL424" i="6" s="1"/>
  <c r="AL425" i="6" s="1"/>
  <c r="AL426" i="6" s="1"/>
  <c r="AL427" i="6" s="1"/>
  <c r="AL428" i="6" s="1"/>
  <c r="AL429" i="6" s="1"/>
  <c r="AL430" i="6" s="1"/>
  <c r="AL431" i="6" s="1"/>
  <c r="AL432" i="6" s="1"/>
  <c r="AL433" i="6" s="1"/>
  <c r="AL434" i="6" s="1"/>
  <c r="AL435" i="6" s="1"/>
  <c r="AL436" i="6" s="1"/>
  <c r="AL437" i="6" s="1"/>
  <c r="AL438" i="6" s="1"/>
  <c r="AL439" i="6" s="1"/>
  <c r="AL440" i="6" s="1"/>
  <c r="AL441" i="6" s="1"/>
  <c r="AL45" i="6" s="1"/>
  <c r="BG114" i="6"/>
  <c r="BB114" i="6"/>
  <c r="BE114" i="6" s="1"/>
  <c r="AM402" i="6"/>
  <c r="AH402" i="6"/>
  <c r="AK402" i="6" s="1"/>
  <c r="AM284" i="6"/>
  <c r="AH284" i="6"/>
  <c r="AK284" i="6" s="1"/>
  <c r="AM176" i="6"/>
  <c r="AH176" i="6"/>
  <c r="AK176" i="6" s="1"/>
  <c r="BS48" i="6"/>
  <c r="K7" i="6"/>
  <c r="BG361" i="6"/>
  <c r="BB361" i="6"/>
  <c r="BE361" i="6" s="1"/>
  <c r="AE45" i="6"/>
  <c r="AM74" i="6"/>
  <c r="AH74" i="6"/>
  <c r="AK74" i="6" s="1"/>
  <c r="AM161" i="6"/>
  <c r="AH161" i="6"/>
  <c r="AK161" i="6" s="1"/>
  <c r="BG250" i="6"/>
  <c r="BB250" i="6"/>
  <c r="BE250" i="6" s="1"/>
  <c r="BG55" i="6"/>
  <c r="BB55" i="6"/>
  <c r="BE55" i="6" s="1"/>
  <c r="BG277" i="6"/>
  <c r="BB277" i="6"/>
  <c r="BE277" i="6" s="1"/>
  <c r="BG409" i="6"/>
  <c r="BB409" i="6"/>
  <c r="BE409" i="6" s="1"/>
  <c r="AM199" i="6"/>
  <c r="AH199" i="6"/>
  <c r="AK199" i="6" s="1"/>
  <c r="BG131" i="6"/>
  <c r="BB131" i="6"/>
  <c r="BE131" i="6" s="1"/>
  <c r="BG153" i="6"/>
  <c r="BB153" i="6"/>
  <c r="BE153" i="6" s="1"/>
  <c r="AM99" i="6"/>
  <c r="AH99" i="6"/>
  <c r="AK99" i="6" s="1"/>
  <c r="AM145" i="6"/>
  <c r="AH145" i="6"/>
  <c r="AK145" i="6" s="1"/>
  <c r="AM252" i="6"/>
  <c r="AH252" i="6"/>
  <c r="AK252" i="6" s="1"/>
  <c r="BG369" i="6"/>
  <c r="BB369" i="6"/>
  <c r="BE369" i="6" s="1"/>
  <c r="BG169" i="6"/>
  <c r="BB169" i="6"/>
  <c r="BE169" i="6" s="1"/>
  <c r="BG90" i="6"/>
  <c r="BB90" i="6"/>
  <c r="BE90" i="6" s="1"/>
  <c r="AM403" i="6"/>
  <c r="AH403" i="6"/>
  <c r="AK403" i="6" s="1"/>
  <c r="AM114" i="6"/>
  <c r="AH114" i="6"/>
  <c r="AK114" i="6" s="1"/>
  <c r="AM250" i="6"/>
  <c r="AH250" i="6"/>
  <c r="AK250" i="6" s="1"/>
  <c r="BG278" i="6"/>
  <c r="BB278" i="6"/>
  <c r="BE278" i="6" s="1"/>
  <c r="BG181" i="6"/>
  <c r="BB181" i="6"/>
  <c r="BE181" i="6" s="1"/>
  <c r="BG270" i="6"/>
  <c r="BB270" i="6"/>
  <c r="BE270" i="6" s="1"/>
  <c r="AM139" i="6"/>
  <c r="AH139" i="6"/>
  <c r="AK139" i="6" s="1"/>
  <c r="BG105" i="6"/>
  <c r="BB105" i="6"/>
  <c r="BE105" i="6" s="1"/>
  <c r="BG266" i="6"/>
  <c r="BB266" i="6"/>
  <c r="BE266" i="6" s="1"/>
  <c r="BG189" i="6"/>
  <c r="BB189" i="6"/>
  <c r="BE189" i="6" s="1"/>
  <c r="BG321" i="6"/>
  <c r="BB321" i="6"/>
  <c r="BE321" i="6" s="1"/>
  <c r="BG334" i="6"/>
  <c r="BB334" i="6"/>
  <c r="BE334" i="6" s="1"/>
  <c r="BG308" i="6"/>
  <c r="BB308" i="6"/>
  <c r="BE308" i="6" s="1"/>
  <c r="BG98" i="6"/>
  <c r="BB98" i="6"/>
  <c r="BE98" i="6" s="1"/>
  <c r="AM342" i="6"/>
  <c r="AH342" i="6"/>
  <c r="AK342" i="6" s="1"/>
  <c r="BG311" i="6"/>
  <c r="BB311" i="6"/>
  <c r="BE311" i="6" s="1"/>
  <c r="BG397" i="6"/>
  <c r="BG279" i="6"/>
  <c r="BB279" i="6"/>
  <c r="BE279" i="6" s="1"/>
  <c r="BG232" i="6"/>
  <c r="BB232" i="6"/>
  <c r="BE232" i="6" s="1"/>
  <c r="BG398" i="6"/>
  <c r="BB398" i="6"/>
  <c r="BE398" i="6" s="1"/>
  <c r="BG238" i="6"/>
  <c r="BB238" i="6"/>
  <c r="BE238" i="6" s="1"/>
  <c r="AM205" i="6"/>
  <c r="AH205" i="6"/>
  <c r="AK205" i="6" s="1"/>
  <c r="AM368" i="6"/>
  <c r="AH368" i="6"/>
  <c r="AK368" i="6" s="1"/>
  <c r="AM125" i="6"/>
  <c r="AH125" i="6"/>
  <c r="AK125" i="6" s="1"/>
  <c r="AM216" i="6"/>
  <c r="AH216" i="6"/>
  <c r="AK216" i="6" s="1"/>
  <c r="BG235" i="6"/>
  <c r="BB235" i="6"/>
  <c r="BE235" i="6" s="1"/>
  <c r="BG411" i="6"/>
  <c r="AM106" i="6"/>
  <c r="AH106" i="6"/>
  <c r="AK106" i="6" s="1"/>
  <c r="AM204" i="6"/>
  <c r="AH204" i="6"/>
  <c r="AK204" i="6" s="1"/>
  <c r="BG159" i="6"/>
  <c r="BB159" i="6"/>
  <c r="BE159" i="6" s="1"/>
  <c r="AM394" i="6"/>
  <c r="AH394" i="6"/>
  <c r="AK394" i="6" s="1"/>
  <c r="BG365" i="6"/>
  <c r="BB365" i="6"/>
  <c r="BE365" i="6" s="1"/>
  <c r="BG192" i="6"/>
  <c r="BB192" i="6"/>
  <c r="BE192" i="6" s="1"/>
  <c r="AM201" i="6"/>
  <c r="AH201" i="6"/>
  <c r="AK201" i="6" s="1"/>
  <c r="AM431" i="6"/>
  <c r="AH431" i="6"/>
  <c r="AK431" i="6" s="1"/>
  <c r="BG288" i="6"/>
  <c r="BG245" i="6"/>
  <c r="BB245" i="6"/>
  <c r="BE245" i="6" s="1"/>
  <c r="AM61" i="6"/>
  <c r="AH61" i="6"/>
  <c r="AK61" i="6" s="1"/>
  <c r="AM425" i="6"/>
  <c r="AH425" i="6"/>
  <c r="AK425" i="6" s="1"/>
  <c r="BG234" i="6"/>
  <c r="BB234" i="6"/>
  <c r="BE234" i="6" s="1"/>
  <c r="AM153" i="6"/>
  <c r="AH153" i="6"/>
  <c r="AK153" i="6" s="1"/>
  <c r="AM83" i="6"/>
  <c r="AH83" i="6"/>
  <c r="AK83" i="6" s="1"/>
  <c r="AM197" i="6"/>
  <c r="AH197" i="6"/>
  <c r="AK197" i="6" s="1"/>
  <c r="BG216" i="6"/>
  <c r="BB216" i="6"/>
  <c r="BE216" i="6" s="1"/>
  <c r="BG67" i="6"/>
  <c r="BB67" i="6"/>
  <c r="BE67" i="6" s="1"/>
  <c r="BG345" i="6"/>
  <c r="BB345" i="6"/>
  <c r="BE345" i="6" s="1"/>
  <c r="AM286" i="6"/>
  <c r="AH286" i="6"/>
  <c r="AK286" i="6" s="1"/>
  <c r="AM337" i="6"/>
  <c r="AH337" i="6"/>
  <c r="AK337" i="6" s="1"/>
  <c r="AM191" i="6"/>
  <c r="AH191" i="6"/>
  <c r="AK191" i="6" s="1"/>
  <c r="AM404" i="6"/>
  <c r="AH404" i="6"/>
  <c r="AK404" i="6" s="1"/>
  <c r="AM85" i="6"/>
  <c r="AH85" i="6"/>
  <c r="AK85" i="6" s="1"/>
  <c r="AM434" i="6"/>
  <c r="AH434" i="6"/>
  <c r="AK434" i="6" s="1"/>
  <c r="BG375" i="6"/>
  <c r="BB375" i="6"/>
  <c r="BE375" i="6" s="1"/>
  <c r="BG418" i="6"/>
  <c r="BB418" i="6"/>
  <c r="BE418" i="6" s="1"/>
  <c r="BG51" i="6"/>
  <c r="BC51" i="6"/>
  <c r="BC52" i="6" s="1"/>
  <c r="BC53" i="6" s="1"/>
  <c r="BC54" i="6" s="1"/>
  <c r="BC55" i="6" s="1"/>
  <c r="BC56" i="6" s="1"/>
  <c r="BC57" i="6" s="1"/>
  <c r="BC58" i="6" s="1"/>
  <c r="BC59" i="6" s="1"/>
  <c r="BC60" i="6" s="1"/>
  <c r="BC61" i="6" s="1"/>
  <c r="BC62" i="6" s="1"/>
  <c r="BC63" i="6" s="1"/>
  <c r="BC64" i="6" s="1"/>
  <c r="BC65" i="6" s="1"/>
  <c r="BC66" i="6" s="1"/>
  <c r="BC67" i="6" s="1"/>
  <c r="BC68" i="6" s="1"/>
  <c r="BC69" i="6" s="1"/>
  <c r="BC70" i="6" s="1"/>
  <c r="BC71" i="6" s="1"/>
  <c r="BC72" i="6" s="1"/>
  <c r="BC73" i="6" s="1"/>
  <c r="BC74" i="6" s="1"/>
  <c r="BC75" i="6" s="1"/>
  <c r="BC76" i="6" s="1"/>
  <c r="BC77" i="6" s="1"/>
  <c r="BC78" i="6" s="1"/>
  <c r="BC79" i="6" s="1"/>
  <c r="BC80" i="6" s="1"/>
  <c r="BC81" i="6" s="1"/>
  <c r="BC82" i="6" s="1"/>
  <c r="BC83" i="6" s="1"/>
  <c r="BC84" i="6" s="1"/>
  <c r="BC85" i="6" s="1"/>
  <c r="BC86" i="6" s="1"/>
  <c r="BC87" i="6" s="1"/>
  <c r="BC88" i="6" s="1"/>
  <c r="BC89" i="6" s="1"/>
  <c r="BC90" i="6" s="1"/>
  <c r="BC91" i="6" s="1"/>
  <c r="BC92" i="6" s="1"/>
  <c r="BC93" i="6" s="1"/>
  <c r="BC94" i="6" s="1"/>
  <c r="BC95" i="6" s="1"/>
  <c r="BC96" i="6" s="1"/>
  <c r="BC97" i="6" s="1"/>
  <c r="BC98" i="6" s="1"/>
  <c r="BC99" i="6" s="1"/>
  <c r="BC100" i="6" s="1"/>
  <c r="BC101" i="6" s="1"/>
  <c r="BC102" i="6" s="1"/>
  <c r="BC103" i="6" s="1"/>
  <c r="BC104" i="6" s="1"/>
  <c r="BC105" i="6" s="1"/>
  <c r="BC106" i="6" s="1"/>
  <c r="BC107" i="6" s="1"/>
  <c r="BC108" i="6" s="1"/>
  <c r="BC109" i="6" s="1"/>
  <c r="BC110" i="6" s="1"/>
  <c r="BC111" i="6" s="1"/>
  <c r="BC112" i="6" s="1"/>
  <c r="BC113" i="6" s="1"/>
  <c r="BC114" i="6" s="1"/>
  <c r="BC115" i="6" s="1"/>
  <c r="BC116" i="6" s="1"/>
  <c r="BC117" i="6" s="1"/>
  <c r="BC118" i="6" s="1"/>
  <c r="BC119" i="6" s="1"/>
  <c r="BC120" i="6" s="1"/>
  <c r="BC121" i="6" s="1"/>
  <c r="BC122" i="6" s="1"/>
  <c r="BC123" i="6" s="1"/>
  <c r="BC124" i="6" s="1"/>
  <c r="BC125" i="6" s="1"/>
  <c r="BC126" i="6" s="1"/>
  <c r="BC127" i="6" s="1"/>
  <c r="BC128" i="6" s="1"/>
  <c r="BC129" i="6" s="1"/>
  <c r="BC130" i="6" s="1"/>
  <c r="BC131" i="6" s="1"/>
  <c r="BC132" i="6" s="1"/>
  <c r="BC133" i="6" s="1"/>
  <c r="BC134" i="6" s="1"/>
  <c r="BC135" i="6" s="1"/>
  <c r="BC136" i="6" s="1"/>
  <c r="BC137" i="6" s="1"/>
  <c r="BC138" i="6" s="1"/>
  <c r="BC139" i="6" s="1"/>
  <c r="BC140" i="6" s="1"/>
  <c r="BC141" i="6" s="1"/>
  <c r="BC142" i="6" s="1"/>
  <c r="BC143" i="6" s="1"/>
  <c r="BC144" i="6" s="1"/>
  <c r="BC145" i="6" s="1"/>
  <c r="BC146" i="6" s="1"/>
  <c r="BC147" i="6" s="1"/>
  <c r="BC148" i="6" s="1"/>
  <c r="BC149" i="6" s="1"/>
  <c r="BC150" i="6" s="1"/>
  <c r="BC151" i="6" s="1"/>
  <c r="BC152" i="6" s="1"/>
  <c r="BC153" i="6" s="1"/>
  <c r="BC154" i="6" s="1"/>
  <c r="BC155" i="6" s="1"/>
  <c r="BC156" i="6" s="1"/>
  <c r="BC157" i="6" s="1"/>
  <c r="BC158" i="6" s="1"/>
  <c r="BC159" i="6" s="1"/>
  <c r="BC160" i="6" s="1"/>
  <c r="BC161" i="6" s="1"/>
  <c r="BC162" i="6" s="1"/>
  <c r="BC163" i="6" s="1"/>
  <c r="BC164" i="6" s="1"/>
  <c r="BC165" i="6" s="1"/>
  <c r="BC166" i="6" s="1"/>
  <c r="BC167" i="6" s="1"/>
  <c r="BC168" i="6" s="1"/>
  <c r="BC169" i="6" s="1"/>
  <c r="BC170" i="6" s="1"/>
  <c r="BC171" i="6" s="1"/>
  <c r="BC172" i="6" s="1"/>
  <c r="BC173" i="6" s="1"/>
  <c r="BC174" i="6" s="1"/>
  <c r="BC175" i="6" s="1"/>
  <c r="BC176" i="6" s="1"/>
  <c r="BC177" i="6" s="1"/>
  <c r="BC178" i="6" s="1"/>
  <c r="BC179" i="6" s="1"/>
  <c r="BC180" i="6" s="1"/>
  <c r="BC181" i="6" s="1"/>
  <c r="BC182" i="6" s="1"/>
  <c r="BC183" i="6" s="1"/>
  <c r="BC184" i="6" s="1"/>
  <c r="BC185" i="6" s="1"/>
  <c r="BC186" i="6" s="1"/>
  <c r="BC187" i="6" s="1"/>
  <c r="BC188" i="6" s="1"/>
  <c r="BC189" i="6" s="1"/>
  <c r="BC190" i="6" s="1"/>
  <c r="BC191" i="6" s="1"/>
  <c r="BC192" i="6" s="1"/>
  <c r="BC193" i="6" s="1"/>
  <c r="BC194" i="6" s="1"/>
  <c r="BC195" i="6" s="1"/>
  <c r="BC196" i="6" s="1"/>
  <c r="BC197" i="6" s="1"/>
  <c r="BC198" i="6" s="1"/>
  <c r="BC199" i="6" s="1"/>
  <c r="BC200" i="6" s="1"/>
  <c r="BC201" i="6" s="1"/>
  <c r="BC202" i="6" s="1"/>
  <c r="BC203" i="6" s="1"/>
  <c r="BC204" i="6" s="1"/>
  <c r="BC205" i="6" s="1"/>
  <c r="BC206" i="6" s="1"/>
  <c r="BC207" i="6" s="1"/>
  <c r="BC208" i="6" s="1"/>
  <c r="BC209" i="6" s="1"/>
  <c r="BC210" i="6" s="1"/>
  <c r="BC211" i="6" s="1"/>
  <c r="BC212" i="6" s="1"/>
  <c r="BC213" i="6" s="1"/>
  <c r="BC214" i="6" s="1"/>
  <c r="BC215" i="6" s="1"/>
  <c r="BC216" i="6" s="1"/>
  <c r="BC217" i="6" s="1"/>
  <c r="BC218" i="6" s="1"/>
  <c r="BC219" i="6" s="1"/>
  <c r="BC220" i="6" s="1"/>
  <c r="BC221" i="6" s="1"/>
  <c r="BC222" i="6" s="1"/>
  <c r="BC223" i="6" s="1"/>
  <c r="BC224" i="6" s="1"/>
  <c r="BC225" i="6" s="1"/>
  <c r="BC226" i="6" s="1"/>
  <c r="BC227" i="6" s="1"/>
  <c r="BC228" i="6" s="1"/>
  <c r="BC229" i="6" s="1"/>
  <c r="BC230" i="6" s="1"/>
  <c r="BC231" i="6" s="1"/>
  <c r="BC232" i="6" s="1"/>
  <c r="BC233" i="6" s="1"/>
  <c r="BC234" i="6" s="1"/>
  <c r="BC235" i="6" s="1"/>
  <c r="BC236" i="6" s="1"/>
  <c r="BC237" i="6" s="1"/>
  <c r="BC238" i="6" s="1"/>
  <c r="BC239" i="6" s="1"/>
  <c r="BC240" i="6" s="1"/>
  <c r="BC241" i="6" s="1"/>
  <c r="BC242" i="6" s="1"/>
  <c r="BC243" i="6" s="1"/>
  <c r="BC244" i="6" s="1"/>
  <c r="BC245" i="6" s="1"/>
  <c r="BC246" i="6" s="1"/>
  <c r="BC247" i="6" s="1"/>
  <c r="BC248" i="6" s="1"/>
  <c r="BC249" i="6" s="1"/>
  <c r="BC250" i="6" s="1"/>
  <c r="BC251" i="6" s="1"/>
  <c r="BC252" i="6" s="1"/>
  <c r="BC253" i="6" s="1"/>
  <c r="BC254" i="6" s="1"/>
  <c r="BC255" i="6" s="1"/>
  <c r="BC256" i="6" s="1"/>
  <c r="BC257" i="6" s="1"/>
  <c r="BC258" i="6" s="1"/>
  <c r="BC259" i="6" s="1"/>
  <c r="BC260" i="6" s="1"/>
  <c r="BC261" i="6" s="1"/>
  <c r="BC262" i="6" s="1"/>
  <c r="BC263" i="6" s="1"/>
  <c r="BC264" i="6" s="1"/>
  <c r="BC265" i="6" s="1"/>
  <c r="BC266" i="6" s="1"/>
  <c r="BC267" i="6" s="1"/>
  <c r="BC268" i="6" s="1"/>
  <c r="BC269" i="6" s="1"/>
  <c r="BC270" i="6" s="1"/>
  <c r="BC271" i="6" s="1"/>
  <c r="BC272" i="6" s="1"/>
  <c r="BC273" i="6" s="1"/>
  <c r="BC274" i="6" s="1"/>
  <c r="BC275" i="6" s="1"/>
  <c r="BC276" i="6" s="1"/>
  <c r="BC277" i="6" s="1"/>
  <c r="BC278" i="6" s="1"/>
  <c r="BC279" i="6" s="1"/>
  <c r="BC280" i="6" s="1"/>
  <c r="BC281" i="6" s="1"/>
  <c r="BC282" i="6" s="1"/>
  <c r="BC283" i="6" s="1"/>
  <c r="BC284" i="6" s="1"/>
  <c r="BC285" i="6" s="1"/>
  <c r="BC286" i="6" s="1"/>
  <c r="BC287" i="6" s="1"/>
  <c r="BC288" i="6" s="1"/>
  <c r="BC289" i="6" s="1"/>
  <c r="BC290" i="6" s="1"/>
  <c r="BC291" i="6" s="1"/>
  <c r="BC292" i="6" s="1"/>
  <c r="BC293" i="6" s="1"/>
  <c r="BC294" i="6" s="1"/>
  <c r="BC295" i="6" s="1"/>
  <c r="BC296" i="6" s="1"/>
  <c r="BC297" i="6" s="1"/>
  <c r="BC298" i="6" s="1"/>
  <c r="BC299" i="6" s="1"/>
  <c r="BC300" i="6" s="1"/>
  <c r="BC301" i="6" s="1"/>
  <c r="BC302" i="6" s="1"/>
  <c r="BC303" i="6" s="1"/>
  <c r="BC304" i="6" s="1"/>
  <c r="BC305" i="6" s="1"/>
  <c r="BC306" i="6" s="1"/>
  <c r="BC307" i="6" s="1"/>
  <c r="BC308" i="6" s="1"/>
  <c r="BC309" i="6" s="1"/>
  <c r="BC310" i="6" s="1"/>
  <c r="BC311" i="6" s="1"/>
  <c r="BC312" i="6" s="1"/>
  <c r="BC313" i="6" s="1"/>
  <c r="BC314" i="6" s="1"/>
  <c r="BC315" i="6" s="1"/>
  <c r="BC316" i="6" s="1"/>
  <c r="BC317" i="6" s="1"/>
  <c r="BC318" i="6" s="1"/>
  <c r="BC319" i="6" s="1"/>
  <c r="BC320" i="6" s="1"/>
  <c r="BC321" i="6" s="1"/>
  <c r="BC322" i="6" s="1"/>
  <c r="BC323" i="6" s="1"/>
  <c r="BC324" i="6" s="1"/>
  <c r="BC325" i="6" s="1"/>
  <c r="BC326" i="6" s="1"/>
  <c r="BC327" i="6" s="1"/>
  <c r="BC328" i="6" s="1"/>
  <c r="BC329" i="6" s="1"/>
  <c r="BC330" i="6" s="1"/>
  <c r="BC331" i="6" s="1"/>
  <c r="BC332" i="6" s="1"/>
  <c r="BC333" i="6" s="1"/>
  <c r="BC334" i="6" s="1"/>
  <c r="BC335" i="6" s="1"/>
  <c r="BC336" i="6" s="1"/>
  <c r="BC337" i="6" s="1"/>
  <c r="BC338" i="6" s="1"/>
  <c r="BC339" i="6" s="1"/>
  <c r="BC340" i="6" s="1"/>
  <c r="BC341" i="6" s="1"/>
  <c r="BC342" i="6" s="1"/>
  <c r="BC343" i="6" s="1"/>
  <c r="BC344" i="6" s="1"/>
  <c r="BC345" i="6" s="1"/>
  <c r="BC346" i="6" s="1"/>
  <c r="BC347" i="6" s="1"/>
  <c r="BC348" i="6" s="1"/>
  <c r="BC349" i="6" s="1"/>
  <c r="BC350" i="6" s="1"/>
  <c r="BC351" i="6" s="1"/>
  <c r="BC352" i="6" s="1"/>
  <c r="BC353" i="6" s="1"/>
  <c r="BC354" i="6" s="1"/>
  <c r="BC355" i="6" s="1"/>
  <c r="BC356" i="6" s="1"/>
  <c r="BC357" i="6" s="1"/>
  <c r="BC358" i="6" s="1"/>
  <c r="BC359" i="6" s="1"/>
  <c r="BC360" i="6" s="1"/>
  <c r="BC361" i="6" s="1"/>
  <c r="BC362" i="6" s="1"/>
  <c r="BC363" i="6" s="1"/>
  <c r="BC364" i="6" s="1"/>
  <c r="BC365" i="6" s="1"/>
  <c r="BC366" i="6" s="1"/>
  <c r="BC367" i="6" s="1"/>
  <c r="BC368" i="6" s="1"/>
  <c r="BC369" i="6" s="1"/>
  <c r="BC370" i="6" s="1"/>
  <c r="BC371" i="6" s="1"/>
  <c r="BC372" i="6" s="1"/>
  <c r="BC373" i="6" s="1"/>
  <c r="BC374" i="6" s="1"/>
  <c r="BC375" i="6" s="1"/>
  <c r="BC376" i="6" s="1"/>
  <c r="BC377" i="6" s="1"/>
  <c r="BC378" i="6" s="1"/>
  <c r="BC379" i="6" s="1"/>
  <c r="BC380" i="6" s="1"/>
  <c r="BC381" i="6" s="1"/>
  <c r="BC382" i="6" s="1"/>
  <c r="BC383" i="6" s="1"/>
  <c r="BC384" i="6" s="1"/>
  <c r="BC385" i="6" s="1"/>
  <c r="BC386" i="6" s="1"/>
  <c r="BC387" i="6" s="1"/>
  <c r="BC388" i="6" s="1"/>
  <c r="BC389" i="6" s="1"/>
  <c r="BC390" i="6" s="1"/>
  <c r="BC391" i="6" s="1"/>
  <c r="BC392" i="6" s="1"/>
  <c r="BC393" i="6" s="1"/>
  <c r="BC394" i="6" s="1"/>
  <c r="BC395" i="6" s="1"/>
  <c r="BC396" i="6" s="1"/>
  <c r="BC397" i="6" s="1"/>
  <c r="BC398" i="6" s="1"/>
  <c r="BC399" i="6" s="1"/>
  <c r="BC400" i="6" s="1"/>
  <c r="BC401" i="6" s="1"/>
  <c r="BC402" i="6" s="1"/>
  <c r="BC403" i="6" s="1"/>
  <c r="BC404" i="6" s="1"/>
  <c r="BC405" i="6" s="1"/>
  <c r="BC406" i="6" s="1"/>
  <c r="BC407" i="6" s="1"/>
  <c r="BC408" i="6" s="1"/>
  <c r="BC409" i="6" s="1"/>
  <c r="BC410" i="6" s="1"/>
  <c r="BC411" i="6" s="1"/>
  <c r="BC412" i="6" s="1"/>
  <c r="BC413" i="6" s="1"/>
  <c r="BC414" i="6" s="1"/>
  <c r="BC415" i="6" s="1"/>
  <c r="BC416" i="6" s="1"/>
  <c r="BC417" i="6" s="1"/>
  <c r="BC418" i="6" s="1"/>
  <c r="BC419" i="6" s="1"/>
  <c r="BC420" i="6" s="1"/>
  <c r="BC421" i="6" s="1"/>
  <c r="BC422" i="6" s="1"/>
  <c r="BC423" i="6" s="1"/>
  <c r="BC424" i="6" s="1"/>
  <c r="BC425" i="6" s="1"/>
  <c r="BC426" i="6" s="1"/>
  <c r="BC427" i="6" s="1"/>
  <c r="BC428" i="6" s="1"/>
  <c r="BC429" i="6" s="1"/>
  <c r="BC430" i="6" s="1"/>
  <c r="BC431" i="6" s="1"/>
  <c r="BC432" i="6" s="1"/>
  <c r="BC433" i="6" s="1"/>
  <c r="BC434" i="6" s="1"/>
  <c r="BC435" i="6" s="1"/>
  <c r="BC436" i="6" s="1"/>
  <c r="BC437" i="6" s="1"/>
  <c r="BC438" i="6" s="1"/>
  <c r="BC439" i="6" s="1"/>
  <c r="BC440" i="6" s="1"/>
  <c r="BC441" i="6" s="1"/>
  <c r="BD51" i="6"/>
  <c r="BB51" i="6"/>
  <c r="BE51" i="6" s="1"/>
  <c r="BG348" i="6"/>
  <c r="BB348" i="6"/>
  <c r="BE348" i="6" s="1"/>
  <c r="AM367" i="6"/>
  <c r="AH367" i="6"/>
  <c r="AK367" i="6" s="1"/>
  <c r="AM209" i="6"/>
  <c r="AH209" i="6"/>
  <c r="AK209" i="6" s="1"/>
  <c r="BG382" i="6"/>
  <c r="BB382" i="6"/>
  <c r="BE382" i="6" s="1"/>
  <c r="BG286" i="6"/>
  <c r="BB286" i="6"/>
  <c r="BE286" i="6" s="1"/>
  <c r="BG363" i="6"/>
  <c r="BB363" i="6"/>
  <c r="BE363" i="6" s="1"/>
  <c r="BG249" i="6"/>
  <c r="BB249" i="6"/>
  <c r="BE249" i="6" s="1"/>
  <c r="AM384" i="6"/>
  <c r="AH384" i="6"/>
  <c r="AK384" i="6" s="1"/>
  <c r="AM108" i="6"/>
  <c r="AH108" i="6"/>
  <c r="AK108" i="6" s="1"/>
  <c r="AM123" i="6"/>
  <c r="AH123" i="6"/>
  <c r="AK123" i="6" s="1"/>
  <c r="AM141" i="6"/>
  <c r="AH141" i="6"/>
  <c r="AK141" i="6" s="1"/>
  <c r="BG73" i="6"/>
  <c r="BB73" i="6"/>
  <c r="BE73" i="6" s="1"/>
  <c r="BG431" i="6"/>
  <c r="BB431" i="6"/>
  <c r="BE431" i="6" s="1"/>
  <c r="BG201" i="6"/>
  <c r="BB201" i="6"/>
  <c r="BE201" i="6" s="1"/>
  <c r="AM73" i="6"/>
  <c r="AH73" i="6"/>
  <c r="AK73" i="6" s="1"/>
  <c r="AM271" i="6"/>
  <c r="AH271" i="6"/>
  <c r="AK271" i="6" s="1"/>
  <c r="AM340" i="6"/>
  <c r="AH340" i="6"/>
  <c r="AK340" i="6" s="1"/>
  <c r="AM391" i="6"/>
  <c r="AH391" i="6"/>
  <c r="AK391" i="6" s="1"/>
  <c r="BG429" i="6"/>
  <c r="BB429" i="6"/>
  <c r="BE429" i="6" s="1"/>
  <c r="BG263" i="6"/>
  <c r="BB263" i="6"/>
  <c r="BE263" i="6" s="1"/>
  <c r="BG356" i="6"/>
  <c r="BB356" i="6"/>
  <c r="BE356" i="6" s="1"/>
  <c r="BG194" i="6"/>
  <c r="BB194" i="6"/>
  <c r="BE194" i="6" s="1"/>
  <c r="AM334" i="6"/>
  <c r="AH334" i="6"/>
  <c r="AK334" i="6" s="1"/>
  <c r="AM113" i="6"/>
  <c r="AM345" i="6"/>
  <c r="AH345" i="6"/>
  <c r="AK345" i="6" s="1"/>
  <c r="BG141" i="6"/>
  <c r="BB141" i="6"/>
  <c r="BE141" i="6" s="1"/>
  <c r="BG440" i="6"/>
  <c r="BB440" i="6"/>
  <c r="BE440" i="6" s="1"/>
  <c r="BG196" i="6"/>
  <c r="BB196" i="6"/>
  <c r="BE196" i="6" s="1"/>
  <c r="BG133" i="6"/>
  <c r="BB133" i="6"/>
  <c r="BE133" i="6" s="1"/>
  <c r="AM441" i="6"/>
  <c r="AH441" i="6"/>
  <c r="AK441" i="6" s="1"/>
  <c r="AM393" i="6"/>
  <c r="AH393" i="6"/>
  <c r="AK393" i="6" s="1"/>
  <c r="BG106" i="6"/>
  <c r="BB106" i="6"/>
  <c r="BE106" i="6" s="1"/>
  <c r="BG433" i="6"/>
  <c r="BB433" i="6"/>
  <c r="BE433" i="6" s="1"/>
  <c r="AM144" i="6"/>
  <c r="BG337" i="6"/>
  <c r="BB337" i="6"/>
  <c r="BE337" i="6" s="1"/>
  <c r="BG251" i="6"/>
  <c r="BB251" i="6"/>
  <c r="BE251" i="6" s="1"/>
  <c r="AM309" i="6"/>
  <c r="AH309" i="6"/>
  <c r="AK309" i="6" s="1"/>
  <c r="AM137" i="6"/>
  <c r="AH137" i="6"/>
  <c r="AK137" i="6" s="1"/>
  <c r="BG428" i="6"/>
  <c r="BB428" i="6"/>
  <c r="BE428" i="6" s="1"/>
  <c r="BG293" i="6"/>
  <c r="BB293" i="6"/>
  <c r="BE293" i="6" s="1"/>
  <c r="BG213" i="6"/>
  <c r="BB213" i="6"/>
  <c r="BE213" i="6" s="1"/>
  <c r="BG410" i="6"/>
  <c r="BB410" i="6"/>
  <c r="BE410" i="6" s="1"/>
  <c r="AM392" i="6"/>
  <c r="AM305" i="6"/>
  <c r="AH305" i="6"/>
  <c r="AK305" i="6" s="1"/>
  <c r="BG82" i="6"/>
  <c r="BB82" i="6"/>
  <c r="BE82" i="6" s="1"/>
  <c r="BG267" i="6"/>
  <c r="BB267" i="6"/>
  <c r="BE267" i="6" s="1"/>
  <c r="BG352" i="6"/>
  <c r="BB352" i="6"/>
  <c r="BE352" i="6" s="1"/>
  <c r="AM387" i="6"/>
  <c r="AH387" i="6"/>
  <c r="AK387" i="6" s="1"/>
  <c r="AM322" i="6"/>
  <c r="AH322" i="6"/>
  <c r="AK322" i="6" s="1"/>
  <c r="BG328" i="6"/>
  <c r="BG316" i="6"/>
  <c r="BB316" i="6"/>
  <c r="BE316" i="6" s="1"/>
  <c r="BG197" i="6"/>
  <c r="BB197" i="6"/>
  <c r="BE197" i="6" s="1"/>
  <c r="BG230" i="6"/>
  <c r="BB230" i="6"/>
  <c r="BE230" i="6" s="1"/>
  <c r="BG379" i="6"/>
  <c r="BB379" i="6"/>
  <c r="BE379" i="6" s="1"/>
  <c r="AM354" i="6"/>
  <c r="AH354" i="6"/>
  <c r="AK354" i="6" s="1"/>
  <c r="BG184" i="6"/>
  <c r="BB184" i="6"/>
  <c r="BE184" i="6" s="1"/>
  <c r="BG134" i="6"/>
  <c r="BB134" i="6"/>
  <c r="BE134" i="6" s="1"/>
  <c r="AM223" i="6"/>
  <c r="AH223" i="6"/>
  <c r="AK223" i="6" s="1"/>
  <c r="BG64" i="6"/>
  <c r="BB64" i="6"/>
  <c r="BE64" i="6" s="1"/>
  <c r="BG110" i="6"/>
  <c r="BB110" i="6"/>
  <c r="BE110" i="6" s="1"/>
  <c r="AM207" i="6"/>
  <c r="AH207" i="6"/>
  <c r="AK207" i="6" s="1"/>
  <c r="BG224" i="6"/>
  <c r="BB224" i="6"/>
  <c r="BE224" i="6" s="1"/>
  <c r="AM77" i="6"/>
  <c r="AH77" i="6"/>
  <c r="AK77" i="6" s="1"/>
  <c r="AM194" i="6"/>
  <c r="AH194" i="6"/>
  <c r="AK194" i="6" s="1"/>
  <c r="AM386" i="6"/>
  <c r="AH386" i="6"/>
  <c r="AK386" i="6" s="1"/>
  <c r="BG331" i="6"/>
  <c r="BB331" i="6"/>
  <c r="BE331" i="6" s="1"/>
  <c r="BG208" i="6"/>
  <c r="BB208" i="6"/>
  <c r="BE208" i="6" s="1"/>
  <c r="BG109" i="6"/>
  <c r="BB109" i="6"/>
  <c r="BE109" i="6" s="1"/>
  <c r="I56" i="6"/>
  <c r="L56" i="6" s="1"/>
  <c r="R56" i="6"/>
  <c r="BG387" i="6"/>
  <c r="BB387" i="6"/>
  <c r="BE387" i="6" s="1"/>
  <c r="BG85" i="6"/>
  <c r="BB85" i="6"/>
  <c r="BE85" i="6" s="1"/>
  <c r="AM233" i="6"/>
  <c r="AH233" i="6"/>
  <c r="AK233" i="6" s="1"/>
  <c r="AM335" i="6"/>
  <c r="AH335" i="6"/>
  <c r="AK335" i="6" s="1"/>
  <c r="BG198" i="6"/>
  <c r="BB198" i="6"/>
  <c r="BE198" i="6" s="1"/>
  <c r="AM129" i="6"/>
  <c r="AM320" i="6"/>
  <c r="AH320" i="6"/>
  <c r="AK320" i="6" s="1"/>
  <c r="AM155" i="6"/>
  <c r="AH155" i="6"/>
  <c r="AK155" i="6" s="1"/>
  <c r="AM263" i="6"/>
  <c r="AH263" i="6"/>
  <c r="AK263" i="6" s="1"/>
  <c r="AM249" i="6"/>
  <c r="BG94" i="6"/>
  <c r="BB94" i="6"/>
  <c r="BE94" i="6" s="1"/>
  <c r="BG182" i="6"/>
  <c r="BB182" i="6"/>
  <c r="BE182" i="6" s="1"/>
  <c r="AM105" i="6"/>
  <c r="AH105" i="6"/>
  <c r="AK105" i="6" s="1"/>
  <c r="AM257" i="6"/>
  <c r="AH257" i="6"/>
  <c r="AK257" i="6" s="1"/>
  <c r="AM416" i="6"/>
  <c r="AH416" i="6"/>
  <c r="AK416" i="6" s="1"/>
  <c r="BG438" i="6"/>
  <c r="BB438" i="6"/>
  <c r="BE438" i="6" s="1"/>
  <c r="AM316" i="6"/>
  <c r="AH316" i="6"/>
  <c r="AK316" i="6" s="1"/>
  <c r="BG77" i="6"/>
  <c r="BB77" i="6"/>
  <c r="BE77" i="6" s="1"/>
  <c r="BG214" i="6"/>
  <c r="BB214" i="6"/>
  <c r="BE214" i="6" s="1"/>
  <c r="AM228" i="6"/>
  <c r="BG56" i="6"/>
  <c r="BB56" i="6"/>
  <c r="BE56" i="6" s="1"/>
  <c r="BG335" i="6"/>
  <c r="BB335" i="6"/>
  <c r="BE335" i="6" s="1"/>
  <c r="BG241" i="6"/>
  <c r="BG81" i="6"/>
  <c r="BB81" i="6"/>
  <c r="BE81" i="6" s="1"/>
  <c r="AM82" i="6"/>
  <c r="AM146" i="6"/>
  <c r="AH146" i="6"/>
  <c r="AK146" i="6" s="1"/>
  <c r="AM59" i="6"/>
  <c r="AM377" i="6"/>
  <c r="AM281" i="6"/>
  <c r="AH281" i="6"/>
  <c r="AK281" i="6" s="1"/>
  <c r="AM195" i="6"/>
  <c r="AH195" i="6"/>
  <c r="AK195" i="6" s="1"/>
  <c r="AM53" i="6"/>
  <c r="AH53" i="6"/>
  <c r="AK53" i="6" s="1"/>
  <c r="AM289" i="6"/>
  <c r="AH289" i="6"/>
  <c r="AK289" i="6" s="1"/>
  <c r="BG323" i="6"/>
  <c r="BB323" i="6"/>
  <c r="BE323" i="6" s="1"/>
  <c r="AM265" i="6"/>
  <c r="AM179" i="6"/>
  <c r="AH179" i="6"/>
  <c r="AK179" i="6" s="1"/>
  <c r="BG333" i="6"/>
  <c r="BB333" i="6"/>
  <c r="BE333" i="6" s="1"/>
  <c r="BG236" i="6"/>
  <c r="BB236" i="6"/>
  <c r="BE236" i="6" s="1"/>
  <c r="BG68" i="6"/>
  <c r="BG139" i="6"/>
  <c r="BB139" i="6"/>
  <c r="BE139" i="6" s="1"/>
  <c r="AM138" i="6"/>
  <c r="AH138" i="6"/>
  <c r="AK138" i="6" s="1"/>
  <c r="AM311" i="6"/>
  <c r="AM260" i="6"/>
  <c r="AM184" i="6"/>
  <c r="AH184" i="6"/>
  <c r="AK184" i="6" s="1"/>
  <c r="BG359" i="6"/>
  <c r="BB359" i="6"/>
  <c r="BE359" i="6" s="1"/>
  <c r="BG88" i="6"/>
  <c r="BG95" i="6"/>
  <c r="BB95" i="6"/>
  <c r="BE95" i="6" s="1"/>
  <c r="BG405" i="6"/>
  <c r="BB405" i="6"/>
  <c r="BE405" i="6" s="1"/>
  <c r="BG63" i="6"/>
  <c r="BB63" i="6"/>
  <c r="BE63" i="6" s="1"/>
  <c r="AM389" i="6"/>
  <c r="AH389" i="6"/>
  <c r="AK389" i="6" s="1"/>
  <c r="AM178" i="6"/>
  <c r="AH178" i="6"/>
  <c r="AK178" i="6" s="1"/>
  <c r="AM317" i="6"/>
  <c r="AH317" i="6"/>
  <c r="AK317" i="6" s="1"/>
  <c r="BG256" i="6"/>
  <c r="BG394" i="6"/>
  <c r="BB394" i="6"/>
  <c r="BE394" i="6" s="1"/>
  <c r="BG210" i="6"/>
  <c r="BB210" i="6"/>
  <c r="BE210" i="6" s="1"/>
  <c r="AM187" i="6"/>
  <c r="AH187" i="6"/>
  <c r="AK187" i="6" s="1"/>
  <c r="BG93" i="6"/>
  <c r="BB93" i="6"/>
  <c r="BE93" i="6" s="1"/>
  <c r="BG176" i="6"/>
  <c r="BB176" i="6"/>
  <c r="BE176" i="6" s="1"/>
  <c r="BG61" i="6"/>
  <c r="BB61" i="6"/>
  <c r="BE61" i="6" s="1"/>
  <c r="AM96" i="6"/>
  <c r="AM75" i="6"/>
  <c r="AH75" i="6"/>
  <c r="AK75" i="6" s="1"/>
  <c r="AM93" i="6"/>
  <c r="AH93" i="6"/>
  <c r="AK93" i="6" s="1"/>
  <c r="AM381" i="6"/>
  <c r="AM297" i="6"/>
  <c r="BG246" i="6"/>
  <c r="BG222" i="6"/>
  <c r="BB222" i="6"/>
  <c r="BE222" i="6" s="1"/>
  <c r="BG393" i="6"/>
  <c r="BB393" i="6"/>
  <c r="BE393" i="6" s="1"/>
  <c r="BG111" i="6"/>
  <c r="BB111" i="6"/>
  <c r="BE111" i="6" s="1"/>
  <c r="BG227" i="6"/>
  <c r="BG228" i="6"/>
  <c r="BB228" i="6"/>
  <c r="BE228" i="6" s="1"/>
  <c r="AM57" i="6"/>
  <c r="AH57" i="6"/>
  <c r="AK57" i="6" s="1"/>
  <c r="AM338" i="6"/>
  <c r="AH338" i="6"/>
  <c r="AK338" i="6" s="1"/>
  <c r="AM133" i="6"/>
  <c r="AM292" i="6"/>
  <c r="AH292" i="6"/>
  <c r="AK292" i="6" s="1"/>
  <c r="AM356" i="6"/>
  <c r="AH356" i="6"/>
  <c r="AK356" i="6" s="1"/>
  <c r="AM371" i="6"/>
  <c r="BG58" i="6"/>
  <c r="BG117" i="6"/>
  <c r="BB117" i="6"/>
  <c r="BE117" i="6" s="1"/>
  <c r="AM318" i="6"/>
  <c r="AH318" i="6"/>
  <c r="AK318" i="6" s="1"/>
  <c r="AM213" i="6"/>
  <c r="AH213" i="6"/>
  <c r="AK213" i="6" s="1"/>
  <c r="BG285" i="6"/>
  <c r="BB285" i="6"/>
  <c r="BE285" i="6" s="1"/>
  <c r="AM117" i="6"/>
  <c r="AM276" i="6"/>
  <c r="AH276" i="6"/>
  <c r="AK276" i="6" s="1"/>
  <c r="AM225" i="6"/>
  <c r="AH225" i="6"/>
  <c r="AK225" i="6" s="1"/>
  <c r="BG392" i="6"/>
  <c r="BB392" i="6"/>
  <c r="BE392" i="6" s="1"/>
  <c r="BG99" i="6"/>
  <c r="BB99" i="6"/>
  <c r="BE99" i="6" s="1"/>
  <c r="BG170" i="6"/>
  <c r="BB170" i="6"/>
  <c r="BE170" i="6" s="1"/>
  <c r="BG149" i="6"/>
  <c r="BB149" i="6"/>
  <c r="BE149" i="6" s="1"/>
  <c r="BG384" i="6"/>
  <c r="BG282" i="6"/>
  <c r="BB282" i="6"/>
  <c r="BE282" i="6" s="1"/>
  <c r="BG70" i="6"/>
  <c r="BB70" i="6"/>
  <c r="BE70" i="6" s="1"/>
  <c r="AM181" i="6"/>
  <c r="AH181" i="6"/>
  <c r="AK181" i="6" s="1"/>
  <c r="AM51" i="6"/>
  <c r="AJ51" i="6"/>
  <c r="AH51" i="6"/>
  <c r="AK51" i="6" s="1"/>
  <c r="AI51" i="6"/>
  <c r="AI52" i="6" s="1"/>
  <c r="AI53" i="6" s="1"/>
  <c r="AI54" i="6" s="1"/>
  <c r="AI55" i="6" s="1"/>
  <c r="AI56" i="6" s="1"/>
  <c r="AI57" i="6" s="1"/>
  <c r="AI58" i="6" s="1"/>
  <c r="AI59" i="6" s="1"/>
  <c r="AI60" i="6" s="1"/>
  <c r="AI61" i="6" s="1"/>
  <c r="AI62" i="6" s="1"/>
  <c r="AI63" i="6" s="1"/>
  <c r="AI64" i="6" s="1"/>
  <c r="AI65" i="6" s="1"/>
  <c r="AI66" i="6" s="1"/>
  <c r="AI67" i="6" s="1"/>
  <c r="AI68" i="6" s="1"/>
  <c r="AI69" i="6" s="1"/>
  <c r="AI70" i="6" s="1"/>
  <c r="AI71" i="6" s="1"/>
  <c r="AI72" i="6" s="1"/>
  <c r="AI73" i="6" s="1"/>
  <c r="AI74" i="6" s="1"/>
  <c r="AI75" i="6" s="1"/>
  <c r="AI76" i="6" s="1"/>
  <c r="AI77" i="6" s="1"/>
  <c r="AI78" i="6" s="1"/>
  <c r="AI79" i="6" s="1"/>
  <c r="AI80" i="6" s="1"/>
  <c r="AI81" i="6" s="1"/>
  <c r="AI82" i="6" s="1"/>
  <c r="AI83" i="6" s="1"/>
  <c r="AI84" i="6" s="1"/>
  <c r="AI85" i="6" s="1"/>
  <c r="AI86" i="6" s="1"/>
  <c r="AI87" i="6" s="1"/>
  <c r="AI88" i="6" s="1"/>
  <c r="AI89" i="6" s="1"/>
  <c r="AI90" i="6" s="1"/>
  <c r="AI91" i="6" s="1"/>
  <c r="AI92" i="6" s="1"/>
  <c r="AI93" i="6" s="1"/>
  <c r="AI94" i="6" s="1"/>
  <c r="AI95" i="6" s="1"/>
  <c r="AI96" i="6" s="1"/>
  <c r="AI97" i="6" s="1"/>
  <c r="AI98" i="6" s="1"/>
  <c r="AI99" i="6" s="1"/>
  <c r="AI100" i="6" s="1"/>
  <c r="AI101" i="6" s="1"/>
  <c r="AI102" i="6" s="1"/>
  <c r="AI103" i="6" s="1"/>
  <c r="AI104" i="6" s="1"/>
  <c r="AI105" i="6" s="1"/>
  <c r="AI106" i="6" s="1"/>
  <c r="AI107" i="6" s="1"/>
  <c r="AI108" i="6" s="1"/>
  <c r="AI109" i="6" s="1"/>
  <c r="AI110" i="6" s="1"/>
  <c r="AI111" i="6" s="1"/>
  <c r="AI112" i="6" s="1"/>
  <c r="AI113" i="6" s="1"/>
  <c r="AI114" i="6" s="1"/>
  <c r="AI115" i="6" s="1"/>
  <c r="AI116" i="6" s="1"/>
  <c r="AI117" i="6" s="1"/>
  <c r="AI118" i="6" s="1"/>
  <c r="AI119" i="6" s="1"/>
  <c r="AI120" i="6" s="1"/>
  <c r="AI121" i="6" s="1"/>
  <c r="AI122" i="6" s="1"/>
  <c r="AI123" i="6" s="1"/>
  <c r="AI124" i="6" s="1"/>
  <c r="AI125" i="6" s="1"/>
  <c r="AI126" i="6" s="1"/>
  <c r="AI127" i="6" s="1"/>
  <c r="AI128" i="6" s="1"/>
  <c r="AI129" i="6" s="1"/>
  <c r="AI130" i="6" s="1"/>
  <c r="AI131" i="6" s="1"/>
  <c r="AI132" i="6" s="1"/>
  <c r="AI133" i="6" s="1"/>
  <c r="AI134" i="6" s="1"/>
  <c r="AI135" i="6" s="1"/>
  <c r="AI136" i="6" s="1"/>
  <c r="AI137" i="6" s="1"/>
  <c r="AI138" i="6" s="1"/>
  <c r="AI139" i="6" s="1"/>
  <c r="AI140" i="6" s="1"/>
  <c r="AI141" i="6" s="1"/>
  <c r="AI142" i="6" s="1"/>
  <c r="AI143" i="6" s="1"/>
  <c r="AI144" i="6" s="1"/>
  <c r="AI145" i="6" s="1"/>
  <c r="AI146" i="6" s="1"/>
  <c r="AI147" i="6" s="1"/>
  <c r="AI148" i="6" s="1"/>
  <c r="AI149" i="6" s="1"/>
  <c r="AI150" i="6" s="1"/>
  <c r="AI151" i="6" s="1"/>
  <c r="AI152" i="6" s="1"/>
  <c r="AI153" i="6" s="1"/>
  <c r="AI154" i="6" s="1"/>
  <c r="AI155" i="6" s="1"/>
  <c r="AI156" i="6" s="1"/>
  <c r="AI157" i="6" s="1"/>
  <c r="AI158" i="6" s="1"/>
  <c r="AI159" i="6" s="1"/>
  <c r="AI160" i="6" s="1"/>
  <c r="AI161" i="6" s="1"/>
  <c r="AI162" i="6" s="1"/>
  <c r="AI163" i="6" s="1"/>
  <c r="AI164" i="6" s="1"/>
  <c r="AI165" i="6" s="1"/>
  <c r="AI166" i="6" s="1"/>
  <c r="AI167" i="6" s="1"/>
  <c r="AI168" i="6" s="1"/>
  <c r="AI169" i="6" s="1"/>
  <c r="AI170" i="6" s="1"/>
  <c r="AI171" i="6" s="1"/>
  <c r="AI172" i="6" s="1"/>
  <c r="AI173" i="6" s="1"/>
  <c r="AI174" i="6" s="1"/>
  <c r="AI175" i="6" s="1"/>
  <c r="AI176" i="6" s="1"/>
  <c r="AI177" i="6" s="1"/>
  <c r="AI178" i="6" s="1"/>
  <c r="AI179" i="6" s="1"/>
  <c r="AI180" i="6" s="1"/>
  <c r="AI181" i="6" s="1"/>
  <c r="AI182" i="6" s="1"/>
  <c r="AI183" i="6" s="1"/>
  <c r="AI184" i="6" s="1"/>
  <c r="AI185" i="6" s="1"/>
  <c r="AI186" i="6" s="1"/>
  <c r="AI187" i="6" s="1"/>
  <c r="AI188" i="6" s="1"/>
  <c r="AI189" i="6" s="1"/>
  <c r="AI190" i="6" s="1"/>
  <c r="AI191" i="6" s="1"/>
  <c r="AI192" i="6" s="1"/>
  <c r="AI193" i="6" s="1"/>
  <c r="AI194" i="6" s="1"/>
  <c r="AI195" i="6" s="1"/>
  <c r="AI196" i="6" s="1"/>
  <c r="AI197" i="6" s="1"/>
  <c r="AI198" i="6" s="1"/>
  <c r="AI199" i="6" s="1"/>
  <c r="AI200" i="6" s="1"/>
  <c r="AI201" i="6" s="1"/>
  <c r="AI202" i="6" s="1"/>
  <c r="AI203" i="6" s="1"/>
  <c r="AI204" i="6" s="1"/>
  <c r="AI205" i="6" s="1"/>
  <c r="AI206" i="6" s="1"/>
  <c r="AI207" i="6" s="1"/>
  <c r="AI208" i="6" s="1"/>
  <c r="AI209" i="6" s="1"/>
  <c r="AI210" i="6" s="1"/>
  <c r="AI211" i="6" s="1"/>
  <c r="AI212" i="6" s="1"/>
  <c r="AI213" i="6" s="1"/>
  <c r="AI214" i="6" s="1"/>
  <c r="AI215" i="6" s="1"/>
  <c r="AI216" i="6" s="1"/>
  <c r="AI217" i="6" s="1"/>
  <c r="AI218" i="6" s="1"/>
  <c r="AI219" i="6" s="1"/>
  <c r="AI220" i="6" s="1"/>
  <c r="AI221" i="6" s="1"/>
  <c r="AI222" i="6" s="1"/>
  <c r="AI223" i="6" s="1"/>
  <c r="AI224" i="6" s="1"/>
  <c r="AI225" i="6" s="1"/>
  <c r="AI226" i="6" s="1"/>
  <c r="AI227" i="6" s="1"/>
  <c r="AI228" i="6" s="1"/>
  <c r="AI229" i="6" s="1"/>
  <c r="AI230" i="6" s="1"/>
  <c r="AI231" i="6" s="1"/>
  <c r="AI232" i="6" s="1"/>
  <c r="AI233" i="6" s="1"/>
  <c r="AI234" i="6" s="1"/>
  <c r="AI235" i="6" s="1"/>
  <c r="AI236" i="6" s="1"/>
  <c r="AI237" i="6" s="1"/>
  <c r="AI238" i="6" s="1"/>
  <c r="AI239" i="6" s="1"/>
  <c r="AI240" i="6" s="1"/>
  <c r="AI241" i="6" s="1"/>
  <c r="AI242" i="6" s="1"/>
  <c r="AI243" i="6" s="1"/>
  <c r="AI244" i="6" s="1"/>
  <c r="AI245" i="6" s="1"/>
  <c r="AI246" i="6" s="1"/>
  <c r="AI247" i="6" s="1"/>
  <c r="AI248" i="6" s="1"/>
  <c r="AI249" i="6" s="1"/>
  <c r="AI250" i="6" s="1"/>
  <c r="AI251" i="6" s="1"/>
  <c r="AI252" i="6" s="1"/>
  <c r="AI253" i="6" s="1"/>
  <c r="AI254" i="6" s="1"/>
  <c r="AI255" i="6" s="1"/>
  <c r="AI256" i="6" s="1"/>
  <c r="AI257" i="6" s="1"/>
  <c r="AI258" i="6" s="1"/>
  <c r="AI259" i="6" s="1"/>
  <c r="AI260" i="6" s="1"/>
  <c r="AI261" i="6" s="1"/>
  <c r="AI262" i="6" s="1"/>
  <c r="AI263" i="6" s="1"/>
  <c r="AI264" i="6" s="1"/>
  <c r="AI265" i="6" s="1"/>
  <c r="AI266" i="6" s="1"/>
  <c r="AI267" i="6" s="1"/>
  <c r="AI268" i="6" s="1"/>
  <c r="AI269" i="6" s="1"/>
  <c r="AI270" i="6" s="1"/>
  <c r="AI271" i="6" s="1"/>
  <c r="AI272" i="6" s="1"/>
  <c r="AI273" i="6" s="1"/>
  <c r="AI274" i="6" s="1"/>
  <c r="AI275" i="6" s="1"/>
  <c r="AI276" i="6" s="1"/>
  <c r="AI277" i="6" s="1"/>
  <c r="AI278" i="6" s="1"/>
  <c r="AI279" i="6" s="1"/>
  <c r="AI280" i="6" s="1"/>
  <c r="AI281" i="6" s="1"/>
  <c r="AI282" i="6" s="1"/>
  <c r="AI283" i="6" s="1"/>
  <c r="AI284" i="6" s="1"/>
  <c r="AI285" i="6" s="1"/>
  <c r="AI286" i="6" s="1"/>
  <c r="AI287" i="6" s="1"/>
  <c r="AI288" i="6" s="1"/>
  <c r="AI289" i="6" s="1"/>
  <c r="AI290" i="6" s="1"/>
  <c r="AI291" i="6" s="1"/>
  <c r="AI292" i="6" s="1"/>
  <c r="AI293" i="6" s="1"/>
  <c r="AI294" i="6" s="1"/>
  <c r="AI295" i="6" s="1"/>
  <c r="AI296" i="6" s="1"/>
  <c r="AI297" i="6" s="1"/>
  <c r="AI298" i="6" s="1"/>
  <c r="AI299" i="6" s="1"/>
  <c r="AI300" i="6" s="1"/>
  <c r="AI301" i="6" s="1"/>
  <c r="AI302" i="6" s="1"/>
  <c r="AI303" i="6" s="1"/>
  <c r="AI304" i="6" s="1"/>
  <c r="AI305" i="6" s="1"/>
  <c r="AI306" i="6" s="1"/>
  <c r="AI307" i="6" s="1"/>
  <c r="AI308" i="6" s="1"/>
  <c r="AI309" i="6" s="1"/>
  <c r="AI310" i="6" s="1"/>
  <c r="AI311" i="6" s="1"/>
  <c r="AI312" i="6" s="1"/>
  <c r="AI313" i="6" s="1"/>
  <c r="AI314" i="6" s="1"/>
  <c r="AI315" i="6" s="1"/>
  <c r="AI316" i="6" s="1"/>
  <c r="AI317" i="6" s="1"/>
  <c r="AI318" i="6" s="1"/>
  <c r="AI319" i="6" s="1"/>
  <c r="AI320" i="6" s="1"/>
  <c r="AI321" i="6" s="1"/>
  <c r="AI322" i="6" s="1"/>
  <c r="AI323" i="6" s="1"/>
  <c r="AI324" i="6" s="1"/>
  <c r="AI325" i="6" s="1"/>
  <c r="AI326" i="6" s="1"/>
  <c r="AI327" i="6" s="1"/>
  <c r="AI328" i="6" s="1"/>
  <c r="AI329" i="6" s="1"/>
  <c r="AI330" i="6" s="1"/>
  <c r="AI331" i="6" s="1"/>
  <c r="AI332" i="6" s="1"/>
  <c r="AI333" i="6" s="1"/>
  <c r="AI334" i="6" s="1"/>
  <c r="AI335" i="6" s="1"/>
  <c r="AI336" i="6" s="1"/>
  <c r="AI337" i="6" s="1"/>
  <c r="AI338" i="6" s="1"/>
  <c r="AI339" i="6" s="1"/>
  <c r="AI340" i="6" s="1"/>
  <c r="AI341" i="6" s="1"/>
  <c r="AI342" i="6" s="1"/>
  <c r="AI343" i="6" s="1"/>
  <c r="AI344" i="6" s="1"/>
  <c r="AI345" i="6" s="1"/>
  <c r="AI346" i="6" s="1"/>
  <c r="AI347" i="6" s="1"/>
  <c r="AI348" i="6" s="1"/>
  <c r="AI349" i="6" s="1"/>
  <c r="AI350" i="6" s="1"/>
  <c r="AI351" i="6" s="1"/>
  <c r="AI352" i="6" s="1"/>
  <c r="AI353" i="6" s="1"/>
  <c r="AI354" i="6" s="1"/>
  <c r="AI355" i="6" s="1"/>
  <c r="AI356" i="6" s="1"/>
  <c r="AI357" i="6" s="1"/>
  <c r="AI358" i="6" s="1"/>
  <c r="AI359" i="6" s="1"/>
  <c r="AI360" i="6" s="1"/>
  <c r="AI361" i="6" s="1"/>
  <c r="AI362" i="6" s="1"/>
  <c r="AI363" i="6" s="1"/>
  <c r="AI364" i="6" s="1"/>
  <c r="AI365" i="6" s="1"/>
  <c r="AI366" i="6" s="1"/>
  <c r="AI367" i="6" s="1"/>
  <c r="AI368" i="6" s="1"/>
  <c r="AI369" i="6" s="1"/>
  <c r="AI370" i="6" s="1"/>
  <c r="AI371" i="6" s="1"/>
  <c r="AI372" i="6" s="1"/>
  <c r="AI373" i="6" s="1"/>
  <c r="AI374" i="6" s="1"/>
  <c r="AI375" i="6" s="1"/>
  <c r="AI376" i="6" s="1"/>
  <c r="AI377" i="6" s="1"/>
  <c r="AI378" i="6" s="1"/>
  <c r="AI379" i="6" s="1"/>
  <c r="AI380" i="6" s="1"/>
  <c r="AI381" i="6" s="1"/>
  <c r="AI382" i="6" s="1"/>
  <c r="AI383" i="6" s="1"/>
  <c r="AI384" i="6" s="1"/>
  <c r="AI385" i="6" s="1"/>
  <c r="AI386" i="6" s="1"/>
  <c r="AI387" i="6" s="1"/>
  <c r="AI388" i="6" s="1"/>
  <c r="AI389" i="6" s="1"/>
  <c r="AI390" i="6" s="1"/>
  <c r="AI391" i="6" s="1"/>
  <c r="AI392" i="6" s="1"/>
  <c r="AI393" i="6" s="1"/>
  <c r="AI394" i="6" s="1"/>
  <c r="AI395" i="6" s="1"/>
  <c r="AI396" i="6" s="1"/>
  <c r="AI397" i="6" s="1"/>
  <c r="AI398" i="6" s="1"/>
  <c r="AI399" i="6" s="1"/>
  <c r="AI400" i="6" s="1"/>
  <c r="AI401" i="6" s="1"/>
  <c r="AI402" i="6" s="1"/>
  <c r="AI403" i="6" s="1"/>
  <c r="AI404" i="6" s="1"/>
  <c r="AI405" i="6" s="1"/>
  <c r="AI406" i="6" s="1"/>
  <c r="AI407" i="6" s="1"/>
  <c r="AI408" i="6" s="1"/>
  <c r="AI409" i="6" s="1"/>
  <c r="AI410" i="6" s="1"/>
  <c r="AI411" i="6" s="1"/>
  <c r="AI412" i="6" s="1"/>
  <c r="AI413" i="6" s="1"/>
  <c r="AI414" i="6" s="1"/>
  <c r="AI415" i="6" s="1"/>
  <c r="AI416" i="6" s="1"/>
  <c r="AI417" i="6" s="1"/>
  <c r="AI418" i="6" s="1"/>
  <c r="AI419" i="6" s="1"/>
  <c r="AI420" i="6" s="1"/>
  <c r="AI421" i="6" s="1"/>
  <c r="AI422" i="6" s="1"/>
  <c r="AI423" i="6" s="1"/>
  <c r="AI424" i="6" s="1"/>
  <c r="AI425" i="6" s="1"/>
  <c r="AI426" i="6" s="1"/>
  <c r="AI427" i="6" s="1"/>
  <c r="AI428" i="6" s="1"/>
  <c r="AI429" i="6" s="1"/>
  <c r="AI430" i="6" s="1"/>
  <c r="AI431" i="6" s="1"/>
  <c r="AI432" i="6" s="1"/>
  <c r="AI433" i="6" s="1"/>
  <c r="AI434" i="6" s="1"/>
  <c r="AI435" i="6" s="1"/>
  <c r="AI436" i="6" s="1"/>
  <c r="AI437" i="6" s="1"/>
  <c r="AI438" i="6" s="1"/>
  <c r="AI439" i="6" s="1"/>
  <c r="AI440" i="6" s="1"/>
  <c r="AI441" i="6" s="1"/>
  <c r="BG274" i="6"/>
  <c r="BB274" i="6"/>
  <c r="BE274" i="6" s="1"/>
  <c r="AM136" i="6"/>
  <c r="AH136" i="6"/>
  <c r="AK136" i="6" s="1"/>
  <c r="AM86" i="6"/>
  <c r="AM69" i="6"/>
  <c r="AH69" i="6"/>
  <c r="AK69" i="6" s="1"/>
  <c r="AM273" i="6"/>
  <c r="AH273" i="6"/>
  <c r="AK273" i="6" s="1"/>
  <c r="BG257" i="6"/>
  <c r="BB257" i="6"/>
  <c r="BE257" i="6" s="1"/>
  <c r="AM385" i="6"/>
  <c r="AH385" i="6"/>
  <c r="AK385" i="6" s="1"/>
  <c r="BG130" i="6"/>
  <c r="BB130" i="6"/>
  <c r="BE130" i="6" s="1"/>
  <c r="AM166" i="6"/>
  <c r="AH166" i="6"/>
  <c r="AK166" i="6" s="1"/>
  <c r="BG205" i="6"/>
  <c r="BB205" i="6"/>
  <c r="BE205" i="6" s="1"/>
  <c r="AM206" i="6"/>
  <c r="BG244" i="6"/>
  <c r="BG312" i="6"/>
  <c r="BB312" i="6"/>
  <c r="BE312" i="6" s="1"/>
  <c r="BG231" i="6"/>
  <c r="BB231" i="6"/>
  <c r="BE231" i="6" s="1"/>
  <c r="BG336" i="6"/>
  <c r="BB336" i="6"/>
  <c r="BE336" i="6" s="1"/>
  <c r="AM420" i="6"/>
  <c r="AH420" i="6"/>
  <c r="AK420" i="6" s="1"/>
  <c r="BG401" i="6"/>
  <c r="BB401" i="6"/>
  <c r="BE401" i="6" s="1"/>
  <c r="BG195" i="6"/>
  <c r="BG147" i="6"/>
  <c r="BB147" i="6"/>
  <c r="BE147" i="6" s="1"/>
  <c r="BG118" i="6"/>
  <c r="BB118" i="6"/>
  <c r="BE118" i="6" s="1"/>
  <c r="BG390" i="6"/>
  <c r="BB390" i="6"/>
  <c r="BE390" i="6" s="1"/>
  <c r="BG166" i="6"/>
  <c r="BB166" i="6"/>
  <c r="BE166" i="6" s="1"/>
  <c r="BG115" i="6"/>
  <c r="BB115" i="6"/>
  <c r="BE115" i="6" s="1"/>
  <c r="BG372" i="6"/>
  <c r="AM230" i="6"/>
  <c r="AH230" i="6"/>
  <c r="AK230" i="6" s="1"/>
  <c r="BG262" i="6"/>
  <c r="BB262" i="6"/>
  <c r="BE262" i="6" s="1"/>
  <c r="BG163" i="6"/>
  <c r="BB163" i="6"/>
  <c r="BE163" i="6" s="1"/>
  <c r="AM409" i="6"/>
  <c r="BG283" i="6"/>
  <c r="BB283" i="6"/>
  <c r="BE283" i="6" s="1"/>
  <c r="BG186" i="6"/>
  <c r="BB186" i="6"/>
  <c r="BE186" i="6" s="1"/>
  <c r="BG168" i="6"/>
  <c r="AM150" i="6"/>
  <c r="AH150" i="6"/>
  <c r="AK150" i="6" s="1"/>
  <c r="BG239" i="6"/>
  <c r="BB239" i="6"/>
  <c r="BE239" i="6" s="1"/>
  <c r="AM400" i="6"/>
  <c r="AH400" i="6"/>
  <c r="AK400" i="6" s="1"/>
  <c r="BG202" i="6"/>
  <c r="BB202" i="6"/>
  <c r="BE202" i="6" s="1"/>
  <c r="BG185" i="6"/>
  <c r="BB185" i="6"/>
  <c r="BE185" i="6" s="1"/>
  <c r="BG340" i="6"/>
  <c r="BB340" i="6"/>
  <c r="BE340" i="6" s="1"/>
  <c r="U52" i="6"/>
  <c r="W52" i="6" s="1"/>
  <c r="U55" i="6"/>
  <c r="W55" i="6" s="1"/>
  <c r="AG15" i="7" a="1"/>
  <c r="AG16" i="7" s="1"/>
  <c r="K52" i="6" l="1"/>
  <c r="K53" i="6" s="1"/>
  <c r="K54" i="6" s="1"/>
  <c r="K55" i="6" s="1"/>
  <c r="T52" i="6"/>
  <c r="T53" i="6" s="1"/>
  <c r="T54" i="6" s="1"/>
  <c r="T55" i="6" s="1"/>
  <c r="T56" i="6" s="1"/>
  <c r="E58" i="6"/>
  <c r="O58" i="6" s="1"/>
  <c r="AR5" i="6"/>
  <c r="AW5" i="6" s="1"/>
  <c r="AY5" i="6" s="1"/>
  <c r="AS3" i="6"/>
  <c r="AU3" i="6" s="1"/>
  <c r="AV3" i="6" s="1"/>
  <c r="H57" i="6"/>
  <c r="F57" i="6"/>
  <c r="AJ52" i="6"/>
  <c r="AJ53" i="6" s="1"/>
  <c r="AJ54" i="6" s="1"/>
  <c r="AJ55" i="6" s="1"/>
  <c r="AJ56" i="6" s="1"/>
  <c r="AJ57" i="6" s="1"/>
  <c r="AJ58" i="6" s="1"/>
  <c r="AJ59" i="6" s="1"/>
  <c r="AJ60" i="6" s="1"/>
  <c r="AJ61" i="6" s="1"/>
  <c r="AJ62" i="6" s="1"/>
  <c r="AJ63" i="6" s="1"/>
  <c r="AJ64" i="6" s="1"/>
  <c r="AJ65" i="6" s="1"/>
  <c r="AJ66" i="6" s="1"/>
  <c r="AJ67" i="6" s="1"/>
  <c r="AJ68" i="6" s="1"/>
  <c r="AJ69" i="6" s="1"/>
  <c r="AJ70" i="6" s="1"/>
  <c r="AJ71" i="6" s="1"/>
  <c r="AJ72" i="6" s="1"/>
  <c r="AJ73" i="6" s="1"/>
  <c r="AJ74" i="6" s="1"/>
  <c r="AJ75" i="6" s="1"/>
  <c r="AJ76" i="6" s="1"/>
  <c r="AJ77" i="6" s="1"/>
  <c r="AJ78" i="6" s="1"/>
  <c r="AJ79" i="6" s="1"/>
  <c r="AJ80" i="6" s="1"/>
  <c r="AJ81" i="6" s="1"/>
  <c r="AJ82" i="6" s="1"/>
  <c r="AJ83" i="6" s="1"/>
  <c r="AJ84" i="6" s="1"/>
  <c r="AJ85" i="6" s="1"/>
  <c r="AJ86" i="6" s="1"/>
  <c r="AJ87" i="6" s="1"/>
  <c r="AJ88" i="6" s="1"/>
  <c r="AJ89" i="6" s="1"/>
  <c r="AJ90" i="6" s="1"/>
  <c r="AJ91" i="6" s="1"/>
  <c r="AJ92" i="6" s="1"/>
  <c r="AJ93" i="6" s="1"/>
  <c r="AJ94" i="6" s="1"/>
  <c r="AJ95" i="6" s="1"/>
  <c r="AJ96" i="6" s="1"/>
  <c r="AJ97" i="6" s="1"/>
  <c r="AJ98" i="6" s="1"/>
  <c r="AJ99" i="6" s="1"/>
  <c r="AJ100" i="6" s="1"/>
  <c r="AJ101" i="6" s="1"/>
  <c r="AJ102" i="6" s="1"/>
  <c r="AJ103" i="6" s="1"/>
  <c r="AJ104" i="6" s="1"/>
  <c r="AJ105" i="6" s="1"/>
  <c r="AJ106" i="6" s="1"/>
  <c r="AJ107" i="6" s="1"/>
  <c r="AJ108" i="6" s="1"/>
  <c r="AJ109" i="6" s="1"/>
  <c r="AJ110" i="6" s="1"/>
  <c r="AJ111" i="6" s="1"/>
  <c r="AJ112" i="6" s="1"/>
  <c r="AJ113" i="6" s="1"/>
  <c r="AJ114" i="6" s="1"/>
  <c r="AJ115" i="6" s="1"/>
  <c r="AJ116" i="6" s="1"/>
  <c r="AJ117" i="6" s="1"/>
  <c r="AJ118" i="6" s="1"/>
  <c r="AJ119" i="6" s="1"/>
  <c r="AJ120" i="6" s="1"/>
  <c r="AJ121" i="6" s="1"/>
  <c r="AJ122" i="6" s="1"/>
  <c r="AJ123" i="6" s="1"/>
  <c r="AJ124" i="6" s="1"/>
  <c r="AJ125" i="6" s="1"/>
  <c r="AJ126" i="6" s="1"/>
  <c r="AJ127" i="6" s="1"/>
  <c r="AJ128" i="6" s="1"/>
  <c r="AJ129" i="6" s="1"/>
  <c r="AJ130" i="6" s="1"/>
  <c r="AJ131" i="6" s="1"/>
  <c r="AJ132" i="6" s="1"/>
  <c r="AJ133" i="6" s="1"/>
  <c r="AJ134" i="6" s="1"/>
  <c r="AJ135" i="6" s="1"/>
  <c r="AJ136" i="6" s="1"/>
  <c r="AJ137" i="6" s="1"/>
  <c r="AJ138" i="6" s="1"/>
  <c r="AJ139" i="6" s="1"/>
  <c r="AJ140" i="6" s="1"/>
  <c r="AJ141" i="6" s="1"/>
  <c r="AJ142" i="6" s="1"/>
  <c r="AJ143" i="6" s="1"/>
  <c r="AJ144" i="6" s="1"/>
  <c r="AJ145" i="6" s="1"/>
  <c r="AJ146" i="6" s="1"/>
  <c r="AJ147" i="6" s="1"/>
  <c r="AJ148" i="6" s="1"/>
  <c r="AJ149" i="6" s="1"/>
  <c r="AJ150" i="6" s="1"/>
  <c r="AJ151" i="6" s="1"/>
  <c r="AJ152" i="6" s="1"/>
  <c r="AJ153" i="6" s="1"/>
  <c r="AJ154" i="6" s="1"/>
  <c r="AJ155" i="6" s="1"/>
  <c r="AJ156" i="6" s="1"/>
  <c r="AJ157" i="6" s="1"/>
  <c r="AJ158" i="6" s="1"/>
  <c r="AJ159" i="6" s="1"/>
  <c r="AJ160" i="6" s="1"/>
  <c r="AJ161" i="6" s="1"/>
  <c r="AJ162" i="6" s="1"/>
  <c r="AJ163" i="6" s="1"/>
  <c r="AJ164" i="6" s="1"/>
  <c r="AJ165" i="6" s="1"/>
  <c r="AJ166" i="6" s="1"/>
  <c r="AJ167" i="6" s="1"/>
  <c r="AJ168" i="6" s="1"/>
  <c r="AJ169" i="6" s="1"/>
  <c r="AJ170" i="6" s="1"/>
  <c r="AJ171" i="6" s="1"/>
  <c r="AJ172" i="6" s="1"/>
  <c r="AJ173" i="6" s="1"/>
  <c r="AJ174" i="6" s="1"/>
  <c r="AJ175" i="6" s="1"/>
  <c r="AJ176" i="6" s="1"/>
  <c r="AJ177" i="6" s="1"/>
  <c r="AJ178" i="6" s="1"/>
  <c r="AJ179" i="6" s="1"/>
  <c r="AJ180" i="6" s="1"/>
  <c r="AJ181" i="6" s="1"/>
  <c r="AJ182" i="6" s="1"/>
  <c r="AJ183" i="6" s="1"/>
  <c r="AJ184" i="6" s="1"/>
  <c r="AJ185" i="6" s="1"/>
  <c r="AJ186" i="6" s="1"/>
  <c r="AJ187" i="6" s="1"/>
  <c r="AJ188" i="6" s="1"/>
  <c r="AJ189" i="6" s="1"/>
  <c r="AJ190" i="6" s="1"/>
  <c r="AJ191" i="6" s="1"/>
  <c r="AJ192" i="6" s="1"/>
  <c r="AJ193" i="6" s="1"/>
  <c r="AJ194" i="6" s="1"/>
  <c r="AJ195" i="6" s="1"/>
  <c r="AJ196" i="6" s="1"/>
  <c r="AJ197" i="6" s="1"/>
  <c r="AJ198" i="6" s="1"/>
  <c r="AJ199" i="6" s="1"/>
  <c r="AJ200" i="6" s="1"/>
  <c r="AJ201" i="6" s="1"/>
  <c r="AJ202" i="6" s="1"/>
  <c r="AJ203" i="6" s="1"/>
  <c r="AJ204" i="6" s="1"/>
  <c r="AJ205" i="6" s="1"/>
  <c r="AJ206" i="6" s="1"/>
  <c r="AJ207" i="6" s="1"/>
  <c r="AJ208" i="6" s="1"/>
  <c r="AJ209" i="6" s="1"/>
  <c r="AJ210" i="6" s="1"/>
  <c r="AJ211" i="6" s="1"/>
  <c r="AJ212" i="6" s="1"/>
  <c r="AJ213" i="6" s="1"/>
  <c r="AJ214" i="6" s="1"/>
  <c r="AJ215" i="6" s="1"/>
  <c r="AJ216" i="6" s="1"/>
  <c r="AJ217" i="6" s="1"/>
  <c r="AJ218" i="6" s="1"/>
  <c r="AJ219" i="6" s="1"/>
  <c r="AJ220" i="6" s="1"/>
  <c r="AJ221" i="6" s="1"/>
  <c r="AJ222" i="6" s="1"/>
  <c r="AJ223" i="6" s="1"/>
  <c r="AJ224" i="6" s="1"/>
  <c r="AJ225" i="6" s="1"/>
  <c r="AJ226" i="6" s="1"/>
  <c r="AJ227" i="6" s="1"/>
  <c r="AJ228" i="6" s="1"/>
  <c r="AJ229" i="6" s="1"/>
  <c r="AJ230" i="6" s="1"/>
  <c r="AJ231" i="6" s="1"/>
  <c r="AJ232" i="6" s="1"/>
  <c r="AJ233" i="6" s="1"/>
  <c r="AJ234" i="6" s="1"/>
  <c r="AJ235" i="6" s="1"/>
  <c r="AJ236" i="6" s="1"/>
  <c r="AJ237" i="6" s="1"/>
  <c r="AJ238" i="6" s="1"/>
  <c r="AJ239" i="6" s="1"/>
  <c r="AJ240" i="6" s="1"/>
  <c r="AJ241" i="6" s="1"/>
  <c r="AJ242" i="6" s="1"/>
  <c r="AJ243" i="6" s="1"/>
  <c r="AJ244" i="6" s="1"/>
  <c r="AJ245" i="6" s="1"/>
  <c r="AJ246" i="6" s="1"/>
  <c r="AJ247" i="6" s="1"/>
  <c r="AJ248" i="6" s="1"/>
  <c r="AJ249" i="6" s="1"/>
  <c r="AJ250" i="6" s="1"/>
  <c r="AJ251" i="6" s="1"/>
  <c r="AJ252" i="6" s="1"/>
  <c r="AJ253" i="6" s="1"/>
  <c r="AJ254" i="6" s="1"/>
  <c r="AJ255" i="6" s="1"/>
  <c r="AJ256" i="6" s="1"/>
  <c r="AJ257" i="6" s="1"/>
  <c r="AJ258" i="6" s="1"/>
  <c r="AJ259" i="6" s="1"/>
  <c r="AJ260" i="6" s="1"/>
  <c r="AJ261" i="6" s="1"/>
  <c r="AJ262" i="6" s="1"/>
  <c r="AJ263" i="6" s="1"/>
  <c r="AJ264" i="6" s="1"/>
  <c r="AJ265" i="6" s="1"/>
  <c r="AJ266" i="6" s="1"/>
  <c r="AJ267" i="6" s="1"/>
  <c r="AJ268" i="6" s="1"/>
  <c r="AJ269" i="6" s="1"/>
  <c r="AJ270" i="6" s="1"/>
  <c r="AJ271" i="6" s="1"/>
  <c r="AJ272" i="6" s="1"/>
  <c r="AJ273" i="6" s="1"/>
  <c r="AJ274" i="6" s="1"/>
  <c r="AJ275" i="6" s="1"/>
  <c r="AJ276" i="6" s="1"/>
  <c r="AJ277" i="6" s="1"/>
  <c r="AJ278" i="6" s="1"/>
  <c r="AJ279" i="6" s="1"/>
  <c r="AJ280" i="6" s="1"/>
  <c r="AJ281" i="6" s="1"/>
  <c r="AJ282" i="6" s="1"/>
  <c r="AJ283" i="6" s="1"/>
  <c r="AJ284" i="6" s="1"/>
  <c r="AJ285" i="6" s="1"/>
  <c r="AJ286" i="6" s="1"/>
  <c r="AJ287" i="6" s="1"/>
  <c r="AJ288" i="6" s="1"/>
  <c r="AJ289" i="6" s="1"/>
  <c r="AJ290" i="6" s="1"/>
  <c r="AJ291" i="6" s="1"/>
  <c r="AJ292" i="6" s="1"/>
  <c r="AJ293" i="6" s="1"/>
  <c r="AJ294" i="6" s="1"/>
  <c r="AJ295" i="6" s="1"/>
  <c r="AJ296" i="6" s="1"/>
  <c r="AJ297" i="6" s="1"/>
  <c r="AJ298" i="6" s="1"/>
  <c r="AJ299" i="6" s="1"/>
  <c r="AJ300" i="6" s="1"/>
  <c r="AJ301" i="6" s="1"/>
  <c r="AJ302" i="6" s="1"/>
  <c r="AJ303" i="6" s="1"/>
  <c r="AJ304" i="6" s="1"/>
  <c r="AJ305" i="6" s="1"/>
  <c r="AJ306" i="6" s="1"/>
  <c r="AJ307" i="6" s="1"/>
  <c r="AJ308" i="6" s="1"/>
  <c r="AJ309" i="6" s="1"/>
  <c r="AJ310" i="6" s="1"/>
  <c r="AJ311" i="6" s="1"/>
  <c r="AJ312" i="6" s="1"/>
  <c r="AJ313" i="6" s="1"/>
  <c r="AJ314" i="6" s="1"/>
  <c r="AJ315" i="6" s="1"/>
  <c r="AJ316" i="6" s="1"/>
  <c r="AJ317" i="6" s="1"/>
  <c r="AJ318" i="6" s="1"/>
  <c r="AJ319" i="6" s="1"/>
  <c r="AJ320" i="6" s="1"/>
  <c r="AJ321" i="6" s="1"/>
  <c r="AJ322" i="6" s="1"/>
  <c r="AJ323" i="6" s="1"/>
  <c r="AJ324" i="6" s="1"/>
  <c r="AJ325" i="6" s="1"/>
  <c r="AJ326" i="6" s="1"/>
  <c r="AJ327" i="6" s="1"/>
  <c r="AJ328" i="6" s="1"/>
  <c r="AJ329" i="6" s="1"/>
  <c r="AJ330" i="6" s="1"/>
  <c r="AJ331" i="6" s="1"/>
  <c r="AJ332" i="6" s="1"/>
  <c r="AJ333" i="6" s="1"/>
  <c r="AJ334" i="6" s="1"/>
  <c r="AJ335" i="6" s="1"/>
  <c r="AJ336" i="6" s="1"/>
  <c r="AJ337" i="6" s="1"/>
  <c r="AJ338" i="6" s="1"/>
  <c r="AJ339" i="6" s="1"/>
  <c r="AJ340" i="6" s="1"/>
  <c r="AJ341" i="6" s="1"/>
  <c r="AJ342" i="6" s="1"/>
  <c r="AJ343" i="6" s="1"/>
  <c r="AJ344" i="6" s="1"/>
  <c r="AJ345" i="6" s="1"/>
  <c r="AJ346" i="6" s="1"/>
  <c r="AJ347" i="6" s="1"/>
  <c r="AJ348" i="6" s="1"/>
  <c r="AJ349" i="6" s="1"/>
  <c r="AJ350" i="6" s="1"/>
  <c r="AJ351" i="6" s="1"/>
  <c r="AJ352" i="6" s="1"/>
  <c r="AJ353" i="6" s="1"/>
  <c r="AJ354" i="6" s="1"/>
  <c r="AJ355" i="6" s="1"/>
  <c r="AJ356" i="6" s="1"/>
  <c r="AJ357" i="6" s="1"/>
  <c r="AJ358" i="6" s="1"/>
  <c r="AJ359" i="6" s="1"/>
  <c r="AJ360" i="6" s="1"/>
  <c r="AJ361" i="6" s="1"/>
  <c r="AJ362" i="6" s="1"/>
  <c r="AJ363" i="6" s="1"/>
  <c r="AJ364" i="6" s="1"/>
  <c r="AJ365" i="6" s="1"/>
  <c r="AJ366" i="6" s="1"/>
  <c r="AJ367" i="6" s="1"/>
  <c r="AJ368" i="6" s="1"/>
  <c r="AJ369" i="6" s="1"/>
  <c r="AJ370" i="6" s="1"/>
  <c r="AJ371" i="6" s="1"/>
  <c r="AJ372" i="6" s="1"/>
  <c r="AJ373" i="6" s="1"/>
  <c r="AJ374" i="6" s="1"/>
  <c r="AJ375" i="6" s="1"/>
  <c r="AJ376" i="6" s="1"/>
  <c r="AJ377" i="6" s="1"/>
  <c r="AJ378" i="6" s="1"/>
  <c r="AJ379" i="6" s="1"/>
  <c r="AJ380" i="6" s="1"/>
  <c r="AJ381" i="6" s="1"/>
  <c r="AJ382" i="6" s="1"/>
  <c r="AJ383" i="6" s="1"/>
  <c r="AJ384" i="6" s="1"/>
  <c r="AJ385" i="6" s="1"/>
  <c r="AJ386" i="6" s="1"/>
  <c r="AJ387" i="6" s="1"/>
  <c r="AJ388" i="6" s="1"/>
  <c r="AJ389" i="6" s="1"/>
  <c r="AJ390" i="6" s="1"/>
  <c r="AJ391" i="6" s="1"/>
  <c r="AJ392" i="6" s="1"/>
  <c r="AJ393" i="6" s="1"/>
  <c r="AJ394" i="6" s="1"/>
  <c r="AJ395" i="6" s="1"/>
  <c r="AJ396" i="6" s="1"/>
  <c r="AJ397" i="6" s="1"/>
  <c r="AJ398" i="6" s="1"/>
  <c r="AJ399" i="6" s="1"/>
  <c r="AJ400" i="6" s="1"/>
  <c r="AJ401" i="6" s="1"/>
  <c r="AJ402" i="6" s="1"/>
  <c r="AJ403" i="6" s="1"/>
  <c r="AJ404" i="6" s="1"/>
  <c r="AJ405" i="6" s="1"/>
  <c r="AJ406" i="6" s="1"/>
  <c r="AJ407" i="6" s="1"/>
  <c r="AJ408" i="6" s="1"/>
  <c r="AJ409" i="6" s="1"/>
  <c r="AJ410" i="6" s="1"/>
  <c r="AJ411" i="6" s="1"/>
  <c r="AJ412" i="6" s="1"/>
  <c r="AJ413" i="6" s="1"/>
  <c r="AJ414" i="6" s="1"/>
  <c r="AJ415" i="6" s="1"/>
  <c r="AJ416" i="6" s="1"/>
  <c r="AJ417" i="6" s="1"/>
  <c r="AJ418" i="6" s="1"/>
  <c r="AJ419" i="6" s="1"/>
  <c r="AJ420" i="6" s="1"/>
  <c r="AJ421" i="6" s="1"/>
  <c r="AJ422" i="6" s="1"/>
  <c r="AJ423" i="6" s="1"/>
  <c r="AJ424" i="6" s="1"/>
  <c r="AJ425" i="6" s="1"/>
  <c r="AJ426" i="6" s="1"/>
  <c r="AJ427" i="6" s="1"/>
  <c r="AJ428" i="6" s="1"/>
  <c r="AJ429" i="6" s="1"/>
  <c r="AJ430" i="6" s="1"/>
  <c r="AJ431" i="6" s="1"/>
  <c r="AJ432" i="6" s="1"/>
  <c r="AJ433" i="6" s="1"/>
  <c r="AJ434" i="6" s="1"/>
  <c r="AJ435" i="6" s="1"/>
  <c r="AJ436" i="6" s="1"/>
  <c r="AJ437" i="6" s="1"/>
  <c r="AJ438" i="6" s="1"/>
  <c r="AJ439" i="6" s="1"/>
  <c r="AJ440" i="6" s="1"/>
  <c r="AJ441" i="6" s="1"/>
  <c r="BX52" i="6"/>
  <c r="BW52" i="6"/>
  <c r="K5" i="6"/>
  <c r="AE48" i="6"/>
  <c r="K6" i="6"/>
  <c r="AY48" i="6"/>
  <c r="BD52" i="6"/>
  <c r="BD53" i="6" s="1"/>
  <c r="BD54" i="6" s="1"/>
  <c r="BD55" i="6" s="1"/>
  <c r="BD56" i="6" s="1"/>
  <c r="BD57" i="6" s="1"/>
  <c r="BD58" i="6" s="1"/>
  <c r="BD59" i="6" s="1"/>
  <c r="BD60" i="6" s="1"/>
  <c r="BD61" i="6" s="1"/>
  <c r="BD62" i="6" s="1"/>
  <c r="BD63" i="6" s="1"/>
  <c r="BD64" i="6" s="1"/>
  <c r="BD65" i="6" s="1"/>
  <c r="BD66" i="6" s="1"/>
  <c r="BD67" i="6" s="1"/>
  <c r="BD68" i="6" s="1"/>
  <c r="BD69" i="6" s="1"/>
  <c r="BD70" i="6" s="1"/>
  <c r="BD71" i="6" s="1"/>
  <c r="BD72" i="6" s="1"/>
  <c r="BD73" i="6" s="1"/>
  <c r="BD74" i="6" s="1"/>
  <c r="BD75" i="6" s="1"/>
  <c r="BD76" i="6" s="1"/>
  <c r="BD77" i="6" s="1"/>
  <c r="BD78" i="6" s="1"/>
  <c r="BD79" i="6" s="1"/>
  <c r="BD80" i="6" s="1"/>
  <c r="BD81" i="6" s="1"/>
  <c r="BD82" i="6" s="1"/>
  <c r="BD83" i="6" s="1"/>
  <c r="BD84" i="6" s="1"/>
  <c r="BD85" i="6" s="1"/>
  <c r="BD86" i="6" s="1"/>
  <c r="BD87" i="6" s="1"/>
  <c r="BD88" i="6" s="1"/>
  <c r="BD89" i="6" s="1"/>
  <c r="BD90" i="6" s="1"/>
  <c r="BD91" i="6" s="1"/>
  <c r="BD92" i="6" s="1"/>
  <c r="BD93" i="6" s="1"/>
  <c r="BD94" i="6" s="1"/>
  <c r="BD95" i="6" s="1"/>
  <c r="BD96" i="6" s="1"/>
  <c r="BD97" i="6" s="1"/>
  <c r="BD98" i="6" s="1"/>
  <c r="BD99" i="6" s="1"/>
  <c r="BD100" i="6" s="1"/>
  <c r="BD101" i="6" s="1"/>
  <c r="BD102" i="6" s="1"/>
  <c r="BD103" i="6" s="1"/>
  <c r="BD104" i="6" s="1"/>
  <c r="BD105" i="6" s="1"/>
  <c r="BD106" i="6" s="1"/>
  <c r="BD107" i="6" s="1"/>
  <c r="BD108" i="6" s="1"/>
  <c r="BD109" i="6" s="1"/>
  <c r="BD110" i="6" s="1"/>
  <c r="BD111" i="6" s="1"/>
  <c r="BD112" i="6" s="1"/>
  <c r="BD113" i="6" s="1"/>
  <c r="BD114" i="6" s="1"/>
  <c r="BD115" i="6" s="1"/>
  <c r="BD116" i="6" s="1"/>
  <c r="BD117" i="6" s="1"/>
  <c r="BD118" i="6" s="1"/>
  <c r="BD119" i="6" s="1"/>
  <c r="BD120" i="6" s="1"/>
  <c r="BD121" i="6" s="1"/>
  <c r="BD122" i="6" s="1"/>
  <c r="BD123" i="6" s="1"/>
  <c r="BD124" i="6" s="1"/>
  <c r="BD125" i="6" s="1"/>
  <c r="BD126" i="6" s="1"/>
  <c r="BD127" i="6" s="1"/>
  <c r="BD128" i="6" s="1"/>
  <c r="BD129" i="6" s="1"/>
  <c r="BD130" i="6" s="1"/>
  <c r="BD131" i="6" s="1"/>
  <c r="BD132" i="6" s="1"/>
  <c r="BD133" i="6" s="1"/>
  <c r="BD134" i="6" s="1"/>
  <c r="BD135" i="6" s="1"/>
  <c r="BD136" i="6" s="1"/>
  <c r="BD137" i="6" s="1"/>
  <c r="BD138" i="6" s="1"/>
  <c r="BD139" i="6" s="1"/>
  <c r="BD140" i="6" s="1"/>
  <c r="BD141" i="6" s="1"/>
  <c r="BD142" i="6" s="1"/>
  <c r="BD143" i="6" s="1"/>
  <c r="BD144" i="6" s="1"/>
  <c r="BD145" i="6" s="1"/>
  <c r="BD146" i="6" s="1"/>
  <c r="BD147" i="6" s="1"/>
  <c r="BD148" i="6" s="1"/>
  <c r="BD149" i="6" s="1"/>
  <c r="BD150" i="6" s="1"/>
  <c r="BD151" i="6" s="1"/>
  <c r="BD152" i="6" s="1"/>
  <c r="BD153" i="6" s="1"/>
  <c r="BD154" i="6" s="1"/>
  <c r="BD155" i="6" s="1"/>
  <c r="BD156" i="6" s="1"/>
  <c r="BD157" i="6" s="1"/>
  <c r="BD158" i="6" s="1"/>
  <c r="BD159" i="6" s="1"/>
  <c r="BD160" i="6" s="1"/>
  <c r="BD161" i="6" s="1"/>
  <c r="BD162" i="6" s="1"/>
  <c r="BD163" i="6" s="1"/>
  <c r="BD164" i="6" s="1"/>
  <c r="BD165" i="6" s="1"/>
  <c r="BD166" i="6" s="1"/>
  <c r="BD167" i="6" s="1"/>
  <c r="BD168" i="6" s="1"/>
  <c r="BD169" i="6" s="1"/>
  <c r="BD170" i="6" s="1"/>
  <c r="BD171" i="6" s="1"/>
  <c r="BD172" i="6" s="1"/>
  <c r="BD173" i="6" s="1"/>
  <c r="BD174" i="6" s="1"/>
  <c r="BD175" i="6" s="1"/>
  <c r="BD176" i="6" s="1"/>
  <c r="BD177" i="6" s="1"/>
  <c r="BD178" i="6" s="1"/>
  <c r="BD179" i="6" s="1"/>
  <c r="BD180" i="6" s="1"/>
  <c r="BD181" i="6" s="1"/>
  <c r="BD182" i="6" s="1"/>
  <c r="BD183" i="6" s="1"/>
  <c r="BD184" i="6" s="1"/>
  <c r="BD185" i="6" s="1"/>
  <c r="BD186" i="6" s="1"/>
  <c r="BD187" i="6" s="1"/>
  <c r="BD188" i="6" s="1"/>
  <c r="BD189" i="6" s="1"/>
  <c r="BD190" i="6" s="1"/>
  <c r="BD191" i="6" s="1"/>
  <c r="BD192" i="6" s="1"/>
  <c r="BD193" i="6" s="1"/>
  <c r="BD194" i="6" s="1"/>
  <c r="BD195" i="6" s="1"/>
  <c r="BD196" i="6" s="1"/>
  <c r="BD197" i="6" s="1"/>
  <c r="BD198" i="6" s="1"/>
  <c r="BD199" i="6" s="1"/>
  <c r="BD200" i="6" s="1"/>
  <c r="BD201" i="6" s="1"/>
  <c r="BD202" i="6" s="1"/>
  <c r="BD203" i="6" s="1"/>
  <c r="BD204" i="6" s="1"/>
  <c r="BD205" i="6" s="1"/>
  <c r="BD206" i="6" s="1"/>
  <c r="BD207" i="6" s="1"/>
  <c r="BD208" i="6" s="1"/>
  <c r="BD209" i="6" s="1"/>
  <c r="BD210" i="6" s="1"/>
  <c r="BD211" i="6" s="1"/>
  <c r="BD212" i="6" s="1"/>
  <c r="BD213" i="6" s="1"/>
  <c r="BD214" i="6" s="1"/>
  <c r="BD215" i="6" s="1"/>
  <c r="BD216" i="6" s="1"/>
  <c r="BD217" i="6" s="1"/>
  <c r="BD218" i="6" s="1"/>
  <c r="BD219" i="6" s="1"/>
  <c r="BD220" i="6" s="1"/>
  <c r="BD221" i="6" s="1"/>
  <c r="BD222" i="6" s="1"/>
  <c r="BD223" i="6" s="1"/>
  <c r="BD224" i="6" s="1"/>
  <c r="BD225" i="6" s="1"/>
  <c r="BD226" i="6" s="1"/>
  <c r="BD227" i="6" s="1"/>
  <c r="BD228" i="6" s="1"/>
  <c r="BD229" i="6" s="1"/>
  <c r="BD230" i="6" s="1"/>
  <c r="BD231" i="6" s="1"/>
  <c r="BD232" i="6" s="1"/>
  <c r="BD233" i="6" s="1"/>
  <c r="BD234" i="6" s="1"/>
  <c r="BD235" i="6" s="1"/>
  <c r="BD236" i="6" s="1"/>
  <c r="BD237" i="6" s="1"/>
  <c r="BD238" i="6" s="1"/>
  <c r="BD239" i="6" s="1"/>
  <c r="BD240" i="6" s="1"/>
  <c r="BD241" i="6" s="1"/>
  <c r="BD242" i="6" s="1"/>
  <c r="BD243" i="6" s="1"/>
  <c r="BD244" i="6" s="1"/>
  <c r="BD245" i="6" s="1"/>
  <c r="BD246" i="6" s="1"/>
  <c r="BD247" i="6" s="1"/>
  <c r="BD248" i="6" s="1"/>
  <c r="BD249" i="6" s="1"/>
  <c r="BD250" i="6" s="1"/>
  <c r="BD251" i="6" s="1"/>
  <c r="BD252" i="6" s="1"/>
  <c r="BD253" i="6" s="1"/>
  <c r="BD254" i="6" s="1"/>
  <c r="BD255" i="6" s="1"/>
  <c r="BD256" i="6" s="1"/>
  <c r="BD257" i="6" s="1"/>
  <c r="BD258" i="6" s="1"/>
  <c r="BD259" i="6" s="1"/>
  <c r="BD260" i="6" s="1"/>
  <c r="BD261" i="6" s="1"/>
  <c r="BD262" i="6" s="1"/>
  <c r="BD263" i="6" s="1"/>
  <c r="BD264" i="6" s="1"/>
  <c r="BD265" i="6" s="1"/>
  <c r="BD266" i="6" s="1"/>
  <c r="BD267" i="6" s="1"/>
  <c r="BD268" i="6" s="1"/>
  <c r="BD269" i="6" s="1"/>
  <c r="BD270" i="6" s="1"/>
  <c r="BD271" i="6" s="1"/>
  <c r="BD272" i="6" s="1"/>
  <c r="BD273" i="6" s="1"/>
  <c r="BD274" i="6" s="1"/>
  <c r="BD275" i="6" s="1"/>
  <c r="BD276" i="6" s="1"/>
  <c r="BD277" i="6" s="1"/>
  <c r="BD278" i="6" s="1"/>
  <c r="BD279" i="6" s="1"/>
  <c r="BD280" i="6" s="1"/>
  <c r="BD281" i="6" s="1"/>
  <c r="BD282" i="6" s="1"/>
  <c r="BD283" i="6" s="1"/>
  <c r="BD284" i="6" s="1"/>
  <c r="BD285" i="6" s="1"/>
  <c r="BD286" i="6" s="1"/>
  <c r="BD287" i="6" s="1"/>
  <c r="BD288" i="6" s="1"/>
  <c r="BD289" i="6" s="1"/>
  <c r="BD290" i="6" s="1"/>
  <c r="BD291" i="6" s="1"/>
  <c r="BD292" i="6" s="1"/>
  <c r="BD293" i="6" s="1"/>
  <c r="BD294" i="6" s="1"/>
  <c r="BD295" i="6" s="1"/>
  <c r="BD296" i="6" s="1"/>
  <c r="BD297" i="6" s="1"/>
  <c r="BD298" i="6" s="1"/>
  <c r="BD299" i="6" s="1"/>
  <c r="BD300" i="6" s="1"/>
  <c r="BD301" i="6" s="1"/>
  <c r="BD302" i="6" s="1"/>
  <c r="BD303" i="6" s="1"/>
  <c r="BD304" i="6" s="1"/>
  <c r="BD305" i="6" s="1"/>
  <c r="BD306" i="6" s="1"/>
  <c r="BD307" i="6" s="1"/>
  <c r="BD308" i="6" s="1"/>
  <c r="BD309" i="6" s="1"/>
  <c r="BD310" i="6" s="1"/>
  <c r="BD311" i="6" s="1"/>
  <c r="BD312" i="6" s="1"/>
  <c r="BD313" i="6" s="1"/>
  <c r="BD314" i="6" s="1"/>
  <c r="BD315" i="6" s="1"/>
  <c r="BD316" i="6" s="1"/>
  <c r="BD317" i="6" s="1"/>
  <c r="BD318" i="6" s="1"/>
  <c r="BD319" i="6" s="1"/>
  <c r="BD320" i="6" s="1"/>
  <c r="BD321" i="6" s="1"/>
  <c r="BD322" i="6" s="1"/>
  <c r="BD323" i="6" s="1"/>
  <c r="BD324" i="6" s="1"/>
  <c r="BD325" i="6" s="1"/>
  <c r="BD326" i="6" s="1"/>
  <c r="BD327" i="6" s="1"/>
  <c r="BD328" i="6" s="1"/>
  <c r="BD329" i="6" s="1"/>
  <c r="BD330" i="6" s="1"/>
  <c r="BD331" i="6" s="1"/>
  <c r="BD332" i="6" s="1"/>
  <c r="BD333" i="6" s="1"/>
  <c r="BD334" i="6" s="1"/>
  <c r="BD335" i="6" s="1"/>
  <c r="BD336" i="6" s="1"/>
  <c r="BD337" i="6" s="1"/>
  <c r="BD338" i="6" s="1"/>
  <c r="BD339" i="6" s="1"/>
  <c r="BD340" i="6" s="1"/>
  <c r="BD341" i="6" s="1"/>
  <c r="BD342" i="6" s="1"/>
  <c r="BD343" i="6" s="1"/>
  <c r="BD344" i="6" s="1"/>
  <c r="BD345" i="6" s="1"/>
  <c r="BD346" i="6" s="1"/>
  <c r="BD347" i="6" s="1"/>
  <c r="BD348" i="6" s="1"/>
  <c r="BD349" i="6" s="1"/>
  <c r="BD350" i="6" s="1"/>
  <c r="BD351" i="6" s="1"/>
  <c r="BD352" i="6" s="1"/>
  <c r="BD353" i="6" s="1"/>
  <c r="BD354" i="6" s="1"/>
  <c r="BD355" i="6" s="1"/>
  <c r="BD356" i="6" s="1"/>
  <c r="BD357" i="6" s="1"/>
  <c r="BD358" i="6" s="1"/>
  <c r="BD359" i="6" s="1"/>
  <c r="BD360" i="6" s="1"/>
  <c r="BD361" i="6" s="1"/>
  <c r="BD362" i="6" s="1"/>
  <c r="BD363" i="6" s="1"/>
  <c r="BD364" i="6" s="1"/>
  <c r="BD365" i="6" s="1"/>
  <c r="BD366" i="6" s="1"/>
  <c r="BD367" i="6" s="1"/>
  <c r="BD368" i="6" s="1"/>
  <c r="BD369" i="6" s="1"/>
  <c r="BD370" i="6" s="1"/>
  <c r="BD371" i="6" s="1"/>
  <c r="BD372" i="6" s="1"/>
  <c r="BD373" i="6" s="1"/>
  <c r="BD374" i="6" s="1"/>
  <c r="BD375" i="6" s="1"/>
  <c r="BD376" i="6" s="1"/>
  <c r="BD377" i="6" s="1"/>
  <c r="BD378" i="6" s="1"/>
  <c r="BD379" i="6" s="1"/>
  <c r="BD380" i="6" s="1"/>
  <c r="BD381" i="6" s="1"/>
  <c r="BD382" i="6" s="1"/>
  <c r="BD383" i="6" s="1"/>
  <c r="BD384" i="6" s="1"/>
  <c r="BD385" i="6" s="1"/>
  <c r="BD386" i="6" s="1"/>
  <c r="BD387" i="6" s="1"/>
  <c r="BD388" i="6" s="1"/>
  <c r="BD389" i="6" s="1"/>
  <c r="BD390" i="6" s="1"/>
  <c r="BD391" i="6" s="1"/>
  <c r="BD392" i="6" s="1"/>
  <c r="BD393" i="6" s="1"/>
  <c r="BD394" i="6" s="1"/>
  <c r="BD395" i="6" s="1"/>
  <c r="BD396" i="6" s="1"/>
  <c r="BD397" i="6" s="1"/>
  <c r="BD398" i="6" s="1"/>
  <c r="BD399" i="6" s="1"/>
  <c r="BD400" i="6" s="1"/>
  <c r="BD401" i="6" s="1"/>
  <c r="BD402" i="6" s="1"/>
  <c r="BD403" i="6" s="1"/>
  <c r="BD404" i="6" s="1"/>
  <c r="BD405" i="6" s="1"/>
  <c r="BD406" i="6" s="1"/>
  <c r="BD407" i="6" s="1"/>
  <c r="BD408" i="6" s="1"/>
  <c r="BD409" i="6" s="1"/>
  <c r="BD410" i="6" s="1"/>
  <c r="BD411" i="6" s="1"/>
  <c r="BD412" i="6" s="1"/>
  <c r="BD413" i="6" s="1"/>
  <c r="BD414" i="6" s="1"/>
  <c r="BD415" i="6" s="1"/>
  <c r="BD416" i="6" s="1"/>
  <c r="BD417" i="6" s="1"/>
  <c r="BD418" i="6" s="1"/>
  <c r="BD419" i="6" s="1"/>
  <c r="BD420" i="6" s="1"/>
  <c r="BD421" i="6" s="1"/>
  <c r="BD422" i="6" s="1"/>
  <c r="BD423" i="6" s="1"/>
  <c r="BD424" i="6" s="1"/>
  <c r="BD425" i="6" s="1"/>
  <c r="BD426" i="6" s="1"/>
  <c r="BD427" i="6" s="1"/>
  <c r="BD428" i="6" s="1"/>
  <c r="BD429" i="6" s="1"/>
  <c r="BD430" i="6" s="1"/>
  <c r="BD431" i="6" s="1"/>
  <c r="BD432" i="6" s="1"/>
  <c r="BD433" i="6" s="1"/>
  <c r="BD434" i="6" s="1"/>
  <c r="BD435" i="6" s="1"/>
  <c r="BD436" i="6" s="1"/>
  <c r="BD437" i="6" s="1"/>
  <c r="BD438" i="6" s="1"/>
  <c r="BD439" i="6" s="1"/>
  <c r="BD440" i="6" s="1"/>
  <c r="BD441" i="6" s="1"/>
  <c r="J55" i="6"/>
  <c r="U56" i="6"/>
  <c r="W56" i="6" s="1"/>
  <c r="G57" i="6"/>
  <c r="N57" i="6" s="1"/>
  <c r="AG15" i="7"/>
  <c r="AG17" i="7"/>
  <c r="E59" i="6"/>
  <c r="F58" i="6" l="1"/>
  <c r="G58" i="6"/>
  <c r="N58" i="6" s="1"/>
  <c r="H58" i="6"/>
  <c r="AS5" i="6"/>
  <c r="AU5" i="6" s="1"/>
  <c r="AV5" i="6" s="1"/>
  <c r="S57" i="6"/>
  <c r="J56" i="6"/>
  <c r="J57" i="6" s="1"/>
  <c r="K56" i="6"/>
  <c r="T57" i="6"/>
  <c r="I57" i="6"/>
  <c r="L57" i="6" s="1"/>
  <c r="R57" i="6"/>
  <c r="U57" i="6" s="1"/>
  <c r="BX53" i="6"/>
  <c r="BW53" i="6"/>
  <c r="V57" i="6"/>
  <c r="M57" i="6"/>
  <c r="O59" i="6"/>
  <c r="AH15" i="7" a="1"/>
  <c r="AH16" i="7" s="1"/>
  <c r="I58" i="6" l="1"/>
  <c r="L58" i="6" s="1"/>
  <c r="M58" i="6"/>
  <c r="J58" i="6"/>
  <c r="S58" i="6"/>
  <c r="V58" i="6"/>
  <c r="R58" i="6"/>
  <c r="U58" i="6" s="1"/>
  <c r="W58" i="6" s="1"/>
  <c r="E60" i="6"/>
  <c r="O60" i="6" s="1"/>
  <c r="T58" i="6"/>
  <c r="K57" i="6"/>
  <c r="K58" i="6" s="1"/>
  <c r="BW54" i="6"/>
  <c r="BW55" i="6" s="1"/>
  <c r="BW56" i="6" s="1"/>
  <c r="BW57" i="6" s="1"/>
  <c r="BW58" i="6" s="1"/>
  <c r="BW59" i="6" s="1"/>
  <c r="BW60" i="6" s="1"/>
  <c r="BW61" i="6" s="1"/>
  <c r="BW62" i="6" s="1"/>
  <c r="BW63" i="6" s="1"/>
  <c r="BW64" i="6" s="1"/>
  <c r="BW65" i="6" s="1"/>
  <c r="BW66" i="6" s="1"/>
  <c r="BW67" i="6" s="1"/>
  <c r="BW68" i="6" s="1"/>
  <c r="BW69" i="6" s="1"/>
  <c r="BW70" i="6" s="1"/>
  <c r="BW71" i="6" s="1"/>
  <c r="BW72" i="6" s="1"/>
  <c r="BW73" i="6" s="1"/>
  <c r="BW74" i="6" s="1"/>
  <c r="BW75" i="6" s="1"/>
  <c r="BW76" i="6" s="1"/>
  <c r="BW77" i="6" s="1"/>
  <c r="BW78" i="6" s="1"/>
  <c r="BW79" i="6" s="1"/>
  <c r="BW80" i="6" s="1"/>
  <c r="BW81" i="6" s="1"/>
  <c r="BW82" i="6" s="1"/>
  <c r="BW83" i="6" s="1"/>
  <c r="BW84" i="6" s="1"/>
  <c r="BW85" i="6" s="1"/>
  <c r="BW86" i="6" s="1"/>
  <c r="BW87" i="6" s="1"/>
  <c r="BW88" i="6" s="1"/>
  <c r="BW89" i="6" s="1"/>
  <c r="BW90" i="6" s="1"/>
  <c r="BW91" i="6" s="1"/>
  <c r="BW92" i="6" s="1"/>
  <c r="BW93" i="6" s="1"/>
  <c r="BW94" i="6" s="1"/>
  <c r="BW95" i="6" s="1"/>
  <c r="BW96" i="6" s="1"/>
  <c r="BW97" i="6" s="1"/>
  <c r="BW98" i="6" s="1"/>
  <c r="BW99" i="6" s="1"/>
  <c r="BW100" i="6" s="1"/>
  <c r="BW101" i="6" s="1"/>
  <c r="BW102" i="6" s="1"/>
  <c r="BW103" i="6" s="1"/>
  <c r="BW104" i="6" s="1"/>
  <c r="BW105" i="6" s="1"/>
  <c r="BW106" i="6" s="1"/>
  <c r="BW107" i="6" s="1"/>
  <c r="BW108" i="6" s="1"/>
  <c r="BW109" i="6" s="1"/>
  <c r="BW110" i="6" s="1"/>
  <c r="BW111" i="6" s="1"/>
  <c r="BW112" i="6" s="1"/>
  <c r="BW113" i="6" s="1"/>
  <c r="BW114" i="6" s="1"/>
  <c r="BW115" i="6" s="1"/>
  <c r="BW116" i="6" s="1"/>
  <c r="BW117" i="6" s="1"/>
  <c r="BW118" i="6" s="1"/>
  <c r="BW119" i="6" s="1"/>
  <c r="BW120" i="6" s="1"/>
  <c r="BW121" i="6" s="1"/>
  <c r="BW122" i="6" s="1"/>
  <c r="BW123" i="6" s="1"/>
  <c r="BW124" i="6" s="1"/>
  <c r="BW125" i="6" s="1"/>
  <c r="BW126" i="6" s="1"/>
  <c r="BW127" i="6" s="1"/>
  <c r="BW128" i="6" s="1"/>
  <c r="BW129" i="6" s="1"/>
  <c r="BW130" i="6" s="1"/>
  <c r="BW131" i="6" s="1"/>
  <c r="BW132" i="6" s="1"/>
  <c r="BW133" i="6" s="1"/>
  <c r="BW134" i="6" s="1"/>
  <c r="BW135" i="6" s="1"/>
  <c r="BW136" i="6" s="1"/>
  <c r="BW137" i="6" s="1"/>
  <c r="BW138" i="6" s="1"/>
  <c r="BW139" i="6" s="1"/>
  <c r="BW140" i="6" s="1"/>
  <c r="BW141" i="6" s="1"/>
  <c r="BW142" i="6" s="1"/>
  <c r="BW143" i="6" s="1"/>
  <c r="BW144" i="6" s="1"/>
  <c r="BW145" i="6" s="1"/>
  <c r="BW146" i="6" s="1"/>
  <c r="BW147" i="6" s="1"/>
  <c r="BW148" i="6" s="1"/>
  <c r="BW149" i="6" s="1"/>
  <c r="BW150" i="6" s="1"/>
  <c r="BW151" i="6" s="1"/>
  <c r="BW152" i="6" s="1"/>
  <c r="BW153" i="6" s="1"/>
  <c r="BW154" i="6" s="1"/>
  <c r="BW155" i="6" s="1"/>
  <c r="BW156" i="6" s="1"/>
  <c r="BW157" i="6" s="1"/>
  <c r="BW158" i="6" s="1"/>
  <c r="BW159" i="6" s="1"/>
  <c r="BW160" i="6" s="1"/>
  <c r="BW161" i="6" s="1"/>
  <c r="BW162" i="6" s="1"/>
  <c r="BW163" i="6" s="1"/>
  <c r="BW164" i="6" s="1"/>
  <c r="BW165" i="6" s="1"/>
  <c r="BW166" i="6" s="1"/>
  <c r="BW167" i="6" s="1"/>
  <c r="BW168" i="6" s="1"/>
  <c r="BW169" i="6" s="1"/>
  <c r="BW170" i="6" s="1"/>
  <c r="BW171" i="6" s="1"/>
  <c r="BW172" i="6" s="1"/>
  <c r="BW173" i="6" s="1"/>
  <c r="BW174" i="6" s="1"/>
  <c r="BW175" i="6" s="1"/>
  <c r="BW176" i="6" s="1"/>
  <c r="BW177" i="6" s="1"/>
  <c r="BW178" i="6" s="1"/>
  <c r="BW179" i="6" s="1"/>
  <c r="BW180" i="6" s="1"/>
  <c r="BW181" i="6" s="1"/>
  <c r="BW182" i="6" s="1"/>
  <c r="BW183" i="6" s="1"/>
  <c r="BW184" i="6" s="1"/>
  <c r="BW185" i="6" s="1"/>
  <c r="BW186" i="6" s="1"/>
  <c r="BW187" i="6" s="1"/>
  <c r="BW188" i="6" s="1"/>
  <c r="BW189" i="6" s="1"/>
  <c r="BW190" i="6" s="1"/>
  <c r="BW191" i="6" s="1"/>
  <c r="BW192" i="6" s="1"/>
  <c r="BW193" i="6" s="1"/>
  <c r="BW194" i="6" s="1"/>
  <c r="BW195" i="6" s="1"/>
  <c r="BW196" i="6" s="1"/>
  <c r="BW197" i="6" s="1"/>
  <c r="BW198" i="6" s="1"/>
  <c r="BW199" i="6" s="1"/>
  <c r="BW200" i="6" s="1"/>
  <c r="BW201" i="6" s="1"/>
  <c r="BW202" i="6" s="1"/>
  <c r="BW203" i="6" s="1"/>
  <c r="BW204" i="6" s="1"/>
  <c r="BW205" i="6" s="1"/>
  <c r="BW206" i="6" s="1"/>
  <c r="BW207" i="6" s="1"/>
  <c r="BW208" i="6" s="1"/>
  <c r="BW209" i="6" s="1"/>
  <c r="BW210" i="6" s="1"/>
  <c r="BW211" i="6" s="1"/>
  <c r="BW212" i="6" s="1"/>
  <c r="BW213" i="6" s="1"/>
  <c r="BW214" i="6" s="1"/>
  <c r="BW215" i="6" s="1"/>
  <c r="BW216" i="6" s="1"/>
  <c r="BW217" i="6" s="1"/>
  <c r="BW218" i="6" s="1"/>
  <c r="BW219" i="6" s="1"/>
  <c r="BW220" i="6" s="1"/>
  <c r="BW221" i="6" s="1"/>
  <c r="BW222" i="6" s="1"/>
  <c r="BW223" i="6" s="1"/>
  <c r="BW224" i="6" s="1"/>
  <c r="BW225" i="6" s="1"/>
  <c r="BW226" i="6" s="1"/>
  <c r="BW227" i="6" s="1"/>
  <c r="BW228" i="6" s="1"/>
  <c r="BW229" i="6" s="1"/>
  <c r="BW230" i="6" s="1"/>
  <c r="BW231" i="6" s="1"/>
  <c r="BW232" i="6" s="1"/>
  <c r="BW233" i="6" s="1"/>
  <c r="BW234" i="6" s="1"/>
  <c r="BW235" i="6" s="1"/>
  <c r="BW236" i="6" s="1"/>
  <c r="BW237" i="6" s="1"/>
  <c r="BW238" i="6" s="1"/>
  <c r="BW239" i="6" s="1"/>
  <c r="BW240" i="6" s="1"/>
  <c r="BW241" i="6" s="1"/>
  <c r="BW242" i="6" s="1"/>
  <c r="BW243" i="6" s="1"/>
  <c r="BW244" i="6" s="1"/>
  <c r="BW245" i="6" s="1"/>
  <c r="BW246" i="6" s="1"/>
  <c r="BW247" i="6" s="1"/>
  <c r="BW248" i="6" s="1"/>
  <c r="BW249" i="6" s="1"/>
  <c r="BW250" i="6" s="1"/>
  <c r="BW251" i="6" s="1"/>
  <c r="BW252" i="6" s="1"/>
  <c r="BW253" i="6" s="1"/>
  <c r="BW254" i="6" s="1"/>
  <c r="BW255" i="6" s="1"/>
  <c r="BW256" i="6" s="1"/>
  <c r="BW257" i="6" s="1"/>
  <c r="BW258" i="6" s="1"/>
  <c r="BW259" i="6" s="1"/>
  <c r="BW260" i="6" s="1"/>
  <c r="BW261" i="6" s="1"/>
  <c r="BW262" i="6" s="1"/>
  <c r="BW263" i="6" s="1"/>
  <c r="BW264" i="6" s="1"/>
  <c r="BW265" i="6" s="1"/>
  <c r="BW266" i="6" s="1"/>
  <c r="BW267" i="6" s="1"/>
  <c r="BW268" i="6" s="1"/>
  <c r="BW269" i="6" s="1"/>
  <c r="BW270" i="6" s="1"/>
  <c r="BW271" i="6" s="1"/>
  <c r="BW272" i="6" s="1"/>
  <c r="BW273" i="6" s="1"/>
  <c r="BW274" i="6" s="1"/>
  <c r="BW275" i="6" s="1"/>
  <c r="BW276" i="6" s="1"/>
  <c r="BW277" i="6" s="1"/>
  <c r="BW278" i="6" s="1"/>
  <c r="BW279" i="6" s="1"/>
  <c r="BW280" i="6" s="1"/>
  <c r="BW281" i="6" s="1"/>
  <c r="BW282" i="6" s="1"/>
  <c r="BW283" i="6" s="1"/>
  <c r="BW284" i="6" s="1"/>
  <c r="BW285" i="6" s="1"/>
  <c r="BW286" i="6" s="1"/>
  <c r="BW287" i="6" s="1"/>
  <c r="BW288" i="6" s="1"/>
  <c r="BW289" i="6" s="1"/>
  <c r="BW290" i="6" s="1"/>
  <c r="BW291" i="6" s="1"/>
  <c r="BW292" i="6" s="1"/>
  <c r="BW293" i="6" s="1"/>
  <c r="BW294" i="6" s="1"/>
  <c r="BW295" i="6" s="1"/>
  <c r="BW296" i="6" s="1"/>
  <c r="BW297" i="6" s="1"/>
  <c r="BW298" i="6" s="1"/>
  <c r="BW299" i="6" s="1"/>
  <c r="BW300" i="6" s="1"/>
  <c r="BW301" i="6" s="1"/>
  <c r="BW302" i="6" s="1"/>
  <c r="BW303" i="6" s="1"/>
  <c r="BW304" i="6" s="1"/>
  <c r="BW305" i="6" s="1"/>
  <c r="BW306" i="6" s="1"/>
  <c r="BW307" i="6" s="1"/>
  <c r="BW308" i="6" s="1"/>
  <c r="BW309" i="6" s="1"/>
  <c r="BW310" i="6" s="1"/>
  <c r="BW311" i="6" s="1"/>
  <c r="BW312" i="6" s="1"/>
  <c r="BW313" i="6" s="1"/>
  <c r="BW314" i="6" s="1"/>
  <c r="BW315" i="6" s="1"/>
  <c r="BW316" i="6" s="1"/>
  <c r="BW317" i="6" s="1"/>
  <c r="BW318" i="6" s="1"/>
  <c r="BW319" i="6" s="1"/>
  <c r="BW320" i="6" s="1"/>
  <c r="BW321" i="6" s="1"/>
  <c r="BW322" i="6" s="1"/>
  <c r="BW323" i="6" s="1"/>
  <c r="BW324" i="6" s="1"/>
  <c r="BW325" i="6" s="1"/>
  <c r="BW326" i="6" s="1"/>
  <c r="BW327" i="6" s="1"/>
  <c r="BW328" i="6" s="1"/>
  <c r="BW329" i="6" s="1"/>
  <c r="BW330" i="6" s="1"/>
  <c r="BW331" i="6" s="1"/>
  <c r="BW332" i="6" s="1"/>
  <c r="BW333" i="6" s="1"/>
  <c r="BW334" i="6" s="1"/>
  <c r="BW335" i="6" s="1"/>
  <c r="BW336" i="6" s="1"/>
  <c r="BW337" i="6" s="1"/>
  <c r="BW338" i="6" s="1"/>
  <c r="BW339" i="6" s="1"/>
  <c r="BW340" i="6" s="1"/>
  <c r="BW341" i="6" s="1"/>
  <c r="BW342" i="6" s="1"/>
  <c r="BW343" i="6" s="1"/>
  <c r="BW344" i="6" s="1"/>
  <c r="BW345" i="6" s="1"/>
  <c r="BW346" i="6" s="1"/>
  <c r="BW347" i="6" s="1"/>
  <c r="BW348" i="6" s="1"/>
  <c r="BW349" i="6" s="1"/>
  <c r="BW350" i="6" s="1"/>
  <c r="BW351" i="6" s="1"/>
  <c r="BW352" i="6" s="1"/>
  <c r="BW353" i="6" s="1"/>
  <c r="BW354" i="6" s="1"/>
  <c r="BW355" i="6" s="1"/>
  <c r="BW356" i="6" s="1"/>
  <c r="BW357" i="6" s="1"/>
  <c r="BW358" i="6" s="1"/>
  <c r="BW359" i="6" s="1"/>
  <c r="BW360" i="6" s="1"/>
  <c r="BW361" i="6" s="1"/>
  <c r="BW362" i="6" s="1"/>
  <c r="BW363" i="6" s="1"/>
  <c r="BW364" i="6" s="1"/>
  <c r="BW365" i="6" s="1"/>
  <c r="BW366" i="6" s="1"/>
  <c r="BW367" i="6" s="1"/>
  <c r="BW368" i="6" s="1"/>
  <c r="BW369" i="6" s="1"/>
  <c r="BW370" i="6" s="1"/>
  <c r="BW371" i="6" s="1"/>
  <c r="BW372" i="6" s="1"/>
  <c r="BW373" i="6" s="1"/>
  <c r="BW374" i="6" s="1"/>
  <c r="BW375" i="6" s="1"/>
  <c r="BW376" i="6" s="1"/>
  <c r="BW377" i="6" s="1"/>
  <c r="BW378" i="6" s="1"/>
  <c r="BW379" i="6" s="1"/>
  <c r="BW380" i="6" s="1"/>
  <c r="BW381" i="6" s="1"/>
  <c r="BW382" i="6" s="1"/>
  <c r="BW383" i="6" s="1"/>
  <c r="BW384" i="6" s="1"/>
  <c r="BW385" i="6" s="1"/>
  <c r="BW386" i="6" s="1"/>
  <c r="BW387" i="6" s="1"/>
  <c r="BW388" i="6" s="1"/>
  <c r="BW389" i="6" s="1"/>
  <c r="BW390" i="6" s="1"/>
  <c r="BW391" i="6" s="1"/>
  <c r="BW392" i="6" s="1"/>
  <c r="BW393" i="6" s="1"/>
  <c r="BW394" i="6" s="1"/>
  <c r="BW395" i="6" s="1"/>
  <c r="BW396" i="6" s="1"/>
  <c r="BW397" i="6" s="1"/>
  <c r="BW398" i="6" s="1"/>
  <c r="BW399" i="6" s="1"/>
  <c r="BW400" i="6" s="1"/>
  <c r="BW401" i="6" s="1"/>
  <c r="BW402" i="6" s="1"/>
  <c r="BW403" i="6" s="1"/>
  <c r="BW404" i="6" s="1"/>
  <c r="BW405" i="6" s="1"/>
  <c r="BW406" i="6" s="1"/>
  <c r="BW407" i="6" s="1"/>
  <c r="BW408" i="6" s="1"/>
  <c r="BW409" i="6" s="1"/>
  <c r="BW410" i="6" s="1"/>
  <c r="BW411" i="6" s="1"/>
  <c r="BW412" i="6" s="1"/>
  <c r="BW413" i="6" s="1"/>
  <c r="BW414" i="6" s="1"/>
  <c r="BW415" i="6" s="1"/>
  <c r="BW416" i="6" s="1"/>
  <c r="BW417" i="6" s="1"/>
  <c r="BW418" i="6" s="1"/>
  <c r="BW419" i="6" s="1"/>
  <c r="BW420" i="6" s="1"/>
  <c r="BW421" i="6" s="1"/>
  <c r="BW422" i="6" s="1"/>
  <c r="BW423" i="6" s="1"/>
  <c r="BW424" i="6" s="1"/>
  <c r="BW425" i="6" s="1"/>
  <c r="BW426" i="6" s="1"/>
  <c r="BW427" i="6" s="1"/>
  <c r="BW428" i="6" s="1"/>
  <c r="BW429" i="6" s="1"/>
  <c r="BW430" i="6" s="1"/>
  <c r="BW431" i="6" s="1"/>
  <c r="BW432" i="6" s="1"/>
  <c r="BW433" i="6" s="1"/>
  <c r="BW434" i="6" s="1"/>
  <c r="BW435" i="6" s="1"/>
  <c r="BW436" i="6" s="1"/>
  <c r="BW437" i="6" s="1"/>
  <c r="BW438" i="6" s="1"/>
  <c r="BW439" i="6" s="1"/>
  <c r="BW440" i="6" s="1"/>
  <c r="BW441" i="6" s="1"/>
  <c r="BX54" i="6"/>
  <c r="H59" i="6"/>
  <c r="F59" i="6"/>
  <c r="W57" i="6"/>
  <c r="G59" i="6"/>
  <c r="N59" i="6" s="1"/>
  <c r="AH15" i="7"/>
  <c r="AH17" i="7"/>
  <c r="E61" i="6"/>
  <c r="O61" i="6" s="1"/>
  <c r="H60" i="6" l="1"/>
  <c r="G60" i="6"/>
  <c r="N60" i="6" s="1"/>
  <c r="F60" i="6"/>
  <c r="K59" i="6"/>
  <c r="F61" i="6"/>
  <c r="T59" i="6"/>
  <c r="BX55" i="6"/>
  <c r="BX56" i="6" s="1"/>
  <c r="BX57" i="6" s="1"/>
  <c r="BX58" i="6" s="1"/>
  <c r="BX59" i="6" s="1"/>
  <c r="BX60" i="6" s="1"/>
  <c r="BX61" i="6" s="1"/>
  <c r="BX62" i="6" s="1"/>
  <c r="BX63" i="6" s="1"/>
  <c r="BX64" i="6" s="1"/>
  <c r="BX65" i="6" s="1"/>
  <c r="BX66" i="6" s="1"/>
  <c r="BX67" i="6" s="1"/>
  <c r="BX68" i="6" s="1"/>
  <c r="BX69" i="6" s="1"/>
  <c r="BX70" i="6" s="1"/>
  <c r="BX71" i="6" s="1"/>
  <c r="BX72" i="6" s="1"/>
  <c r="BX73" i="6" s="1"/>
  <c r="BX74" i="6" s="1"/>
  <c r="BX75" i="6" s="1"/>
  <c r="BX76" i="6" s="1"/>
  <c r="BX77" i="6" s="1"/>
  <c r="BX78" i="6" s="1"/>
  <c r="BX79" i="6" s="1"/>
  <c r="BX80" i="6" s="1"/>
  <c r="BX81" i="6" s="1"/>
  <c r="BX82" i="6" s="1"/>
  <c r="BX83" i="6" s="1"/>
  <c r="BX84" i="6" s="1"/>
  <c r="BX85" i="6" s="1"/>
  <c r="BX86" i="6" s="1"/>
  <c r="BX87" i="6" s="1"/>
  <c r="BX88" i="6" s="1"/>
  <c r="BX89" i="6" s="1"/>
  <c r="BX90" i="6" s="1"/>
  <c r="BX91" i="6" s="1"/>
  <c r="BX92" i="6" s="1"/>
  <c r="BX93" i="6" s="1"/>
  <c r="BX94" i="6" s="1"/>
  <c r="BX95" i="6" s="1"/>
  <c r="BX96" i="6" s="1"/>
  <c r="BX97" i="6" s="1"/>
  <c r="BX98" i="6" s="1"/>
  <c r="BX99" i="6" s="1"/>
  <c r="BX100" i="6" s="1"/>
  <c r="BX101" i="6" s="1"/>
  <c r="BX102" i="6" s="1"/>
  <c r="BX103" i="6" s="1"/>
  <c r="BX104" i="6" s="1"/>
  <c r="BX105" i="6" s="1"/>
  <c r="BX106" i="6" s="1"/>
  <c r="BX107" i="6" s="1"/>
  <c r="BX108" i="6" s="1"/>
  <c r="BX109" i="6" s="1"/>
  <c r="BX110" i="6" s="1"/>
  <c r="BX111" i="6" s="1"/>
  <c r="BX112" i="6" s="1"/>
  <c r="BX113" i="6" s="1"/>
  <c r="BX114" i="6" s="1"/>
  <c r="BX115" i="6" s="1"/>
  <c r="BX116" i="6" s="1"/>
  <c r="BX117" i="6" s="1"/>
  <c r="BX118" i="6" s="1"/>
  <c r="BX119" i="6" s="1"/>
  <c r="BX120" i="6" s="1"/>
  <c r="BX121" i="6" s="1"/>
  <c r="BX122" i="6" s="1"/>
  <c r="BX123" i="6" s="1"/>
  <c r="BX124" i="6" s="1"/>
  <c r="BX125" i="6" s="1"/>
  <c r="BX126" i="6" s="1"/>
  <c r="BX127" i="6" s="1"/>
  <c r="BX128" i="6" s="1"/>
  <c r="BX129" i="6" s="1"/>
  <c r="BX130" i="6" s="1"/>
  <c r="BX131" i="6" s="1"/>
  <c r="BX132" i="6" s="1"/>
  <c r="BX133" i="6" s="1"/>
  <c r="BX134" i="6" s="1"/>
  <c r="BX135" i="6" s="1"/>
  <c r="BX136" i="6" s="1"/>
  <c r="BX137" i="6" s="1"/>
  <c r="BX138" i="6" s="1"/>
  <c r="BX139" i="6" s="1"/>
  <c r="BX140" i="6" s="1"/>
  <c r="BX141" i="6" s="1"/>
  <c r="BX142" i="6" s="1"/>
  <c r="BX143" i="6" s="1"/>
  <c r="BX144" i="6" s="1"/>
  <c r="BX145" i="6" s="1"/>
  <c r="BX146" i="6" s="1"/>
  <c r="BX147" i="6" s="1"/>
  <c r="BX148" i="6" s="1"/>
  <c r="BX149" i="6" s="1"/>
  <c r="BX150" i="6" s="1"/>
  <c r="BX151" i="6" s="1"/>
  <c r="BX152" i="6" s="1"/>
  <c r="BX153" i="6" s="1"/>
  <c r="BX154" i="6" s="1"/>
  <c r="BX155" i="6" s="1"/>
  <c r="BX156" i="6" s="1"/>
  <c r="BX157" i="6" s="1"/>
  <c r="BX158" i="6" s="1"/>
  <c r="BX159" i="6" s="1"/>
  <c r="BX160" i="6" s="1"/>
  <c r="BX161" i="6" s="1"/>
  <c r="BX162" i="6" s="1"/>
  <c r="BX163" i="6" s="1"/>
  <c r="BX164" i="6" s="1"/>
  <c r="BX165" i="6" s="1"/>
  <c r="BX166" i="6" s="1"/>
  <c r="BX167" i="6" s="1"/>
  <c r="BX168" i="6" s="1"/>
  <c r="BX169" i="6" s="1"/>
  <c r="BX170" i="6" s="1"/>
  <c r="BX171" i="6" s="1"/>
  <c r="BX172" i="6" s="1"/>
  <c r="BX173" i="6" s="1"/>
  <c r="BX174" i="6" s="1"/>
  <c r="BX175" i="6" s="1"/>
  <c r="BX176" i="6" s="1"/>
  <c r="BX177" i="6" s="1"/>
  <c r="BX178" i="6" s="1"/>
  <c r="BX179" i="6" s="1"/>
  <c r="BX180" i="6" s="1"/>
  <c r="BX181" i="6" s="1"/>
  <c r="BX182" i="6" s="1"/>
  <c r="BX183" i="6" s="1"/>
  <c r="BX184" i="6" s="1"/>
  <c r="BX185" i="6" s="1"/>
  <c r="BX186" i="6" s="1"/>
  <c r="BX187" i="6" s="1"/>
  <c r="BX188" i="6" s="1"/>
  <c r="BX189" i="6" s="1"/>
  <c r="BX190" i="6" s="1"/>
  <c r="BX191" i="6" s="1"/>
  <c r="BX192" i="6" s="1"/>
  <c r="BX193" i="6" s="1"/>
  <c r="BX194" i="6" s="1"/>
  <c r="BX195" i="6" s="1"/>
  <c r="BX196" i="6" s="1"/>
  <c r="BX197" i="6" s="1"/>
  <c r="BX198" i="6" s="1"/>
  <c r="BX199" i="6" s="1"/>
  <c r="BX200" i="6" s="1"/>
  <c r="BX201" i="6" s="1"/>
  <c r="BX202" i="6" s="1"/>
  <c r="BX203" i="6" s="1"/>
  <c r="BX204" i="6" s="1"/>
  <c r="BX205" i="6" s="1"/>
  <c r="BX206" i="6" s="1"/>
  <c r="BX207" i="6" s="1"/>
  <c r="BX208" i="6" s="1"/>
  <c r="BX209" i="6" s="1"/>
  <c r="BX210" i="6" s="1"/>
  <c r="BX211" i="6" s="1"/>
  <c r="BX212" i="6" s="1"/>
  <c r="BX213" i="6" s="1"/>
  <c r="BX214" i="6" s="1"/>
  <c r="BX215" i="6" s="1"/>
  <c r="BX216" i="6" s="1"/>
  <c r="BX217" i="6" s="1"/>
  <c r="BX218" i="6" s="1"/>
  <c r="BX219" i="6" s="1"/>
  <c r="BX220" i="6" s="1"/>
  <c r="BX221" i="6" s="1"/>
  <c r="BX222" i="6" s="1"/>
  <c r="BX223" i="6" s="1"/>
  <c r="BX224" i="6" s="1"/>
  <c r="BX225" i="6" s="1"/>
  <c r="BX226" i="6" s="1"/>
  <c r="BX227" i="6" s="1"/>
  <c r="BX228" i="6" s="1"/>
  <c r="BX229" i="6" s="1"/>
  <c r="BX230" i="6" s="1"/>
  <c r="BX231" i="6" s="1"/>
  <c r="BX232" i="6" s="1"/>
  <c r="BX233" i="6" s="1"/>
  <c r="BX234" i="6" s="1"/>
  <c r="BX235" i="6" s="1"/>
  <c r="BX236" i="6" s="1"/>
  <c r="BX237" i="6" s="1"/>
  <c r="BX238" i="6" s="1"/>
  <c r="BX239" i="6" s="1"/>
  <c r="BX240" i="6" s="1"/>
  <c r="BX241" i="6" s="1"/>
  <c r="BX242" i="6" s="1"/>
  <c r="BX243" i="6" s="1"/>
  <c r="BX244" i="6" s="1"/>
  <c r="BX245" i="6" s="1"/>
  <c r="BX246" i="6" s="1"/>
  <c r="BX247" i="6" s="1"/>
  <c r="BX248" i="6" s="1"/>
  <c r="BX249" i="6" s="1"/>
  <c r="BX250" i="6" s="1"/>
  <c r="BX251" i="6" s="1"/>
  <c r="BX252" i="6" s="1"/>
  <c r="BX253" i="6" s="1"/>
  <c r="BX254" i="6" s="1"/>
  <c r="BX255" i="6" s="1"/>
  <c r="BX256" i="6" s="1"/>
  <c r="BX257" i="6" s="1"/>
  <c r="BX258" i="6" s="1"/>
  <c r="BX259" i="6" s="1"/>
  <c r="BX260" i="6" s="1"/>
  <c r="BX261" i="6" s="1"/>
  <c r="BX262" i="6" s="1"/>
  <c r="BX263" i="6" s="1"/>
  <c r="BX264" i="6" s="1"/>
  <c r="BX265" i="6" s="1"/>
  <c r="BX266" i="6" s="1"/>
  <c r="BX267" i="6" s="1"/>
  <c r="BX268" i="6" s="1"/>
  <c r="BX269" i="6" s="1"/>
  <c r="BX270" i="6" s="1"/>
  <c r="BX271" i="6" s="1"/>
  <c r="BX272" i="6" s="1"/>
  <c r="BX273" i="6" s="1"/>
  <c r="BX274" i="6" s="1"/>
  <c r="BX275" i="6" s="1"/>
  <c r="BX276" i="6" s="1"/>
  <c r="BX277" i="6" s="1"/>
  <c r="BX278" i="6" s="1"/>
  <c r="BX279" i="6" s="1"/>
  <c r="BX280" i="6" s="1"/>
  <c r="BX281" i="6" s="1"/>
  <c r="BX282" i="6" s="1"/>
  <c r="BX283" i="6" s="1"/>
  <c r="BX284" i="6" s="1"/>
  <c r="BX285" i="6" s="1"/>
  <c r="BX286" i="6" s="1"/>
  <c r="BX287" i="6" s="1"/>
  <c r="BX288" i="6" s="1"/>
  <c r="BX289" i="6" s="1"/>
  <c r="BX290" i="6" s="1"/>
  <c r="BX291" i="6" s="1"/>
  <c r="BX292" i="6" s="1"/>
  <c r="BX293" i="6" s="1"/>
  <c r="BX294" i="6" s="1"/>
  <c r="BX295" i="6" s="1"/>
  <c r="BX296" i="6" s="1"/>
  <c r="BX297" i="6" s="1"/>
  <c r="BX298" i="6" s="1"/>
  <c r="BX299" i="6" s="1"/>
  <c r="BX300" i="6" s="1"/>
  <c r="BX301" i="6" s="1"/>
  <c r="BX302" i="6" s="1"/>
  <c r="BX303" i="6" s="1"/>
  <c r="BX304" i="6" s="1"/>
  <c r="BX305" i="6" s="1"/>
  <c r="BX306" i="6" s="1"/>
  <c r="BX307" i="6" s="1"/>
  <c r="BX308" i="6" s="1"/>
  <c r="BX309" i="6" s="1"/>
  <c r="BX310" i="6" s="1"/>
  <c r="BX311" i="6" s="1"/>
  <c r="BX312" i="6" s="1"/>
  <c r="BX313" i="6" s="1"/>
  <c r="BX314" i="6" s="1"/>
  <c r="BX315" i="6" s="1"/>
  <c r="BX316" i="6" s="1"/>
  <c r="BX317" i="6" s="1"/>
  <c r="BX318" i="6" s="1"/>
  <c r="BX319" i="6" s="1"/>
  <c r="BX320" i="6" s="1"/>
  <c r="BX321" i="6" s="1"/>
  <c r="BX322" i="6" s="1"/>
  <c r="BX323" i="6" s="1"/>
  <c r="BX324" i="6" s="1"/>
  <c r="BX325" i="6" s="1"/>
  <c r="BX326" i="6" s="1"/>
  <c r="BX327" i="6" s="1"/>
  <c r="BX328" i="6" s="1"/>
  <c r="BX329" i="6" s="1"/>
  <c r="BX330" i="6" s="1"/>
  <c r="BX331" i="6" s="1"/>
  <c r="BX332" i="6" s="1"/>
  <c r="BX333" i="6" s="1"/>
  <c r="BX334" i="6" s="1"/>
  <c r="BX335" i="6" s="1"/>
  <c r="BX336" i="6" s="1"/>
  <c r="BX337" i="6" s="1"/>
  <c r="BX338" i="6" s="1"/>
  <c r="BX339" i="6" s="1"/>
  <c r="BX340" i="6" s="1"/>
  <c r="BX341" i="6" s="1"/>
  <c r="BX342" i="6" s="1"/>
  <c r="BX343" i="6" s="1"/>
  <c r="BX344" i="6" s="1"/>
  <c r="BX345" i="6" s="1"/>
  <c r="BX346" i="6" s="1"/>
  <c r="BX347" i="6" s="1"/>
  <c r="BX348" i="6" s="1"/>
  <c r="BX349" i="6" s="1"/>
  <c r="BX350" i="6" s="1"/>
  <c r="BX351" i="6" s="1"/>
  <c r="BX352" i="6" s="1"/>
  <c r="BX353" i="6" s="1"/>
  <c r="BX354" i="6" s="1"/>
  <c r="BX355" i="6" s="1"/>
  <c r="BX356" i="6" s="1"/>
  <c r="BX357" i="6" s="1"/>
  <c r="BX358" i="6" s="1"/>
  <c r="BX359" i="6" s="1"/>
  <c r="BX360" i="6" s="1"/>
  <c r="BX361" i="6" s="1"/>
  <c r="BX362" i="6" s="1"/>
  <c r="BX363" i="6" s="1"/>
  <c r="BX364" i="6" s="1"/>
  <c r="BX365" i="6" s="1"/>
  <c r="BX366" i="6" s="1"/>
  <c r="BX367" i="6" s="1"/>
  <c r="BX368" i="6" s="1"/>
  <c r="BX369" i="6" s="1"/>
  <c r="BX370" i="6" s="1"/>
  <c r="BX371" i="6" s="1"/>
  <c r="BX372" i="6" s="1"/>
  <c r="BX373" i="6" s="1"/>
  <c r="BX374" i="6" s="1"/>
  <c r="BX375" i="6" s="1"/>
  <c r="BX376" i="6" s="1"/>
  <c r="BX377" i="6" s="1"/>
  <c r="BX378" i="6" s="1"/>
  <c r="BX379" i="6" s="1"/>
  <c r="BX380" i="6" s="1"/>
  <c r="BX381" i="6" s="1"/>
  <c r="BX382" i="6" s="1"/>
  <c r="BX383" i="6" s="1"/>
  <c r="BX384" i="6" s="1"/>
  <c r="BX385" i="6" s="1"/>
  <c r="BX386" i="6" s="1"/>
  <c r="BX387" i="6" s="1"/>
  <c r="BX388" i="6" s="1"/>
  <c r="BX389" i="6" s="1"/>
  <c r="BX390" i="6" s="1"/>
  <c r="BX391" i="6" s="1"/>
  <c r="BX392" i="6" s="1"/>
  <c r="BX393" i="6" s="1"/>
  <c r="BX394" i="6" s="1"/>
  <c r="BX395" i="6" s="1"/>
  <c r="BX396" i="6" s="1"/>
  <c r="BX397" i="6" s="1"/>
  <c r="BX398" i="6" s="1"/>
  <c r="BX399" i="6" s="1"/>
  <c r="BX400" i="6" s="1"/>
  <c r="BX401" i="6" s="1"/>
  <c r="BX402" i="6" s="1"/>
  <c r="BX403" i="6" s="1"/>
  <c r="BX404" i="6" s="1"/>
  <c r="BX405" i="6" s="1"/>
  <c r="BX406" i="6" s="1"/>
  <c r="BX407" i="6" s="1"/>
  <c r="BX408" i="6" s="1"/>
  <c r="BX409" i="6" s="1"/>
  <c r="BX410" i="6" s="1"/>
  <c r="BX411" i="6" s="1"/>
  <c r="BX412" i="6" s="1"/>
  <c r="BX413" i="6" s="1"/>
  <c r="BX414" i="6" s="1"/>
  <c r="BX415" i="6" s="1"/>
  <c r="BX416" i="6" s="1"/>
  <c r="BX417" i="6" s="1"/>
  <c r="BX418" i="6" s="1"/>
  <c r="BX419" i="6" s="1"/>
  <c r="BX420" i="6" s="1"/>
  <c r="BX421" i="6" s="1"/>
  <c r="BX422" i="6" s="1"/>
  <c r="BX423" i="6" s="1"/>
  <c r="BX424" i="6" s="1"/>
  <c r="BX425" i="6" s="1"/>
  <c r="BX426" i="6" s="1"/>
  <c r="BX427" i="6" s="1"/>
  <c r="BX428" i="6" s="1"/>
  <c r="BX429" i="6" s="1"/>
  <c r="BX430" i="6" s="1"/>
  <c r="BX431" i="6" s="1"/>
  <c r="BX432" i="6" s="1"/>
  <c r="BX433" i="6" s="1"/>
  <c r="BX434" i="6" s="1"/>
  <c r="BX435" i="6" s="1"/>
  <c r="BX436" i="6" s="1"/>
  <c r="BX437" i="6" s="1"/>
  <c r="BX438" i="6" s="1"/>
  <c r="BX439" i="6" s="1"/>
  <c r="BX440" i="6" s="1"/>
  <c r="BX441" i="6" s="1"/>
  <c r="I59" i="6"/>
  <c r="L59" i="6" s="1"/>
  <c r="R59" i="6"/>
  <c r="U59" i="6" s="1"/>
  <c r="S59" i="6"/>
  <c r="J59" i="6"/>
  <c r="V59" i="6"/>
  <c r="H61" i="6"/>
  <c r="M59" i="6"/>
  <c r="G61" i="6"/>
  <c r="N61" i="6" s="1"/>
  <c r="J60" i="6" l="1"/>
  <c r="J61" i="6" s="1"/>
  <c r="S60" i="6"/>
  <c r="S61" i="6" s="1"/>
  <c r="M60" i="6"/>
  <c r="M61" i="6" s="1"/>
  <c r="V60" i="6"/>
  <c r="V61" i="6" s="1"/>
  <c r="I60" i="6"/>
  <c r="L60" i="6" s="1"/>
  <c r="R60" i="6"/>
  <c r="U60" i="6" s="1"/>
  <c r="W60" i="6" s="1"/>
  <c r="E62" i="6"/>
  <c r="O62" i="6" s="1"/>
  <c r="I61" i="6"/>
  <c r="L61" i="6" s="1"/>
  <c r="R61" i="6"/>
  <c r="U61" i="6" s="1"/>
  <c r="W61" i="6" s="1"/>
  <c r="K60" i="6"/>
  <c r="T60" i="6"/>
  <c r="W59" i="6"/>
  <c r="C448" i="6"/>
  <c r="K61" i="6" l="1"/>
  <c r="E63" i="6"/>
  <c r="O63" i="6" s="1"/>
  <c r="T61" i="6"/>
  <c r="H62" i="6"/>
  <c r="G62" i="6"/>
  <c r="N62" i="6" s="1"/>
  <c r="F62" i="6"/>
  <c r="G63" i="6" l="1"/>
  <c r="N63" i="6" s="1"/>
  <c r="M62" i="6"/>
  <c r="H63" i="6"/>
  <c r="F63" i="6"/>
  <c r="T62" i="6"/>
  <c r="I62" i="6"/>
  <c r="L62" i="6" s="1"/>
  <c r="J62" i="6"/>
  <c r="V62" i="6"/>
  <c r="S62" i="6"/>
  <c r="K62" i="6"/>
  <c r="R62" i="6"/>
  <c r="U62" i="6" s="1"/>
  <c r="W62" i="6" s="1"/>
  <c r="E64" i="6"/>
  <c r="F448" i="6" s="1"/>
  <c r="I63" i="6" l="1"/>
  <c r="L63" i="6" s="1"/>
  <c r="T63" i="6"/>
  <c r="J63" i="6"/>
  <c r="M63" i="6"/>
  <c r="V63" i="6"/>
  <c r="R63" i="6"/>
  <c r="U63" i="6" s="1"/>
  <c r="W63" i="6" s="1"/>
  <c r="O64" i="6"/>
  <c r="E448" i="6"/>
  <c r="S63" i="6"/>
  <c r="K63" i="6"/>
  <c r="G64" i="6"/>
  <c r="N64" i="6" s="1"/>
  <c r="H64" i="6"/>
  <c r="F64" i="6"/>
  <c r="E65" i="6"/>
  <c r="O65" i="6" s="1"/>
  <c r="J64" i="6" l="1"/>
  <c r="H65" i="6"/>
  <c r="K64" i="6"/>
  <c r="V64" i="6"/>
  <c r="M64" i="6"/>
  <c r="I64" i="6"/>
  <c r="L64" i="6" s="1"/>
  <c r="R64" i="6"/>
  <c r="U64" i="6" s="1"/>
  <c r="W64" i="6" s="1"/>
  <c r="T64" i="6"/>
  <c r="S64" i="6"/>
  <c r="G65" i="6"/>
  <c r="N65" i="6" s="1"/>
  <c r="F65" i="6"/>
  <c r="E66" i="6"/>
  <c r="O66" i="6" s="1"/>
  <c r="R65" i="6" l="1"/>
  <c r="U65" i="6" s="1"/>
  <c r="W65" i="6" s="1"/>
  <c r="V65" i="6"/>
  <c r="K65" i="6"/>
  <c r="M65" i="6"/>
  <c r="T65" i="6"/>
  <c r="G66" i="6"/>
  <c r="N66" i="6" s="1"/>
  <c r="J65" i="6"/>
  <c r="I65" i="6"/>
  <c r="L65" i="6" s="1"/>
  <c r="S65" i="6"/>
  <c r="H66" i="6"/>
  <c r="F66" i="6"/>
  <c r="E67" i="6"/>
  <c r="O67" i="6" s="1"/>
  <c r="I66" i="6" l="1"/>
  <c r="L66" i="6" s="1"/>
  <c r="M66" i="6"/>
  <c r="K66" i="6"/>
  <c r="V66" i="6"/>
  <c r="T66" i="6"/>
  <c r="J66" i="6"/>
  <c r="R66" i="6"/>
  <c r="U66" i="6" s="1"/>
  <c r="W66" i="6" s="1"/>
  <c r="S66" i="6"/>
  <c r="G67" i="6"/>
  <c r="N67" i="6" s="1"/>
  <c r="H67" i="6"/>
  <c r="F67" i="6"/>
  <c r="E68" i="6"/>
  <c r="O68" i="6" s="1"/>
  <c r="E69" i="6"/>
  <c r="I67" i="6" l="1"/>
  <c r="L67" i="6" s="1"/>
  <c r="T67" i="6"/>
  <c r="M67" i="6"/>
  <c r="K67" i="6"/>
  <c r="V67" i="6"/>
  <c r="J67" i="6"/>
  <c r="S67" i="6"/>
  <c r="R67" i="6"/>
  <c r="U67" i="6" s="1"/>
  <c r="W67" i="6" s="1"/>
  <c r="G68" i="6"/>
  <c r="N68" i="6" s="1"/>
  <c r="H68" i="6"/>
  <c r="F68" i="6"/>
  <c r="E82" i="6"/>
  <c r="G82" i="6" s="1"/>
  <c r="O69" i="6"/>
  <c r="E83" i="6"/>
  <c r="O83" i="6" s="1"/>
  <c r="E70" i="6"/>
  <c r="O70" i="6" s="1"/>
  <c r="K68" i="6" l="1"/>
  <c r="S68" i="6"/>
  <c r="M68" i="6"/>
  <c r="J68" i="6"/>
  <c r="V68" i="6"/>
  <c r="I68" i="6"/>
  <c r="L68" i="6" s="1"/>
  <c r="T68" i="6"/>
  <c r="R68" i="6"/>
  <c r="U68" i="6" s="1"/>
  <c r="W68" i="6" s="1"/>
  <c r="F70" i="6"/>
  <c r="H83" i="6"/>
  <c r="F83" i="6"/>
  <c r="H69" i="6"/>
  <c r="F69" i="6"/>
  <c r="H70" i="6"/>
  <c r="G69" i="6"/>
  <c r="N69" i="6" s="1"/>
  <c r="E84" i="6"/>
  <c r="G83" i="6"/>
  <c r="N83" i="6" s="1"/>
  <c r="G70" i="6"/>
  <c r="N70" i="6" s="1"/>
  <c r="E71" i="6" l="1"/>
  <c r="O71" i="6" s="1"/>
  <c r="S69" i="6"/>
  <c r="S70" i="6" s="1"/>
  <c r="I69" i="6"/>
  <c r="R69" i="6"/>
  <c r="U69" i="6" s="1"/>
  <c r="W69" i="6" s="1"/>
  <c r="I83" i="6"/>
  <c r="L83" i="6" s="1"/>
  <c r="R83" i="6"/>
  <c r="K69" i="6"/>
  <c r="R70" i="6"/>
  <c r="I70" i="6"/>
  <c r="L70" i="6" s="1"/>
  <c r="V69" i="6"/>
  <c r="V70" i="6" s="1"/>
  <c r="T69" i="6"/>
  <c r="J69" i="6"/>
  <c r="J70" i="6" s="1"/>
  <c r="M69" i="6"/>
  <c r="M70" i="6" s="1"/>
  <c r="O84" i="6"/>
  <c r="E72" i="6"/>
  <c r="O72" i="6" s="1"/>
  <c r="F71" i="6" l="1"/>
  <c r="G71" i="6"/>
  <c r="N71" i="6" s="1"/>
  <c r="H71" i="6"/>
  <c r="E85" i="6"/>
  <c r="O85" i="6" s="1"/>
  <c r="T70" i="6"/>
  <c r="F84" i="6"/>
  <c r="F72" i="6"/>
  <c r="K70" i="6"/>
  <c r="U83" i="6"/>
  <c r="W83" i="6" s="1"/>
  <c r="U70" i="6"/>
  <c r="W70" i="6" s="1"/>
  <c r="H72" i="6"/>
  <c r="H84" i="6"/>
  <c r="L69" i="6"/>
  <c r="G84" i="6"/>
  <c r="N84" i="6" s="1"/>
  <c r="E86" i="6"/>
  <c r="O86" i="6" s="1"/>
  <c r="E73" i="6"/>
  <c r="O73" i="6" s="1"/>
  <c r="G72" i="6"/>
  <c r="N72" i="6" s="1"/>
  <c r="M71" i="6" l="1"/>
  <c r="M72" i="6" s="1"/>
  <c r="S71" i="6"/>
  <c r="S72" i="6" s="1"/>
  <c r="V71" i="6"/>
  <c r="V72" i="6" s="1"/>
  <c r="R71" i="6"/>
  <c r="U71" i="6" s="1"/>
  <c r="W71" i="6" s="1"/>
  <c r="I71" i="6"/>
  <c r="L71" i="6" s="1"/>
  <c r="J71" i="6"/>
  <c r="J72" i="6" s="1"/>
  <c r="K71" i="6"/>
  <c r="G85" i="6"/>
  <c r="N85" i="6" s="1"/>
  <c r="F85" i="6"/>
  <c r="T71" i="6"/>
  <c r="H85" i="6"/>
  <c r="F73" i="6"/>
  <c r="H86" i="6"/>
  <c r="F86" i="6"/>
  <c r="I84" i="6"/>
  <c r="L84" i="6" s="1"/>
  <c r="R84" i="6"/>
  <c r="U84" i="6" s="1"/>
  <c r="W84" i="6" s="1"/>
  <c r="I72" i="6"/>
  <c r="L72" i="6" s="1"/>
  <c r="R72" i="6"/>
  <c r="H73" i="6"/>
  <c r="E87" i="6"/>
  <c r="O87" i="6" s="1"/>
  <c r="G86" i="6"/>
  <c r="N86" i="6" s="1"/>
  <c r="G73" i="6"/>
  <c r="N73" i="6" s="1"/>
  <c r="T72" i="6" l="1"/>
  <c r="T73" i="6" s="1"/>
  <c r="K72" i="6"/>
  <c r="K73" i="6" s="1"/>
  <c r="R85" i="6"/>
  <c r="U85" i="6" s="1"/>
  <c r="W85" i="6" s="1"/>
  <c r="I85" i="6"/>
  <c r="L85" i="6" s="1"/>
  <c r="E74" i="6"/>
  <c r="O74" i="6" s="1"/>
  <c r="V73" i="6"/>
  <c r="I73" i="6"/>
  <c r="L73" i="6" s="1"/>
  <c r="R73" i="6"/>
  <c r="R86" i="6"/>
  <c r="I86" i="6"/>
  <c r="L86" i="6" s="1"/>
  <c r="S73" i="6"/>
  <c r="J73" i="6"/>
  <c r="H87" i="6"/>
  <c r="F87" i="6"/>
  <c r="U72" i="6"/>
  <c r="W72" i="6" s="1"/>
  <c r="M73" i="6"/>
  <c r="E88" i="6"/>
  <c r="O88" i="6" s="1"/>
  <c r="G87" i="6"/>
  <c r="N87" i="6" s="1"/>
  <c r="G74" i="6" l="1"/>
  <c r="N74" i="6" s="1"/>
  <c r="H74" i="6"/>
  <c r="F74" i="6"/>
  <c r="E75" i="6"/>
  <c r="O75" i="6" s="1"/>
  <c r="I87" i="6"/>
  <c r="L87" i="6" s="1"/>
  <c r="R87" i="6"/>
  <c r="H88" i="6"/>
  <c r="F88" i="6"/>
  <c r="U86" i="6"/>
  <c r="W86" i="6" s="1"/>
  <c r="U73" i="6"/>
  <c r="W73" i="6" s="1"/>
  <c r="C450" i="6"/>
  <c r="G88" i="6"/>
  <c r="N88" i="6" s="1"/>
  <c r="C449" i="6"/>
  <c r="H75" i="6" l="1"/>
  <c r="K74" i="6"/>
  <c r="M74" i="6"/>
  <c r="T74" i="6"/>
  <c r="I74" i="6"/>
  <c r="L74" i="6" s="1"/>
  <c r="J74" i="6"/>
  <c r="S74" i="6"/>
  <c r="V74" i="6"/>
  <c r="R74" i="6"/>
  <c r="U74" i="6" s="1"/>
  <c r="W74" i="6" s="1"/>
  <c r="G75" i="6"/>
  <c r="N75" i="6" s="1"/>
  <c r="F75" i="6"/>
  <c r="E76" i="6"/>
  <c r="O76" i="6" s="1"/>
  <c r="E89" i="6"/>
  <c r="O89" i="6" s="1"/>
  <c r="I88" i="6"/>
  <c r="L88" i="6" s="1"/>
  <c r="R88" i="6"/>
  <c r="U88" i="6" s="1"/>
  <c r="W88" i="6" s="1"/>
  <c r="U87" i="6"/>
  <c r="W87" i="6" s="1"/>
  <c r="R75" i="6" l="1"/>
  <c r="U75" i="6" s="1"/>
  <c r="W75" i="6" s="1"/>
  <c r="V75" i="6"/>
  <c r="K75" i="6"/>
  <c r="S75" i="6"/>
  <c r="M75" i="6"/>
  <c r="I75" i="6"/>
  <c r="L75" i="6" s="1"/>
  <c r="J75" i="6"/>
  <c r="T75" i="6"/>
  <c r="F89" i="6"/>
  <c r="G89" i="6"/>
  <c r="N89" i="6" s="1"/>
  <c r="H89" i="6"/>
  <c r="E77" i="6"/>
  <c r="F449" i="6" s="1"/>
  <c r="E90" i="6"/>
  <c r="F450" i="6" s="1"/>
  <c r="H76" i="6"/>
  <c r="F76" i="6"/>
  <c r="G76" i="6"/>
  <c r="N76" i="6" s="1"/>
  <c r="O77" i="6" l="1"/>
  <c r="E449" i="6"/>
  <c r="O90" i="6"/>
  <c r="E450" i="6"/>
  <c r="I89" i="6"/>
  <c r="L89" i="6" s="1"/>
  <c r="G77" i="6"/>
  <c r="N77" i="6" s="1"/>
  <c r="R89" i="6"/>
  <c r="U89" i="6" s="1"/>
  <c r="W89" i="6" s="1"/>
  <c r="H77" i="6"/>
  <c r="H90" i="6"/>
  <c r="E91" i="6"/>
  <c r="O91" i="6" s="1"/>
  <c r="G90" i="6"/>
  <c r="N90" i="6" s="1"/>
  <c r="F90" i="6"/>
  <c r="F77" i="6"/>
  <c r="E78" i="6"/>
  <c r="O78" i="6" s="1"/>
  <c r="T76" i="6"/>
  <c r="I76" i="6"/>
  <c r="L76" i="6" s="1"/>
  <c r="R76" i="6"/>
  <c r="S76" i="6"/>
  <c r="J76" i="6"/>
  <c r="K76" i="6"/>
  <c r="V76" i="6"/>
  <c r="M76" i="6"/>
  <c r="E92" i="6"/>
  <c r="O92" i="6" s="1"/>
  <c r="E79" i="6"/>
  <c r="O79" i="6" s="1"/>
  <c r="V77" i="6" l="1"/>
  <c r="I77" i="6"/>
  <c r="L77" i="6" s="1"/>
  <c r="M77" i="6"/>
  <c r="I90" i="6"/>
  <c r="L90" i="6" s="1"/>
  <c r="J77" i="6"/>
  <c r="F91" i="6"/>
  <c r="R77" i="6"/>
  <c r="U77" i="6" s="1"/>
  <c r="W77" i="6" s="1"/>
  <c r="S77" i="6"/>
  <c r="G91" i="6"/>
  <c r="N91" i="6" s="1"/>
  <c r="H91" i="6"/>
  <c r="R90" i="6"/>
  <c r="U90" i="6" s="1"/>
  <c r="W90" i="6" s="1"/>
  <c r="F79" i="6"/>
  <c r="K77" i="6"/>
  <c r="H78" i="6"/>
  <c r="F78" i="6"/>
  <c r="H92" i="6"/>
  <c r="F92" i="6"/>
  <c r="T77" i="6"/>
  <c r="U76" i="6"/>
  <c r="W76" i="6" s="1"/>
  <c r="H79" i="6"/>
  <c r="G78" i="6"/>
  <c r="N78" i="6" s="1"/>
  <c r="G92" i="6"/>
  <c r="N92" i="6" s="1"/>
  <c r="E81" i="6"/>
  <c r="G79" i="6"/>
  <c r="N79" i="6" s="1"/>
  <c r="I91" i="6" l="1"/>
  <c r="L91" i="6" s="1"/>
  <c r="E80" i="6"/>
  <c r="O80" i="6" s="1"/>
  <c r="R91" i="6"/>
  <c r="U91" i="6" s="1"/>
  <c r="W91" i="6" s="1"/>
  <c r="E93" i="6"/>
  <c r="O93" i="6" s="1"/>
  <c r="I92" i="6"/>
  <c r="L92" i="6" s="1"/>
  <c r="R92" i="6"/>
  <c r="I78" i="6"/>
  <c r="L78" i="6" s="1"/>
  <c r="R78" i="6"/>
  <c r="U78" i="6" s="1"/>
  <c r="W78" i="6" s="1"/>
  <c r="J78" i="6"/>
  <c r="J79" i="6" s="1"/>
  <c r="I79" i="6"/>
  <c r="L79" i="6" s="1"/>
  <c r="R79" i="6"/>
  <c r="S78" i="6"/>
  <c r="S79" i="6" s="1"/>
  <c r="T78" i="6"/>
  <c r="K78" i="6"/>
  <c r="V78" i="6"/>
  <c r="V79" i="6" s="1"/>
  <c r="M78" i="6"/>
  <c r="M79" i="6" s="1"/>
  <c r="O82" i="6"/>
  <c r="E94" i="6"/>
  <c r="G93" i="6" l="1"/>
  <c r="N93" i="6" s="1"/>
  <c r="H93" i="6"/>
  <c r="F93" i="6"/>
  <c r="K79" i="6"/>
  <c r="T79" i="6"/>
  <c r="H82" i="6"/>
  <c r="F82" i="6"/>
  <c r="H80" i="6"/>
  <c r="F80" i="6"/>
  <c r="U92" i="6"/>
  <c r="W92" i="6" s="1"/>
  <c r="U79" i="6"/>
  <c r="W79" i="6" s="1"/>
  <c r="G80" i="6"/>
  <c r="N80" i="6" s="1"/>
  <c r="O94" i="6"/>
  <c r="N82" i="6"/>
  <c r="O81" i="6"/>
  <c r="R93" i="6" l="1"/>
  <c r="U93" i="6" s="1"/>
  <c r="W93" i="6" s="1"/>
  <c r="I93" i="6"/>
  <c r="L93" i="6" s="1"/>
  <c r="E95" i="6"/>
  <c r="O95" i="6" s="1"/>
  <c r="F94" i="6"/>
  <c r="K80" i="6"/>
  <c r="I82" i="6"/>
  <c r="L82" i="6" s="1"/>
  <c r="R82" i="6"/>
  <c r="U82" i="6" s="1"/>
  <c r="W82" i="6" s="1"/>
  <c r="S80" i="6"/>
  <c r="I80" i="6"/>
  <c r="L80" i="6" s="1"/>
  <c r="R80" i="6"/>
  <c r="U80" i="6" s="1"/>
  <c r="J80" i="6"/>
  <c r="H81" i="6"/>
  <c r="F81" i="6"/>
  <c r="T80" i="6"/>
  <c r="V80" i="6"/>
  <c r="G94" i="6"/>
  <c r="N94" i="6" s="1"/>
  <c r="H94" i="6"/>
  <c r="G81" i="6"/>
  <c r="N81" i="6" s="1"/>
  <c r="M80" i="6"/>
  <c r="G95" i="6" l="1"/>
  <c r="N95" i="6" s="1"/>
  <c r="F95" i="6"/>
  <c r="H95" i="6"/>
  <c r="E96" i="6"/>
  <c r="O96" i="6" s="1"/>
  <c r="I81" i="6"/>
  <c r="R81" i="6"/>
  <c r="U81" i="6" s="1"/>
  <c r="T81" i="6"/>
  <c r="S81" i="6"/>
  <c r="S82" i="6" s="1"/>
  <c r="S83" i="6" s="1"/>
  <c r="S84" i="6" s="1"/>
  <c r="S85" i="6" s="1"/>
  <c r="S86" i="6" s="1"/>
  <c r="S87" i="6" s="1"/>
  <c r="S88" i="6" s="1"/>
  <c r="S89" i="6" s="1"/>
  <c r="S90" i="6" s="1"/>
  <c r="S91" i="6" s="1"/>
  <c r="S92" i="6" s="1"/>
  <c r="S93" i="6" s="1"/>
  <c r="S94" i="6" s="1"/>
  <c r="I94" i="6"/>
  <c r="L94" i="6" s="1"/>
  <c r="R94" i="6"/>
  <c r="J81" i="6"/>
  <c r="J82" i="6" s="1"/>
  <c r="J83" i="6" s="1"/>
  <c r="J84" i="6" s="1"/>
  <c r="J85" i="6" s="1"/>
  <c r="J86" i="6" s="1"/>
  <c r="J87" i="6" s="1"/>
  <c r="J88" i="6" s="1"/>
  <c r="J89" i="6" s="1"/>
  <c r="J90" i="6" s="1"/>
  <c r="J91" i="6" s="1"/>
  <c r="J92" i="6" s="1"/>
  <c r="J93" i="6" s="1"/>
  <c r="J94" i="6" s="1"/>
  <c r="K81" i="6"/>
  <c r="V81" i="6"/>
  <c r="V82" i="6" s="1"/>
  <c r="V83" i="6" s="1"/>
  <c r="V84" i="6" s="1"/>
  <c r="V85" i="6" s="1"/>
  <c r="V86" i="6" s="1"/>
  <c r="V87" i="6" s="1"/>
  <c r="V88" i="6" s="1"/>
  <c r="V89" i="6" s="1"/>
  <c r="V90" i="6" s="1"/>
  <c r="V91" i="6" s="1"/>
  <c r="V92" i="6" s="1"/>
  <c r="V93" i="6" s="1"/>
  <c r="V94" i="6" s="1"/>
  <c r="V95" i="6" s="1"/>
  <c r="W80" i="6"/>
  <c r="M81" i="6"/>
  <c r="M82" i="6" s="1"/>
  <c r="M83" i="6" s="1"/>
  <c r="M84" i="6" s="1"/>
  <c r="M85" i="6" s="1"/>
  <c r="M86" i="6" s="1"/>
  <c r="M87" i="6" s="1"/>
  <c r="M88" i="6" s="1"/>
  <c r="M89" i="6" s="1"/>
  <c r="M90" i="6" s="1"/>
  <c r="M91" i="6" s="1"/>
  <c r="M92" i="6" s="1"/>
  <c r="M93" i="6" s="1"/>
  <c r="M94" i="6" s="1"/>
  <c r="M95" i="6" s="1"/>
  <c r="J95" i="6" l="1"/>
  <c r="S95" i="6"/>
  <c r="I95" i="6"/>
  <c r="L95" i="6" s="1"/>
  <c r="R95" i="6"/>
  <c r="U95" i="6" s="1"/>
  <c r="W95" i="6" s="1"/>
  <c r="G96" i="6"/>
  <c r="N96" i="6" s="1"/>
  <c r="F96" i="6"/>
  <c r="H96" i="6"/>
  <c r="E97" i="6"/>
  <c r="O97" i="6" s="1"/>
  <c r="K82" i="6"/>
  <c r="K83" i="6" s="1"/>
  <c r="K84" i="6" s="1"/>
  <c r="K85" i="6" s="1"/>
  <c r="K86" i="6" s="1"/>
  <c r="K87" i="6" s="1"/>
  <c r="K88" i="6" s="1"/>
  <c r="K89" i="6" s="1"/>
  <c r="K90" i="6" s="1"/>
  <c r="K91" i="6" s="1"/>
  <c r="K92" i="6" s="1"/>
  <c r="K93" i="6" s="1"/>
  <c r="K94" i="6" s="1"/>
  <c r="K95" i="6" s="1"/>
  <c r="T82" i="6"/>
  <c r="T83" i="6" s="1"/>
  <c r="T84" i="6" s="1"/>
  <c r="T85" i="6" s="1"/>
  <c r="T86" i="6" s="1"/>
  <c r="T87" i="6" s="1"/>
  <c r="T88" i="6" s="1"/>
  <c r="T89" i="6" s="1"/>
  <c r="T90" i="6" s="1"/>
  <c r="T91" i="6" s="1"/>
  <c r="T92" i="6" s="1"/>
  <c r="T93" i="6" s="1"/>
  <c r="T94" i="6" s="1"/>
  <c r="T95" i="6" s="1"/>
  <c r="U94" i="6"/>
  <c r="W94" i="6" s="1"/>
  <c r="L81" i="6"/>
  <c r="W81" i="6"/>
  <c r="E98" i="6"/>
  <c r="O98" i="6" s="1"/>
  <c r="T96" i="6" l="1"/>
  <c r="R96" i="6"/>
  <c r="U96" i="6" s="1"/>
  <c r="W96" i="6" s="1"/>
  <c r="G97" i="6"/>
  <c r="N97" i="6" s="1"/>
  <c r="H97" i="6"/>
  <c r="K96" i="6"/>
  <c r="S96" i="6"/>
  <c r="M96" i="6"/>
  <c r="V96" i="6"/>
  <c r="I96" i="6"/>
  <c r="L96" i="6" s="1"/>
  <c r="J96" i="6"/>
  <c r="F97" i="6"/>
  <c r="H98" i="6"/>
  <c r="F98" i="6"/>
  <c r="E99" i="6"/>
  <c r="O99" i="6" s="1"/>
  <c r="G98" i="6"/>
  <c r="N98" i="6" s="1"/>
  <c r="M97" i="6" l="1"/>
  <c r="M98" i="6" s="1"/>
  <c r="S97" i="6"/>
  <c r="S98" i="6" s="1"/>
  <c r="R97" i="6"/>
  <c r="U97" i="6" s="1"/>
  <c r="W97" i="6" s="1"/>
  <c r="V97" i="6"/>
  <c r="V98" i="6" s="1"/>
  <c r="T97" i="6"/>
  <c r="I97" i="6"/>
  <c r="L97" i="6" s="1"/>
  <c r="J97" i="6"/>
  <c r="J98" i="6" s="1"/>
  <c r="K97" i="6"/>
  <c r="I98" i="6"/>
  <c r="R98" i="6"/>
  <c r="U98" i="6" s="1"/>
  <c r="W98" i="6" s="1"/>
  <c r="H99" i="6"/>
  <c r="F99" i="6"/>
  <c r="G99" i="6"/>
  <c r="N99" i="6" s="1"/>
  <c r="T98" i="6" l="1"/>
  <c r="T99" i="6" s="1"/>
  <c r="K98" i="6"/>
  <c r="K99" i="6" s="1"/>
  <c r="E100" i="6"/>
  <c r="O100" i="6" s="1"/>
  <c r="J99" i="6"/>
  <c r="S99" i="6"/>
  <c r="I99" i="6"/>
  <c r="L99" i="6" s="1"/>
  <c r="R99" i="6"/>
  <c r="U99" i="6" s="1"/>
  <c r="V99" i="6"/>
  <c r="M99" i="6"/>
  <c r="L98" i="6"/>
  <c r="E101" i="6" l="1"/>
  <c r="O101" i="6" s="1"/>
  <c r="F100" i="6"/>
  <c r="H100" i="6"/>
  <c r="W99" i="6"/>
  <c r="G100" i="6"/>
  <c r="N100" i="6" s="1"/>
  <c r="C451" i="6"/>
  <c r="G101" i="6" l="1"/>
  <c r="N101" i="6" s="1"/>
  <c r="F101" i="6"/>
  <c r="E102" i="6"/>
  <c r="O102" i="6" s="1"/>
  <c r="H101" i="6"/>
  <c r="T100" i="6"/>
  <c r="J100" i="6"/>
  <c r="V100" i="6"/>
  <c r="I100" i="6"/>
  <c r="L100" i="6" s="1"/>
  <c r="R100" i="6"/>
  <c r="U100" i="6" s="1"/>
  <c r="S100" i="6"/>
  <c r="K100" i="6"/>
  <c r="M100" i="6"/>
  <c r="E103" i="6"/>
  <c r="F451" i="6" s="1"/>
  <c r="V101" i="6" l="1"/>
  <c r="O103" i="6"/>
  <c r="E451" i="6"/>
  <c r="S101" i="6"/>
  <c r="R101" i="6"/>
  <c r="U101" i="6" s="1"/>
  <c r="W101" i="6" s="1"/>
  <c r="I101" i="6"/>
  <c r="L101" i="6" s="1"/>
  <c r="M101" i="6"/>
  <c r="J101" i="6"/>
  <c r="K101" i="6"/>
  <c r="H102" i="6"/>
  <c r="F102" i="6"/>
  <c r="H103" i="6"/>
  <c r="F103" i="6"/>
  <c r="T101" i="6"/>
  <c r="W100" i="6"/>
  <c r="G102" i="6"/>
  <c r="N102" i="6" s="1"/>
  <c r="E104" i="6"/>
  <c r="O104" i="6" s="1"/>
  <c r="G103" i="6"/>
  <c r="N103" i="6" s="1"/>
  <c r="S102" i="6" l="1"/>
  <c r="S103" i="6" s="1"/>
  <c r="I103" i="6"/>
  <c r="R103" i="6"/>
  <c r="U103" i="6" s="1"/>
  <c r="H104" i="6"/>
  <c r="F104" i="6"/>
  <c r="T102" i="6"/>
  <c r="K102" i="6"/>
  <c r="I102" i="6"/>
  <c r="L102" i="6" s="1"/>
  <c r="R102" i="6"/>
  <c r="J102" i="6"/>
  <c r="J103" i="6" s="1"/>
  <c r="V102" i="6"/>
  <c r="V103" i="6" s="1"/>
  <c r="M102" i="6"/>
  <c r="M103" i="6" s="1"/>
  <c r="E105" i="6"/>
  <c r="O105" i="6" s="1"/>
  <c r="G104" i="6"/>
  <c r="N104" i="6" s="1"/>
  <c r="T103" i="6" l="1"/>
  <c r="T104" i="6" s="1"/>
  <c r="I104" i="6"/>
  <c r="L104" i="6" s="1"/>
  <c r="R104" i="6"/>
  <c r="K103" i="6"/>
  <c r="K104" i="6" s="1"/>
  <c r="H105" i="6"/>
  <c r="F105" i="6"/>
  <c r="J104" i="6"/>
  <c r="S104" i="6"/>
  <c r="U102" i="6"/>
  <c r="W102" i="6" s="1"/>
  <c r="V104" i="6"/>
  <c r="W103" i="6"/>
  <c r="L103" i="6"/>
  <c r="M104" i="6"/>
  <c r="G105" i="6"/>
  <c r="N105" i="6" s="1"/>
  <c r="E106" i="6" l="1"/>
  <c r="O106" i="6" s="1"/>
  <c r="I105" i="6"/>
  <c r="L105" i="6" s="1"/>
  <c r="R105" i="6"/>
  <c r="S105" i="6"/>
  <c r="T105" i="6"/>
  <c r="J105" i="6"/>
  <c r="K105" i="6"/>
  <c r="V105" i="6"/>
  <c r="U104" i="6"/>
  <c r="W104" i="6" s="1"/>
  <c r="M105" i="6"/>
  <c r="E107" i="6" l="1"/>
  <c r="O107" i="6" s="1"/>
  <c r="F106" i="6"/>
  <c r="U105" i="6"/>
  <c r="W105" i="6" s="1"/>
  <c r="G106" i="6"/>
  <c r="N106" i="6" s="1"/>
  <c r="H106" i="6"/>
  <c r="F107" i="6" l="1"/>
  <c r="G107" i="6"/>
  <c r="N107" i="6" s="1"/>
  <c r="E108" i="6"/>
  <c r="O108" i="6" s="1"/>
  <c r="H107" i="6"/>
  <c r="V106" i="6"/>
  <c r="I106" i="6"/>
  <c r="L106" i="6" s="1"/>
  <c r="R106" i="6"/>
  <c r="K106" i="6"/>
  <c r="M106" i="6"/>
  <c r="J106" i="6"/>
  <c r="S106" i="6"/>
  <c r="T106" i="6"/>
  <c r="E109" i="6"/>
  <c r="O109" i="6" s="1"/>
  <c r="S107" i="6" l="1"/>
  <c r="M107" i="6"/>
  <c r="F108" i="6"/>
  <c r="R107" i="6"/>
  <c r="U107" i="6" s="1"/>
  <c r="W107" i="6" s="1"/>
  <c r="V107" i="6"/>
  <c r="J107" i="6"/>
  <c r="H108" i="6"/>
  <c r="G108" i="6"/>
  <c r="N108" i="6" s="1"/>
  <c r="I107" i="6"/>
  <c r="L107" i="6" s="1"/>
  <c r="T107" i="6"/>
  <c r="K107" i="6"/>
  <c r="H109" i="6"/>
  <c r="F109" i="6"/>
  <c r="U106" i="6"/>
  <c r="W106" i="6" s="1"/>
  <c r="G109" i="6"/>
  <c r="N109" i="6" s="1"/>
  <c r="K108" i="6" l="1"/>
  <c r="I108" i="6"/>
  <c r="L108" i="6" s="1"/>
  <c r="M108" i="6"/>
  <c r="M109" i="6" s="1"/>
  <c r="V108" i="6"/>
  <c r="V109" i="6" s="1"/>
  <c r="S108" i="6"/>
  <c r="S109" i="6" s="1"/>
  <c r="J108" i="6"/>
  <c r="R108" i="6"/>
  <c r="U108" i="6" s="1"/>
  <c r="W108" i="6" s="1"/>
  <c r="T108" i="6"/>
  <c r="E110" i="6"/>
  <c r="O110" i="6" s="1"/>
  <c r="I109" i="6"/>
  <c r="L109" i="6" s="1"/>
  <c r="R109" i="6"/>
  <c r="U109" i="6" s="1"/>
  <c r="K109" i="6" l="1"/>
  <c r="J109" i="6"/>
  <c r="G110" i="6"/>
  <c r="N110" i="6" s="1"/>
  <c r="T109" i="6"/>
  <c r="H110" i="6"/>
  <c r="E111" i="6"/>
  <c r="O111" i="6" s="1"/>
  <c r="F110" i="6"/>
  <c r="W109" i="6"/>
  <c r="M110" i="6" l="1"/>
  <c r="J110" i="6"/>
  <c r="V110" i="6"/>
  <c r="H111" i="6"/>
  <c r="G111" i="6"/>
  <c r="N111" i="6" s="1"/>
  <c r="I110" i="6"/>
  <c r="L110" i="6" s="1"/>
  <c r="T110" i="6"/>
  <c r="K110" i="6"/>
  <c r="R110" i="6"/>
  <c r="U110" i="6" s="1"/>
  <c r="W110" i="6" s="1"/>
  <c r="S110" i="6"/>
  <c r="F111" i="6"/>
  <c r="E112" i="6"/>
  <c r="O112" i="6" s="1"/>
  <c r="E113" i="6"/>
  <c r="J111" i="6" l="1"/>
  <c r="V111" i="6"/>
  <c r="R111" i="6"/>
  <c r="U111" i="6" s="1"/>
  <c r="W111" i="6" s="1"/>
  <c r="S111" i="6"/>
  <c r="I111" i="6"/>
  <c r="L111" i="6" s="1"/>
  <c r="M111" i="6"/>
  <c r="K111" i="6"/>
  <c r="T111" i="6"/>
  <c r="G113" i="6"/>
  <c r="N113" i="6" s="1"/>
  <c r="O113" i="6"/>
  <c r="F112" i="6"/>
  <c r="H113" i="6"/>
  <c r="F113" i="6"/>
  <c r="H112" i="6"/>
  <c r="G112" i="6"/>
  <c r="N112" i="6" s="1"/>
  <c r="E114" i="6"/>
  <c r="O114" i="6" s="1"/>
  <c r="I113" i="6" l="1"/>
  <c r="R113" i="6"/>
  <c r="U113" i="6" s="1"/>
  <c r="W113" i="6" s="1"/>
  <c r="I112" i="6"/>
  <c r="L112" i="6" s="1"/>
  <c r="R112" i="6"/>
  <c r="U112" i="6" s="1"/>
  <c r="W112" i="6" s="1"/>
  <c r="T112" i="6"/>
  <c r="S112" i="6"/>
  <c r="S113" i="6" s="1"/>
  <c r="H114" i="6"/>
  <c r="F114" i="6"/>
  <c r="K112" i="6"/>
  <c r="J112" i="6"/>
  <c r="J113" i="6" s="1"/>
  <c r="V112" i="6"/>
  <c r="V113" i="6" s="1"/>
  <c r="M112" i="6"/>
  <c r="M113" i="6" s="1"/>
  <c r="C452" i="6"/>
  <c r="G114" i="6"/>
  <c r="N114" i="6" s="1"/>
  <c r="E115" i="6" l="1"/>
  <c r="O115" i="6" s="1"/>
  <c r="K113" i="6"/>
  <c r="K114" i="6" s="1"/>
  <c r="T113" i="6"/>
  <c r="T114" i="6" s="1"/>
  <c r="I114" i="6"/>
  <c r="L114" i="6" s="1"/>
  <c r="R114" i="6"/>
  <c r="U114" i="6" s="1"/>
  <c r="W114" i="6" s="1"/>
  <c r="J114" i="6"/>
  <c r="S114" i="6"/>
  <c r="V114" i="6"/>
  <c r="L113" i="6"/>
  <c r="M114" i="6"/>
  <c r="H115" i="6" l="1"/>
  <c r="G115" i="6"/>
  <c r="N115" i="6" s="1"/>
  <c r="F115" i="6"/>
  <c r="E116" i="6"/>
  <c r="F452" i="6" s="1"/>
  <c r="E117" i="6"/>
  <c r="O117" i="6" s="1"/>
  <c r="R115" i="6" l="1"/>
  <c r="U115" i="6" s="1"/>
  <c r="W115" i="6" s="1"/>
  <c r="J115" i="6"/>
  <c r="K115" i="6"/>
  <c r="I115" i="6"/>
  <c r="L115" i="6" s="1"/>
  <c r="M115" i="6"/>
  <c r="S115" i="6"/>
  <c r="V115" i="6"/>
  <c r="T115" i="6"/>
  <c r="O116" i="6"/>
  <c r="E452" i="6"/>
  <c r="F116" i="6"/>
  <c r="G116" i="6"/>
  <c r="N116" i="6" s="1"/>
  <c r="H116" i="6"/>
  <c r="H117" i="6"/>
  <c r="F117" i="6"/>
  <c r="E118" i="6"/>
  <c r="O118" i="6" s="1"/>
  <c r="G117" i="6"/>
  <c r="N117" i="6" s="1"/>
  <c r="M116" i="6" l="1"/>
  <c r="M117" i="6" s="1"/>
  <c r="K116" i="6"/>
  <c r="R116" i="6"/>
  <c r="U116" i="6" s="1"/>
  <c r="W116" i="6" s="1"/>
  <c r="T116" i="6"/>
  <c r="V116" i="6"/>
  <c r="V117" i="6" s="1"/>
  <c r="J116" i="6"/>
  <c r="S116" i="6"/>
  <c r="S117" i="6" s="1"/>
  <c r="I116" i="6"/>
  <c r="L116" i="6" s="1"/>
  <c r="H118" i="6"/>
  <c r="F118" i="6"/>
  <c r="I117" i="6"/>
  <c r="R117" i="6"/>
  <c r="U117" i="6" s="1"/>
  <c r="W117" i="6" s="1"/>
  <c r="E119" i="6"/>
  <c r="O119" i="6" s="1"/>
  <c r="G118" i="6"/>
  <c r="N118" i="6" s="1"/>
  <c r="K117" i="6" l="1"/>
  <c r="J117" i="6"/>
  <c r="J118" i="6" s="1"/>
  <c r="T117" i="6"/>
  <c r="T118" i="6" s="1"/>
  <c r="V118" i="6"/>
  <c r="I118" i="6"/>
  <c r="L118" i="6" s="1"/>
  <c r="R118" i="6"/>
  <c r="U118" i="6" s="1"/>
  <c r="W118" i="6" s="1"/>
  <c r="H119" i="6"/>
  <c r="F119" i="6"/>
  <c r="S118" i="6"/>
  <c r="L117" i="6"/>
  <c r="M118" i="6"/>
  <c r="G119" i="6"/>
  <c r="N119" i="6" s="1"/>
  <c r="K118" i="6" l="1"/>
  <c r="K119" i="6" s="1"/>
  <c r="E120" i="6"/>
  <c r="O120" i="6" s="1"/>
  <c r="T119" i="6"/>
  <c r="J119" i="6"/>
  <c r="V119" i="6"/>
  <c r="I119" i="6"/>
  <c r="L119" i="6" s="1"/>
  <c r="R119" i="6"/>
  <c r="U119" i="6" s="1"/>
  <c r="W119" i="6" s="1"/>
  <c r="S119" i="6"/>
  <c r="M119" i="6"/>
  <c r="E121" i="6"/>
  <c r="O121" i="6" s="1"/>
  <c r="G120" i="6" l="1"/>
  <c r="N120" i="6" s="1"/>
  <c r="H120" i="6"/>
  <c r="F120" i="6"/>
  <c r="H121" i="6"/>
  <c r="F121" i="6"/>
  <c r="G121" i="6"/>
  <c r="N121" i="6" s="1"/>
  <c r="M120" i="6" l="1"/>
  <c r="M121" i="6" s="1"/>
  <c r="I120" i="6"/>
  <c r="L120" i="6" s="1"/>
  <c r="T120" i="6"/>
  <c r="J120" i="6"/>
  <c r="S120" i="6"/>
  <c r="S121" i="6" s="1"/>
  <c r="V120" i="6"/>
  <c r="V121" i="6" s="1"/>
  <c r="R120" i="6"/>
  <c r="U120" i="6" s="1"/>
  <c r="W120" i="6" s="1"/>
  <c r="K120" i="6"/>
  <c r="E122" i="6"/>
  <c r="O122" i="6" s="1"/>
  <c r="I121" i="6"/>
  <c r="L121" i="6" s="1"/>
  <c r="R121" i="6"/>
  <c r="U121" i="6" s="1"/>
  <c r="K121" i="6" l="1"/>
  <c r="J121" i="6"/>
  <c r="T121" i="6"/>
  <c r="E123" i="6"/>
  <c r="O123" i="6" s="1"/>
  <c r="F122" i="6"/>
  <c r="G122" i="6"/>
  <c r="N122" i="6" s="1"/>
  <c r="H122" i="6"/>
  <c r="W121" i="6"/>
  <c r="G123" i="6" l="1"/>
  <c r="N123" i="6" s="1"/>
  <c r="F123" i="6"/>
  <c r="E124" i="6"/>
  <c r="O124" i="6" s="1"/>
  <c r="H123" i="6"/>
  <c r="J122" i="6"/>
  <c r="I122" i="6"/>
  <c r="L122" i="6" s="1"/>
  <c r="R122" i="6"/>
  <c r="S122" i="6"/>
  <c r="V122" i="6"/>
  <c r="T122" i="6"/>
  <c r="K122" i="6"/>
  <c r="M122" i="6"/>
  <c r="E125" i="6"/>
  <c r="O125" i="6" s="1"/>
  <c r="M123" i="6" l="1"/>
  <c r="I123" i="6"/>
  <c r="L123" i="6" s="1"/>
  <c r="G124" i="6"/>
  <c r="N124" i="6" s="1"/>
  <c r="S123" i="6"/>
  <c r="F124" i="6"/>
  <c r="H124" i="6"/>
  <c r="V123" i="6"/>
  <c r="R123" i="6"/>
  <c r="U123" i="6" s="1"/>
  <c r="W123" i="6" s="1"/>
  <c r="J123" i="6"/>
  <c r="K123" i="6"/>
  <c r="T123" i="6"/>
  <c r="H125" i="6"/>
  <c r="F125" i="6"/>
  <c r="U122" i="6"/>
  <c r="W122" i="6" s="1"/>
  <c r="G125" i="6"/>
  <c r="N125" i="6" s="1"/>
  <c r="M124" i="6" l="1"/>
  <c r="M125" i="6" s="1"/>
  <c r="R124" i="6"/>
  <c r="U124" i="6" s="1"/>
  <c r="W124" i="6" s="1"/>
  <c r="I124" i="6"/>
  <c r="L124" i="6" s="1"/>
  <c r="T124" i="6"/>
  <c r="V124" i="6"/>
  <c r="V125" i="6" s="1"/>
  <c r="J124" i="6"/>
  <c r="J125" i="6" s="1"/>
  <c r="S124" i="6"/>
  <c r="S125" i="6" s="1"/>
  <c r="K124" i="6"/>
  <c r="E126" i="6"/>
  <c r="O126" i="6" s="1"/>
  <c r="I125" i="6"/>
  <c r="L125" i="6" s="1"/>
  <c r="R125" i="6"/>
  <c r="U125" i="6" s="1"/>
  <c r="G126" i="6" l="1"/>
  <c r="N126" i="6" s="1"/>
  <c r="T125" i="6"/>
  <c r="K125" i="6"/>
  <c r="F126" i="6"/>
  <c r="H126" i="6"/>
  <c r="E127" i="6"/>
  <c r="O127" i="6" s="1"/>
  <c r="W125" i="6"/>
  <c r="C453" i="6"/>
  <c r="E128" i="6" l="1"/>
  <c r="O128" i="6" s="1"/>
  <c r="J126" i="6"/>
  <c r="K126" i="6"/>
  <c r="I126" i="6"/>
  <c r="L126" i="6" s="1"/>
  <c r="M126" i="6"/>
  <c r="V126" i="6"/>
  <c r="S126" i="6"/>
  <c r="R126" i="6"/>
  <c r="U126" i="6" s="1"/>
  <c r="W126" i="6" s="1"/>
  <c r="T126" i="6"/>
  <c r="H127" i="6"/>
  <c r="G127" i="6"/>
  <c r="N127" i="6" s="1"/>
  <c r="F127" i="6"/>
  <c r="G128" i="6" l="1"/>
  <c r="N128" i="6" s="1"/>
  <c r="F128" i="6"/>
  <c r="H128" i="6"/>
  <c r="V127" i="6"/>
  <c r="J127" i="6"/>
  <c r="K127" i="6"/>
  <c r="R127" i="6"/>
  <c r="U127" i="6" s="1"/>
  <c r="W127" i="6" s="1"/>
  <c r="T127" i="6"/>
  <c r="M127" i="6"/>
  <c r="S127" i="6"/>
  <c r="I127" i="6"/>
  <c r="L127" i="6" s="1"/>
  <c r="E129" i="6"/>
  <c r="F453" i="6" s="1"/>
  <c r="E130" i="6"/>
  <c r="I128" i="6" l="1"/>
  <c r="L128" i="6" s="1"/>
  <c r="M128" i="6"/>
  <c r="J128" i="6"/>
  <c r="V128" i="6"/>
  <c r="R128" i="6"/>
  <c r="U128" i="6" s="1"/>
  <c r="W128" i="6" s="1"/>
  <c r="S128" i="6"/>
  <c r="O129" i="6"/>
  <c r="E453" i="6"/>
  <c r="G129" i="6"/>
  <c r="N129" i="6" s="1"/>
  <c r="T128" i="6"/>
  <c r="K128" i="6"/>
  <c r="F129" i="6"/>
  <c r="H129" i="6"/>
  <c r="O130" i="6"/>
  <c r="M129" i="6" l="1"/>
  <c r="K129" i="6"/>
  <c r="V129" i="6"/>
  <c r="S129" i="6"/>
  <c r="J129" i="6"/>
  <c r="R129" i="6"/>
  <c r="U129" i="6" s="1"/>
  <c r="W129" i="6" s="1"/>
  <c r="I129" i="6"/>
  <c r="L129" i="6" s="1"/>
  <c r="T129" i="6"/>
  <c r="E131" i="6"/>
  <c r="O131" i="6" s="1"/>
  <c r="F130" i="6"/>
  <c r="H130" i="6"/>
  <c r="G130" i="6"/>
  <c r="N130" i="6" s="1"/>
  <c r="E132" i="6"/>
  <c r="O132" i="6" s="1"/>
  <c r="G131" i="6" l="1"/>
  <c r="N131" i="6" s="1"/>
  <c r="F131" i="6"/>
  <c r="H131" i="6"/>
  <c r="V130" i="6"/>
  <c r="I130" i="6"/>
  <c r="R130" i="6"/>
  <c r="J130" i="6"/>
  <c r="S130" i="6"/>
  <c r="H132" i="6"/>
  <c r="F132" i="6"/>
  <c r="K130" i="6"/>
  <c r="T130" i="6"/>
  <c r="M130" i="6"/>
  <c r="G132" i="6"/>
  <c r="N132" i="6" s="1"/>
  <c r="J131" i="6" l="1"/>
  <c r="J132" i="6" s="1"/>
  <c r="R131" i="6"/>
  <c r="U131" i="6" s="1"/>
  <c r="W131" i="6" s="1"/>
  <c r="M131" i="6"/>
  <c r="M132" i="6" s="1"/>
  <c r="I131" i="6"/>
  <c r="L131" i="6" s="1"/>
  <c r="S131" i="6"/>
  <c r="S132" i="6" s="1"/>
  <c r="V131" i="6"/>
  <c r="V132" i="6" s="1"/>
  <c r="E133" i="6"/>
  <c r="O133" i="6" s="1"/>
  <c r="T131" i="6"/>
  <c r="K131" i="6"/>
  <c r="I132" i="6"/>
  <c r="R132" i="6"/>
  <c r="U132" i="6" s="1"/>
  <c r="W132" i="6" s="1"/>
  <c r="U130" i="6"/>
  <c r="W130" i="6" s="1"/>
  <c r="L130" i="6"/>
  <c r="K132" i="6" l="1"/>
  <c r="G133" i="6"/>
  <c r="N133" i="6" s="1"/>
  <c r="H133" i="6"/>
  <c r="T132" i="6"/>
  <c r="F133" i="6"/>
  <c r="E134" i="6"/>
  <c r="O134" i="6" s="1"/>
  <c r="L132" i="6"/>
  <c r="M133" i="6" l="1"/>
  <c r="I133" i="6"/>
  <c r="L133" i="6" s="1"/>
  <c r="T133" i="6"/>
  <c r="J133" i="6"/>
  <c r="K133" i="6"/>
  <c r="V133" i="6"/>
  <c r="R133" i="6"/>
  <c r="U133" i="6" s="1"/>
  <c r="W133" i="6" s="1"/>
  <c r="S133" i="6"/>
  <c r="E135" i="6"/>
  <c r="O135" i="6" s="1"/>
  <c r="F134" i="6"/>
  <c r="H134" i="6"/>
  <c r="G134" i="6"/>
  <c r="N134" i="6" s="1"/>
  <c r="E136" i="6"/>
  <c r="O136" i="6" s="1"/>
  <c r="G135" i="6" l="1"/>
  <c r="N135" i="6" s="1"/>
  <c r="F135" i="6"/>
  <c r="H135" i="6"/>
  <c r="R134" i="6"/>
  <c r="U134" i="6" s="1"/>
  <c r="I134" i="6"/>
  <c r="S134" i="6"/>
  <c r="J134" i="6"/>
  <c r="H136" i="6"/>
  <c r="F136" i="6"/>
  <c r="T134" i="6"/>
  <c r="K134" i="6"/>
  <c r="V134" i="6"/>
  <c r="M134" i="6"/>
  <c r="E137" i="6"/>
  <c r="O137" i="6" s="1"/>
  <c r="G136" i="6"/>
  <c r="N136" i="6" s="1"/>
  <c r="I135" i="6" l="1"/>
  <c r="L135" i="6" s="1"/>
  <c r="J135" i="6"/>
  <c r="J136" i="6" s="1"/>
  <c r="M135" i="6"/>
  <c r="M136" i="6" s="1"/>
  <c r="R135" i="6"/>
  <c r="U135" i="6" s="1"/>
  <c r="W135" i="6" s="1"/>
  <c r="V135" i="6"/>
  <c r="V136" i="6" s="1"/>
  <c r="S135" i="6"/>
  <c r="S136" i="6" s="1"/>
  <c r="T135" i="6"/>
  <c r="K135" i="6"/>
  <c r="H137" i="6"/>
  <c r="F137" i="6"/>
  <c r="I136" i="6"/>
  <c r="L136" i="6" s="1"/>
  <c r="R136" i="6"/>
  <c r="U136" i="6" s="1"/>
  <c r="W134" i="6"/>
  <c r="L134" i="6"/>
  <c r="E138" i="6"/>
  <c r="O138" i="6" s="1"/>
  <c r="G137" i="6"/>
  <c r="N137" i="6" s="1"/>
  <c r="K136" i="6" l="1"/>
  <c r="K137" i="6" s="1"/>
  <c r="T136" i="6"/>
  <c r="T137" i="6" s="1"/>
  <c r="J137" i="6"/>
  <c r="H138" i="6"/>
  <c r="F138" i="6"/>
  <c r="I137" i="6"/>
  <c r="L137" i="6" s="1"/>
  <c r="R137" i="6"/>
  <c r="U137" i="6" s="1"/>
  <c r="W137" i="6" s="1"/>
  <c r="S137" i="6"/>
  <c r="V137" i="6"/>
  <c r="W136" i="6"/>
  <c r="M137" i="6"/>
  <c r="G138" i="6"/>
  <c r="N138" i="6" s="1"/>
  <c r="E139" i="6" l="1"/>
  <c r="O139" i="6" s="1"/>
  <c r="S138" i="6"/>
  <c r="J138" i="6"/>
  <c r="T138" i="6"/>
  <c r="I138" i="6"/>
  <c r="L138" i="6" s="1"/>
  <c r="R138" i="6"/>
  <c r="U138" i="6" s="1"/>
  <c r="K138" i="6"/>
  <c r="V138" i="6"/>
  <c r="M138" i="6"/>
  <c r="G139" i="6" l="1"/>
  <c r="N139" i="6" s="1"/>
  <c r="H139" i="6"/>
  <c r="E140" i="6"/>
  <c r="O140" i="6" s="1"/>
  <c r="F139" i="6"/>
  <c r="W138" i="6"/>
  <c r="C454" i="6"/>
  <c r="E141" i="6" l="1"/>
  <c r="O141" i="6" s="1"/>
  <c r="V139" i="6"/>
  <c r="H140" i="6"/>
  <c r="G140" i="6"/>
  <c r="N140" i="6" s="1"/>
  <c r="T139" i="6"/>
  <c r="M139" i="6"/>
  <c r="R139" i="6"/>
  <c r="U139" i="6" s="1"/>
  <c r="W139" i="6" s="1"/>
  <c r="F140" i="6"/>
  <c r="I139" i="6"/>
  <c r="L139" i="6" s="1"/>
  <c r="J139" i="6"/>
  <c r="S139" i="6"/>
  <c r="K139" i="6"/>
  <c r="E142" i="6"/>
  <c r="F454" i="6" s="1"/>
  <c r="G141" i="6" l="1"/>
  <c r="N141" i="6" s="1"/>
  <c r="H141" i="6"/>
  <c r="E454" i="6"/>
  <c r="F141" i="6"/>
  <c r="M140" i="6"/>
  <c r="M141" i="6" s="1"/>
  <c r="I140" i="6"/>
  <c r="L140" i="6" s="1"/>
  <c r="S140" i="6"/>
  <c r="T140" i="6"/>
  <c r="J140" i="6"/>
  <c r="R140" i="6"/>
  <c r="U140" i="6" s="1"/>
  <c r="W140" i="6" s="1"/>
  <c r="K140" i="6"/>
  <c r="V140" i="6"/>
  <c r="I141" i="6"/>
  <c r="L141" i="6" s="1"/>
  <c r="O142" i="6"/>
  <c r="E143" i="6"/>
  <c r="O143" i="6" s="1"/>
  <c r="J141" i="6" l="1"/>
  <c r="R141" i="6"/>
  <c r="V141" i="6"/>
  <c r="S141" i="6"/>
  <c r="T141" i="6"/>
  <c r="K141" i="6"/>
  <c r="F142" i="6"/>
  <c r="H143" i="6"/>
  <c r="F143" i="6"/>
  <c r="U141" i="6"/>
  <c r="W141" i="6" s="1"/>
  <c r="H142" i="6"/>
  <c r="G142" i="6"/>
  <c r="N142" i="6" s="1"/>
  <c r="E144" i="6"/>
  <c r="G143" i="6"/>
  <c r="N143" i="6" s="1"/>
  <c r="G144" i="6" l="1"/>
  <c r="N144" i="6" s="1"/>
  <c r="O144" i="6"/>
  <c r="S142" i="6"/>
  <c r="S143" i="6" s="1"/>
  <c r="H144" i="6"/>
  <c r="F144" i="6"/>
  <c r="K142" i="6"/>
  <c r="I143" i="6"/>
  <c r="R143" i="6"/>
  <c r="U143" i="6" s="1"/>
  <c r="W143" i="6" s="1"/>
  <c r="J142" i="6"/>
  <c r="J143" i="6" s="1"/>
  <c r="I142" i="6"/>
  <c r="R142" i="6"/>
  <c r="U142" i="6" s="1"/>
  <c r="T142" i="6"/>
  <c r="V142" i="6"/>
  <c r="V143" i="6" s="1"/>
  <c r="M142" i="6"/>
  <c r="M143" i="6" s="1"/>
  <c r="E145" i="6"/>
  <c r="O145" i="6" s="1"/>
  <c r="T143" i="6" l="1"/>
  <c r="T144" i="6" s="1"/>
  <c r="K143" i="6"/>
  <c r="K144" i="6" s="1"/>
  <c r="I144" i="6"/>
  <c r="L144" i="6" s="1"/>
  <c r="R144" i="6"/>
  <c r="J144" i="6"/>
  <c r="H145" i="6"/>
  <c r="F145" i="6"/>
  <c r="S144" i="6"/>
  <c r="V144" i="6"/>
  <c r="L142" i="6"/>
  <c r="W142" i="6"/>
  <c r="L143" i="6"/>
  <c r="M144" i="6"/>
  <c r="E146" i="6"/>
  <c r="O146" i="6" s="1"/>
  <c r="G145" i="6"/>
  <c r="N145" i="6" s="1"/>
  <c r="I145" i="6" l="1"/>
  <c r="L145" i="6" s="1"/>
  <c r="R145" i="6"/>
  <c r="U145" i="6" s="1"/>
  <c r="W145" i="6" s="1"/>
  <c r="S145" i="6"/>
  <c r="J145" i="6"/>
  <c r="H146" i="6"/>
  <c r="F146" i="6"/>
  <c r="T145" i="6"/>
  <c r="K145" i="6"/>
  <c r="U144" i="6"/>
  <c r="W144" i="6" s="1"/>
  <c r="V145" i="6"/>
  <c r="M145" i="6"/>
  <c r="G146" i="6"/>
  <c r="N146" i="6" s="1"/>
  <c r="E147" i="6" l="1"/>
  <c r="O147" i="6" s="1"/>
  <c r="I146" i="6"/>
  <c r="L146" i="6" s="1"/>
  <c r="R146" i="6"/>
  <c r="K146" i="6"/>
  <c r="J146" i="6"/>
  <c r="T146" i="6"/>
  <c r="S146" i="6"/>
  <c r="V146" i="6"/>
  <c r="M146" i="6"/>
  <c r="F147" i="6" l="1"/>
  <c r="G147" i="6"/>
  <c r="N147" i="6" s="1"/>
  <c r="H147" i="6"/>
  <c r="E148" i="6"/>
  <c r="O148" i="6" s="1"/>
  <c r="U146" i="6"/>
  <c r="W146" i="6" s="1"/>
  <c r="E149" i="6"/>
  <c r="O149" i="6" s="1"/>
  <c r="F148" i="6" l="1"/>
  <c r="G148" i="6"/>
  <c r="N148" i="6" s="1"/>
  <c r="H148" i="6"/>
  <c r="I147" i="6"/>
  <c r="L147" i="6" s="1"/>
  <c r="T147" i="6"/>
  <c r="J147" i="6"/>
  <c r="V147" i="6"/>
  <c r="K147" i="6"/>
  <c r="M147" i="6"/>
  <c r="R147" i="6"/>
  <c r="U147" i="6" s="1"/>
  <c r="W147" i="6" s="1"/>
  <c r="S147" i="6"/>
  <c r="H149" i="6"/>
  <c r="F149" i="6"/>
  <c r="E150" i="6"/>
  <c r="G149" i="6"/>
  <c r="N149" i="6" s="1"/>
  <c r="J148" i="6" l="1"/>
  <c r="J149" i="6" s="1"/>
  <c r="R148" i="6"/>
  <c r="U148" i="6" s="1"/>
  <c r="W148" i="6" s="1"/>
  <c r="S148" i="6"/>
  <c r="I148" i="6"/>
  <c r="L148" i="6" s="1"/>
  <c r="M148" i="6"/>
  <c r="M149" i="6" s="1"/>
  <c r="T148" i="6"/>
  <c r="V148" i="6"/>
  <c r="V149" i="6" s="1"/>
  <c r="K148" i="6"/>
  <c r="I149" i="6"/>
  <c r="L149" i="6" s="1"/>
  <c r="R149" i="6"/>
  <c r="U149" i="6" s="1"/>
  <c r="W149" i="6" s="1"/>
  <c r="O150" i="6"/>
  <c r="E151" i="6"/>
  <c r="O151" i="6" s="1"/>
  <c r="K149" i="6" l="1"/>
  <c r="T149" i="6"/>
  <c r="S149" i="6"/>
  <c r="F150" i="6"/>
  <c r="H151" i="6"/>
  <c r="F151" i="6"/>
  <c r="H150" i="6"/>
  <c r="G150" i="6"/>
  <c r="N150" i="6" s="1"/>
  <c r="E152" i="6"/>
  <c r="O152" i="6" s="1"/>
  <c r="G151" i="6"/>
  <c r="N151" i="6" s="1"/>
  <c r="H152" i="6" l="1"/>
  <c r="F152" i="6"/>
  <c r="R150" i="6"/>
  <c r="U150" i="6" s="1"/>
  <c r="W150" i="6" s="1"/>
  <c r="I150" i="6"/>
  <c r="L150" i="6" s="1"/>
  <c r="I151" i="6"/>
  <c r="L151" i="6" s="1"/>
  <c r="R151" i="6"/>
  <c r="U151" i="6" s="1"/>
  <c r="T150" i="6"/>
  <c r="K150" i="6"/>
  <c r="S150" i="6"/>
  <c r="S151" i="6" s="1"/>
  <c r="J150" i="6"/>
  <c r="J151" i="6" s="1"/>
  <c r="V150" i="6"/>
  <c r="V151" i="6" s="1"/>
  <c r="M150" i="6"/>
  <c r="M151" i="6" s="1"/>
  <c r="E153" i="6"/>
  <c r="O153" i="6" s="1"/>
  <c r="G152" i="6"/>
  <c r="N152" i="6" s="1"/>
  <c r="K151" i="6" l="1"/>
  <c r="K152" i="6" s="1"/>
  <c r="I152" i="6"/>
  <c r="L152" i="6" s="1"/>
  <c r="R152" i="6"/>
  <c r="T151" i="6"/>
  <c r="T152" i="6" s="1"/>
  <c r="H153" i="6"/>
  <c r="F153" i="6"/>
  <c r="J152" i="6"/>
  <c r="S152" i="6"/>
  <c r="V152" i="6"/>
  <c r="W151" i="6"/>
  <c r="M152" i="6"/>
  <c r="C455" i="6"/>
  <c r="G153" i="6"/>
  <c r="N153" i="6" s="1"/>
  <c r="E154" i="6" l="1"/>
  <c r="O154" i="6" s="1"/>
  <c r="S153" i="6"/>
  <c r="T153" i="6"/>
  <c r="J153" i="6"/>
  <c r="K153" i="6"/>
  <c r="I153" i="6"/>
  <c r="L153" i="6" s="1"/>
  <c r="R153" i="6"/>
  <c r="U152" i="6"/>
  <c r="W152" i="6" s="1"/>
  <c r="V153" i="6"/>
  <c r="M153" i="6"/>
  <c r="E155" i="6"/>
  <c r="F455" i="6" s="1"/>
  <c r="O155" i="6" l="1"/>
  <c r="E455" i="6"/>
  <c r="G154" i="6"/>
  <c r="N154" i="6" s="1"/>
  <c r="F154" i="6"/>
  <c r="H154" i="6"/>
  <c r="H155" i="6"/>
  <c r="F155" i="6"/>
  <c r="U153" i="6"/>
  <c r="W153" i="6" s="1"/>
  <c r="G155" i="6"/>
  <c r="N155" i="6" s="1"/>
  <c r="R154" i="6" l="1"/>
  <c r="U154" i="6" s="1"/>
  <c r="W154" i="6" s="1"/>
  <c r="S154" i="6"/>
  <c r="S155" i="6" s="1"/>
  <c r="J154" i="6"/>
  <c r="J155" i="6" s="1"/>
  <c r="V154" i="6"/>
  <c r="V155" i="6" s="1"/>
  <c r="I154" i="6"/>
  <c r="L154" i="6" s="1"/>
  <c r="K154" i="6"/>
  <c r="M154" i="6"/>
  <c r="M155" i="6" s="1"/>
  <c r="T154" i="6"/>
  <c r="E156" i="6"/>
  <c r="O156" i="6" s="1"/>
  <c r="I155" i="6"/>
  <c r="L155" i="6" s="1"/>
  <c r="R155" i="6"/>
  <c r="U155" i="6" s="1"/>
  <c r="W155" i="6" s="1"/>
  <c r="E157" i="6"/>
  <c r="O157" i="6" s="1"/>
  <c r="K155" i="6" l="1"/>
  <c r="T155" i="6"/>
  <c r="F156" i="6"/>
  <c r="H157" i="6"/>
  <c r="F157" i="6"/>
  <c r="H156" i="6"/>
  <c r="G156" i="6"/>
  <c r="N156" i="6" s="1"/>
  <c r="G157" i="6"/>
  <c r="N157" i="6" s="1"/>
  <c r="E158" i="6" l="1"/>
  <c r="O158" i="6" s="1"/>
  <c r="V156" i="6"/>
  <c r="V157" i="6" s="1"/>
  <c r="I156" i="6"/>
  <c r="L156" i="6" s="1"/>
  <c r="R156" i="6"/>
  <c r="J156" i="6"/>
  <c r="J157" i="6" s="1"/>
  <c r="K156" i="6"/>
  <c r="I157" i="6"/>
  <c r="R157" i="6"/>
  <c r="U157" i="6" s="1"/>
  <c r="S156" i="6"/>
  <c r="S157" i="6" s="1"/>
  <c r="T156" i="6"/>
  <c r="M156" i="6"/>
  <c r="M157" i="6" s="1"/>
  <c r="G158" i="6" l="1"/>
  <c r="N158" i="6" s="1"/>
  <c r="F158" i="6"/>
  <c r="H158" i="6"/>
  <c r="E159" i="6"/>
  <c r="O159" i="6" s="1"/>
  <c r="K157" i="6"/>
  <c r="T157" i="6"/>
  <c r="U156" i="6"/>
  <c r="W156" i="6" s="1"/>
  <c r="W157" i="6"/>
  <c r="L157" i="6"/>
  <c r="E160" i="6"/>
  <c r="O160" i="6" s="1"/>
  <c r="V158" i="6" l="1"/>
  <c r="K158" i="6"/>
  <c r="R158" i="6"/>
  <c r="U158" i="6" s="1"/>
  <c r="W158" i="6" s="1"/>
  <c r="M158" i="6"/>
  <c r="T158" i="6"/>
  <c r="J158" i="6"/>
  <c r="I158" i="6"/>
  <c r="L158" i="6" s="1"/>
  <c r="S158" i="6"/>
  <c r="F159" i="6"/>
  <c r="H160" i="6"/>
  <c r="F160" i="6"/>
  <c r="H159" i="6"/>
  <c r="G159" i="6"/>
  <c r="N159" i="6" s="1"/>
  <c r="E161" i="6"/>
  <c r="O161" i="6" s="1"/>
  <c r="G160" i="6"/>
  <c r="N160" i="6" s="1"/>
  <c r="S159" i="6" l="1"/>
  <c r="S160" i="6" s="1"/>
  <c r="T159" i="6"/>
  <c r="I160" i="6"/>
  <c r="L160" i="6" s="1"/>
  <c r="R160" i="6"/>
  <c r="U160" i="6" s="1"/>
  <c r="K159" i="6"/>
  <c r="H161" i="6"/>
  <c r="F161" i="6"/>
  <c r="I159" i="6"/>
  <c r="L159" i="6" s="1"/>
  <c r="R159" i="6"/>
  <c r="U159" i="6" s="1"/>
  <c r="W159" i="6" s="1"/>
  <c r="J159" i="6"/>
  <c r="J160" i="6" s="1"/>
  <c r="V159" i="6"/>
  <c r="V160" i="6" s="1"/>
  <c r="M159" i="6"/>
  <c r="M160" i="6" s="1"/>
  <c r="G161" i="6"/>
  <c r="N161" i="6" s="1"/>
  <c r="E162" i="6" l="1"/>
  <c r="O162" i="6" s="1"/>
  <c r="T160" i="6"/>
  <c r="T161" i="6" s="1"/>
  <c r="J161" i="6"/>
  <c r="I161" i="6"/>
  <c r="R161" i="6"/>
  <c r="U161" i="6" s="1"/>
  <c r="W161" i="6" s="1"/>
  <c r="K160" i="6"/>
  <c r="K161" i="6" s="1"/>
  <c r="S161" i="6"/>
  <c r="V161" i="6"/>
  <c r="W160" i="6"/>
  <c r="M161" i="6"/>
  <c r="E163" i="6"/>
  <c r="O163" i="6" s="1"/>
  <c r="G162" i="6" l="1"/>
  <c r="N162" i="6" s="1"/>
  <c r="F162" i="6"/>
  <c r="H162" i="6"/>
  <c r="H163" i="6"/>
  <c r="F163" i="6"/>
  <c r="L161" i="6"/>
  <c r="G163" i="6"/>
  <c r="N163" i="6" s="1"/>
  <c r="M162" i="6" l="1"/>
  <c r="M163" i="6" s="1"/>
  <c r="K162" i="6"/>
  <c r="J162" i="6"/>
  <c r="J163" i="6" s="1"/>
  <c r="I162" i="6"/>
  <c r="L162" i="6" s="1"/>
  <c r="V162" i="6"/>
  <c r="V163" i="6" s="1"/>
  <c r="T162" i="6"/>
  <c r="S162" i="6"/>
  <c r="R162" i="6"/>
  <c r="U162" i="6" s="1"/>
  <c r="W162" i="6" s="1"/>
  <c r="E164" i="6"/>
  <c r="O164" i="6" s="1"/>
  <c r="I163" i="6"/>
  <c r="L163" i="6" s="1"/>
  <c r="R163" i="6"/>
  <c r="U163" i="6" s="1"/>
  <c r="W163" i="6" s="1"/>
  <c r="K163" i="6" l="1"/>
  <c r="T163" i="6"/>
  <c r="S163" i="6"/>
  <c r="G164" i="6"/>
  <c r="N164" i="6" s="1"/>
  <c r="F164" i="6"/>
  <c r="H164" i="6"/>
  <c r="E165" i="6"/>
  <c r="O165" i="6" s="1"/>
  <c r="S164" i="6" l="1"/>
  <c r="F165" i="6"/>
  <c r="H165" i="6"/>
  <c r="G165" i="6"/>
  <c r="N165" i="6" s="1"/>
  <c r="T164" i="6"/>
  <c r="V164" i="6"/>
  <c r="I164" i="6"/>
  <c r="L164" i="6" s="1"/>
  <c r="R164" i="6"/>
  <c r="U164" i="6" s="1"/>
  <c r="W164" i="6" s="1"/>
  <c r="M164" i="6"/>
  <c r="J164" i="6"/>
  <c r="K164" i="6"/>
  <c r="E166" i="6"/>
  <c r="O166" i="6" s="1"/>
  <c r="C456" i="6"/>
  <c r="J165" i="6" l="1"/>
  <c r="R165" i="6"/>
  <c r="U165" i="6" s="1"/>
  <c r="W165" i="6" s="1"/>
  <c r="S165" i="6"/>
  <c r="V165" i="6"/>
  <c r="I165" i="6"/>
  <c r="L165" i="6" s="1"/>
  <c r="M165" i="6"/>
  <c r="T165" i="6"/>
  <c r="K165" i="6"/>
  <c r="G166" i="6"/>
  <c r="N166" i="6" s="1"/>
  <c r="H166" i="6"/>
  <c r="E167" i="6"/>
  <c r="O167" i="6" s="1"/>
  <c r="F166" i="6"/>
  <c r="J166" i="6" l="1"/>
  <c r="S166" i="6"/>
  <c r="G167" i="6"/>
  <c r="N167" i="6" s="1"/>
  <c r="M166" i="6"/>
  <c r="K166" i="6"/>
  <c r="F167" i="6"/>
  <c r="I166" i="6"/>
  <c r="L166" i="6" s="1"/>
  <c r="V166" i="6"/>
  <c r="R166" i="6"/>
  <c r="U166" i="6" s="1"/>
  <c r="W166" i="6" s="1"/>
  <c r="H167" i="6"/>
  <c r="T166" i="6"/>
  <c r="E168" i="6"/>
  <c r="F456" i="6" s="1"/>
  <c r="O168" i="6" l="1"/>
  <c r="E456" i="6"/>
  <c r="S167" i="6"/>
  <c r="T167" i="6"/>
  <c r="I167" i="6"/>
  <c r="L167" i="6" s="1"/>
  <c r="J167" i="6"/>
  <c r="V167" i="6"/>
  <c r="R167" i="6"/>
  <c r="U167" i="6" s="1"/>
  <c r="W167" i="6" s="1"/>
  <c r="M167" i="6"/>
  <c r="K167" i="6"/>
  <c r="G168" i="6"/>
  <c r="N168" i="6" s="1"/>
  <c r="F168" i="6"/>
  <c r="H168" i="6"/>
  <c r="E169" i="6"/>
  <c r="O169" i="6" s="1"/>
  <c r="M168" i="6" l="1"/>
  <c r="V168" i="6"/>
  <c r="R168" i="6"/>
  <c r="U168" i="6" s="1"/>
  <c r="W168" i="6" s="1"/>
  <c r="T168" i="6"/>
  <c r="G169" i="6"/>
  <c r="N169" i="6" s="1"/>
  <c r="F169" i="6"/>
  <c r="S168" i="6"/>
  <c r="K168" i="6"/>
  <c r="J168" i="6"/>
  <c r="I168" i="6"/>
  <c r="L168" i="6" s="1"/>
  <c r="H169" i="6"/>
  <c r="E170" i="6"/>
  <c r="O170" i="6" s="1"/>
  <c r="I169" i="6" l="1"/>
  <c r="L169" i="6" s="1"/>
  <c r="M169" i="6"/>
  <c r="J169" i="6"/>
  <c r="S169" i="6"/>
  <c r="V169" i="6"/>
  <c r="R169" i="6"/>
  <c r="U169" i="6" s="1"/>
  <c r="W169" i="6" s="1"/>
  <c r="T169" i="6"/>
  <c r="G170" i="6"/>
  <c r="N170" i="6" s="1"/>
  <c r="F170" i="6"/>
  <c r="H170" i="6"/>
  <c r="K169" i="6"/>
  <c r="E171" i="6"/>
  <c r="O171" i="6" s="1"/>
  <c r="I170" i="6" l="1"/>
  <c r="L170" i="6" s="1"/>
  <c r="S170" i="6"/>
  <c r="J170" i="6"/>
  <c r="G171" i="6"/>
  <c r="N171" i="6" s="1"/>
  <c r="T170" i="6"/>
  <c r="R170" i="6"/>
  <c r="U170" i="6" s="1"/>
  <c r="W170" i="6" s="1"/>
  <c r="M170" i="6"/>
  <c r="K170" i="6"/>
  <c r="V170" i="6"/>
  <c r="H171" i="6"/>
  <c r="F171" i="6"/>
  <c r="E172" i="6"/>
  <c r="O172" i="6" s="1"/>
  <c r="K171" i="6" l="1"/>
  <c r="I171" i="6"/>
  <c r="L171" i="6" s="1"/>
  <c r="M171" i="6"/>
  <c r="J171" i="6"/>
  <c r="T171" i="6"/>
  <c r="V171" i="6"/>
  <c r="H172" i="6"/>
  <c r="R171" i="6"/>
  <c r="U171" i="6" s="1"/>
  <c r="W171" i="6" s="1"/>
  <c r="S171" i="6"/>
  <c r="G172" i="6"/>
  <c r="N172" i="6" s="1"/>
  <c r="F172" i="6"/>
  <c r="E173" i="6"/>
  <c r="O173" i="6" s="1"/>
  <c r="M172" i="6" l="1"/>
  <c r="R172" i="6"/>
  <c r="U172" i="6" s="1"/>
  <c r="W172" i="6" s="1"/>
  <c r="V172" i="6"/>
  <c r="K172" i="6"/>
  <c r="J172" i="6"/>
  <c r="T172" i="6"/>
  <c r="S172" i="6"/>
  <c r="I172" i="6"/>
  <c r="L172" i="6" s="1"/>
  <c r="G173" i="6"/>
  <c r="N173" i="6" s="1"/>
  <c r="H173" i="6"/>
  <c r="E174" i="6"/>
  <c r="O174" i="6" s="1"/>
  <c r="F173" i="6"/>
  <c r="E175" i="6"/>
  <c r="K173" i="6" l="1"/>
  <c r="M173" i="6"/>
  <c r="J173" i="6"/>
  <c r="S173" i="6"/>
  <c r="I173" i="6"/>
  <c r="L173" i="6" s="1"/>
  <c r="G174" i="6"/>
  <c r="N174" i="6" s="1"/>
  <c r="R173" i="6"/>
  <c r="U173" i="6" s="1"/>
  <c r="W173" i="6" s="1"/>
  <c r="T173" i="6"/>
  <c r="V173" i="6"/>
  <c r="F174" i="6"/>
  <c r="G175" i="6"/>
  <c r="N175" i="6" s="1"/>
  <c r="O175" i="6"/>
  <c r="H174" i="6"/>
  <c r="H175" i="6"/>
  <c r="F175" i="6"/>
  <c r="T174" i="6" l="1"/>
  <c r="K174" i="6"/>
  <c r="S174" i="6"/>
  <c r="M174" i="6"/>
  <c r="M175" i="6" s="1"/>
  <c r="R174" i="6"/>
  <c r="U174" i="6" s="1"/>
  <c r="W174" i="6" s="1"/>
  <c r="V174" i="6"/>
  <c r="V175" i="6" s="1"/>
  <c r="I174" i="6"/>
  <c r="L174" i="6" s="1"/>
  <c r="J174" i="6"/>
  <c r="J175" i="6" s="1"/>
  <c r="E176" i="6"/>
  <c r="O176" i="6" s="1"/>
  <c r="I175" i="6"/>
  <c r="R175" i="6"/>
  <c r="U175" i="6" s="1"/>
  <c r="T175" i="6" l="1"/>
  <c r="S175" i="6"/>
  <c r="K175" i="6"/>
  <c r="G176" i="6"/>
  <c r="N176" i="6" s="1"/>
  <c r="F176" i="6"/>
  <c r="H176" i="6"/>
  <c r="E177" i="6"/>
  <c r="O177" i="6" s="1"/>
  <c r="W175" i="6"/>
  <c r="L175" i="6"/>
  <c r="E178" i="6"/>
  <c r="O178" i="6" s="1"/>
  <c r="V176" i="6" l="1"/>
  <c r="G177" i="6"/>
  <c r="N177" i="6" s="1"/>
  <c r="T176" i="6"/>
  <c r="J176" i="6"/>
  <c r="R176" i="6"/>
  <c r="U176" i="6" s="1"/>
  <c r="W176" i="6" s="1"/>
  <c r="K176" i="6"/>
  <c r="M176" i="6"/>
  <c r="S176" i="6"/>
  <c r="I176" i="6"/>
  <c r="L176" i="6" s="1"/>
  <c r="F177" i="6"/>
  <c r="H177" i="6"/>
  <c r="H178" i="6"/>
  <c r="F178" i="6"/>
  <c r="G178" i="6"/>
  <c r="N178" i="6" s="1"/>
  <c r="M177" i="6" l="1"/>
  <c r="M178" i="6" s="1"/>
  <c r="I177" i="6"/>
  <c r="L177" i="6" s="1"/>
  <c r="V177" i="6"/>
  <c r="V178" i="6" s="1"/>
  <c r="R177" i="6"/>
  <c r="U177" i="6" s="1"/>
  <c r="W177" i="6" s="1"/>
  <c r="S177" i="6"/>
  <c r="S178" i="6" s="1"/>
  <c r="J177" i="6"/>
  <c r="J178" i="6" s="1"/>
  <c r="K177" i="6"/>
  <c r="T177" i="6"/>
  <c r="E179" i="6"/>
  <c r="O179" i="6" s="1"/>
  <c r="I178" i="6"/>
  <c r="L178" i="6" s="1"/>
  <c r="R178" i="6"/>
  <c r="C457" i="6"/>
  <c r="E180" i="6" l="1"/>
  <c r="O180" i="6" s="1"/>
  <c r="T178" i="6"/>
  <c r="K178" i="6"/>
  <c r="F179" i="6"/>
  <c r="G179" i="6"/>
  <c r="N179" i="6" s="1"/>
  <c r="H179" i="6"/>
  <c r="U178" i="6"/>
  <c r="W178" i="6" s="1"/>
  <c r="F180" i="6" l="1"/>
  <c r="G180" i="6"/>
  <c r="N180" i="6" s="1"/>
  <c r="H180" i="6"/>
  <c r="T179" i="6"/>
  <c r="M179" i="6"/>
  <c r="K179" i="6"/>
  <c r="S179" i="6"/>
  <c r="J179" i="6"/>
  <c r="R179" i="6"/>
  <c r="U179" i="6" s="1"/>
  <c r="W179" i="6" s="1"/>
  <c r="I179" i="6"/>
  <c r="L179" i="6" s="1"/>
  <c r="V179" i="6"/>
  <c r="E181" i="6"/>
  <c r="F457" i="6" s="1"/>
  <c r="R180" i="6" l="1"/>
  <c r="U180" i="6" s="1"/>
  <c r="W180" i="6" s="1"/>
  <c r="V180" i="6"/>
  <c r="I180" i="6"/>
  <c r="L180" i="6" s="1"/>
  <c r="J180" i="6"/>
  <c r="M180" i="6"/>
  <c r="O181" i="6"/>
  <c r="E457" i="6"/>
  <c r="T180" i="6"/>
  <c r="K180" i="6"/>
  <c r="G181" i="6"/>
  <c r="N181" i="6" s="1"/>
  <c r="H181" i="6"/>
  <c r="F181" i="6"/>
  <c r="S180" i="6"/>
  <c r="E182" i="6"/>
  <c r="O182" i="6" s="1"/>
  <c r="R181" i="6" l="1"/>
  <c r="U181" i="6" s="1"/>
  <c r="W181" i="6" s="1"/>
  <c r="M181" i="6"/>
  <c r="V181" i="6"/>
  <c r="J181" i="6"/>
  <c r="I181" i="6"/>
  <c r="L181" i="6" s="1"/>
  <c r="T181" i="6"/>
  <c r="K181" i="6"/>
  <c r="H182" i="6"/>
  <c r="S181" i="6"/>
  <c r="G182" i="6"/>
  <c r="N182" i="6" s="1"/>
  <c r="F182" i="6"/>
  <c r="E183" i="6"/>
  <c r="O183" i="6" s="1"/>
  <c r="E184" i="6"/>
  <c r="O184" i="6" s="1"/>
  <c r="J182" i="6" l="1"/>
  <c r="H183" i="6"/>
  <c r="V182" i="6"/>
  <c r="G183" i="6"/>
  <c r="N183" i="6" s="1"/>
  <c r="F183" i="6"/>
  <c r="M182" i="6"/>
  <c r="K182" i="6"/>
  <c r="R182" i="6"/>
  <c r="U182" i="6" s="1"/>
  <c r="W182" i="6" s="1"/>
  <c r="S182" i="6"/>
  <c r="T182" i="6"/>
  <c r="I182" i="6"/>
  <c r="L182" i="6" s="1"/>
  <c r="H184" i="6"/>
  <c r="F184" i="6"/>
  <c r="G184" i="6"/>
  <c r="N184" i="6" s="1"/>
  <c r="J183" i="6" l="1"/>
  <c r="J184" i="6" s="1"/>
  <c r="M183" i="6"/>
  <c r="M184" i="6" s="1"/>
  <c r="K183" i="6"/>
  <c r="R183" i="6"/>
  <c r="U183" i="6" s="1"/>
  <c r="W183" i="6" s="1"/>
  <c r="S183" i="6"/>
  <c r="I183" i="6"/>
  <c r="L183" i="6" s="1"/>
  <c r="V183" i="6"/>
  <c r="V184" i="6" s="1"/>
  <c r="T183" i="6"/>
  <c r="E185" i="6"/>
  <c r="O185" i="6" s="1"/>
  <c r="I184" i="6"/>
  <c r="R184" i="6"/>
  <c r="U184" i="6" s="1"/>
  <c r="G185" i="6" l="1"/>
  <c r="N185" i="6" s="1"/>
  <c r="H185" i="6"/>
  <c r="T184" i="6"/>
  <c r="K184" i="6"/>
  <c r="S184" i="6"/>
  <c r="F185" i="6"/>
  <c r="E186" i="6"/>
  <c r="O186" i="6" s="1"/>
  <c r="W184" i="6"/>
  <c r="L184" i="6"/>
  <c r="E187" i="6"/>
  <c r="O187" i="6" s="1"/>
  <c r="M185" i="6" l="1"/>
  <c r="R185" i="6"/>
  <c r="U185" i="6" s="1"/>
  <c r="W185" i="6" s="1"/>
  <c r="I185" i="6"/>
  <c r="L185" i="6" s="1"/>
  <c r="V185" i="6"/>
  <c r="J185" i="6"/>
  <c r="K185" i="6"/>
  <c r="T185" i="6"/>
  <c r="S185" i="6"/>
  <c r="F186" i="6"/>
  <c r="H187" i="6"/>
  <c r="F187" i="6"/>
  <c r="H186" i="6"/>
  <c r="G186" i="6"/>
  <c r="N186" i="6" s="1"/>
  <c r="G187" i="6"/>
  <c r="N187" i="6" s="1"/>
  <c r="E188" i="6" l="1"/>
  <c r="O188" i="6" s="1"/>
  <c r="J186" i="6"/>
  <c r="J187" i="6" s="1"/>
  <c r="S186" i="6"/>
  <c r="S187" i="6" s="1"/>
  <c r="I187" i="6"/>
  <c r="L187" i="6" s="1"/>
  <c r="R187" i="6"/>
  <c r="U187" i="6" s="1"/>
  <c r="W187" i="6" s="1"/>
  <c r="V186" i="6"/>
  <c r="V187" i="6" s="1"/>
  <c r="I186" i="6"/>
  <c r="L186" i="6" s="1"/>
  <c r="R186" i="6"/>
  <c r="U186" i="6" s="1"/>
  <c r="W186" i="6" s="1"/>
  <c r="K186" i="6"/>
  <c r="T186" i="6"/>
  <c r="M186" i="6"/>
  <c r="M187" i="6" s="1"/>
  <c r="F188" i="6" l="1"/>
  <c r="G188" i="6"/>
  <c r="N188" i="6" s="1"/>
  <c r="H188" i="6"/>
  <c r="E189" i="6"/>
  <c r="O189" i="6" s="1"/>
  <c r="K187" i="6"/>
  <c r="T187" i="6"/>
  <c r="E190" i="6"/>
  <c r="F189" i="6" l="1"/>
  <c r="G189" i="6"/>
  <c r="N189" i="6" s="1"/>
  <c r="T188" i="6"/>
  <c r="K188" i="6"/>
  <c r="J188" i="6"/>
  <c r="S188" i="6"/>
  <c r="M188" i="6"/>
  <c r="V188" i="6"/>
  <c r="R188" i="6"/>
  <c r="U188" i="6" s="1"/>
  <c r="W188" i="6" s="1"/>
  <c r="I188" i="6"/>
  <c r="L188" i="6" s="1"/>
  <c r="H189" i="6"/>
  <c r="O190" i="6"/>
  <c r="M189" i="6" l="1"/>
  <c r="S189" i="6"/>
  <c r="I189" i="6"/>
  <c r="L189" i="6" s="1"/>
  <c r="V189" i="6"/>
  <c r="R189" i="6"/>
  <c r="U189" i="6" s="1"/>
  <c r="W189" i="6" s="1"/>
  <c r="J189" i="6"/>
  <c r="T189" i="6"/>
  <c r="K189" i="6"/>
  <c r="E191" i="6"/>
  <c r="O191" i="6" s="1"/>
  <c r="F190" i="6"/>
  <c r="H190" i="6"/>
  <c r="G190" i="6"/>
  <c r="N190" i="6" s="1"/>
  <c r="G191" i="6" l="1"/>
  <c r="N191" i="6" s="1"/>
  <c r="F191" i="6"/>
  <c r="E192" i="6"/>
  <c r="O192" i="6" s="1"/>
  <c r="H191" i="6"/>
  <c r="K190" i="6"/>
  <c r="V190" i="6"/>
  <c r="I190" i="6"/>
  <c r="L190" i="6" s="1"/>
  <c r="R190" i="6"/>
  <c r="T190" i="6"/>
  <c r="S190" i="6"/>
  <c r="J190" i="6"/>
  <c r="M190" i="6"/>
  <c r="C458" i="6"/>
  <c r="E193" i="6" l="1"/>
  <c r="O193" i="6" s="1"/>
  <c r="M191" i="6"/>
  <c r="H192" i="6"/>
  <c r="S191" i="6"/>
  <c r="V191" i="6"/>
  <c r="R191" i="6"/>
  <c r="U191" i="6" s="1"/>
  <c r="W191" i="6" s="1"/>
  <c r="J191" i="6"/>
  <c r="I191" i="6"/>
  <c r="L191" i="6" s="1"/>
  <c r="G192" i="6"/>
  <c r="N192" i="6" s="1"/>
  <c r="F192" i="6"/>
  <c r="T191" i="6"/>
  <c r="K191" i="6"/>
  <c r="U190" i="6"/>
  <c r="W190" i="6" s="1"/>
  <c r="E194" i="6"/>
  <c r="F458" i="6" s="1"/>
  <c r="H193" i="6" l="1"/>
  <c r="G193" i="6"/>
  <c r="N193" i="6" s="1"/>
  <c r="F193" i="6"/>
  <c r="O194" i="6"/>
  <c r="E458" i="6"/>
  <c r="I192" i="6"/>
  <c r="L192" i="6" s="1"/>
  <c r="S192" i="6"/>
  <c r="K192" i="6"/>
  <c r="V192" i="6"/>
  <c r="T192" i="6"/>
  <c r="J192" i="6"/>
  <c r="M192" i="6"/>
  <c r="R192" i="6"/>
  <c r="U192" i="6" s="1"/>
  <c r="W192" i="6" s="1"/>
  <c r="H194" i="6"/>
  <c r="F194" i="6"/>
  <c r="G194" i="6"/>
  <c r="N194" i="6" s="1"/>
  <c r="M193" i="6" l="1"/>
  <c r="M194" i="6" s="1"/>
  <c r="I193" i="6"/>
  <c r="L193" i="6" s="1"/>
  <c r="R193" i="6"/>
  <c r="U193" i="6" s="1"/>
  <c r="W193" i="6" s="1"/>
  <c r="V193" i="6"/>
  <c r="V194" i="6" s="1"/>
  <c r="S193" i="6"/>
  <c r="S194" i="6" s="1"/>
  <c r="T193" i="6"/>
  <c r="K193" i="6"/>
  <c r="J193" i="6"/>
  <c r="E195" i="6"/>
  <c r="O195" i="6" s="1"/>
  <c r="I194" i="6"/>
  <c r="L194" i="6" s="1"/>
  <c r="R194" i="6"/>
  <c r="T194" i="6" l="1"/>
  <c r="G195" i="6"/>
  <c r="N195" i="6" s="1"/>
  <c r="K194" i="6"/>
  <c r="J194" i="6"/>
  <c r="H195" i="6"/>
  <c r="F195" i="6"/>
  <c r="E196" i="6"/>
  <c r="O196" i="6" s="1"/>
  <c r="U194" i="6"/>
  <c r="W194" i="6" s="1"/>
  <c r="M195" i="6" l="1"/>
  <c r="I195" i="6"/>
  <c r="L195" i="6" s="1"/>
  <c r="G196" i="6"/>
  <c r="N196" i="6" s="1"/>
  <c r="V195" i="6"/>
  <c r="S195" i="6"/>
  <c r="T195" i="6"/>
  <c r="R195" i="6"/>
  <c r="U195" i="6" s="1"/>
  <c r="W195" i="6" s="1"/>
  <c r="K195" i="6"/>
  <c r="J195" i="6"/>
  <c r="F196" i="6"/>
  <c r="H196" i="6"/>
  <c r="E197" i="6"/>
  <c r="O197" i="6" s="1"/>
  <c r="T196" i="6" l="1"/>
  <c r="M196" i="6"/>
  <c r="J196" i="6"/>
  <c r="R196" i="6"/>
  <c r="U196" i="6" s="1"/>
  <c r="W196" i="6" s="1"/>
  <c r="I196" i="6"/>
  <c r="L196" i="6" s="1"/>
  <c r="S196" i="6"/>
  <c r="G197" i="6"/>
  <c r="N197" i="6" s="1"/>
  <c r="V196" i="6"/>
  <c r="K196" i="6"/>
  <c r="F197" i="6"/>
  <c r="H197" i="6"/>
  <c r="E198" i="6"/>
  <c r="O198" i="6" s="1"/>
  <c r="M197" i="6" l="1"/>
  <c r="R197" i="6"/>
  <c r="U197" i="6" s="1"/>
  <c r="W197" i="6" s="1"/>
  <c r="S197" i="6"/>
  <c r="I197" i="6"/>
  <c r="L197" i="6" s="1"/>
  <c r="T197" i="6"/>
  <c r="J197" i="6"/>
  <c r="K197" i="6"/>
  <c r="V197" i="6"/>
  <c r="G198" i="6"/>
  <c r="N198" i="6" s="1"/>
  <c r="H198" i="6"/>
  <c r="E199" i="6"/>
  <c r="O199" i="6" s="1"/>
  <c r="F198" i="6"/>
  <c r="M198" i="6" l="1"/>
  <c r="V198" i="6"/>
  <c r="K198" i="6"/>
  <c r="T198" i="6"/>
  <c r="I198" i="6"/>
  <c r="L198" i="6" s="1"/>
  <c r="S198" i="6"/>
  <c r="J198" i="6"/>
  <c r="R198" i="6"/>
  <c r="U198" i="6" s="1"/>
  <c r="W198" i="6" s="1"/>
  <c r="E200" i="6"/>
  <c r="O200" i="6" s="1"/>
  <c r="F199" i="6"/>
  <c r="H199" i="6"/>
  <c r="G199" i="6"/>
  <c r="N199" i="6" s="1"/>
  <c r="G200" i="6" l="1"/>
  <c r="N200" i="6" s="1"/>
  <c r="F200" i="6"/>
  <c r="E201" i="6"/>
  <c r="O201" i="6" s="1"/>
  <c r="H200" i="6"/>
  <c r="T199" i="6"/>
  <c r="K199" i="6"/>
  <c r="I199" i="6"/>
  <c r="L199" i="6" s="1"/>
  <c r="R199" i="6"/>
  <c r="U199" i="6" s="1"/>
  <c r="W199" i="6" s="1"/>
  <c r="J199" i="6"/>
  <c r="S199" i="6"/>
  <c r="V199" i="6"/>
  <c r="M199" i="6"/>
  <c r="E202" i="6"/>
  <c r="M200" i="6" l="1"/>
  <c r="I200" i="6"/>
  <c r="L200" i="6" s="1"/>
  <c r="V200" i="6"/>
  <c r="J200" i="6"/>
  <c r="S200" i="6"/>
  <c r="R200" i="6"/>
  <c r="U200" i="6" s="1"/>
  <c r="W200" i="6" s="1"/>
  <c r="H201" i="6"/>
  <c r="F201" i="6"/>
  <c r="G201" i="6"/>
  <c r="N201" i="6" s="1"/>
  <c r="K200" i="6"/>
  <c r="T200" i="6"/>
  <c r="O202" i="6"/>
  <c r="E203" i="6"/>
  <c r="O203" i="6" s="1"/>
  <c r="I201" i="6" l="1"/>
  <c r="L201" i="6" s="1"/>
  <c r="M201" i="6"/>
  <c r="V201" i="6"/>
  <c r="T201" i="6"/>
  <c r="R201" i="6"/>
  <c r="U201" i="6" s="1"/>
  <c r="W201" i="6" s="1"/>
  <c r="J201" i="6"/>
  <c r="S201" i="6"/>
  <c r="K201" i="6"/>
  <c r="F202" i="6"/>
  <c r="H203" i="6"/>
  <c r="F203" i="6"/>
  <c r="H202" i="6"/>
  <c r="G202" i="6"/>
  <c r="N202" i="6" s="1"/>
  <c r="E204" i="6"/>
  <c r="O204" i="6" s="1"/>
  <c r="G203" i="6"/>
  <c r="N203" i="6" s="1"/>
  <c r="K202" i="6" l="1"/>
  <c r="I203" i="6"/>
  <c r="L203" i="6" s="1"/>
  <c r="R203" i="6"/>
  <c r="U203" i="6" s="1"/>
  <c r="W203" i="6" s="1"/>
  <c r="J202" i="6"/>
  <c r="J203" i="6" s="1"/>
  <c r="I202" i="6"/>
  <c r="L202" i="6" s="1"/>
  <c r="R202" i="6"/>
  <c r="U202" i="6" s="1"/>
  <c r="W202" i="6" s="1"/>
  <c r="S202" i="6"/>
  <c r="S203" i="6" s="1"/>
  <c r="T202" i="6"/>
  <c r="H204" i="6"/>
  <c r="F204" i="6"/>
  <c r="V202" i="6"/>
  <c r="V203" i="6" s="1"/>
  <c r="M202" i="6"/>
  <c r="M203" i="6" s="1"/>
  <c r="G204" i="6"/>
  <c r="N204" i="6" s="1"/>
  <c r="E205" i="6" l="1"/>
  <c r="O205" i="6" s="1"/>
  <c r="T203" i="6"/>
  <c r="T204" i="6" s="1"/>
  <c r="J204" i="6"/>
  <c r="S204" i="6"/>
  <c r="I204" i="6"/>
  <c r="L204" i="6" s="1"/>
  <c r="R204" i="6"/>
  <c r="K203" i="6"/>
  <c r="K204" i="6" s="1"/>
  <c r="V204" i="6"/>
  <c r="M204" i="6"/>
  <c r="C459" i="6"/>
  <c r="H205" i="6" l="1"/>
  <c r="G205" i="6"/>
  <c r="N205" i="6" s="1"/>
  <c r="F205" i="6"/>
  <c r="E206" i="6"/>
  <c r="G206" i="6" s="1"/>
  <c r="U204" i="6"/>
  <c r="W204" i="6" s="1"/>
  <c r="M205" i="6" l="1"/>
  <c r="J205" i="6"/>
  <c r="O206" i="6"/>
  <c r="V205" i="6"/>
  <c r="S205" i="6"/>
  <c r="T205" i="6"/>
  <c r="R205" i="6"/>
  <c r="U205" i="6" s="1"/>
  <c r="W205" i="6" s="1"/>
  <c r="K205" i="6"/>
  <c r="I205" i="6"/>
  <c r="L205" i="6" s="1"/>
  <c r="E207" i="6"/>
  <c r="F459" i="6" s="1"/>
  <c r="F206" i="6"/>
  <c r="H206" i="6"/>
  <c r="N206" i="6"/>
  <c r="O207" i="6" l="1"/>
  <c r="E459" i="6"/>
  <c r="G207" i="6"/>
  <c r="N207" i="6" s="1"/>
  <c r="H207" i="6"/>
  <c r="F207" i="6"/>
  <c r="E208" i="6"/>
  <c r="O208" i="6" s="1"/>
  <c r="T206" i="6"/>
  <c r="I206" i="6"/>
  <c r="L206" i="6" s="1"/>
  <c r="R206" i="6"/>
  <c r="K206" i="6"/>
  <c r="S206" i="6"/>
  <c r="J206" i="6"/>
  <c r="V206" i="6"/>
  <c r="M206" i="6"/>
  <c r="G208" i="6" l="1"/>
  <c r="N208" i="6" s="1"/>
  <c r="I207" i="6"/>
  <c r="L207" i="6" s="1"/>
  <c r="F208" i="6"/>
  <c r="J207" i="6"/>
  <c r="M207" i="6"/>
  <c r="S207" i="6"/>
  <c r="R207" i="6"/>
  <c r="U207" i="6" s="1"/>
  <c r="W207" i="6" s="1"/>
  <c r="V207" i="6"/>
  <c r="H208" i="6"/>
  <c r="E209" i="6"/>
  <c r="O209" i="6" s="1"/>
  <c r="K207" i="6"/>
  <c r="T207" i="6"/>
  <c r="U206" i="6"/>
  <c r="W206" i="6" s="1"/>
  <c r="E210" i="6"/>
  <c r="O210" i="6" s="1"/>
  <c r="M208" i="6" l="1"/>
  <c r="R208" i="6"/>
  <c r="U208" i="6" s="1"/>
  <c r="W208" i="6" s="1"/>
  <c r="V208" i="6"/>
  <c r="I208" i="6"/>
  <c r="L208" i="6" s="1"/>
  <c r="J208" i="6"/>
  <c r="S208" i="6"/>
  <c r="T208" i="6"/>
  <c r="K208" i="6"/>
  <c r="H209" i="6"/>
  <c r="G209" i="6"/>
  <c r="N209" i="6" s="1"/>
  <c r="F209" i="6"/>
  <c r="H210" i="6"/>
  <c r="F210" i="6"/>
  <c r="G210" i="6"/>
  <c r="N210" i="6" s="1"/>
  <c r="M209" i="6" l="1"/>
  <c r="M210" i="6" s="1"/>
  <c r="I209" i="6"/>
  <c r="L209" i="6" s="1"/>
  <c r="V209" i="6"/>
  <c r="V210" i="6" s="1"/>
  <c r="R209" i="6"/>
  <c r="U209" i="6" s="1"/>
  <c r="W209" i="6" s="1"/>
  <c r="S209" i="6"/>
  <c r="J209" i="6"/>
  <c r="J210" i="6" s="1"/>
  <c r="K209" i="6"/>
  <c r="T209" i="6"/>
  <c r="E211" i="6"/>
  <c r="O211" i="6" s="1"/>
  <c r="I210" i="6"/>
  <c r="L210" i="6" s="1"/>
  <c r="R210" i="6"/>
  <c r="U210" i="6" s="1"/>
  <c r="W210" i="6" s="1"/>
  <c r="E212" i="6"/>
  <c r="O212" i="6" s="1"/>
  <c r="T210" i="6" l="1"/>
  <c r="S210" i="6"/>
  <c r="K210" i="6"/>
  <c r="G211" i="6"/>
  <c r="N211" i="6" s="1"/>
  <c r="H211" i="6"/>
  <c r="F211" i="6"/>
  <c r="H212" i="6"/>
  <c r="F212" i="6"/>
  <c r="G212" i="6"/>
  <c r="N212" i="6" s="1"/>
  <c r="R211" i="6" l="1"/>
  <c r="U211" i="6" s="1"/>
  <c r="W211" i="6" s="1"/>
  <c r="M211" i="6"/>
  <c r="M212" i="6" s="1"/>
  <c r="J211" i="6"/>
  <c r="J212" i="6" s="1"/>
  <c r="V211" i="6"/>
  <c r="V212" i="6" s="1"/>
  <c r="K211" i="6"/>
  <c r="S211" i="6"/>
  <c r="S212" i="6" s="1"/>
  <c r="T211" i="6"/>
  <c r="I211" i="6"/>
  <c r="L211" i="6" s="1"/>
  <c r="E213" i="6"/>
  <c r="O213" i="6" s="1"/>
  <c r="I212" i="6"/>
  <c r="L212" i="6" s="1"/>
  <c r="R212" i="6"/>
  <c r="T212" i="6" l="1"/>
  <c r="K212" i="6"/>
  <c r="G213" i="6"/>
  <c r="N213" i="6" s="1"/>
  <c r="F213" i="6"/>
  <c r="E214" i="6"/>
  <c r="O214" i="6" s="1"/>
  <c r="H213" i="6"/>
  <c r="U212" i="6"/>
  <c r="W212" i="6" s="1"/>
  <c r="E215" i="6"/>
  <c r="M213" i="6" l="1"/>
  <c r="S213" i="6"/>
  <c r="T213" i="6"/>
  <c r="G214" i="6"/>
  <c r="N214" i="6" s="1"/>
  <c r="R213" i="6"/>
  <c r="U213" i="6" s="1"/>
  <c r="W213" i="6" s="1"/>
  <c r="F214" i="6"/>
  <c r="V213" i="6"/>
  <c r="K213" i="6"/>
  <c r="I213" i="6"/>
  <c r="L213" i="6" s="1"/>
  <c r="H214" i="6"/>
  <c r="J213" i="6"/>
  <c r="O215" i="6"/>
  <c r="R214" i="6" l="1"/>
  <c r="U214" i="6" s="1"/>
  <c r="W214" i="6" s="1"/>
  <c r="J214" i="6"/>
  <c r="I214" i="6"/>
  <c r="L214" i="6" s="1"/>
  <c r="M214" i="6"/>
  <c r="S214" i="6"/>
  <c r="T214" i="6"/>
  <c r="V214" i="6"/>
  <c r="K214" i="6"/>
  <c r="E216" i="6"/>
  <c r="O216" i="6" s="1"/>
  <c r="F215" i="6"/>
  <c r="G215" i="6"/>
  <c r="N215" i="6" s="1"/>
  <c r="H215" i="6"/>
  <c r="E217" i="6"/>
  <c r="G216" i="6" l="1"/>
  <c r="N216" i="6" s="1"/>
  <c r="F216" i="6"/>
  <c r="H216" i="6"/>
  <c r="S215" i="6"/>
  <c r="I215" i="6"/>
  <c r="L215" i="6" s="1"/>
  <c r="R215" i="6"/>
  <c r="U215" i="6" s="1"/>
  <c r="W215" i="6" s="1"/>
  <c r="T215" i="6"/>
  <c r="K215" i="6"/>
  <c r="J215" i="6"/>
  <c r="V215" i="6"/>
  <c r="M215" i="6"/>
  <c r="O217" i="6"/>
  <c r="E218" i="6"/>
  <c r="O218" i="6" s="1"/>
  <c r="V216" i="6" l="1"/>
  <c r="I216" i="6"/>
  <c r="L216" i="6" s="1"/>
  <c r="S216" i="6"/>
  <c r="J216" i="6"/>
  <c r="M216" i="6"/>
  <c r="R216" i="6"/>
  <c r="U216" i="6" s="1"/>
  <c r="W216" i="6" s="1"/>
  <c r="T216" i="6"/>
  <c r="F217" i="6"/>
  <c r="H218" i="6"/>
  <c r="F218" i="6"/>
  <c r="K216" i="6"/>
  <c r="H217" i="6"/>
  <c r="G217" i="6"/>
  <c r="N217" i="6" s="1"/>
  <c r="C460" i="6"/>
  <c r="G218" i="6"/>
  <c r="N218" i="6" s="1"/>
  <c r="E219" i="6" l="1"/>
  <c r="O219" i="6" s="1"/>
  <c r="T217" i="6"/>
  <c r="I218" i="6"/>
  <c r="L218" i="6" s="1"/>
  <c r="R218" i="6"/>
  <c r="U218" i="6" s="1"/>
  <c r="W218" i="6" s="1"/>
  <c r="V217" i="6"/>
  <c r="V218" i="6" s="1"/>
  <c r="I217" i="6"/>
  <c r="L217" i="6" s="1"/>
  <c r="R217" i="6"/>
  <c r="U217" i="6" s="1"/>
  <c r="W217" i="6" s="1"/>
  <c r="S217" i="6"/>
  <c r="S218" i="6" s="1"/>
  <c r="K217" i="6"/>
  <c r="J217" i="6"/>
  <c r="J218" i="6" s="1"/>
  <c r="M217" i="6"/>
  <c r="M218" i="6" s="1"/>
  <c r="H219" i="6" l="1"/>
  <c r="G219" i="6"/>
  <c r="N219" i="6" s="1"/>
  <c r="F219" i="6"/>
  <c r="E220" i="6"/>
  <c r="F460" i="6" s="1"/>
  <c r="K218" i="6"/>
  <c r="T218" i="6"/>
  <c r="O220" i="6" l="1"/>
  <c r="E460" i="6"/>
  <c r="I219" i="6"/>
  <c r="L219" i="6" s="1"/>
  <c r="J219" i="6"/>
  <c r="T219" i="6"/>
  <c r="M219" i="6"/>
  <c r="G220" i="6"/>
  <c r="N220" i="6" s="1"/>
  <c r="S219" i="6"/>
  <c r="K219" i="6"/>
  <c r="V219" i="6"/>
  <c r="R219" i="6"/>
  <c r="U219" i="6" s="1"/>
  <c r="W219" i="6" s="1"/>
  <c r="H220" i="6"/>
  <c r="F220" i="6"/>
  <c r="E221" i="6"/>
  <c r="O221" i="6" s="1"/>
  <c r="V220" i="6" l="1"/>
  <c r="M220" i="6"/>
  <c r="I220" i="6"/>
  <c r="L220" i="6" s="1"/>
  <c r="R220" i="6"/>
  <c r="U220" i="6" s="1"/>
  <c r="W220" i="6" s="1"/>
  <c r="J220" i="6"/>
  <c r="K220" i="6"/>
  <c r="T220" i="6"/>
  <c r="S220" i="6"/>
  <c r="F221" i="6"/>
  <c r="G221" i="6"/>
  <c r="N221" i="6" s="1"/>
  <c r="H221" i="6"/>
  <c r="E222" i="6"/>
  <c r="O222" i="6" s="1"/>
  <c r="R221" i="6" l="1"/>
  <c r="U221" i="6" s="1"/>
  <c r="W221" i="6" s="1"/>
  <c r="T221" i="6"/>
  <c r="V221" i="6"/>
  <c r="S221" i="6"/>
  <c r="M221" i="6"/>
  <c r="K221" i="6"/>
  <c r="J221" i="6"/>
  <c r="G222" i="6"/>
  <c r="N222" i="6" s="1"/>
  <c r="I221" i="6"/>
  <c r="L221" i="6" s="1"/>
  <c r="H222" i="6"/>
  <c r="F222" i="6"/>
  <c r="E223" i="6"/>
  <c r="O223" i="6" s="1"/>
  <c r="V222" i="6" l="1"/>
  <c r="I222" i="6"/>
  <c r="L222" i="6" s="1"/>
  <c r="S222" i="6"/>
  <c r="G223" i="6"/>
  <c r="N223" i="6" s="1"/>
  <c r="J222" i="6"/>
  <c r="T222" i="6"/>
  <c r="R222" i="6"/>
  <c r="U222" i="6" s="1"/>
  <c r="W222" i="6" s="1"/>
  <c r="K222" i="6"/>
  <c r="F223" i="6"/>
  <c r="M222" i="6"/>
  <c r="E224" i="6"/>
  <c r="O224" i="6" s="1"/>
  <c r="H223" i="6"/>
  <c r="E225" i="6"/>
  <c r="O225" i="6" s="1"/>
  <c r="S223" i="6" l="1"/>
  <c r="M223" i="6"/>
  <c r="V223" i="6"/>
  <c r="K223" i="6"/>
  <c r="I223" i="6"/>
  <c r="L223" i="6" s="1"/>
  <c r="T223" i="6"/>
  <c r="R223" i="6"/>
  <c r="U223" i="6" s="1"/>
  <c r="W223" i="6" s="1"/>
  <c r="J223" i="6"/>
  <c r="G224" i="6"/>
  <c r="N224" i="6" s="1"/>
  <c r="F224" i="6"/>
  <c r="H224" i="6"/>
  <c r="H225" i="6"/>
  <c r="F225" i="6"/>
  <c r="E226" i="6"/>
  <c r="O226" i="6" s="1"/>
  <c r="G225" i="6"/>
  <c r="N225" i="6" s="1"/>
  <c r="M224" i="6" l="1"/>
  <c r="M225" i="6" s="1"/>
  <c r="S224" i="6"/>
  <c r="S225" i="6" s="1"/>
  <c r="J224" i="6"/>
  <c r="R224" i="6"/>
  <c r="U224" i="6" s="1"/>
  <c r="W224" i="6" s="1"/>
  <c r="V224" i="6"/>
  <c r="V225" i="6" s="1"/>
  <c r="I224" i="6"/>
  <c r="L224" i="6" s="1"/>
  <c r="T224" i="6"/>
  <c r="K224" i="6"/>
  <c r="I225" i="6"/>
  <c r="L225" i="6" s="1"/>
  <c r="R225" i="6"/>
  <c r="U225" i="6" s="1"/>
  <c r="W225" i="6" s="1"/>
  <c r="H226" i="6"/>
  <c r="F226" i="6"/>
  <c r="E227" i="6"/>
  <c r="O227" i="6" s="1"/>
  <c r="G226" i="6"/>
  <c r="N226" i="6" s="1"/>
  <c r="T225" i="6" l="1"/>
  <c r="T226" i="6" s="1"/>
  <c r="K225" i="6"/>
  <c r="J225" i="6"/>
  <c r="I226" i="6"/>
  <c r="L226" i="6" s="1"/>
  <c r="R226" i="6"/>
  <c r="U226" i="6" s="1"/>
  <c r="W226" i="6" s="1"/>
  <c r="S226" i="6"/>
  <c r="H227" i="6"/>
  <c r="F227" i="6"/>
  <c r="V226" i="6"/>
  <c r="M226" i="6"/>
  <c r="E228" i="6"/>
  <c r="O228" i="6" s="1"/>
  <c r="G227" i="6"/>
  <c r="N227" i="6" s="1"/>
  <c r="K226" i="6" l="1"/>
  <c r="J226" i="6"/>
  <c r="J227" i="6" s="1"/>
  <c r="S227" i="6"/>
  <c r="H228" i="6"/>
  <c r="F228" i="6"/>
  <c r="I227" i="6"/>
  <c r="L227" i="6" s="1"/>
  <c r="R227" i="6"/>
  <c r="U227" i="6" s="1"/>
  <c r="W227" i="6" s="1"/>
  <c r="T227" i="6"/>
  <c r="V227" i="6"/>
  <c r="M227" i="6"/>
  <c r="E229" i="6"/>
  <c r="O229" i="6" s="1"/>
  <c r="G228" i="6"/>
  <c r="N228" i="6" s="1"/>
  <c r="K227" i="6" l="1"/>
  <c r="K228" i="6" s="1"/>
  <c r="I228" i="6"/>
  <c r="L228" i="6" s="1"/>
  <c r="R228" i="6"/>
  <c r="U228" i="6" s="1"/>
  <c r="W228" i="6" s="1"/>
  <c r="T228" i="6"/>
  <c r="S228" i="6"/>
  <c r="H229" i="6"/>
  <c r="F229" i="6"/>
  <c r="J228" i="6"/>
  <c r="V228" i="6"/>
  <c r="M228" i="6"/>
  <c r="E230" i="6"/>
  <c r="G229" i="6"/>
  <c r="N229" i="6" s="1"/>
  <c r="J229" i="6" l="1"/>
  <c r="K229" i="6"/>
  <c r="T229" i="6"/>
  <c r="I229" i="6"/>
  <c r="L229" i="6" s="1"/>
  <c r="R229" i="6"/>
  <c r="U229" i="6" s="1"/>
  <c r="W229" i="6" s="1"/>
  <c r="S229" i="6"/>
  <c r="V229" i="6"/>
  <c r="O230" i="6"/>
  <c r="M229" i="6"/>
  <c r="E231" i="6"/>
  <c r="F230" i="6" l="1"/>
  <c r="H230" i="6"/>
  <c r="G230" i="6"/>
  <c r="N230" i="6" s="1"/>
  <c r="O231" i="6"/>
  <c r="C461" i="6"/>
  <c r="E232" i="6" l="1"/>
  <c r="O232" i="6" s="1"/>
  <c r="K230" i="6"/>
  <c r="F231" i="6"/>
  <c r="J230" i="6"/>
  <c r="I230" i="6"/>
  <c r="R230" i="6"/>
  <c r="U230" i="6" s="1"/>
  <c r="W230" i="6" s="1"/>
  <c r="S230" i="6"/>
  <c r="T230" i="6"/>
  <c r="V230" i="6"/>
  <c r="H231" i="6"/>
  <c r="M230" i="6"/>
  <c r="G231" i="6"/>
  <c r="N231" i="6" s="1"/>
  <c r="E233" i="6"/>
  <c r="F461" i="6" s="1"/>
  <c r="H232" i="6" l="1"/>
  <c r="G232" i="6"/>
  <c r="N232" i="6" s="1"/>
  <c r="F232" i="6"/>
  <c r="O233" i="6"/>
  <c r="E461" i="6"/>
  <c r="H233" i="6"/>
  <c r="F233" i="6"/>
  <c r="T231" i="6"/>
  <c r="J231" i="6"/>
  <c r="I231" i="6"/>
  <c r="R231" i="6"/>
  <c r="S231" i="6"/>
  <c r="K231" i="6"/>
  <c r="V231" i="6"/>
  <c r="L230" i="6"/>
  <c r="M231" i="6"/>
  <c r="E234" i="6"/>
  <c r="G233" i="6"/>
  <c r="N233" i="6" s="1"/>
  <c r="S232" i="6" l="1"/>
  <c r="S233" i="6" s="1"/>
  <c r="M232" i="6"/>
  <c r="M233" i="6" s="1"/>
  <c r="R232" i="6"/>
  <c r="U232" i="6" s="1"/>
  <c r="W232" i="6" s="1"/>
  <c r="V232" i="6"/>
  <c r="V233" i="6" s="1"/>
  <c r="I232" i="6"/>
  <c r="L232" i="6" s="1"/>
  <c r="J232" i="6"/>
  <c r="J233" i="6" s="1"/>
  <c r="K232" i="6"/>
  <c r="T232" i="6"/>
  <c r="I233" i="6"/>
  <c r="L233" i="6" s="1"/>
  <c r="R233" i="6"/>
  <c r="U231" i="6"/>
  <c r="W231" i="6" s="1"/>
  <c r="L231" i="6"/>
  <c r="O234" i="6"/>
  <c r="T233" i="6" l="1"/>
  <c r="K233" i="6"/>
  <c r="E235" i="6"/>
  <c r="O235" i="6" s="1"/>
  <c r="F234" i="6"/>
  <c r="U233" i="6"/>
  <c r="W233" i="6" s="1"/>
  <c r="G234" i="6"/>
  <c r="N234" i="6" s="1"/>
  <c r="H234" i="6"/>
  <c r="E236" i="6"/>
  <c r="O236" i="6" s="1"/>
  <c r="S234" i="6" l="1"/>
  <c r="F235" i="6"/>
  <c r="M234" i="6"/>
  <c r="J234" i="6"/>
  <c r="H236" i="6"/>
  <c r="F236" i="6"/>
  <c r="V234" i="6"/>
  <c r="I234" i="6"/>
  <c r="L234" i="6" s="1"/>
  <c r="R234" i="6"/>
  <c r="K234" i="6"/>
  <c r="T234" i="6"/>
  <c r="G235" i="6"/>
  <c r="N235" i="6" s="1"/>
  <c r="H235" i="6"/>
  <c r="E237" i="6"/>
  <c r="G237" i="6" s="1"/>
  <c r="G236" i="6"/>
  <c r="N236" i="6" s="1"/>
  <c r="O237" i="6" l="1"/>
  <c r="K235" i="6"/>
  <c r="H237" i="6"/>
  <c r="F237" i="6"/>
  <c r="I236" i="6"/>
  <c r="L236" i="6" s="1"/>
  <c r="R236" i="6"/>
  <c r="U236" i="6" s="1"/>
  <c r="W236" i="6" s="1"/>
  <c r="I235" i="6"/>
  <c r="L235" i="6" s="1"/>
  <c r="R235" i="6"/>
  <c r="J235" i="6"/>
  <c r="J236" i="6" s="1"/>
  <c r="T235" i="6"/>
  <c r="S235" i="6"/>
  <c r="S236" i="6" s="1"/>
  <c r="U234" i="6"/>
  <c r="W234" i="6" s="1"/>
  <c r="V235" i="6"/>
  <c r="V236" i="6" s="1"/>
  <c r="M235" i="6"/>
  <c r="M236" i="6" s="1"/>
  <c r="N237" i="6"/>
  <c r="E238" i="6" l="1"/>
  <c r="O238" i="6" s="1"/>
  <c r="S237" i="6"/>
  <c r="I237" i="6"/>
  <c r="L237" i="6" s="1"/>
  <c r="R237" i="6"/>
  <c r="T236" i="6"/>
  <c r="T237" i="6" s="1"/>
  <c r="V237" i="6"/>
  <c r="J237" i="6"/>
  <c r="K236" i="6"/>
  <c r="K237" i="6" s="1"/>
  <c r="U235" i="6"/>
  <c r="W235" i="6" s="1"/>
  <c r="M237" i="6"/>
  <c r="G238" i="6" l="1"/>
  <c r="N238" i="6" s="1"/>
  <c r="F238" i="6"/>
  <c r="H238" i="6"/>
  <c r="E239" i="6"/>
  <c r="O239" i="6" s="1"/>
  <c r="U237" i="6"/>
  <c r="W237" i="6" s="1"/>
  <c r="E240" i="6"/>
  <c r="O240" i="6" s="1"/>
  <c r="J238" i="6" l="1"/>
  <c r="F239" i="6"/>
  <c r="R238" i="6"/>
  <c r="U238" i="6" s="1"/>
  <c r="W238" i="6" s="1"/>
  <c r="V238" i="6"/>
  <c r="M238" i="6"/>
  <c r="H239" i="6"/>
  <c r="T238" i="6"/>
  <c r="G239" i="6"/>
  <c r="N239" i="6" s="1"/>
  <c r="S238" i="6"/>
  <c r="I238" i="6"/>
  <c r="L238" i="6" s="1"/>
  <c r="K238" i="6"/>
  <c r="H240" i="6"/>
  <c r="F240" i="6"/>
  <c r="E241" i="6"/>
  <c r="G240" i="6"/>
  <c r="N240" i="6" s="1"/>
  <c r="K239" i="6" l="1"/>
  <c r="R239" i="6"/>
  <c r="U239" i="6" s="1"/>
  <c r="W239" i="6" s="1"/>
  <c r="J239" i="6"/>
  <c r="I239" i="6"/>
  <c r="L239" i="6" s="1"/>
  <c r="V239" i="6"/>
  <c r="V240" i="6" s="1"/>
  <c r="T239" i="6"/>
  <c r="M239" i="6"/>
  <c r="M240" i="6" s="1"/>
  <c r="S239" i="6"/>
  <c r="S240" i="6" s="1"/>
  <c r="I240" i="6"/>
  <c r="L240" i="6" s="1"/>
  <c r="R240" i="6"/>
  <c r="U240" i="6" s="1"/>
  <c r="W240" i="6" s="1"/>
  <c r="O241" i="6"/>
  <c r="E242" i="6"/>
  <c r="K240" i="6" l="1"/>
  <c r="J240" i="6"/>
  <c r="T240" i="6"/>
  <c r="F241" i="6"/>
  <c r="H241" i="6"/>
  <c r="G241" i="6"/>
  <c r="N241" i="6" s="1"/>
  <c r="O242" i="6"/>
  <c r="E243" i="6"/>
  <c r="O243" i="6" s="1"/>
  <c r="T241" i="6" l="1"/>
  <c r="F242" i="6"/>
  <c r="H243" i="6"/>
  <c r="F243" i="6"/>
  <c r="S241" i="6"/>
  <c r="I241" i="6"/>
  <c r="R241" i="6"/>
  <c r="U241" i="6" s="1"/>
  <c r="K241" i="6"/>
  <c r="J241" i="6"/>
  <c r="V241" i="6"/>
  <c r="H242" i="6"/>
  <c r="M241" i="6"/>
  <c r="G242" i="6"/>
  <c r="N242" i="6" s="1"/>
  <c r="E244" i="6"/>
  <c r="O244" i="6" s="1"/>
  <c r="G243" i="6"/>
  <c r="N243" i="6" s="1"/>
  <c r="I243" i="6" l="1"/>
  <c r="L243" i="6" s="1"/>
  <c r="R243" i="6"/>
  <c r="J242" i="6"/>
  <c r="J243" i="6" s="1"/>
  <c r="S242" i="6"/>
  <c r="S243" i="6" s="1"/>
  <c r="H244" i="6"/>
  <c r="F244" i="6"/>
  <c r="K242" i="6"/>
  <c r="I242" i="6"/>
  <c r="L242" i="6" s="1"/>
  <c r="R242" i="6"/>
  <c r="T242" i="6"/>
  <c r="V242" i="6"/>
  <c r="V243" i="6" s="1"/>
  <c r="W241" i="6"/>
  <c r="L241" i="6"/>
  <c r="M242" i="6"/>
  <c r="M243" i="6" s="1"/>
  <c r="C462" i="6"/>
  <c r="G244" i="6"/>
  <c r="N244" i="6" s="1"/>
  <c r="E245" i="6" l="1"/>
  <c r="O245" i="6" s="1"/>
  <c r="K243" i="6"/>
  <c r="K244" i="6" s="1"/>
  <c r="T243" i="6"/>
  <c r="T244" i="6" s="1"/>
  <c r="S244" i="6"/>
  <c r="I244" i="6"/>
  <c r="L244" i="6" s="1"/>
  <c r="R244" i="6"/>
  <c r="U244" i="6" s="1"/>
  <c r="J244" i="6"/>
  <c r="U242" i="6"/>
  <c r="W242" i="6" s="1"/>
  <c r="V244" i="6"/>
  <c r="U243" i="6"/>
  <c r="W243" i="6" s="1"/>
  <c r="M244" i="6"/>
  <c r="F245" i="6" l="1"/>
  <c r="H245" i="6"/>
  <c r="G245" i="6"/>
  <c r="N245" i="6" s="1"/>
  <c r="E246" i="6"/>
  <c r="F462" i="6" s="1"/>
  <c r="W244" i="6"/>
  <c r="E247" i="6"/>
  <c r="O247" i="6" s="1"/>
  <c r="M245" i="6" l="1"/>
  <c r="S245" i="6"/>
  <c r="T245" i="6"/>
  <c r="V245" i="6"/>
  <c r="R245" i="6"/>
  <c r="U245" i="6" s="1"/>
  <c r="W245" i="6" s="1"/>
  <c r="K245" i="6"/>
  <c r="J245" i="6"/>
  <c r="I245" i="6"/>
  <c r="L245" i="6" s="1"/>
  <c r="O246" i="6"/>
  <c r="E462" i="6"/>
  <c r="F246" i="6"/>
  <c r="G246" i="6"/>
  <c r="N246" i="6" s="1"/>
  <c r="H246" i="6"/>
  <c r="H247" i="6"/>
  <c r="F247" i="6"/>
  <c r="G247" i="6"/>
  <c r="N247" i="6" s="1"/>
  <c r="I246" i="6" l="1"/>
  <c r="L246" i="6" s="1"/>
  <c r="J246" i="6"/>
  <c r="J247" i="6" s="1"/>
  <c r="M246" i="6"/>
  <c r="M247" i="6" s="1"/>
  <c r="S246" i="6"/>
  <c r="V246" i="6"/>
  <c r="V247" i="6" s="1"/>
  <c r="K246" i="6"/>
  <c r="T246" i="6"/>
  <c r="R246" i="6"/>
  <c r="U246" i="6" s="1"/>
  <c r="W246" i="6" s="1"/>
  <c r="E248" i="6"/>
  <c r="O248" i="6" s="1"/>
  <c r="I247" i="6"/>
  <c r="R247" i="6"/>
  <c r="U247" i="6" s="1"/>
  <c r="W247" i="6" s="1"/>
  <c r="K247" i="6" l="1"/>
  <c r="G248" i="6"/>
  <c r="N248" i="6" s="1"/>
  <c r="T247" i="6"/>
  <c r="S247" i="6"/>
  <c r="H248" i="6"/>
  <c r="E249" i="6"/>
  <c r="O249" i="6" s="1"/>
  <c r="F248" i="6"/>
  <c r="L247" i="6"/>
  <c r="E250" i="6"/>
  <c r="O250" i="6" s="1"/>
  <c r="M248" i="6" l="1"/>
  <c r="I248" i="6"/>
  <c r="L248" i="6" s="1"/>
  <c r="V248" i="6"/>
  <c r="J248" i="6"/>
  <c r="K248" i="6"/>
  <c r="R248" i="6"/>
  <c r="U248" i="6" s="1"/>
  <c r="W248" i="6" s="1"/>
  <c r="S248" i="6"/>
  <c r="T248" i="6"/>
  <c r="F249" i="6"/>
  <c r="G249" i="6"/>
  <c r="N249" i="6" s="1"/>
  <c r="H249" i="6"/>
  <c r="H250" i="6"/>
  <c r="F250" i="6"/>
  <c r="E251" i="6"/>
  <c r="O251" i="6" s="1"/>
  <c r="G250" i="6"/>
  <c r="N250" i="6" s="1"/>
  <c r="M249" i="6" l="1"/>
  <c r="M250" i="6" s="1"/>
  <c r="V249" i="6"/>
  <c r="V250" i="6" s="1"/>
  <c r="S249" i="6"/>
  <c r="S250" i="6" s="1"/>
  <c r="K249" i="6"/>
  <c r="T249" i="6"/>
  <c r="J249" i="6"/>
  <c r="R249" i="6"/>
  <c r="U249" i="6" s="1"/>
  <c r="W249" i="6" s="1"/>
  <c r="I249" i="6"/>
  <c r="L249" i="6" s="1"/>
  <c r="I250" i="6"/>
  <c r="L250" i="6" s="1"/>
  <c r="R250" i="6"/>
  <c r="U250" i="6" s="1"/>
  <c r="W250" i="6" s="1"/>
  <c r="H251" i="6"/>
  <c r="F251" i="6"/>
  <c r="G251" i="6"/>
  <c r="N251" i="6" s="1"/>
  <c r="T250" i="6" l="1"/>
  <c r="T251" i="6" s="1"/>
  <c r="K250" i="6"/>
  <c r="J250" i="6"/>
  <c r="J251" i="6" s="1"/>
  <c r="E252" i="6"/>
  <c r="O252" i="6" s="1"/>
  <c r="S251" i="6"/>
  <c r="I251" i="6"/>
  <c r="L251" i="6" s="1"/>
  <c r="R251" i="6"/>
  <c r="V251" i="6"/>
  <c r="M251" i="6"/>
  <c r="K251" i="6" l="1"/>
  <c r="G252" i="6"/>
  <c r="N252" i="6" s="1"/>
  <c r="H252" i="6"/>
  <c r="F252" i="6"/>
  <c r="E253" i="6"/>
  <c r="O253" i="6" s="1"/>
  <c r="U251" i="6"/>
  <c r="W251" i="6" s="1"/>
  <c r="E254" i="6"/>
  <c r="O254" i="6" s="1"/>
  <c r="K252" i="6" l="1"/>
  <c r="M252" i="6"/>
  <c r="R252" i="6"/>
  <c r="U252" i="6" s="1"/>
  <c r="W252" i="6" s="1"/>
  <c r="J252" i="6"/>
  <c r="V252" i="6"/>
  <c r="I252" i="6"/>
  <c r="L252" i="6" s="1"/>
  <c r="S252" i="6"/>
  <c r="T252" i="6"/>
  <c r="G253" i="6"/>
  <c r="N253" i="6" s="1"/>
  <c r="F253" i="6"/>
  <c r="H253" i="6"/>
  <c r="H254" i="6"/>
  <c r="F254" i="6"/>
  <c r="G254" i="6"/>
  <c r="N254" i="6" s="1"/>
  <c r="V253" i="6" l="1"/>
  <c r="V254" i="6" s="1"/>
  <c r="I253" i="6"/>
  <c r="L253" i="6" s="1"/>
  <c r="K253" i="6"/>
  <c r="T253" i="6"/>
  <c r="J253" i="6"/>
  <c r="S253" i="6"/>
  <c r="M253" i="6"/>
  <c r="M254" i="6" s="1"/>
  <c r="R253" i="6"/>
  <c r="U253" i="6" s="1"/>
  <c r="W253" i="6" s="1"/>
  <c r="E255" i="6"/>
  <c r="O255" i="6" s="1"/>
  <c r="I254" i="6"/>
  <c r="L254" i="6" s="1"/>
  <c r="R254" i="6"/>
  <c r="U254" i="6" s="1"/>
  <c r="W254" i="6" s="1"/>
  <c r="E256" i="6"/>
  <c r="O256" i="6" s="1"/>
  <c r="K254" i="6" l="1"/>
  <c r="J254" i="6"/>
  <c r="T254" i="6"/>
  <c r="S254" i="6"/>
  <c r="F255" i="6"/>
  <c r="H256" i="6"/>
  <c r="F256" i="6"/>
  <c r="H255" i="6"/>
  <c r="G255" i="6"/>
  <c r="N255" i="6" s="1"/>
  <c r="E257" i="6"/>
  <c r="O257" i="6" s="1"/>
  <c r="G256" i="6"/>
  <c r="N256" i="6" s="1"/>
  <c r="K255" i="6" l="1"/>
  <c r="T255" i="6"/>
  <c r="H257" i="6"/>
  <c r="F257" i="6"/>
  <c r="I256" i="6"/>
  <c r="L256" i="6" s="1"/>
  <c r="R256" i="6"/>
  <c r="U256" i="6" s="1"/>
  <c r="W256" i="6" s="1"/>
  <c r="V255" i="6"/>
  <c r="V256" i="6" s="1"/>
  <c r="S255" i="6"/>
  <c r="S256" i="6" s="1"/>
  <c r="I255" i="6"/>
  <c r="L255" i="6" s="1"/>
  <c r="R255" i="6"/>
  <c r="U255" i="6" s="1"/>
  <c r="J255" i="6"/>
  <c r="J256" i="6" s="1"/>
  <c r="M255" i="6"/>
  <c r="M256" i="6" s="1"/>
  <c r="G257" i="6"/>
  <c r="N257" i="6" s="1"/>
  <c r="C463" i="6"/>
  <c r="E258" i="6" l="1"/>
  <c r="O258" i="6" s="1"/>
  <c r="V257" i="6"/>
  <c r="S257" i="6"/>
  <c r="J257" i="6"/>
  <c r="I257" i="6"/>
  <c r="R257" i="6"/>
  <c r="T256" i="6"/>
  <c r="T257" i="6" s="1"/>
  <c r="K256" i="6"/>
  <c r="K257" i="6" s="1"/>
  <c r="W255" i="6"/>
  <c r="M257" i="6"/>
  <c r="E259" i="6"/>
  <c r="F463" i="6" s="1"/>
  <c r="O259" i="6" l="1"/>
  <c r="E463" i="6"/>
  <c r="F258" i="6"/>
  <c r="H259" i="6"/>
  <c r="F259" i="6"/>
  <c r="U257" i="6"/>
  <c r="W257" i="6" s="1"/>
  <c r="G258" i="6"/>
  <c r="N258" i="6" s="1"/>
  <c r="H258" i="6"/>
  <c r="L257" i="6"/>
  <c r="G259" i="6"/>
  <c r="N259" i="6" s="1"/>
  <c r="E260" i="6" l="1"/>
  <c r="O260" i="6" s="1"/>
  <c r="S258" i="6"/>
  <c r="S259" i="6" s="1"/>
  <c r="M258" i="6"/>
  <c r="M259" i="6" s="1"/>
  <c r="V258" i="6"/>
  <c r="V259" i="6" s="1"/>
  <c r="I258" i="6"/>
  <c r="L258" i="6" s="1"/>
  <c r="R258" i="6"/>
  <c r="J258" i="6"/>
  <c r="J259" i="6" s="1"/>
  <c r="K258" i="6"/>
  <c r="I259" i="6"/>
  <c r="L259" i="6" s="1"/>
  <c r="R259" i="6"/>
  <c r="U259" i="6" s="1"/>
  <c r="W259" i="6" s="1"/>
  <c r="T258" i="6"/>
  <c r="E261" i="6"/>
  <c r="O261" i="6" s="1"/>
  <c r="F260" i="6" l="1"/>
  <c r="G260" i="6"/>
  <c r="N260" i="6" s="1"/>
  <c r="H260" i="6"/>
  <c r="T259" i="6"/>
  <c r="K259" i="6"/>
  <c r="H261" i="6"/>
  <c r="F261" i="6"/>
  <c r="U258" i="6"/>
  <c r="W258" i="6" s="1"/>
  <c r="G261" i="6"/>
  <c r="N261" i="6" s="1"/>
  <c r="S260" i="6" l="1"/>
  <c r="S261" i="6" s="1"/>
  <c r="I260" i="6"/>
  <c r="L260" i="6" s="1"/>
  <c r="M260" i="6"/>
  <c r="M261" i="6" s="1"/>
  <c r="V260" i="6"/>
  <c r="V261" i="6" s="1"/>
  <c r="K260" i="6"/>
  <c r="R260" i="6"/>
  <c r="U260" i="6" s="1"/>
  <c r="W260" i="6" s="1"/>
  <c r="J260" i="6"/>
  <c r="J261" i="6" s="1"/>
  <c r="T260" i="6"/>
  <c r="E262" i="6"/>
  <c r="O262" i="6" s="1"/>
  <c r="I261" i="6"/>
  <c r="L261" i="6" s="1"/>
  <c r="R261" i="6"/>
  <c r="T261" i="6" l="1"/>
  <c r="K261" i="6"/>
  <c r="G262" i="6"/>
  <c r="N262" i="6" s="1"/>
  <c r="F262" i="6"/>
  <c r="H262" i="6"/>
  <c r="E263" i="6"/>
  <c r="O263" i="6" s="1"/>
  <c r="U261" i="6"/>
  <c r="W261" i="6" s="1"/>
  <c r="E264" i="6"/>
  <c r="O264" i="6" s="1"/>
  <c r="J262" i="6" l="1"/>
  <c r="M262" i="6"/>
  <c r="K262" i="6"/>
  <c r="S262" i="6"/>
  <c r="T262" i="6"/>
  <c r="V262" i="6"/>
  <c r="I262" i="6"/>
  <c r="L262" i="6" s="1"/>
  <c r="R262" i="6"/>
  <c r="U262" i="6" s="1"/>
  <c r="W262" i="6" s="1"/>
  <c r="F263" i="6"/>
  <c r="H263" i="6"/>
  <c r="G263" i="6"/>
  <c r="N263" i="6" s="1"/>
  <c r="H264" i="6"/>
  <c r="F264" i="6"/>
  <c r="G264" i="6"/>
  <c r="N264" i="6" s="1"/>
  <c r="T263" i="6" l="1"/>
  <c r="S263" i="6"/>
  <c r="S264" i="6" s="1"/>
  <c r="V263" i="6"/>
  <c r="V264" i="6" s="1"/>
  <c r="M263" i="6"/>
  <c r="M264" i="6" s="1"/>
  <c r="I263" i="6"/>
  <c r="L263" i="6" s="1"/>
  <c r="K263" i="6"/>
  <c r="J263" i="6"/>
  <c r="R263" i="6"/>
  <c r="U263" i="6" s="1"/>
  <c r="W263" i="6" s="1"/>
  <c r="E265" i="6"/>
  <c r="O265" i="6" s="1"/>
  <c r="I264" i="6"/>
  <c r="R264" i="6"/>
  <c r="U264" i="6" s="1"/>
  <c r="W264" i="6" s="1"/>
  <c r="E266" i="6"/>
  <c r="O266" i="6" s="1"/>
  <c r="K264" i="6" l="1"/>
  <c r="T264" i="6"/>
  <c r="J264" i="6"/>
  <c r="F265" i="6"/>
  <c r="H266" i="6"/>
  <c r="F266" i="6"/>
  <c r="H265" i="6"/>
  <c r="G265" i="6"/>
  <c r="N265" i="6" s="1"/>
  <c r="L264" i="6"/>
  <c r="G266" i="6"/>
  <c r="N266" i="6" s="1"/>
  <c r="E267" i="6" l="1"/>
  <c r="O267" i="6" s="1"/>
  <c r="I265" i="6"/>
  <c r="R265" i="6"/>
  <c r="J265" i="6"/>
  <c r="J266" i="6" s="1"/>
  <c r="I266" i="6"/>
  <c r="L266" i="6" s="1"/>
  <c r="R266" i="6"/>
  <c r="U266" i="6" s="1"/>
  <c r="W266" i="6" s="1"/>
  <c r="S265" i="6"/>
  <c r="S266" i="6" s="1"/>
  <c r="K265" i="6"/>
  <c r="T265" i="6"/>
  <c r="V265" i="6"/>
  <c r="V266" i="6" s="1"/>
  <c r="M265" i="6"/>
  <c r="M266" i="6" s="1"/>
  <c r="F267" i="6" l="1"/>
  <c r="G267" i="6"/>
  <c r="N267" i="6" s="1"/>
  <c r="H267" i="6"/>
  <c r="E268" i="6"/>
  <c r="F268" i="6" s="1"/>
  <c r="T266" i="6"/>
  <c r="K266" i="6"/>
  <c r="U265" i="6"/>
  <c r="W265" i="6" s="1"/>
  <c r="L265" i="6"/>
  <c r="M267" i="6" l="1"/>
  <c r="I267" i="6"/>
  <c r="L267" i="6" s="1"/>
  <c r="S267" i="6"/>
  <c r="K267" i="6"/>
  <c r="V267" i="6"/>
  <c r="R267" i="6"/>
  <c r="U267" i="6" s="1"/>
  <c r="W267" i="6" s="1"/>
  <c r="J267" i="6"/>
  <c r="T267" i="6"/>
  <c r="G268" i="6"/>
  <c r="N268" i="6" s="1"/>
  <c r="O268" i="6"/>
  <c r="H268" i="6"/>
  <c r="E269" i="6"/>
  <c r="O269" i="6" s="1"/>
  <c r="E270" i="6"/>
  <c r="I268" i="6" l="1"/>
  <c r="L268" i="6" s="1"/>
  <c r="J268" i="6"/>
  <c r="V268" i="6"/>
  <c r="K268" i="6"/>
  <c r="T268" i="6"/>
  <c r="M268" i="6"/>
  <c r="S268" i="6"/>
  <c r="R268" i="6"/>
  <c r="U268" i="6" s="1"/>
  <c r="W268" i="6" s="1"/>
  <c r="F269" i="6"/>
  <c r="G269" i="6"/>
  <c r="N269" i="6" s="1"/>
  <c r="H269" i="6"/>
  <c r="O270" i="6"/>
  <c r="C464" i="6"/>
  <c r="E271" i="6" l="1"/>
  <c r="O271" i="6" s="1"/>
  <c r="S269" i="6"/>
  <c r="F270" i="6"/>
  <c r="J269" i="6"/>
  <c r="I269" i="6"/>
  <c r="L269" i="6" s="1"/>
  <c r="R269" i="6"/>
  <c r="U269" i="6" s="1"/>
  <c r="W269" i="6" s="1"/>
  <c r="K269" i="6"/>
  <c r="T269" i="6"/>
  <c r="V269" i="6"/>
  <c r="M269" i="6"/>
  <c r="H270" i="6"/>
  <c r="G270" i="6"/>
  <c r="N270" i="6" s="1"/>
  <c r="E272" i="6"/>
  <c r="F464" i="6" s="1"/>
  <c r="O272" i="6" l="1"/>
  <c r="E464" i="6"/>
  <c r="G271" i="6"/>
  <c r="N271" i="6" s="1"/>
  <c r="F271" i="6"/>
  <c r="H271" i="6"/>
  <c r="T270" i="6"/>
  <c r="H272" i="6"/>
  <c r="F272" i="6"/>
  <c r="I270" i="6"/>
  <c r="R270" i="6"/>
  <c r="J270" i="6"/>
  <c r="K270" i="6"/>
  <c r="S270" i="6"/>
  <c r="V270" i="6"/>
  <c r="M270" i="6"/>
  <c r="E273" i="6"/>
  <c r="G272" i="6"/>
  <c r="N272" i="6" s="1"/>
  <c r="I271" i="6" l="1"/>
  <c r="L271" i="6" s="1"/>
  <c r="S271" i="6"/>
  <c r="S272" i="6" s="1"/>
  <c r="M271" i="6"/>
  <c r="M272" i="6" s="1"/>
  <c r="J271" i="6"/>
  <c r="J272" i="6" s="1"/>
  <c r="V271" i="6"/>
  <c r="V272" i="6" s="1"/>
  <c r="R271" i="6"/>
  <c r="U271" i="6" s="1"/>
  <c r="W271" i="6" s="1"/>
  <c r="K271" i="6"/>
  <c r="I272" i="6"/>
  <c r="L272" i="6" s="1"/>
  <c r="R272" i="6"/>
  <c r="T271" i="6"/>
  <c r="U270" i="6"/>
  <c r="W270" i="6" s="1"/>
  <c r="L270" i="6"/>
  <c r="O273" i="6"/>
  <c r="T272" i="6" l="1"/>
  <c r="K272" i="6"/>
  <c r="E274" i="6"/>
  <c r="O274" i="6" s="1"/>
  <c r="F273" i="6"/>
  <c r="U272" i="6"/>
  <c r="W272" i="6" s="1"/>
  <c r="H273" i="6"/>
  <c r="G273" i="6"/>
  <c r="N273" i="6" s="1"/>
  <c r="F274" i="6" l="1"/>
  <c r="G274" i="6"/>
  <c r="N274" i="6" s="1"/>
  <c r="E275" i="6"/>
  <c r="O275" i="6" s="1"/>
  <c r="H274" i="6"/>
  <c r="S273" i="6"/>
  <c r="V273" i="6"/>
  <c r="T273" i="6"/>
  <c r="I273" i="6"/>
  <c r="R273" i="6"/>
  <c r="U273" i="6" s="1"/>
  <c r="W273" i="6" s="1"/>
  <c r="J273" i="6"/>
  <c r="K273" i="6"/>
  <c r="M273" i="6"/>
  <c r="E276" i="6"/>
  <c r="O276" i="6" s="1"/>
  <c r="R274" i="6" l="1"/>
  <c r="U274" i="6" s="1"/>
  <c r="W274" i="6" s="1"/>
  <c r="S274" i="6"/>
  <c r="J274" i="6"/>
  <c r="V274" i="6"/>
  <c r="M274" i="6"/>
  <c r="I274" i="6"/>
  <c r="L274" i="6" s="1"/>
  <c r="T274" i="6"/>
  <c r="F275" i="6"/>
  <c r="K274" i="6"/>
  <c r="H276" i="6"/>
  <c r="F276" i="6"/>
  <c r="H275" i="6"/>
  <c r="L273" i="6"/>
  <c r="G275" i="6"/>
  <c r="N275" i="6" s="1"/>
  <c r="G276" i="6"/>
  <c r="N276" i="6" s="1"/>
  <c r="E277" i="6" l="1"/>
  <c r="O277" i="6" s="1"/>
  <c r="V275" i="6"/>
  <c r="V276" i="6" s="1"/>
  <c r="I275" i="6"/>
  <c r="L275" i="6" s="1"/>
  <c r="R275" i="6"/>
  <c r="S275" i="6"/>
  <c r="S276" i="6" s="1"/>
  <c r="K275" i="6"/>
  <c r="I276" i="6"/>
  <c r="L276" i="6" s="1"/>
  <c r="R276" i="6"/>
  <c r="U276" i="6" s="1"/>
  <c r="W276" i="6" s="1"/>
  <c r="T275" i="6"/>
  <c r="J275" i="6"/>
  <c r="J276" i="6" s="1"/>
  <c r="M275" i="6"/>
  <c r="M276" i="6" s="1"/>
  <c r="F277" i="6" l="1"/>
  <c r="G277" i="6"/>
  <c r="N277" i="6" s="1"/>
  <c r="E278" i="6"/>
  <c r="O278" i="6" s="1"/>
  <c r="H277" i="6"/>
  <c r="T276" i="6"/>
  <c r="K276" i="6"/>
  <c r="U275" i="6"/>
  <c r="W275" i="6" s="1"/>
  <c r="E279" i="6"/>
  <c r="O279" i="6" s="1"/>
  <c r="F278" i="6" l="1"/>
  <c r="S277" i="6"/>
  <c r="V277" i="6"/>
  <c r="R277" i="6"/>
  <c r="U277" i="6" s="1"/>
  <c r="W277" i="6" s="1"/>
  <c r="G278" i="6"/>
  <c r="N278" i="6" s="1"/>
  <c r="H278" i="6"/>
  <c r="K277" i="6"/>
  <c r="J277" i="6"/>
  <c r="T277" i="6"/>
  <c r="M277" i="6"/>
  <c r="I277" i="6"/>
  <c r="L277" i="6" s="1"/>
  <c r="H279" i="6"/>
  <c r="F279" i="6"/>
  <c r="E280" i="6"/>
  <c r="G279" i="6"/>
  <c r="N279" i="6" s="1"/>
  <c r="T278" i="6" l="1"/>
  <c r="I278" i="6"/>
  <c r="L278" i="6" s="1"/>
  <c r="M278" i="6"/>
  <c r="M279" i="6" s="1"/>
  <c r="K278" i="6"/>
  <c r="S278" i="6"/>
  <c r="S279" i="6" s="1"/>
  <c r="R278" i="6"/>
  <c r="U278" i="6" s="1"/>
  <c r="W278" i="6" s="1"/>
  <c r="J278" i="6"/>
  <c r="V278" i="6"/>
  <c r="V279" i="6" s="1"/>
  <c r="I279" i="6"/>
  <c r="L279" i="6" s="1"/>
  <c r="R279" i="6"/>
  <c r="U279" i="6" s="1"/>
  <c r="W279" i="6" s="1"/>
  <c r="O280" i="6"/>
  <c r="E281" i="6"/>
  <c r="O281" i="6" s="1"/>
  <c r="T279" i="6" l="1"/>
  <c r="K279" i="6"/>
  <c r="J279" i="6"/>
  <c r="F280" i="6"/>
  <c r="H281" i="6"/>
  <c r="F281" i="6"/>
  <c r="H280" i="6"/>
  <c r="G280" i="6"/>
  <c r="N280" i="6" s="1"/>
  <c r="G281" i="6"/>
  <c r="N281" i="6" s="1"/>
  <c r="E282" i="6" l="1"/>
  <c r="O282" i="6" s="1"/>
  <c r="K280" i="6"/>
  <c r="J280" i="6"/>
  <c r="J281" i="6" s="1"/>
  <c r="I281" i="6"/>
  <c r="L281" i="6" s="1"/>
  <c r="R281" i="6"/>
  <c r="V280" i="6"/>
  <c r="V281" i="6" s="1"/>
  <c r="T280" i="6"/>
  <c r="I280" i="6"/>
  <c r="L280" i="6" s="1"/>
  <c r="R280" i="6"/>
  <c r="U280" i="6" s="1"/>
  <c r="W280" i="6" s="1"/>
  <c r="S280" i="6"/>
  <c r="S281" i="6" s="1"/>
  <c r="M280" i="6"/>
  <c r="M281" i="6" s="1"/>
  <c r="G282" i="6" l="1"/>
  <c r="N282" i="6" s="1"/>
  <c r="H282" i="6"/>
  <c r="F282" i="6"/>
  <c r="E283" i="6"/>
  <c r="O283" i="6" s="1"/>
  <c r="T281" i="6"/>
  <c r="K281" i="6"/>
  <c r="U281" i="6"/>
  <c r="W281" i="6" s="1"/>
  <c r="C465" i="6"/>
  <c r="T282" i="6" l="1"/>
  <c r="M282" i="6"/>
  <c r="S282" i="6"/>
  <c r="J282" i="6"/>
  <c r="K282" i="6"/>
  <c r="R282" i="6"/>
  <c r="U282" i="6" s="1"/>
  <c r="W282" i="6" s="1"/>
  <c r="I282" i="6"/>
  <c r="L282" i="6" s="1"/>
  <c r="V282" i="6"/>
  <c r="G283" i="6"/>
  <c r="N283" i="6" s="1"/>
  <c r="H283" i="6"/>
  <c r="F283" i="6"/>
  <c r="E284" i="6"/>
  <c r="O284" i="6" s="1"/>
  <c r="E285" i="6"/>
  <c r="F465" i="6" s="1"/>
  <c r="O285" i="6" l="1"/>
  <c r="E465" i="6"/>
  <c r="I283" i="6"/>
  <c r="L283" i="6" s="1"/>
  <c r="V283" i="6"/>
  <c r="M283" i="6"/>
  <c r="H284" i="6"/>
  <c r="T283" i="6"/>
  <c r="R283" i="6"/>
  <c r="U283" i="6" s="1"/>
  <c r="W283" i="6" s="1"/>
  <c r="S283" i="6"/>
  <c r="K283" i="6"/>
  <c r="J283" i="6"/>
  <c r="G284" i="6"/>
  <c r="N284" i="6" s="1"/>
  <c r="F284" i="6"/>
  <c r="H285" i="6"/>
  <c r="F285" i="6"/>
  <c r="E286" i="6"/>
  <c r="O286" i="6" s="1"/>
  <c r="G285" i="6"/>
  <c r="N285" i="6" s="1"/>
  <c r="M284" i="6" l="1"/>
  <c r="M285" i="6" s="1"/>
  <c r="R284" i="6"/>
  <c r="U284" i="6" s="1"/>
  <c r="W284" i="6" s="1"/>
  <c r="T284" i="6"/>
  <c r="V284" i="6"/>
  <c r="V285" i="6" s="1"/>
  <c r="S284" i="6"/>
  <c r="J284" i="6"/>
  <c r="K284" i="6"/>
  <c r="I284" i="6"/>
  <c r="L284" i="6" s="1"/>
  <c r="H286" i="6"/>
  <c r="F286" i="6"/>
  <c r="I285" i="6"/>
  <c r="L285" i="6" s="1"/>
  <c r="R285" i="6"/>
  <c r="G286" i="6"/>
  <c r="N286" i="6" s="1"/>
  <c r="T285" i="6" l="1"/>
  <c r="S285" i="6"/>
  <c r="S286" i="6" s="1"/>
  <c r="K285" i="6"/>
  <c r="J285" i="6"/>
  <c r="J286" i="6" s="1"/>
  <c r="E287" i="6"/>
  <c r="O287" i="6" s="1"/>
  <c r="V286" i="6"/>
  <c r="I286" i="6"/>
  <c r="L286" i="6" s="1"/>
  <c r="R286" i="6"/>
  <c r="U286" i="6" s="1"/>
  <c r="W286" i="6" s="1"/>
  <c r="U285" i="6"/>
  <c r="W285" i="6" s="1"/>
  <c r="M286" i="6"/>
  <c r="T286" i="6" l="1"/>
  <c r="K286" i="6"/>
  <c r="G287" i="6"/>
  <c r="N287" i="6" s="1"/>
  <c r="F287" i="6"/>
  <c r="H287" i="6"/>
  <c r="E288" i="6"/>
  <c r="O288" i="6" s="1"/>
  <c r="E289" i="6"/>
  <c r="O289" i="6" s="1"/>
  <c r="V287" i="6" l="1"/>
  <c r="J287" i="6"/>
  <c r="R287" i="6"/>
  <c r="U287" i="6" s="1"/>
  <c r="W287" i="6" s="1"/>
  <c r="S287" i="6"/>
  <c r="T287" i="6"/>
  <c r="M287" i="6"/>
  <c r="I287" i="6"/>
  <c r="L287" i="6" s="1"/>
  <c r="K287" i="6"/>
  <c r="F288" i="6"/>
  <c r="H288" i="6"/>
  <c r="G288" i="6"/>
  <c r="N288" i="6" s="1"/>
  <c r="H289" i="6"/>
  <c r="F289" i="6"/>
  <c r="G289" i="6"/>
  <c r="N289" i="6" s="1"/>
  <c r="E290" i="6"/>
  <c r="O290" i="6" s="1"/>
  <c r="K288" i="6" l="1"/>
  <c r="I288" i="6"/>
  <c r="L288" i="6" s="1"/>
  <c r="M288" i="6"/>
  <c r="M289" i="6" s="1"/>
  <c r="J288" i="6"/>
  <c r="T288" i="6"/>
  <c r="R288" i="6"/>
  <c r="U288" i="6" s="1"/>
  <c r="W288" i="6" s="1"/>
  <c r="S288" i="6"/>
  <c r="S289" i="6" s="1"/>
  <c r="V288" i="6"/>
  <c r="V289" i="6" s="1"/>
  <c r="H290" i="6"/>
  <c r="F290" i="6"/>
  <c r="I289" i="6"/>
  <c r="L289" i="6" s="1"/>
  <c r="R289" i="6"/>
  <c r="G290" i="6"/>
  <c r="N290" i="6" s="1"/>
  <c r="T289" i="6" l="1"/>
  <c r="T290" i="6" s="1"/>
  <c r="K289" i="6"/>
  <c r="J289" i="6"/>
  <c r="J290" i="6" s="1"/>
  <c r="E291" i="6"/>
  <c r="O291" i="6" s="1"/>
  <c r="V290" i="6"/>
  <c r="I290" i="6"/>
  <c r="L290" i="6" s="1"/>
  <c r="R290" i="6"/>
  <c r="U290" i="6" s="1"/>
  <c r="W290" i="6" s="1"/>
  <c r="S290" i="6"/>
  <c r="U289" i="6"/>
  <c r="W289" i="6" s="1"/>
  <c r="M290" i="6"/>
  <c r="E292" i="6"/>
  <c r="O292" i="6" s="1"/>
  <c r="K290" i="6" l="1"/>
  <c r="G291" i="6"/>
  <c r="N291" i="6" s="1"/>
  <c r="F291" i="6"/>
  <c r="H291" i="6"/>
  <c r="H292" i="6"/>
  <c r="F292" i="6"/>
  <c r="E293" i="6"/>
  <c r="O293" i="6" s="1"/>
  <c r="G292" i="6"/>
  <c r="N292" i="6" s="1"/>
  <c r="S291" i="6" l="1"/>
  <c r="S292" i="6" s="1"/>
  <c r="M291" i="6"/>
  <c r="M292" i="6" s="1"/>
  <c r="I291" i="6"/>
  <c r="L291" i="6" s="1"/>
  <c r="K291" i="6"/>
  <c r="T291" i="6"/>
  <c r="V291" i="6"/>
  <c r="V292" i="6" s="1"/>
  <c r="J291" i="6"/>
  <c r="R291" i="6"/>
  <c r="U291" i="6" s="1"/>
  <c r="W291" i="6" s="1"/>
  <c r="I292" i="6"/>
  <c r="L292" i="6" s="1"/>
  <c r="R292" i="6"/>
  <c r="H293" i="6"/>
  <c r="F293" i="6"/>
  <c r="G293" i="6"/>
  <c r="N293" i="6" s="1"/>
  <c r="T292" i="6" l="1"/>
  <c r="T293" i="6" s="1"/>
  <c r="K292" i="6"/>
  <c r="J292" i="6"/>
  <c r="E294" i="6"/>
  <c r="O294" i="6" s="1"/>
  <c r="V293" i="6"/>
  <c r="I293" i="6"/>
  <c r="L293" i="6" s="1"/>
  <c r="R293" i="6"/>
  <c r="S293" i="6"/>
  <c r="U292" i="6"/>
  <c r="W292" i="6" s="1"/>
  <c r="M293" i="6"/>
  <c r="E295" i="6"/>
  <c r="K293" i="6" l="1"/>
  <c r="J293" i="6"/>
  <c r="G294" i="6"/>
  <c r="N294" i="6" s="1"/>
  <c r="F294" i="6"/>
  <c r="H294" i="6"/>
  <c r="U293" i="6"/>
  <c r="W293" i="6" s="1"/>
  <c r="O295" i="6"/>
  <c r="M294" i="6" l="1"/>
  <c r="R294" i="6"/>
  <c r="U294" i="6" s="1"/>
  <c r="W294" i="6" s="1"/>
  <c r="V294" i="6"/>
  <c r="S294" i="6"/>
  <c r="T294" i="6"/>
  <c r="J294" i="6"/>
  <c r="K294" i="6"/>
  <c r="I294" i="6"/>
  <c r="L294" i="6" s="1"/>
  <c r="E296" i="6"/>
  <c r="O296" i="6" s="1"/>
  <c r="F295" i="6"/>
  <c r="H295" i="6"/>
  <c r="G295" i="6"/>
  <c r="N295" i="6" s="1"/>
  <c r="C466" i="6"/>
  <c r="G296" i="6" l="1"/>
  <c r="N296" i="6" s="1"/>
  <c r="F296" i="6"/>
  <c r="E297" i="6"/>
  <c r="O297" i="6" s="1"/>
  <c r="H296" i="6"/>
  <c r="S295" i="6"/>
  <c r="J295" i="6"/>
  <c r="I295" i="6"/>
  <c r="L295" i="6" s="1"/>
  <c r="R295" i="6"/>
  <c r="U295" i="6" s="1"/>
  <c r="W295" i="6" s="1"/>
  <c r="T295" i="6"/>
  <c r="K295" i="6"/>
  <c r="V295" i="6"/>
  <c r="M295" i="6"/>
  <c r="E298" i="6"/>
  <c r="F466" i="6" s="1"/>
  <c r="O298" i="6" l="1"/>
  <c r="E466" i="6"/>
  <c r="S296" i="6"/>
  <c r="M296" i="6"/>
  <c r="G297" i="6"/>
  <c r="N297" i="6" s="1"/>
  <c r="I296" i="6"/>
  <c r="L296" i="6" s="1"/>
  <c r="J296" i="6"/>
  <c r="R296" i="6"/>
  <c r="U296" i="6" s="1"/>
  <c r="W296" i="6" s="1"/>
  <c r="V296" i="6"/>
  <c r="F297" i="6"/>
  <c r="H297" i="6"/>
  <c r="T296" i="6"/>
  <c r="K296" i="6"/>
  <c r="H298" i="6"/>
  <c r="F298" i="6"/>
  <c r="G298" i="6"/>
  <c r="N298" i="6" s="1"/>
  <c r="M297" i="6" l="1"/>
  <c r="M298" i="6" s="1"/>
  <c r="R297" i="6"/>
  <c r="U297" i="6" s="1"/>
  <c r="W297" i="6" s="1"/>
  <c r="S297" i="6"/>
  <c r="S298" i="6" s="1"/>
  <c r="I297" i="6"/>
  <c r="L297" i="6" s="1"/>
  <c r="V297" i="6"/>
  <c r="V298" i="6" s="1"/>
  <c r="T297" i="6"/>
  <c r="J297" i="6"/>
  <c r="J298" i="6" s="1"/>
  <c r="K297" i="6"/>
  <c r="E299" i="6"/>
  <c r="H299" i="6" s="1"/>
  <c r="I298" i="6"/>
  <c r="L298" i="6" s="1"/>
  <c r="R298" i="6"/>
  <c r="U298" i="6" s="1"/>
  <c r="W298" i="6" s="1"/>
  <c r="T298" i="6" l="1"/>
  <c r="K298" i="6"/>
  <c r="F299" i="6"/>
  <c r="G299" i="6"/>
  <c r="N299" i="6" s="1"/>
  <c r="O299" i="6"/>
  <c r="E300" i="6"/>
  <c r="O300" i="6" s="1"/>
  <c r="J299" i="6" l="1"/>
  <c r="M299" i="6"/>
  <c r="R299" i="6"/>
  <c r="U299" i="6" s="1"/>
  <c r="W299" i="6" s="1"/>
  <c r="I299" i="6"/>
  <c r="L299" i="6" s="1"/>
  <c r="H300" i="6"/>
  <c r="G300" i="6"/>
  <c r="N300" i="6" s="1"/>
  <c r="F300" i="6"/>
  <c r="T299" i="6"/>
  <c r="V299" i="6"/>
  <c r="S299" i="6"/>
  <c r="K299" i="6"/>
  <c r="E301" i="6"/>
  <c r="O301" i="6" s="1"/>
  <c r="S300" i="6" l="1"/>
  <c r="R300" i="6"/>
  <c r="U300" i="6" s="1"/>
  <c r="W300" i="6" s="1"/>
  <c r="I300" i="6"/>
  <c r="L300" i="6" s="1"/>
  <c r="J300" i="6"/>
  <c r="K300" i="6"/>
  <c r="M300" i="6"/>
  <c r="G301" i="6"/>
  <c r="N301" i="6" s="1"/>
  <c r="T300" i="6"/>
  <c r="V300" i="6"/>
  <c r="H301" i="6"/>
  <c r="E302" i="6"/>
  <c r="O302" i="6" s="1"/>
  <c r="F301" i="6"/>
  <c r="E303" i="6"/>
  <c r="O303" i="6" s="1"/>
  <c r="J301" i="6" l="1"/>
  <c r="T301" i="6"/>
  <c r="S301" i="6"/>
  <c r="K301" i="6"/>
  <c r="M301" i="6"/>
  <c r="R301" i="6"/>
  <c r="U301" i="6" s="1"/>
  <c r="W301" i="6" s="1"/>
  <c r="V301" i="6"/>
  <c r="I301" i="6"/>
  <c r="L301" i="6" s="1"/>
  <c r="F302" i="6"/>
  <c r="H303" i="6"/>
  <c r="F303" i="6"/>
  <c r="H302" i="6"/>
  <c r="G302" i="6"/>
  <c r="N302" i="6" s="1"/>
  <c r="E304" i="6"/>
  <c r="O304" i="6" s="1"/>
  <c r="G303" i="6"/>
  <c r="N303" i="6" s="1"/>
  <c r="K302" i="6" l="1"/>
  <c r="T302" i="6"/>
  <c r="I303" i="6"/>
  <c r="L303" i="6" s="1"/>
  <c r="R303" i="6"/>
  <c r="J302" i="6"/>
  <c r="J303" i="6" s="1"/>
  <c r="H304" i="6"/>
  <c r="F304" i="6"/>
  <c r="I302" i="6"/>
  <c r="L302" i="6" s="1"/>
  <c r="R302" i="6"/>
  <c r="U302" i="6" s="1"/>
  <c r="W302" i="6" s="1"/>
  <c r="S302" i="6"/>
  <c r="S303" i="6" s="1"/>
  <c r="V302" i="6"/>
  <c r="V303" i="6" s="1"/>
  <c r="M302" i="6"/>
  <c r="M303" i="6" s="1"/>
  <c r="E305" i="6"/>
  <c r="O305" i="6" s="1"/>
  <c r="G304" i="6"/>
  <c r="N304" i="6" s="1"/>
  <c r="I304" i="6" l="1"/>
  <c r="L304" i="6" s="1"/>
  <c r="R304" i="6"/>
  <c r="U304" i="6" s="1"/>
  <c r="W304" i="6" s="1"/>
  <c r="S304" i="6"/>
  <c r="T303" i="6"/>
  <c r="T304" i="6" s="1"/>
  <c r="H305" i="6"/>
  <c r="F305" i="6"/>
  <c r="J304" i="6"/>
  <c r="K303" i="6"/>
  <c r="K304" i="6" s="1"/>
  <c r="V304" i="6"/>
  <c r="U303" i="6"/>
  <c r="W303" i="6" s="1"/>
  <c r="M304" i="6"/>
  <c r="G305" i="6"/>
  <c r="N305" i="6" s="1"/>
  <c r="E306" i="6" l="1"/>
  <c r="O306" i="6" s="1"/>
  <c r="K305" i="6"/>
  <c r="T305" i="6"/>
  <c r="I305" i="6"/>
  <c r="R305" i="6"/>
  <c r="U305" i="6" s="1"/>
  <c r="J305" i="6"/>
  <c r="S305" i="6"/>
  <c r="V305" i="6"/>
  <c r="M305" i="6"/>
  <c r="G306" i="6" l="1"/>
  <c r="N306" i="6" s="1"/>
  <c r="F306" i="6"/>
  <c r="H306" i="6"/>
  <c r="E307" i="6"/>
  <c r="O307" i="6" s="1"/>
  <c r="L305" i="6"/>
  <c r="W305" i="6"/>
  <c r="E308" i="6"/>
  <c r="O308" i="6" s="1"/>
  <c r="S306" i="6" l="1"/>
  <c r="M306" i="6"/>
  <c r="V306" i="6"/>
  <c r="J306" i="6"/>
  <c r="R306" i="6"/>
  <c r="U306" i="6" s="1"/>
  <c r="W306" i="6" s="1"/>
  <c r="I306" i="6"/>
  <c r="L306" i="6" s="1"/>
  <c r="K306" i="6"/>
  <c r="T306" i="6"/>
  <c r="F307" i="6"/>
  <c r="H308" i="6"/>
  <c r="F308" i="6"/>
  <c r="H307" i="6"/>
  <c r="G307" i="6"/>
  <c r="N307" i="6" s="1"/>
  <c r="G308" i="6"/>
  <c r="N308" i="6" s="1"/>
  <c r="E309" i="6" l="1"/>
  <c r="O309" i="6" s="1"/>
  <c r="I307" i="6"/>
  <c r="L307" i="6" s="1"/>
  <c r="R307" i="6"/>
  <c r="T307" i="6"/>
  <c r="I308" i="6"/>
  <c r="L308" i="6" s="1"/>
  <c r="R308" i="6"/>
  <c r="U308" i="6" s="1"/>
  <c r="K307" i="6"/>
  <c r="S307" i="6"/>
  <c r="S308" i="6" s="1"/>
  <c r="J307" i="6"/>
  <c r="J308" i="6" s="1"/>
  <c r="V307" i="6"/>
  <c r="V308" i="6" s="1"/>
  <c r="M307" i="6"/>
  <c r="M308" i="6" s="1"/>
  <c r="C467" i="6"/>
  <c r="F309" i="6" l="1"/>
  <c r="G309" i="6"/>
  <c r="N309" i="6" s="1"/>
  <c r="H309" i="6"/>
  <c r="E310" i="6"/>
  <c r="O310" i="6" s="1"/>
  <c r="T308" i="6"/>
  <c r="K308" i="6"/>
  <c r="U307" i="6"/>
  <c r="W307" i="6" s="1"/>
  <c r="W308" i="6"/>
  <c r="R309" i="6" l="1"/>
  <c r="U309" i="6" s="1"/>
  <c r="W309" i="6" s="1"/>
  <c r="J309" i="6"/>
  <c r="V309" i="6"/>
  <c r="M309" i="6"/>
  <c r="S309" i="6"/>
  <c r="I309" i="6"/>
  <c r="L309" i="6" s="1"/>
  <c r="K309" i="6"/>
  <c r="T309" i="6"/>
  <c r="E311" i="6"/>
  <c r="F467" i="6" s="1"/>
  <c r="F310" i="6"/>
  <c r="H310" i="6"/>
  <c r="G310" i="6"/>
  <c r="N310" i="6" s="1"/>
  <c r="O311" i="6" l="1"/>
  <c r="E467" i="6"/>
  <c r="H311" i="6"/>
  <c r="G311" i="6"/>
  <c r="N311" i="6" s="1"/>
  <c r="F311" i="6"/>
  <c r="E312" i="6"/>
  <c r="O312" i="6" s="1"/>
  <c r="T310" i="6"/>
  <c r="S310" i="6"/>
  <c r="V310" i="6"/>
  <c r="J310" i="6"/>
  <c r="R310" i="6"/>
  <c r="U310" i="6" s="1"/>
  <c r="W310" i="6" s="1"/>
  <c r="I310" i="6"/>
  <c r="L310" i="6" s="1"/>
  <c r="K310" i="6"/>
  <c r="M310" i="6"/>
  <c r="S311" i="6" l="1"/>
  <c r="F312" i="6"/>
  <c r="G312" i="6"/>
  <c r="N312" i="6" s="1"/>
  <c r="M311" i="6"/>
  <c r="J311" i="6"/>
  <c r="R311" i="6"/>
  <c r="U311" i="6" s="1"/>
  <c r="W311" i="6" s="1"/>
  <c r="V311" i="6"/>
  <c r="I311" i="6"/>
  <c r="L311" i="6" s="1"/>
  <c r="H312" i="6"/>
  <c r="E313" i="6"/>
  <c r="O313" i="6" s="1"/>
  <c r="K311" i="6"/>
  <c r="T311" i="6"/>
  <c r="R312" i="6" l="1"/>
  <c r="U312" i="6" s="1"/>
  <c r="W312" i="6" s="1"/>
  <c r="T312" i="6"/>
  <c r="M312" i="6"/>
  <c r="V312" i="6"/>
  <c r="J312" i="6"/>
  <c r="I312" i="6"/>
  <c r="L312" i="6" s="1"/>
  <c r="S312" i="6"/>
  <c r="K312" i="6"/>
  <c r="G313" i="6"/>
  <c r="N313" i="6" s="1"/>
  <c r="F313" i="6"/>
  <c r="H313" i="6"/>
  <c r="E314" i="6"/>
  <c r="O314" i="6" s="1"/>
  <c r="I313" i="6" l="1"/>
  <c r="L313" i="6" s="1"/>
  <c r="M313" i="6"/>
  <c r="J313" i="6"/>
  <c r="T313" i="6"/>
  <c r="V313" i="6"/>
  <c r="K313" i="6"/>
  <c r="S313" i="6"/>
  <c r="R313" i="6"/>
  <c r="U313" i="6" s="1"/>
  <c r="W313" i="6" s="1"/>
  <c r="H314" i="6"/>
  <c r="E315" i="6"/>
  <c r="O315" i="6" s="1"/>
  <c r="G314" i="6"/>
  <c r="N314" i="6" s="1"/>
  <c r="F314" i="6"/>
  <c r="V314" i="6" l="1"/>
  <c r="R314" i="6"/>
  <c r="U314" i="6" s="1"/>
  <c r="W314" i="6" s="1"/>
  <c r="K314" i="6"/>
  <c r="J314" i="6"/>
  <c r="T314" i="6"/>
  <c r="I314" i="6"/>
  <c r="L314" i="6" s="1"/>
  <c r="M314" i="6"/>
  <c r="S314" i="6"/>
  <c r="F315" i="6"/>
  <c r="E316" i="6"/>
  <c r="O316" i="6" s="1"/>
  <c r="G315" i="6"/>
  <c r="N315" i="6" s="1"/>
  <c r="H315" i="6"/>
  <c r="E317" i="6"/>
  <c r="O317" i="6" s="1"/>
  <c r="H316" i="6" l="1"/>
  <c r="F316" i="6"/>
  <c r="G316" i="6"/>
  <c r="N316" i="6" s="1"/>
  <c r="I315" i="6"/>
  <c r="L315" i="6" s="1"/>
  <c r="S315" i="6"/>
  <c r="V315" i="6"/>
  <c r="J315" i="6"/>
  <c r="T315" i="6"/>
  <c r="K315" i="6"/>
  <c r="M315" i="6"/>
  <c r="R315" i="6"/>
  <c r="U315" i="6" s="1"/>
  <c r="W315" i="6" s="1"/>
  <c r="H317" i="6"/>
  <c r="F317" i="6"/>
  <c r="E318" i="6"/>
  <c r="O318" i="6" s="1"/>
  <c r="G317" i="6"/>
  <c r="N317" i="6" s="1"/>
  <c r="S316" i="6" l="1"/>
  <c r="S317" i="6" s="1"/>
  <c r="I316" i="6"/>
  <c r="L316" i="6" s="1"/>
  <c r="K316" i="6"/>
  <c r="J316" i="6"/>
  <c r="J317" i="6" s="1"/>
  <c r="M316" i="6"/>
  <c r="M317" i="6" s="1"/>
  <c r="V316" i="6"/>
  <c r="V317" i="6" s="1"/>
  <c r="R316" i="6"/>
  <c r="U316" i="6" s="1"/>
  <c r="W316" i="6" s="1"/>
  <c r="T316" i="6"/>
  <c r="I317" i="6"/>
  <c r="R317" i="6"/>
  <c r="U317" i="6" s="1"/>
  <c r="W317" i="6" s="1"/>
  <c r="H318" i="6"/>
  <c r="F318" i="6"/>
  <c r="E319" i="6"/>
  <c r="G318" i="6"/>
  <c r="N318" i="6" s="1"/>
  <c r="T317" i="6" l="1"/>
  <c r="T318" i="6" s="1"/>
  <c r="K317" i="6"/>
  <c r="K318" i="6" s="1"/>
  <c r="I318" i="6"/>
  <c r="L318" i="6" s="1"/>
  <c r="R318" i="6"/>
  <c r="U318" i="6" s="1"/>
  <c r="W318" i="6" s="1"/>
  <c r="J318" i="6"/>
  <c r="S318" i="6"/>
  <c r="V318" i="6"/>
  <c r="O319" i="6"/>
  <c r="L317" i="6"/>
  <c r="M318" i="6"/>
  <c r="E320" i="6"/>
  <c r="O320" i="6" s="1"/>
  <c r="F319" i="6" l="1"/>
  <c r="H320" i="6"/>
  <c r="F320" i="6"/>
  <c r="H319" i="6"/>
  <c r="G319" i="6"/>
  <c r="N319" i="6" s="1"/>
  <c r="E321" i="6"/>
  <c r="O321" i="6" s="1"/>
  <c r="G320" i="6"/>
  <c r="N320" i="6" s="1"/>
  <c r="T319" i="6" l="1"/>
  <c r="H321" i="6"/>
  <c r="F321" i="6"/>
  <c r="R320" i="6"/>
  <c r="U320" i="6" s="1"/>
  <c r="W320" i="6" s="1"/>
  <c r="I320" i="6"/>
  <c r="L320" i="6" s="1"/>
  <c r="R319" i="6"/>
  <c r="I319" i="6"/>
  <c r="L319" i="6" s="1"/>
  <c r="K319" i="6"/>
  <c r="S319" i="6"/>
  <c r="S320" i="6" s="1"/>
  <c r="J319" i="6"/>
  <c r="J320" i="6" s="1"/>
  <c r="V319" i="6"/>
  <c r="V320" i="6" s="1"/>
  <c r="M319" i="6"/>
  <c r="M320" i="6" s="1"/>
  <c r="G321" i="6"/>
  <c r="N321" i="6" s="1"/>
  <c r="E322" i="6" l="1"/>
  <c r="O322" i="6" s="1"/>
  <c r="K320" i="6"/>
  <c r="K321" i="6" s="1"/>
  <c r="I321" i="6"/>
  <c r="L321" i="6" s="1"/>
  <c r="R321" i="6"/>
  <c r="V321" i="6"/>
  <c r="J321" i="6"/>
  <c r="S321" i="6"/>
  <c r="T320" i="6"/>
  <c r="T321" i="6" s="1"/>
  <c r="U319" i="6"/>
  <c r="W319" i="6" s="1"/>
  <c r="M321" i="6"/>
  <c r="C468" i="6"/>
  <c r="E323" i="6" l="1"/>
  <c r="O323" i="6" s="1"/>
  <c r="G322" i="6"/>
  <c r="N322" i="6" s="1"/>
  <c r="F322" i="6"/>
  <c r="H322" i="6"/>
  <c r="U321" i="6"/>
  <c r="W321" i="6" s="1"/>
  <c r="E324" i="6"/>
  <c r="F468" i="6" s="1"/>
  <c r="G323" i="6" l="1"/>
  <c r="N323" i="6" s="1"/>
  <c r="F323" i="6"/>
  <c r="H323" i="6"/>
  <c r="O324" i="6"/>
  <c r="E468" i="6"/>
  <c r="T322" i="6"/>
  <c r="K322" i="6"/>
  <c r="I322" i="6"/>
  <c r="L322" i="6" s="1"/>
  <c r="V322" i="6"/>
  <c r="R322" i="6"/>
  <c r="U322" i="6" s="1"/>
  <c r="W322" i="6" s="1"/>
  <c r="M322" i="6"/>
  <c r="J322" i="6"/>
  <c r="S322" i="6"/>
  <c r="H324" i="6"/>
  <c r="F324" i="6"/>
  <c r="G324" i="6"/>
  <c r="N324" i="6" s="1"/>
  <c r="M323" i="6" l="1"/>
  <c r="M324" i="6" s="1"/>
  <c r="S323" i="6"/>
  <c r="S324" i="6" s="1"/>
  <c r="V323" i="6"/>
  <c r="V324" i="6" s="1"/>
  <c r="I323" i="6"/>
  <c r="L323" i="6" s="1"/>
  <c r="R323" i="6"/>
  <c r="U323" i="6" s="1"/>
  <c r="W323" i="6" s="1"/>
  <c r="J323" i="6"/>
  <c r="J324" i="6" s="1"/>
  <c r="K323" i="6"/>
  <c r="T323" i="6"/>
  <c r="E325" i="6"/>
  <c r="O325" i="6" s="1"/>
  <c r="R324" i="6"/>
  <c r="U324" i="6" s="1"/>
  <c r="W324" i="6" s="1"/>
  <c r="I324" i="6"/>
  <c r="L324" i="6" s="1"/>
  <c r="T324" i="6" l="1"/>
  <c r="K324" i="6"/>
  <c r="G325" i="6"/>
  <c r="N325" i="6" s="1"/>
  <c r="F325" i="6"/>
  <c r="H325" i="6"/>
  <c r="E326" i="6"/>
  <c r="O326" i="6" s="1"/>
  <c r="G326" i="6" l="1"/>
  <c r="N326" i="6" s="1"/>
  <c r="F326" i="6"/>
  <c r="M325" i="6"/>
  <c r="S325" i="6"/>
  <c r="K325" i="6"/>
  <c r="I325" i="6"/>
  <c r="L325" i="6" s="1"/>
  <c r="J325" i="6"/>
  <c r="V325" i="6"/>
  <c r="R325" i="6"/>
  <c r="U325" i="6" s="1"/>
  <c r="W325" i="6" s="1"/>
  <c r="T325" i="6"/>
  <c r="H326" i="6"/>
  <c r="E327" i="6"/>
  <c r="O327" i="6" s="1"/>
  <c r="E328" i="6"/>
  <c r="O328" i="6" s="1"/>
  <c r="J326" i="6" l="1"/>
  <c r="M326" i="6"/>
  <c r="I326" i="6"/>
  <c r="L326" i="6" s="1"/>
  <c r="R326" i="6"/>
  <c r="U326" i="6" s="1"/>
  <c r="W326" i="6" s="1"/>
  <c r="V326" i="6"/>
  <c r="S326" i="6"/>
  <c r="T326" i="6"/>
  <c r="K326" i="6"/>
  <c r="G327" i="6"/>
  <c r="N327" i="6" s="1"/>
  <c r="H327" i="6"/>
  <c r="F327" i="6"/>
  <c r="H328" i="6"/>
  <c r="F328" i="6"/>
  <c r="G328" i="6"/>
  <c r="N328" i="6" s="1"/>
  <c r="T327" i="6" l="1"/>
  <c r="S327" i="6"/>
  <c r="S328" i="6" s="1"/>
  <c r="V327" i="6"/>
  <c r="V328" i="6" s="1"/>
  <c r="R327" i="6"/>
  <c r="U327" i="6" s="1"/>
  <c r="W327" i="6" s="1"/>
  <c r="K327" i="6"/>
  <c r="J327" i="6"/>
  <c r="J328" i="6" s="1"/>
  <c r="M327" i="6"/>
  <c r="M328" i="6" s="1"/>
  <c r="I327" i="6"/>
  <c r="L327" i="6" s="1"/>
  <c r="E329" i="6"/>
  <c r="O329" i="6" s="1"/>
  <c r="R328" i="6"/>
  <c r="U328" i="6" s="1"/>
  <c r="I328" i="6"/>
  <c r="E330" i="6"/>
  <c r="T328" i="6" l="1"/>
  <c r="K328" i="6"/>
  <c r="H329" i="6"/>
  <c r="G329" i="6"/>
  <c r="N329" i="6" s="1"/>
  <c r="F329" i="6"/>
  <c r="G330" i="6"/>
  <c r="N330" i="6" s="1"/>
  <c r="O330" i="6"/>
  <c r="H330" i="6"/>
  <c r="F330" i="6"/>
  <c r="W328" i="6"/>
  <c r="L328" i="6"/>
  <c r="J329" i="6" l="1"/>
  <c r="J330" i="6" s="1"/>
  <c r="V329" i="6"/>
  <c r="V330" i="6" s="1"/>
  <c r="R329" i="6"/>
  <c r="U329" i="6" s="1"/>
  <c r="W329" i="6" s="1"/>
  <c r="M329" i="6"/>
  <c r="M330" i="6" s="1"/>
  <c r="S329" i="6"/>
  <c r="S330" i="6" s="1"/>
  <c r="T329" i="6"/>
  <c r="I329" i="6"/>
  <c r="L329" i="6" s="1"/>
  <c r="K329" i="6"/>
  <c r="E331" i="6"/>
  <c r="O331" i="6" s="1"/>
  <c r="I330" i="6"/>
  <c r="L330" i="6" s="1"/>
  <c r="R330" i="6"/>
  <c r="U330" i="6" s="1"/>
  <c r="W330" i="6" s="1"/>
  <c r="K330" i="6" l="1"/>
  <c r="T330" i="6"/>
  <c r="G331" i="6"/>
  <c r="N331" i="6" s="1"/>
  <c r="F331" i="6"/>
  <c r="H331" i="6"/>
  <c r="E332" i="6"/>
  <c r="O332" i="6" s="1"/>
  <c r="E333" i="6"/>
  <c r="I331" i="6" l="1"/>
  <c r="L331" i="6" s="1"/>
  <c r="V331" i="6"/>
  <c r="S331" i="6"/>
  <c r="T331" i="6"/>
  <c r="G332" i="6"/>
  <c r="N332" i="6" s="1"/>
  <c r="J331" i="6"/>
  <c r="K331" i="6"/>
  <c r="M331" i="6"/>
  <c r="F332" i="6"/>
  <c r="R331" i="6"/>
  <c r="U331" i="6" s="1"/>
  <c r="W331" i="6" s="1"/>
  <c r="H332" i="6"/>
  <c r="O333" i="6"/>
  <c r="K332" i="6" l="1"/>
  <c r="I332" i="6"/>
  <c r="L332" i="6" s="1"/>
  <c r="J332" i="6"/>
  <c r="M332" i="6"/>
  <c r="R332" i="6"/>
  <c r="U332" i="6" s="1"/>
  <c r="W332" i="6" s="1"/>
  <c r="V332" i="6"/>
  <c r="S332" i="6"/>
  <c r="T332" i="6"/>
  <c r="E334" i="6"/>
  <c r="O334" i="6" s="1"/>
  <c r="F333" i="6"/>
  <c r="H333" i="6"/>
  <c r="G333" i="6"/>
  <c r="N333" i="6" s="1"/>
  <c r="E335" i="6"/>
  <c r="G334" i="6" l="1"/>
  <c r="N334" i="6" s="1"/>
  <c r="F334" i="6"/>
  <c r="H334" i="6"/>
  <c r="I333" i="6"/>
  <c r="L333" i="6" s="1"/>
  <c r="R333" i="6"/>
  <c r="U333" i="6" s="1"/>
  <c r="T333" i="6"/>
  <c r="J333" i="6"/>
  <c r="S333" i="6"/>
  <c r="K333" i="6"/>
  <c r="V333" i="6"/>
  <c r="M333" i="6"/>
  <c r="O335" i="6"/>
  <c r="C469" i="6"/>
  <c r="E336" i="6" l="1"/>
  <c r="O336" i="6" s="1"/>
  <c r="J334" i="6"/>
  <c r="I334" i="6"/>
  <c r="L334" i="6" s="1"/>
  <c r="V334" i="6"/>
  <c r="R334" i="6"/>
  <c r="U334" i="6" s="1"/>
  <c r="W334" i="6" s="1"/>
  <c r="M334" i="6"/>
  <c r="S334" i="6"/>
  <c r="K334" i="6"/>
  <c r="F335" i="6"/>
  <c r="T334" i="6"/>
  <c r="G335" i="6"/>
  <c r="N335" i="6" s="1"/>
  <c r="H335" i="6"/>
  <c r="W333" i="6"/>
  <c r="E337" i="6"/>
  <c r="F469" i="6" s="1"/>
  <c r="F336" i="6" l="1"/>
  <c r="H336" i="6"/>
  <c r="G336" i="6"/>
  <c r="N336" i="6" s="1"/>
  <c r="O337" i="6"/>
  <c r="E469" i="6"/>
  <c r="H337" i="6"/>
  <c r="F337" i="6"/>
  <c r="T335" i="6"/>
  <c r="M335" i="6"/>
  <c r="R335" i="6"/>
  <c r="I335" i="6"/>
  <c r="L335" i="6" s="1"/>
  <c r="J335" i="6"/>
  <c r="S335" i="6"/>
  <c r="K335" i="6"/>
  <c r="V335" i="6"/>
  <c r="E338" i="6"/>
  <c r="O338" i="6" s="1"/>
  <c r="G337" i="6"/>
  <c r="N337" i="6" s="1"/>
  <c r="V336" i="6" l="1"/>
  <c r="V337" i="6" s="1"/>
  <c r="I336" i="6"/>
  <c r="L336" i="6" s="1"/>
  <c r="S336" i="6"/>
  <c r="S337" i="6" s="1"/>
  <c r="M336" i="6"/>
  <c r="M337" i="6" s="1"/>
  <c r="R336" i="6"/>
  <c r="U336" i="6" s="1"/>
  <c r="W336" i="6" s="1"/>
  <c r="J336" i="6"/>
  <c r="J337" i="6" s="1"/>
  <c r="K336" i="6"/>
  <c r="H338" i="6"/>
  <c r="F338" i="6"/>
  <c r="I337" i="6"/>
  <c r="L337" i="6" s="1"/>
  <c r="R337" i="6"/>
  <c r="T336" i="6"/>
  <c r="U335" i="6"/>
  <c r="W335" i="6" s="1"/>
  <c r="E339" i="6"/>
  <c r="O339" i="6" s="1"/>
  <c r="G338" i="6"/>
  <c r="N338" i="6" s="1"/>
  <c r="K337" i="6" l="1"/>
  <c r="K338" i="6" s="1"/>
  <c r="T337" i="6"/>
  <c r="T338" i="6" s="1"/>
  <c r="J338" i="6"/>
  <c r="H339" i="6"/>
  <c r="F339" i="6"/>
  <c r="S338" i="6"/>
  <c r="I338" i="6"/>
  <c r="L338" i="6" s="1"/>
  <c r="R338" i="6"/>
  <c r="U338" i="6" s="1"/>
  <c r="W338" i="6" s="1"/>
  <c r="V338" i="6"/>
  <c r="U337" i="6"/>
  <c r="W337" i="6" s="1"/>
  <c r="M338" i="6"/>
  <c r="G339" i="6"/>
  <c r="N339" i="6" s="1"/>
  <c r="E340" i="6" l="1"/>
  <c r="O340" i="6" s="1"/>
  <c r="K339" i="6"/>
  <c r="R339" i="6"/>
  <c r="U339" i="6" s="1"/>
  <c r="I339" i="6"/>
  <c r="J339" i="6"/>
  <c r="S339" i="6"/>
  <c r="T339" i="6"/>
  <c r="V339" i="6"/>
  <c r="M339" i="6"/>
  <c r="G340" i="6" l="1"/>
  <c r="N340" i="6" s="1"/>
  <c r="F340" i="6"/>
  <c r="H340" i="6"/>
  <c r="E341" i="6"/>
  <c r="O341" i="6" s="1"/>
  <c r="L339" i="6"/>
  <c r="W339" i="6"/>
  <c r="G341" i="6" l="1"/>
  <c r="N341" i="6" s="1"/>
  <c r="T340" i="6"/>
  <c r="K340" i="6"/>
  <c r="F341" i="6"/>
  <c r="S340" i="6"/>
  <c r="M340" i="6"/>
  <c r="R340" i="6"/>
  <c r="U340" i="6" s="1"/>
  <c r="W340" i="6" s="1"/>
  <c r="V340" i="6"/>
  <c r="I340" i="6"/>
  <c r="L340" i="6" s="1"/>
  <c r="J340" i="6"/>
  <c r="E342" i="6"/>
  <c r="O342" i="6" s="1"/>
  <c r="H341" i="6"/>
  <c r="E343" i="6"/>
  <c r="I341" i="6" l="1"/>
  <c r="L341" i="6" s="1"/>
  <c r="T341" i="6"/>
  <c r="V341" i="6"/>
  <c r="R341" i="6"/>
  <c r="U341" i="6" s="1"/>
  <c r="W341" i="6" s="1"/>
  <c r="M341" i="6"/>
  <c r="K341" i="6"/>
  <c r="S341" i="6"/>
  <c r="J341" i="6"/>
  <c r="F342" i="6"/>
  <c r="G342" i="6"/>
  <c r="N342" i="6" s="1"/>
  <c r="H342" i="6"/>
  <c r="O343" i="6"/>
  <c r="M342" i="6" l="1"/>
  <c r="V342" i="6"/>
  <c r="S342" i="6"/>
  <c r="T342" i="6"/>
  <c r="I342" i="6"/>
  <c r="L342" i="6" s="1"/>
  <c r="K342" i="6"/>
  <c r="J342" i="6"/>
  <c r="R342" i="6"/>
  <c r="U342" i="6" s="1"/>
  <c r="W342" i="6" s="1"/>
  <c r="E344" i="6"/>
  <c r="O344" i="6" s="1"/>
  <c r="F343" i="6"/>
  <c r="G343" i="6"/>
  <c r="N343" i="6" s="1"/>
  <c r="H343" i="6"/>
  <c r="G344" i="6" l="1"/>
  <c r="N344" i="6" s="1"/>
  <c r="H344" i="6"/>
  <c r="F344" i="6"/>
  <c r="E345" i="6"/>
  <c r="O345" i="6" s="1"/>
  <c r="J343" i="6"/>
  <c r="R343" i="6"/>
  <c r="I343" i="6"/>
  <c r="L343" i="6" s="1"/>
  <c r="K343" i="6"/>
  <c r="T343" i="6"/>
  <c r="S343" i="6"/>
  <c r="M343" i="6"/>
  <c r="V343" i="6"/>
  <c r="E346" i="6"/>
  <c r="O346" i="6" s="1"/>
  <c r="J344" i="6" l="1"/>
  <c r="R344" i="6"/>
  <c r="U344" i="6" s="1"/>
  <c r="W344" i="6" s="1"/>
  <c r="M344" i="6"/>
  <c r="S344" i="6"/>
  <c r="V344" i="6"/>
  <c r="I344" i="6"/>
  <c r="L344" i="6" s="1"/>
  <c r="G345" i="6"/>
  <c r="N345" i="6" s="1"/>
  <c r="H345" i="6"/>
  <c r="F345" i="6"/>
  <c r="K344" i="6"/>
  <c r="T344" i="6"/>
  <c r="H346" i="6"/>
  <c r="F346" i="6"/>
  <c r="U343" i="6"/>
  <c r="W343" i="6" s="1"/>
  <c r="E347" i="6"/>
  <c r="G346" i="6"/>
  <c r="N346" i="6" s="1"/>
  <c r="M345" i="6" l="1"/>
  <c r="M346" i="6" s="1"/>
  <c r="R345" i="6"/>
  <c r="U345" i="6" s="1"/>
  <c r="W345" i="6" s="1"/>
  <c r="I345" i="6"/>
  <c r="L345" i="6" s="1"/>
  <c r="J345" i="6"/>
  <c r="J346" i="6" s="1"/>
  <c r="K345" i="6"/>
  <c r="V345" i="6"/>
  <c r="V346" i="6" s="1"/>
  <c r="S345" i="6"/>
  <c r="S346" i="6" s="1"/>
  <c r="T345" i="6"/>
  <c r="I346" i="6"/>
  <c r="R346" i="6"/>
  <c r="O347" i="6"/>
  <c r="E348" i="6"/>
  <c r="K346" i="6" l="1"/>
  <c r="T346" i="6"/>
  <c r="F347" i="6"/>
  <c r="U346" i="6"/>
  <c r="W346" i="6" s="1"/>
  <c r="H347" i="6"/>
  <c r="G347" i="6"/>
  <c r="N347" i="6" s="1"/>
  <c r="O348" i="6"/>
  <c r="L346" i="6"/>
  <c r="C470" i="6"/>
  <c r="E349" i="6" l="1"/>
  <c r="O349" i="6" s="1"/>
  <c r="F348" i="6"/>
  <c r="T347" i="6"/>
  <c r="J347" i="6"/>
  <c r="R347" i="6"/>
  <c r="I347" i="6"/>
  <c r="S347" i="6"/>
  <c r="V347" i="6"/>
  <c r="K347" i="6"/>
  <c r="G348" i="6"/>
  <c r="N348" i="6" s="1"/>
  <c r="H348" i="6"/>
  <c r="M347" i="6"/>
  <c r="E350" i="6"/>
  <c r="F470" i="6" s="1"/>
  <c r="O350" i="6" l="1"/>
  <c r="E470" i="6"/>
  <c r="F349" i="6"/>
  <c r="V348" i="6"/>
  <c r="M348" i="6"/>
  <c r="K348" i="6"/>
  <c r="H350" i="6"/>
  <c r="F350" i="6"/>
  <c r="J348" i="6"/>
  <c r="R348" i="6"/>
  <c r="I348" i="6"/>
  <c r="L348" i="6" s="1"/>
  <c r="S348" i="6"/>
  <c r="T348" i="6"/>
  <c r="U347" i="6"/>
  <c r="W347" i="6" s="1"/>
  <c r="H349" i="6"/>
  <c r="L347" i="6"/>
  <c r="G349" i="6"/>
  <c r="N349" i="6" s="1"/>
  <c r="E351" i="6"/>
  <c r="O351" i="6" s="1"/>
  <c r="G350" i="6"/>
  <c r="N350" i="6" s="1"/>
  <c r="K349" i="6" l="1"/>
  <c r="I350" i="6"/>
  <c r="L350" i="6" s="1"/>
  <c r="R350" i="6"/>
  <c r="S349" i="6"/>
  <c r="S350" i="6" s="1"/>
  <c r="H351" i="6"/>
  <c r="F351" i="6"/>
  <c r="V349" i="6"/>
  <c r="V350" i="6" s="1"/>
  <c r="I349" i="6"/>
  <c r="L349" i="6" s="1"/>
  <c r="R349" i="6"/>
  <c r="U349" i="6" s="1"/>
  <c r="W349" i="6" s="1"/>
  <c r="T349" i="6"/>
  <c r="J349" i="6"/>
  <c r="J350" i="6" s="1"/>
  <c r="U348" i="6"/>
  <c r="W348" i="6" s="1"/>
  <c r="M349" i="6"/>
  <c r="M350" i="6" s="1"/>
  <c r="E352" i="6"/>
  <c r="O352" i="6" s="1"/>
  <c r="G351" i="6"/>
  <c r="N351" i="6" s="1"/>
  <c r="T350" i="6" l="1"/>
  <c r="T351" i="6" s="1"/>
  <c r="S351" i="6"/>
  <c r="V351" i="6"/>
  <c r="R351" i="6"/>
  <c r="I351" i="6"/>
  <c r="L351" i="6" s="1"/>
  <c r="J351" i="6"/>
  <c r="H352" i="6"/>
  <c r="F352" i="6"/>
  <c r="K350" i="6"/>
  <c r="K351" i="6" s="1"/>
  <c r="U350" i="6"/>
  <c r="W350" i="6" s="1"/>
  <c r="M351" i="6"/>
  <c r="G352" i="6"/>
  <c r="N352" i="6" s="1"/>
  <c r="E353" i="6" l="1"/>
  <c r="O353" i="6" s="1"/>
  <c r="V352" i="6"/>
  <c r="R352" i="6"/>
  <c r="I352" i="6"/>
  <c r="L352" i="6" s="1"/>
  <c r="T352" i="6"/>
  <c r="K352" i="6"/>
  <c r="J352" i="6"/>
  <c r="S352" i="6"/>
  <c r="U351" i="6"/>
  <c r="W351" i="6" s="1"/>
  <c r="M352" i="6"/>
  <c r="G353" i="6" l="1"/>
  <c r="N353" i="6" s="1"/>
  <c r="F353" i="6"/>
  <c r="H353" i="6"/>
  <c r="E354" i="6"/>
  <c r="O354" i="6" s="1"/>
  <c r="U352" i="6"/>
  <c r="W352" i="6" s="1"/>
  <c r="J353" i="6" l="1"/>
  <c r="M353" i="6"/>
  <c r="S353" i="6"/>
  <c r="K353" i="6"/>
  <c r="I353" i="6"/>
  <c r="L353" i="6" s="1"/>
  <c r="R353" i="6"/>
  <c r="U353" i="6" s="1"/>
  <c r="W353" i="6" s="1"/>
  <c r="T353" i="6"/>
  <c r="V353" i="6"/>
  <c r="H354" i="6"/>
  <c r="G354" i="6"/>
  <c r="N354" i="6" s="1"/>
  <c r="F354" i="6"/>
  <c r="E355" i="6"/>
  <c r="O355" i="6" s="1"/>
  <c r="M354" i="6" l="1"/>
  <c r="K354" i="6"/>
  <c r="R354" i="6"/>
  <c r="U354" i="6" s="1"/>
  <c r="W354" i="6" s="1"/>
  <c r="S354" i="6"/>
  <c r="J354" i="6"/>
  <c r="I354" i="6"/>
  <c r="L354" i="6" s="1"/>
  <c r="V354" i="6"/>
  <c r="T354" i="6"/>
  <c r="F355" i="6"/>
  <c r="G355" i="6"/>
  <c r="N355" i="6" s="1"/>
  <c r="H355" i="6"/>
  <c r="E356" i="6"/>
  <c r="O356" i="6" s="1"/>
  <c r="E357" i="6"/>
  <c r="O357" i="6" s="1"/>
  <c r="V355" i="6" l="1"/>
  <c r="S355" i="6"/>
  <c r="M355" i="6"/>
  <c r="I355" i="6"/>
  <c r="L355" i="6" s="1"/>
  <c r="R355" i="6"/>
  <c r="U355" i="6" s="1"/>
  <c r="W355" i="6" s="1"/>
  <c r="K355" i="6"/>
  <c r="T355" i="6"/>
  <c r="J355" i="6"/>
  <c r="H356" i="6"/>
  <c r="G356" i="6"/>
  <c r="N356" i="6" s="1"/>
  <c r="F356" i="6"/>
  <c r="H357" i="6"/>
  <c r="F357" i="6"/>
  <c r="E358" i="6"/>
  <c r="O358" i="6" s="1"/>
  <c r="G357" i="6"/>
  <c r="N357" i="6" s="1"/>
  <c r="J356" i="6" l="1"/>
  <c r="J357" i="6" s="1"/>
  <c r="M356" i="6"/>
  <c r="M357" i="6" s="1"/>
  <c r="I356" i="6"/>
  <c r="L356" i="6" s="1"/>
  <c r="V356" i="6"/>
  <c r="V357" i="6" s="1"/>
  <c r="T356" i="6"/>
  <c r="S356" i="6"/>
  <c r="S357" i="6" s="1"/>
  <c r="R356" i="6"/>
  <c r="U356" i="6" s="1"/>
  <c r="W356" i="6" s="1"/>
  <c r="K356" i="6"/>
  <c r="I357" i="6"/>
  <c r="L357" i="6" s="1"/>
  <c r="R357" i="6"/>
  <c r="U357" i="6" s="1"/>
  <c r="W357" i="6" s="1"/>
  <c r="H358" i="6"/>
  <c r="F358" i="6"/>
  <c r="E359" i="6"/>
  <c r="O359" i="6" s="1"/>
  <c r="G358" i="6"/>
  <c r="N358" i="6" s="1"/>
  <c r="T357" i="6" l="1"/>
  <c r="T358" i="6" s="1"/>
  <c r="K357" i="6"/>
  <c r="K358" i="6" s="1"/>
  <c r="V358" i="6"/>
  <c r="H359" i="6"/>
  <c r="F359" i="6"/>
  <c r="S358" i="6"/>
  <c r="I358" i="6"/>
  <c r="R358" i="6"/>
  <c r="U358" i="6" s="1"/>
  <c r="J358" i="6"/>
  <c r="M358" i="6"/>
  <c r="E360" i="6"/>
  <c r="O360" i="6" s="1"/>
  <c r="G359" i="6"/>
  <c r="N359" i="6" s="1"/>
  <c r="V359" i="6" l="1"/>
  <c r="R359" i="6"/>
  <c r="I359" i="6"/>
  <c r="L359" i="6" s="1"/>
  <c r="K359" i="6"/>
  <c r="T359" i="6"/>
  <c r="J359" i="6"/>
  <c r="S359" i="6"/>
  <c r="H360" i="6"/>
  <c r="F360" i="6"/>
  <c r="W358" i="6"/>
  <c r="L358" i="6"/>
  <c r="M359" i="6"/>
  <c r="E361" i="6"/>
  <c r="G361" i="6" s="1"/>
  <c r="G360" i="6"/>
  <c r="N360" i="6" s="1"/>
  <c r="O361" i="6" l="1"/>
  <c r="K360" i="6"/>
  <c r="H361" i="6"/>
  <c r="F361" i="6"/>
  <c r="R360" i="6"/>
  <c r="U360" i="6" s="1"/>
  <c r="W360" i="6" s="1"/>
  <c r="I360" i="6"/>
  <c r="L360" i="6" s="1"/>
  <c r="S360" i="6"/>
  <c r="J360" i="6"/>
  <c r="T360" i="6"/>
  <c r="V360" i="6"/>
  <c r="U359" i="6"/>
  <c r="W359" i="6" s="1"/>
  <c r="M360" i="6"/>
  <c r="C471" i="6"/>
  <c r="N361" i="6"/>
  <c r="E362" i="6" l="1"/>
  <c r="O362" i="6" s="1"/>
  <c r="T361" i="6"/>
  <c r="I361" i="6"/>
  <c r="L361" i="6" s="1"/>
  <c r="R361" i="6"/>
  <c r="U361" i="6" s="1"/>
  <c r="W361" i="6" s="1"/>
  <c r="J361" i="6"/>
  <c r="S361" i="6"/>
  <c r="V361" i="6"/>
  <c r="K361" i="6"/>
  <c r="M361" i="6"/>
  <c r="E363" i="6"/>
  <c r="F471" i="6" s="1"/>
  <c r="G362" i="6" l="1"/>
  <c r="N362" i="6" s="1"/>
  <c r="F362" i="6"/>
  <c r="H362" i="6"/>
  <c r="O363" i="6"/>
  <c r="E471" i="6"/>
  <c r="H363" i="6"/>
  <c r="F363" i="6"/>
  <c r="E364" i="6"/>
  <c r="O364" i="6" s="1"/>
  <c r="G363" i="6"/>
  <c r="N363" i="6" s="1"/>
  <c r="M362" i="6" l="1"/>
  <c r="M363" i="6" s="1"/>
  <c r="S362" i="6"/>
  <c r="S363" i="6" s="1"/>
  <c r="J362" i="6"/>
  <c r="J363" i="6" s="1"/>
  <c r="K362" i="6"/>
  <c r="R362" i="6"/>
  <c r="U362" i="6" s="1"/>
  <c r="W362" i="6" s="1"/>
  <c r="I362" i="6"/>
  <c r="L362" i="6" s="1"/>
  <c r="T362" i="6"/>
  <c r="V362" i="6"/>
  <c r="V363" i="6" s="1"/>
  <c r="H364" i="6"/>
  <c r="F364" i="6"/>
  <c r="R363" i="6"/>
  <c r="I363" i="6"/>
  <c r="L363" i="6" s="1"/>
  <c r="E365" i="6"/>
  <c r="O365" i="6" s="1"/>
  <c r="G364" i="6"/>
  <c r="N364" i="6" s="1"/>
  <c r="T363" i="6" l="1"/>
  <c r="T364" i="6" s="1"/>
  <c r="K363" i="6"/>
  <c r="K364" i="6" s="1"/>
  <c r="H365" i="6"/>
  <c r="F365" i="6"/>
  <c r="R364" i="6"/>
  <c r="U364" i="6" s="1"/>
  <c r="W364" i="6" s="1"/>
  <c r="I364" i="6"/>
  <c r="L364" i="6" s="1"/>
  <c r="V364" i="6"/>
  <c r="J364" i="6"/>
  <c r="S364" i="6"/>
  <c r="U363" i="6"/>
  <c r="W363" i="6" s="1"/>
  <c r="M364" i="6"/>
  <c r="G365" i="6"/>
  <c r="N365" i="6" s="1"/>
  <c r="E366" i="6" l="1"/>
  <c r="O366" i="6" s="1"/>
  <c r="K365" i="6"/>
  <c r="V365" i="6"/>
  <c r="I365" i="6"/>
  <c r="L365" i="6" s="1"/>
  <c r="R365" i="6"/>
  <c r="U365" i="6" s="1"/>
  <c r="W365" i="6" s="1"/>
  <c r="T365" i="6"/>
  <c r="J365" i="6"/>
  <c r="S365" i="6"/>
  <c r="M365" i="6"/>
  <c r="G366" i="6" l="1"/>
  <c r="N366" i="6" s="1"/>
  <c r="H366" i="6"/>
  <c r="E367" i="6"/>
  <c r="O367" i="6" s="1"/>
  <c r="F366" i="6"/>
  <c r="E368" i="6"/>
  <c r="O368" i="6" s="1"/>
  <c r="K366" i="6" l="1"/>
  <c r="G367" i="6"/>
  <c r="N367" i="6" s="1"/>
  <c r="S366" i="6"/>
  <c r="F367" i="6"/>
  <c r="I366" i="6"/>
  <c r="L366" i="6" s="1"/>
  <c r="J366" i="6"/>
  <c r="R366" i="6"/>
  <c r="U366" i="6" s="1"/>
  <c r="W366" i="6" s="1"/>
  <c r="T366" i="6"/>
  <c r="M366" i="6"/>
  <c r="V366" i="6"/>
  <c r="H367" i="6"/>
  <c r="H368" i="6"/>
  <c r="F368" i="6"/>
  <c r="G368" i="6"/>
  <c r="N368" i="6" s="1"/>
  <c r="R367" i="6" l="1"/>
  <c r="U367" i="6" s="1"/>
  <c r="W367" i="6" s="1"/>
  <c r="J367" i="6"/>
  <c r="J368" i="6" s="1"/>
  <c r="T367" i="6"/>
  <c r="M367" i="6"/>
  <c r="M368" i="6" s="1"/>
  <c r="S367" i="6"/>
  <c r="S368" i="6" s="1"/>
  <c r="I367" i="6"/>
  <c r="L367" i="6" s="1"/>
  <c r="K367" i="6"/>
  <c r="V367" i="6"/>
  <c r="V368" i="6" s="1"/>
  <c r="E369" i="6"/>
  <c r="O369" i="6" s="1"/>
  <c r="R368" i="6"/>
  <c r="I368" i="6"/>
  <c r="L368" i="6" s="1"/>
  <c r="K368" i="6" l="1"/>
  <c r="F369" i="6"/>
  <c r="T368" i="6"/>
  <c r="G369" i="6"/>
  <c r="N369" i="6" s="1"/>
  <c r="E370" i="6"/>
  <c r="O370" i="6" s="1"/>
  <c r="H369" i="6"/>
  <c r="U368" i="6"/>
  <c r="W368" i="6" s="1"/>
  <c r="E371" i="6"/>
  <c r="O371" i="6" s="1"/>
  <c r="V369" i="6" l="1"/>
  <c r="M369" i="6"/>
  <c r="J369" i="6"/>
  <c r="R369" i="6"/>
  <c r="U369" i="6" s="1"/>
  <c r="W369" i="6" s="1"/>
  <c r="I369" i="6"/>
  <c r="L369" i="6" s="1"/>
  <c r="K369" i="6"/>
  <c r="T369" i="6"/>
  <c r="S369" i="6"/>
  <c r="F370" i="6"/>
  <c r="H371" i="6"/>
  <c r="F371" i="6"/>
  <c r="H370" i="6"/>
  <c r="G370" i="6"/>
  <c r="N370" i="6" s="1"/>
  <c r="G371" i="6"/>
  <c r="N371" i="6" s="1"/>
  <c r="E372" i="6" l="1"/>
  <c r="O372" i="6" s="1"/>
  <c r="K370" i="6"/>
  <c r="S370" i="6"/>
  <c r="S371" i="6" s="1"/>
  <c r="R371" i="6"/>
  <c r="U371" i="6" s="1"/>
  <c r="W371" i="6" s="1"/>
  <c r="I371" i="6"/>
  <c r="L371" i="6" s="1"/>
  <c r="T370" i="6"/>
  <c r="V370" i="6"/>
  <c r="V371" i="6" s="1"/>
  <c r="I370" i="6"/>
  <c r="R370" i="6"/>
  <c r="U370" i="6" s="1"/>
  <c r="J370" i="6"/>
  <c r="J371" i="6" s="1"/>
  <c r="M370" i="6"/>
  <c r="M371" i="6" s="1"/>
  <c r="E373" i="6"/>
  <c r="O373" i="6" s="1"/>
  <c r="H372" i="6" l="1"/>
  <c r="G372" i="6"/>
  <c r="N372" i="6" s="1"/>
  <c r="F372" i="6"/>
  <c r="H373" i="6"/>
  <c r="F373" i="6"/>
  <c r="T371" i="6"/>
  <c r="K371" i="6"/>
  <c r="W370" i="6"/>
  <c r="L370" i="6"/>
  <c r="E374" i="6"/>
  <c r="O374" i="6" s="1"/>
  <c r="G373" i="6"/>
  <c r="N373" i="6" s="1"/>
  <c r="M372" i="6" l="1"/>
  <c r="M373" i="6" s="1"/>
  <c r="T372" i="6"/>
  <c r="K372" i="6"/>
  <c r="S372" i="6"/>
  <c r="R372" i="6"/>
  <c r="U372" i="6" s="1"/>
  <c r="W372" i="6" s="1"/>
  <c r="J372" i="6"/>
  <c r="J373" i="6" s="1"/>
  <c r="I372" i="6"/>
  <c r="L372" i="6" s="1"/>
  <c r="V372" i="6"/>
  <c r="V373" i="6" s="1"/>
  <c r="I373" i="6"/>
  <c r="L373" i="6" s="1"/>
  <c r="R373" i="6"/>
  <c r="U373" i="6" s="1"/>
  <c r="W373" i="6" s="1"/>
  <c r="H374" i="6"/>
  <c r="F374" i="6"/>
  <c r="C472" i="6"/>
  <c r="G374" i="6"/>
  <c r="N374" i="6" s="1"/>
  <c r="T373" i="6" l="1"/>
  <c r="S373" i="6"/>
  <c r="K373" i="6"/>
  <c r="K374" i="6" s="1"/>
  <c r="E375" i="6"/>
  <c r="O375" i="6" s="1"/>
  <c r="V374" i="6"/>
  <c r="I374" i="6"/>
  <c r="L374" i="6" s="1"/>
  <c r="R374" i="6"/>
  <c r="J374" i="6"/>
  <c r="M374" i="6"/>
  <c r="T374" i="6" l="1"/>
  <c r="S374" i="6"/>
  <c r="G375" i="6"/>
  <c r="N375" i="6" s="1"/>
  <c r="F375" i="6"/>
  <c r="H375" i="6"/>
  <c r="E376" i="6"/>
  <c r="F472" i="6" s="1"/>
  <c r="U374" i="6"/>
  <c r="W374" i="6" s="1"/>
  <c r="O376" i="6" l="1"/>
  <c r="E472" i="6"/>
  <c r="S375" i="6"/>
  <c r="J375" i="6"/>
  <c r="K375" i="6"/>
  <c r="R375" i="6"/>
  <c r="U375" i="6" s="1"/>
  <c r="W375" i="6" s="1"/>
  <c r="V375" i="6"/>
  <c r="H376" i="6"/>
  <c r="M375" i="6"/>
  <c r="I375" i="6"/>
  <c r="L375" i="6" s="1"/>
  <c r="T375" i="6"/>
  <c r="G376" i="6"/>
  <c r="N376" i="6" s="1"/>
  <c r="F376" i="6"/>
  <c r="E377" i="6"/>
  <c r="O377" i="6" s="1"/>
  <c r="V376" i="6" l="1"/>
  <c r="J376" i="6"/>
  <c r="T376" i="6"/>
  <c r="K376" i="6"/>
  <c r="I376" i="6"/>
  <c r="L376" i="6" s="1"/>
  <c r="E378" i="6"/>
  <c r="O378" i="6" s="1"/>
  <c r="M376" i="6"/>
  <c r="S376" i="6"/>
  <c r="R376" i="6"/>
  <c r="U376" i="6" s="1"/>
  <c r="W376" i="6" s="1"/>
  <c r="F377" i="6"/>
  <c r="H377" i="6"/>
  <c r="G377" i="6"/>
  <c r="N377" i="6" s="1"/>
  <c r="F378" i="6" l="1"/>
  <c r="H378" i="6"/>
  <c r="G378" i="6"/>
  <c r="N378" i="6" s="1"/>
  <c r="E379" i="6"/>
  <c r="O379" i="6" s="1"/>
  <c r="V377" i="6"/>
  <c r="I377" i="6"/>
  <c r="L377" i="6" s="1"/>
  <c r="R377" i="6"/>
  <c r="U377" i="6" s="1"/>
  <c r="W377" i="6" s="1"/>
  <c r="J377" i="6"/>
  <c r="S377" i="6"/>
  <c r="T377" i="6"/>
  <c r="K377" i="6"/>
  <c r="M377" i="6"/>
  <c r="E380" i="6"/>
  <c r="O380" i="6" s="1"/>
  <c r="J378" i="6" l="1"/>
  <c r="M378" i="6"/>
  <c r="S378" i="6"/>
  <c r="R378" i="6"/>
  <c r="U378" i="6" s="1"/>
  <c r="W378" i="6" s="1"/>
  <c r="I378" i="6"/>
  <c r="L378" i="6" s="1"/>
  <c r="H379" i="6"/>
  <c r="G379" i="6"/>
  <c r="N379" i="6" s="1"/>
  <c r="V378" i="6"/>
  <c r="F379" i="6"/>
  <c r="K378" i="6"/>
  <c r="T378" i="6"/>
  <c r="H380" i="6"/>
  <c r="F380" i="6"/>
  <c r="G380" i="6"/>
  <c r="N380" i="6" s="1"/>
  <c r="R379" i="6" l="1"/>
  <c r="U379" i="6" s="1"/>
  <c r="W379" i="6" s="1"/>
  <c r="T379" i="6"/>
  <c r="I379" i="6"/>
  <c r="L379" i="6" s="1"/>
  <c r="V379" i="6"/>
  <c r="V380" i="6" s="1"/>
  <c r="S379" i="6"/>
  <c r="J379" i="6"/>
  <c r="J380" i="6" s="1"/>
  <c r="K379" i="6"/>
  <c r="M379" i="6"/>
  <c r="M380" i="6" s="1"/>
  <c r="E381" i="6"/>
  <c r="O381" i="6" s="1"/>
  <c r="R380" i="6"/>
  <c r="I380" i="6"/>
  <c r="E382" i="6"/>
  <c r="O382" i="6" s="1"/>
  <c r="T380" i="6" l="1"/>
  <c r="K380" i="6"/>
  <c r="S380" i="6"/>
  <c r="G381" i="6"/>
  <c r="N381" i="6" s="1"/>
  <c r="F381" i="6"/>
  <c r="H381" i="6"/>
  <c r="H382" i="6"/>
  <c r="F382" i="6"/>
  <c r="U380" i="6"/>
  <c r="W380" i="6" s="1"/>
  <c r="L380" i="6"/>
  <c r="G382" i="6"/>
  <c r="N382" i="6" s="1"/>
  <c r="M381" i="6" l="1"/>
  <c r="M382" i="6" s="1"/>
  <c r="R381" i="6"/>
  <c r="U381" i="6" s="1"/>
  <c r="W381" i="6" s="1"/>
  <c r="V381" i="6"/>
  <c r="V382" i="6" s="1"/>
  <c r="J381" i="6"/>
  <c r="J382" i="6" s="1"/>
  <c r="T381" i="6"/>
  <c r="S381" i="6"/>
  <c r="S382" i="6" s="1"/>
  <c r="I381" i="6"/>
  <c r="L381" i="6" s="1"/>
  <c r="K381" i="6"/>
  <c r="E383" i="6"/>
  <c r="O383" i="6" s="1"/>
  <c r="I382" i="6"/>
  <c r="L382" i="6" s="1"/>
  <c r="R382" i="6"/>
  <c r="K382" i="6" l="1"/>
  <c r="T382" i="6"/>
  <c r="H383" i="6"/>
  <c r="G383" i="6"/>
  <c r="N383" i="6" s="1"/>
  <c r="F383" i="6"/>
  <c r="E384" i="6"/>
  <c r="O384" i="6" s="1"/>
  <c r="U382" i="6"/>
  <c r="W382" i="6" s="1"/>
  <c r="E385" i="6"/>
  <c r="I383" i="6" l="1"/>
  <c r="L383" i="6" s="1"/>
  <c r="K383" i="6"/>
  <c r="M383" i="6"/>
  <c r="V383" i="6"/>
  <c r="G384" i="6"/>
  <c r="N384" i="6" s="1"/>
  <c r="S383" i="6"/>
  <c r="J383" i="6"/>
  <c r="R383" i="6"/>
  <c r="U383" i="6" s="1"/>
  <c r="W383" i="6" s="1"/>
  <c r="T383" i="6"/>
  <c r="F384" i="6"/>
  <c r="H384" i="6"/>
  <c r="O385" i="6"/>
  <c r="R384" i="6" l="1"/>
  <c r="U384" i="6" s="1"/>
  <c r="W384" i="6" s="1"/>
  <c r="V384" i="6"/>
  <c r="M384" i="6"/>
  <c r="S384" i="6"/>
  <c r="T384" i="6"/>
  <c r="I384" i="6"/>
  <c r="L384" i="6" s="1"/>
  <c r="K384" i="6"/>
  <c r="J384" i="6"/>
  <c r="E386" i="6"/>
  <c r="O386" i="6" s="1"/>
  <c r="F385" i="6"/>
  <c r="H385" i="6"/>
  <c r="G385" i="6"/>
  <c r="N385" i="6" s="1"/>
  <c r="F386" i="6" l="1"/>
  <c r="G386" i="6"/>
  <c r="N386" i="6" s="1"/>
  <c r="E387" i="6"/>
  <c r="O387" i="6" s="1"/>
  <c r="H386" i="6"/>
  <c r="S385" i="6"/>
  <c r="V385" i="6"/>
  <c r="T385" i="6"/>
  <c r="I385" i="6"/>
  <c r="L385" i="6" s="1"/>
  <c r="R385" i="6"/>
  <c r="U385" i="6" s="1"/>
  <c r="W385" i="6" s="1"/>
  <c r="J385" i="6"/>
  <c r="K385" i="6"/>
  <c r="M385" i="6"/>
  <c r="C473" i="6"/>
  <c r="E388" i="6" l="1"/>
  <c r="O388" i="6" s="1"/>
  <c r="R386" i="6"/>
  <c r="U386" i="6" s="1"/>
  <c r="W386" i="6" s="1"/>
  <c r="F387" i="6"/>
  <c r="S386" i="6"/>
  <c r="M386" i="6"/>
  <c r="V386" i="6"/>
  <c r="G387" i="6"/>
  <c r="N387" i="6" s="1"/>
  <c r="J386" i="6"/>
  <c r="H387" i="6"/>
  <c r="I386" i="6"/>
  <c r="L386" i="6" s="1"/>
  <c r="T386" i="6"/>
  <c r="K386" i="6"/>
  <c r="G388" i="6" l="1"/>
  <c r="N388" i="6" s="1"/>
  <c r="F388" i="6"/>
  <c r="H388" i="6"/>
  <c r="J387" i="6"/>
  <c r="S387" i="6"/>
  <c r="T387" i="6"/>
  <c r="M387" i="6"/>
  <c r="R387" i="6"/>
  <c r="U387" i="6" s="1"/>
  <c r="W387" i="6" s="1"/>
  <c r="I387" i="6"/>
  <c r="L387" i="6" s="1"/>
  <c r="V387" i="6"/>
  <c r="K387" i="6"/>
  <c r="E389" i="6"/>
  <c r="F473" i="6" s="1"/>
  <c r="E390" i="6"/>
  <c r="O390" i="6" s="1"/>
  <c r="M388" i="6" l="1"/>
  <c r="R388" i="6"/>
  <c r="U388" i="6" s="1"/>
  <c r="W388" i="6" s="1"/>
  <c r="S388" i="6"/>
  <c r="J388" i="6"/>
  <c r="I388" i="6"/>
  <c r="L388" i="6" s="1"/>
  <c r="V388" i="6"/>
  <c r="O389" i="6"/>
  <c r="E473" i="6"/>
  <c r="K388" i="6"/>
  <c r="T388" i="6"/>
  <c r="F389" i="6"/>
  <c r="H390" i="6"/>
  <c r="F390" i="6"/>
  <c r="H389" i="6"/>
  <c r="G389" i="6"/>
  <c r="N389" i="6" s="1"/>
  <c r="E391" i="6"/>
  <c r="O391" i="6" s="1"/>
  <c r="G390" i="6"/>
  <c r="N390" i="6" s="1"/>
  <c r="J389" i="6" l="1"/>
  <c r="J390" i="6" s="1"/>
  <c r="I390" i="6"/>
  <c r="L390" i="6" s="1"/>
  <c r="R390" i="6"/>
  <c r="I389" i="6"/>
  <c r="L389" i="6" s="1"/>
  <c r="R389" i="6"/>
  <c r="U389" i="6" s="1"/>
  <c r="W389" i="6" s="1"/>
  <c r="K389" i="6"/>
  <c r="S389" i="6"/>
  <c r="S390" i="6" s="1"/>
  <c r="H391" i="6"/>
  <c r="F391" i="6"/>
  <c r="T389" i="6"/>
  <c r="V389" i="6"/>
  <c r="V390" i="6" s="1"/>
  <c r="M389" i="6"/>
  <c r="M390" i="6" s="1"/>
  <c r="G391" i="6"/>
  <c r="N391" i="6" s="1"/>
  <c r="E392" i="6" l="1"/>
  <c r="O392" i="6" s="1"/>
  <c r="K390" i="6"/>
  <c r="K391" i="6" s="1"/>
  <c r="T390" i="6"/>
  <c r="T391" i="6" s="1"/>
  <c r="R391" i="6"/>
  <c r="I391" i="6"/>
  <c r="L391" i="6" s="1"/>
  <c r="S391" i="6"/>
  <c r="J391" i="6"/>
  <c r="U390" i="6"/>
  <c r="W390" i="6" s="1"/>
  <c r="V391" i="6"/>
  <c r="M391" i="6"/>
  <c r="G392" i="6" l="1"/>
  <c r="N392" i="6" s="1"/>
  <c r="H392" i="6"/>
  <c r="F392" i="6"/>
  <c r="E393" i="6"/>
  <c r="O393" i="6" s="1"/>
  <c r="U391" i="6"/>
  <c r="W391" i="6" s="1"/>
  <c r="T392" i="6" l="1"/>
  <c r="M392" i="6"/>
  <c r="I392" i="6"/>
  <c r="L392" i="6" s="1"/>
  <c r="S392" i="6"/>
  <c r="V392" i="6"/>
  <c r="R392" i="6"/>
  <c r="U392" i="6" s="1"/>
  <c r="W392" i="6" s="1"/>
  <c r="K392" i="6"/>
  <c r="J392" i="6"/>
  <c r="G393" i="6"/>
  <c r="N393" i="6" s="1"/>
  <c r="F393" i="6"/>
  <c r="H393" i="6"/>
  <c r="E394" i="6"/>
  <c r="O394" i="6" s="1"/>
  <c r="E395" i="6"/>
  <c r="O395" i="6" s="1"/>
  <c r="G394" i="6" l="1"/>
  <c r="N394" i="6" s="1"/>
  <c r="H394" i="6"/>
  <c r="F394" i="6"/>
  <c r="I393" i="6"/>
  <c r="L393" i="6" s="1"/>
  <c r="M393" i="6"/>
  <c r="M394" i="6" s="1"/>
  <c r="J393" i="6"/>
  <c r="T393" i="6"/>
  <c r="K393" i="6"/>
  <c r="V393" i="6"/>
  <c r="V394" i="6" s="1"/>
  <c r="S393" i="6"/>
  <c r="R393" i="6"/>
  <c r="U393" i="6" s="1"/>
  <c r="W393" i="6" s="1"/>
  <c r="H395" i="6"/>
  <c r="F395" i="6"/>
  <c r="E396" i="6"/>
  <c r="O396" i="6" s="1"/>
  <c r="G395" i="6"/>
  <c r="N395" i="6" s="1"/>
  <c r="R394" i="6" l="1"/>
  <c r="U394" i="6" s="1"/>
  <c r="W394" i="6" s="1"/>
  <c r="I394" i="6"/>
  <c r="L394" i="6" s="1"/>
  <c r="S394" i="6"/>
  <c r="S395" i="6" s="1"/>
  <c r="J394" i="6"/>
  <c r="J395" i="6" s="1"/>
  <c r="T394" i="6"/>
  <c r="K394" i="6"/>
  <c r="V395" i="6"/>
  <c r="R395" i="6"/>
  <c r="I395" i="6"/>
  <c r="L395" i="6" s="1"/>
  <c r="H396" i="6"/>
  <c r="F396" i="6"/>
  <c r="M395" i="6"/>
  <c r="E397" i="6"/>
  <c r="O397" i="6" s="1"/>
  <c r="G396" i="6"/>
  <c r="N396" i="6" s="1"/>
  <c r="K395" i="6" l="1"/>
  <c r="K396" i="6" s="1"/>
  <c r="T395" i="6"/>
  <c r="T396" i="6" s="1"/>
  <c r="H397" i="6"/>
  <c r="F397" i="6"/>
  <c r="V396" i="6"/>
  <c r="R396" i="6"/>
  <c r="I396" i="6"/>
  <c r="L396" i="6" s="1"/>
  <c r="S396" i="6"/>
  <c r="J396" i="6"/>
  <c r="U395" i="6"/>
  <c r="W395" i="6" s="1"/>
  <c r="M396" i="6"/>
  <c r="G397" i="6"/>
  <c r="N397" i="6" s="1"/>
  <c r="E398" i="6" l="1"/>
  <c r="O398" i="6" s="1"/>
  <c r="J397" i="6"/>
  <c r="V397" i="6"/>
  <c r="I397" i="6"/>
  <c r="L397" i="6" s="1"/>
  <c r="R397" i="6"/>
  <c r="S397" i="6"/>
  <c r="K397" i="6"/>
  <c r="T397" i="6"/>
  <c r="U396" i="6"/>
  <c r="W396" i="6" s="1"/>
  <c r="M397" i="6"/>
  <c r="G398" i="6" l="1"/>
  <c r="N398" i="6" s="1"/>
  <c r="H398" i="6"/>
  <c r="F398" i="6"/>
  <c r="E399" i="6"/>
  <c r="O399" i="6" s="1"/>
  <c r="U397" i="6"/>
  <c r="W397" i="6" s="1"/>
  <c r="E400" i="6"/>
  <c r="O400" i="6" s="1"/>
  <c r="K398" i="6" l="1"/>
  <c r="T398" i="6"/>
  <c r="J398" i="6"/>
  <c r="M398" i="6"/>
  <c r="I398" i="6"/>
  <c r="L398" i="6" s="1"/>
  <c r="R398" i="6"/>
  <c r="U398" i="6" s="1"/>
  <c r="W398" i="6" s="1"/>
  <c r="S398" i="6"/>
  <c r="V398" i="6"/>
  <c r="G399" i="6"/>
  <c r="N399" i="6" s="1"/>
  <c r="F399" i="6"/>
  <c r="H399" i="6"/>
  <c r="H400" i="6"/>
  <c r="F400" i="6"/>
  <c r="C474" i="6"/>
  <c r="G400" i="6"/>
  <c r="N400" i="6" s="1"/>
  <c r="E401" i="6" l="1"/>
  <c r="O401" i="6" s="1"/>
  <c r="M399" i="6"/>
  <c r="M400" i="6" s="1"/>
  <c r="T399" i="6"/>
  <c r="J399" i="6"/>
  <c r="J400" i="6" s="1"/>
  <c r="I399" i="6"/>
  <c r="L399" i="6" s="1"/>
  <c r="K399" i="6"/>
  <c r="S399" i="6"/>
  <c r="R399" i="6"/>
  <c r="U399" i="6" s="1"/>
  <c r="W399" i="6" s="1"/>
  <c r="V399" i="6"/>
  <c r="V400" i="6" s="1"/>
  <c r="R400" i="6"/>
  <c r="U400" i="6" s="1"/>
  <c r="W400" i="6" s="1"/>
  <c r="I400" i="6"/>
  <c r="L400" i="6" s="1"/>
  <c r="T400" i="6" l="1"/>
  <c r="K400" i="6"/>
  <c r="S400" i="6"/>
  <c r="E402" i="6"/>
  <c r="F474" i="6" s="1"/>
  <c r="F401" i="6"/>
  <c r="H401" i="6"/>
  <c r="G401" i="6"/>
  <c r="N401" i="6" s="1"/>
  <c r="E403" i="6"/>
  <c r="O403" i="6" s="1"/>
  <c r="O402" i="6" l="1"/>
  <c r="E474" i="6"/>
  <c r="G402" i="6"/>
  <c r="N402" i="6" s="1"/>
  <c r="F402" i="6"/>
  <c r="H402" i="6"/>
  <c r="I401" i="6"/>
  <c r="L401" i="6" s="1"/>
  <c r="R401" i="6"/>
  <c r="U401" i="6" s="1"/>
  <c r="W401" i="6" s="1"/>
  <c r="K401" i="6"/>
  <c r="S401" i="6"/>
  <c r="J401" i="6"/>
  <c r="H403" i="6"/>
  <c r="F403" i="6"/>
  <c r="T401" i="6"/>
  <c r="V401" i="6"/>
  <c r="M401" i="6"/>
  <c r="E404" i="6"/>
  <c r="O404" i="6" s="1"/>
  <c r="G403" i="6"/>
  <c r="N403" i="6" s="1"/>
  <c r="S402" i="6" l="1"/>
  <c r="S403" i="6" s="1"/>
  <c r="I402" i="6"/>
  <c r="L402" i="6" s="1"/>
  <c r="M402" i="6"/>
  <c r="M403" i="6" s="1"/>
  <c r="R402" i="6"/>
  <c r="U402" i="6" s="1"/>
  <c r="W402" i="6" s="1"/>
  <c r="V402" i="6"/>
  <c r="V403" i="6" s="1"/>
  <c r="J402" i="6"/>
  <c r="J403" i="6" s="1"/>
  <c r="T402" i="6"/>
  <c r="R403" i="6"/>
  <c r="I403" i="6"/>
  <c r="L403" i="6" s="1"/>
  <c r="K402" i="6"/>
  <c r="H404" i="6"/>
  <c r="F404" i="6"/>
  <c r="G404" i="6"/>
  <c r="N404" i="6" s="1"/>
  <c r="T403" i="6" l="1"/>
  <c r="T404" i="6" s="1"/>
  <c r="K403" i="6"/>
  <c r="K404" i="6" s="1"/>
  <c r="E405" i="6"/>
  <c r="O405" i="6" s="1"/>
  <c r="R404" i="6"/>
  <c r="I404" i="6"/>
  <c r="L404" i="6" s="1"/>
  <c r="J404" i="6"/>
  <c r="S404" i="6"/>
  <c r="V404" i="6"/>
  <c r="U403" i="6"/>
  <c r="W403" i="6" s="1"/>
  <c r="M404" i="6"/>
  <c r="E406" i="6" l="1"/>
  <c r="O406" i="6" s="1"/>
  <c r="F405" i="6"/>
  <c r="U404" i="6"/>
  <c r="W404" i="6" s="1"/>
  <c r="H405" i="6"/>
  <c r="G405" i="6"/>
  <c r="N405" i="6" s="1"/>
  <c r="H406" i="6" l="1"/>
  <c r="G406" i="6"/>
  <c r="N406" i="6" s="1"/>
  <c r="F406" i="6"/>
  <c r="E407" i="6"/>
  <c r="O407" i="6" s="1"/>
  <c r="V405" i="6"/>
  <c r="I405" i="6"/>
  <c r="L405" i="6" s="1"/>
  <c r="R405" i="6"/>
  <c r="K405" i="6"/>
  <c r="T405" i="6"/>
  <c r="S405" i="6"/>
  <c r="J405" i="6"/>
  <c r="M405" i="6"/>
  <c r="I406" i="6" l="1"/>
  <c r="L406" i="6" s="1"/>
  <c r="M406" i="6"/>
  <c r="S406" i="6"/>
  <c r="G407" i="6"/>
  <c r="N407" i="6" s="1"/>
  <c r="H407" i="6"/>
  <c r="F407" i="6"/>
  <c r="V406" i="6"/>
  <c r="J406" i="6"/>
  <c r="R406" i="6"/>
  <c r="U406" i="6" s="1"/>
  <c r="W406" i="6" s="1"/>
  <c r="E408" i="6"/>
  <c r="O408" i="6" s="1"/>
  <c r="T406" i="6"/>
  <c r="K406" i="6"/>
  <c r="U405" i="6"/>
  <c r="W405" i="6" s="1"/>
  <c r="J407" i="6" l="1"/>
  <c r="M407" i="6"/>
  <c r="S407" i="6"/>
  <c r="R407" i="6"/>
  <c r="U407" i="6" s="1"/>
  <c r="W407" i="6" s="1"/>
  <c r="I407" i="6"/>
  <c r="L407" i="6" s="1"/>
  <c r="T407" i="6"/>
  <c r="V407" i="6"/>
  <c r="G408" i="6"/>
  <c r="N408" i="6" s="1"/>
  <c r="K407" i="6"/>
  <c r="H408" i="6"/>
  <c r="E409" i="6"/>
  <c r="O409" i="6" s="1"/>
  <c r="F408" i="6"/>
  <c r="E410" i="6"/>
  <c r="O410" i="6" s="1"/>
  <c r="M408" i="6" l="1"/>
  <c r="T408" i="6"/>
  <c r="K408" i="6"/>
  <c r="R408" i="6"/>
  <c r="U408" i="6" s="1"/>
  <c r="W408" i="6" s="1"/>
  <c r="S408" i="6"/>
  <c r="I408" i="6"/>
  <c r="L408" i="6" s="1"/>
  <c r="J408" i="6"/>
  <c r="V408" i="6"/>
  <c r="F409" i="6"/>
  <c r="H410" i="6"/>
  <c r="F410" i="6"/>
  <c r="H409" i="6"/>
  <c r="G409" i="6"/>
  <c r="N409" i="6" s="1"/>
  <c r="E411" i="6"/>
  <c r="O411" i="6" s="1"/>
  <c r="G410" i="6"/>
  <c r="N410" i="6" s="1"/>
  <c r="I409" i="6" l="1"/>
  <c r="R409" i="6"/>
  <c r="U409" i="6" s="1"/>
  <c r="W409" i="6" s="1"/>
  <c r="I410" i="6"/>
  <c r="L410" i="6" s="1"/>
  <c r="R410" i="6"/>
  <c r="S409" i="6"/>
  <c r="S410" i="6" s="1"/>
  <c r="H411" i="6"/>
  <c r="F411" i="6"/>
  <c r="J409" i="6"/>
  <c r="J410" i="6" s="1"/>
  <c r="K409" i="6"/>
  <c r="T409" i="6"/>
  <c r="V409" i="6"/>
  <c r="V410" i="6" s="1"/>
  <c r="M409" i="6"/>
  <c r="M410" i="6" s="1"/>
  <c r="G411" i="6"/>
  <c r="N411" i="6" s="1"/>
  <c r="E412" i="6" l="1"/>
  <c r="O412" i="6" s="1"/>
  <c r="T410" i="6"/>
  <c r="T411" i="6" s="1"/>
  <c r="K410" i="6"/>
  <c r="K411" i="6" s="1"/>
  <c r="J411" i="6"/>
  <c r="R411" i="6"/>
  <c r="I411" i="6"/>
  <c r="S411" i="6"/>
  <c r="U410" i="6"/>
  <c r="W410" i="6" s="1"/>
  <c r="V411" i="6"/>
  <c r="L409" i="6"/>
  <c r="M411" i="6"/>
  <c r="H412" i="6" l="1"/>
  <c r="G412" i="6"/>
  <c r="N412" i="6" s="1"/>
  <c r="F412" i="6"/>
  <c r="E413" i="6"/>
  <c r="O413" i="6" s="1"/>
  <c r="U411" i="6"/>
  <c r="W411" i="6" s="1"/>
  <c r="L411" i="6"/>
  <c r="C475" i="6"/>
  <c r="E414" i="6" l="1"/>
  <c r="O414" i="6" s="1"/>
  <c r="J412" i="6"/>
  <c r="K412" i="6"/>
  <c r="T412" i="6"/>
  <c r="I412" i="6"/>
  <c r="L412" i="6" s="1"/>
  <c r="R412" i="6"/>
  <c r="U412" i="6" s="1"/>
  <c r="W412" i="6" s="1"/>
  <c r="S412" i="6"/>
  <c r="M412" i="6"/>
  <c r="V412" i="6"/>
  <c r="F413" i="6"/>
  <c r="G413" i="6"/>
  <c r="N413" i="6" s="1"/>
  <c r="H413" i="6"/>
  <c r="G414" i="6" l="1"/>
  <c r="N414" i="6" s="1"/>
  <c r="F414" i="6"/>
  <c r="H414" i="6"/>
  <c r="I413" i="6"/>
  <c r="L413" i="6" s="1"/>
  <c r="R413" i="6"/>
  <c r="U413" i="6" s="1"/>
  <c r="W413" i="6" s="1"/>
  <c r="M413" i="6"/>
  <c r="J413" i="6"/>
  <c r="K413" i="6"/>
  <c r="T413" i="6"/>
  <c r="S413" i="6"/>
  <c r="V413" i="6"/>
  <c r="E415" i="6"/>
  <c r="F475" i="6" s="1"/>
  <c r="I414" i="6"/>
  <c r="L414" i="6" s="1"/>
  <c r="E416" i="6"/>
  <c r="O416" i="6" s="1"/>
  <c r="V414" i="6" l="1"/>
  <c r="J414" i="6"/>
  <c r="R414" i="6"/>
  <c r="U414" i="6" s="1"/>
  <c r="W414" i="6" s="1"/>
  <c r="M414" i="6"/>
  <c r="O415" i="6"/>
  <c r="E475" i="6"/>
  <c r="K414" i="6"/>
  <c r="G415" i="6"/>
  <c r="N415" i="6" s="1"/>
  <c r="T414" i="6"/>
  <c r="S414" i="6"/>
  <c r="F415" i="6"/>
  <c r="H415" i="6"/>
  <c r="H416" i="6"/>
  <c r="F416" i="6"/>
  <c r="E417" i="6"/>
  <c r="O417" i="6" s="1"/>
  <c r="G416" i="6"/>
  <c r="N416" i="6" s="1"/>
  <c r="M415" i="6" l="1"/>
  <c r="M416" i="6" s="1"/>
  <c r="R415" i="6"/>
  <c r="U415" i="6" s="1"/>
  <c r="W415" i="6" s="1"/>
  <c r="J415" i="6"/>
  <c r="J416" i="6" s="1"/>
  <c r="I415" i="6"/>
  <c r="L415" i="6" s="1"/>
  <c r="V415" i="6"/>
  <c r="V416" i="6" s="1"/>
  <c r="K415" i="6"/>
  <c r="S415" i="6"/>
  <c r="S416" i="6" s="1"/>
  <c r="T415" i="6"/>
  <c r="R416" i="6"/>
  <c r="I416" i="6"/>
  <c r="L416" i="6" s="1"/>
  <c r="H417" i="6"/>
  <c r="F417" i="6"/>
  <c r="G417" i="6"/>
  <c r="N417" i="6" s="1"/>
  <c r="K416" i="6" l="1"/>
  <c r="K417" i="6" s="1"/>
  <c r="T416" i="6"/>
  <c r="T417" i="6" s="1"/>
  <c r="E418" i="6"/>
  <c r="O418" i="6" s="1"/>
  <c r="I417" i="6"/>
  <c r="L417" i="6" s="1"/>
  <c r="R417" i="6"/>
  <c r="U417" i="6" s="1"/>
  <c r="W417" i="6" s="1"/>
  <c r="S417" i="6"/>
  <c r="J417" i="6"/>
  <c r="V417" i="6"/>
  <c r="U416" i="6"/>
  <c r="W416" i="6" s="1"/>
  <c r="M417" i="6"/>
  <c r="E419" i="6"/>
  <c r="O419" i="6" s="1"/>
  <c r="G418" i="6" l="1"/>
  <c r="N418" i="6" s="1"/>
  <c r="F418" i="6"/>
  <c r="H418" i="6"/>
  <c r="H419" i="6"/>
  <c r="F419" i="6"/>
  <c r="E420" i="6"/>
  <c r="O420" i="6" s="1"/>
  <c r="G419" i="6"/>
  <c r="N419" i="6" s="1"/>
  <c r="M418" i="6" l="1"/>
  <c r="M419" i="6" s="1"/>
  <c r="J418" i="6"/>
  <c r="J419" i="6" s="1"/>
  <c r="K418" i="6"/>
  <c r="I418" i="6"/>
  <c r="L418" i="6" s="1"/>
  <c r="T418" i="6"/>
  <c r="S418" i="6"/>
  <c r="S419" i="6" s="1"/>
  <c r="V418" i="6"/>
  <c r="V419" i="6" s="1"/>
  <c r="R418" i="6"/>
  <c r="U418" i="6" s="1"/>
  <c r="W418" i="6" s="1"/>
  <c r="R419" i="6"/>
  <c r="I419" i="6"/>
  <c r="L419" i="6" s="1"/>
  <c r="H420" i="6"/>
  <c r="F420" i="6"/>
  <c r="G420" i="6"/>
  <c r="N420" i="6" s="1"/>
  <c r="K419" i="6" l="1"/>
  <c r="K420" i="6" s="1"/>
  <c r="T419" i="6"/>
  <c r="T420" i="6" s="1"/>
  <c r="E421" i="6"/>
  <c r="O421" i="6" s="1"/>
  <c r="V420" i="6"/>
  <c r="R420" i="6"/>
  <c r="I420" i="6"/>
  <c r="L420" i="6" s="1"/>
  <c r="J420" i="6"/>
  <c r="S420" i="6"/>
  <c r="U419" i="6"/>
  <c r="W419" i="6" s="1"/>
  <c r="M420" i="6"/>
  <c r="E422" i="6"/>
  <c r="G422" i="6" s="1"/>
  <c r="G421" i="6" l="1"/>
  <c r="N421" i="6" s="1"/>
  <c r="H421" i="6"/>
  <c r="O422" i="6"/>
  <c r="F421" i="6"/>
  <c r="H422" i="6"/>
  <c r="F422" i="6"/>
  <c r="U420" i="6"/>
  <c r="W420" i="6" s="1"/>
  <c r="N422" i="6"/>
  <c r="S421" i="6" l="1"/>
  <c r="S422" i="6" s="1"/>
  <c r="I421" i="6"/>
  <c r="L421" i="6" s="1"/>
  <c r="M421" i="6"/>
  <c r="M422" i="6" s="1"/>
  <c r="T421" i="6"/>
  <c r="K421" i="6"/>
  <c r="R421" i="6"/>
  <c r="U421" i="6" s="1"/>
  <c r="W421" i="6" s="1"/>
  <c r="J421" i="6"/>
  <c r="J422" i="6" s="1"/>
  <c r="V421" i="6"/>
  <c r="V422" i="6" s="1"/>
  <c r="E423" i="6"/>
  <c r="G423" i="6" s="1"/>
  <c r="I422" i="6"/>
  <c r="L422" i="6" s="1"/>
  <c r="R422" i="6"/>
  <c r="U422" i="6" s="1"/>
  <c r="W422" i="6" s="1"/>
  <c r="E424" i="6"/>
  <c r="O424" i="6" s="1"/>
  <c r="T422" i="6" l="1"/>
  <c r="O423" i="6"/>
  <c r="K422" i="6"/>
  <c r="H424" i="6"/>
  <c r="F424" i="6"/>
  <c r="N423" i="6"/>
  <c r="F423" i="6"/>
  <c r="H423" i="6"/>
  <c r="G424" i="6"/>
  <c r="N424" i="6" s="1"/>
  <c r="E425" i="6" l="1"/>
  <c r="O425" i="6" s="1"/>
  <c r="T423" i="6"/>
  <c r="V423" i="6"/>
  <c r="V424" i="6" s="1"/>
  <c r="J423" i="6"/>
  <c r="J424" i="6" s="1"/>
  <c r="R424" i="6"/>
  <c r="U424" i="6" s="1"/>
  <c r="W424" i="6" s="1"/>
  <c r="I424" i="6"/>
  <c r="L424" i="6" s="1"/>
  <c r="R423" i="6"/>
  <c r="I423" i="6"/>
  <c r="L423" i="6" s="1"/>
  <c r="K423" i="6"/>
  <c r="S423" i="6"/>
  <c r="S424" i="6" s="1"/>
  <c r="M423" i="6"/>
  <c r="M424" i="6" s="1"/>
  <c r="H425" i="6" l="1"/>
  <c r="G425" i="6"/>
  <c r="N425" i="6" s="1"/>
  <c r="F425" i="6"/>
  <c r="E426" i="6"/>
  <c r="O426" i="6" s="1"/>
  <c r="K424" i="6"/>
  <c r="T424" i="6"/>
  <c r="U423" i="6"/>
  <c r="W423" i="6" s="1"/>
  <c r="C476" i="6"/>
  <c r="M425" i="6" l="1"/>
  <c r="T425" i="6"/>
  <c r="K425" i="6"/>
  <c r="V425" i="6"/>
  <c r="S425" i="6"/>
  <c r="J425" i="6"/>
  <c r="I425" i="6"/>
  <c r="L425" i="6" s="1"/>
  <c r="G426" i="6"/>
  <c r="N426" i="6" s="1"/>
  <c r="R425" i="6"/>
  <c r="U425" i="6" s="1"/>
  <c r="W425" i="6" s="1"/>
  <c r="F426" i="6"/>
  <c r="H426" i="6"/>
  <c r="E427" i="6"/>
  <c r="O427" i="6" s="1"/>
  <c r="M426" i="6" l="1"/>
  <c r="T426" i="6"/>
  <c r="R426" i="6"/>
  <c r="U426" i="6" s="1"/>
  <c r="W426" i="6" s="1"/>
  <c r="V426" i="6"/>
  <c r="K426" i="6"/>
  <c r="S426" i="6"/>
  <c r="I426" i="6"/>
  <c r="L426" i="6" s="1"/>
  <c r="J426" i="6"/>
  <c r="E428" i="6"/>
  <c r="F476" i="6" s="1"/>
  <c r="F427" i="6"/>
  <c r="H427" i="6"/>
  <c r="G427" i="6"/>
  <c r="N427" i="6" s="1"/>
  <c r="E429" i="6"/>
  <c r="O429" i="6" s="1"/>
  <c r="O428" i="6" l="1"/>
  <c r="E476" i="6"/>
  <c r="G428" i="6"/>
  <c r="N428" i="6" s="1"/>
  <c r="F428" i="6"/>
  <c r="H428" i="6"/>
  <c r="J427" i="6"/>
  <c r="S427" i="6"/>
  <c r="H429" i="6"/>
  <c r="F429" i="6"/>
  <c r="V427" i="6"/>
  <c r="R427" i="6"/>
  <c r="I427" i="6"/>
  <c r="L427" i="6" s="1"/>
  <c r="T427" i="6"/>
  <c r="K427" i="6"/>
  <c r="M427" i="6"/>
  <c r="E430" i="6"/>
  <c r="O430" i="6" s="1"/>
  <c r="G429" i="6"/>
  <c r="N429" i="6" s="1"/>
  <c r="R428" i="6" l="1"/>
  <c r="U428" i="6" s="1"/>
  <c r="W428" i="6" s="1"/>
  <c r="S428" i="6"/>
  <c r="S429" i="6" s="1"/>
  <c r="M428" i="6"/>
  <c r="M429" i="6" s="1"/>
  <c r="V428" i="6"/>
  <c r="V429" i="6" s="1"/>
  <c r="J428" i="6"/>
  <c r="J429" i="6" s="1"/>
  <c r="I428" i="6"/>
  <c r="L428" i="6" s="1"/>
  <c r="T428" i="6"/>
  <c r="K428" i="6"/>
  <c r="H430" i="6"/>
  <c r="F430" i="6"/>
  <c r="I429" i="6"/>
  <c r="L429" i="6" s="1"/>
  <c r="R429" i="6"/>
  <c r="U429" i="6" s="1"/>
  <c r="W429" i="6" s="1"/>
  <c r="U427" i="6"/>
  <c r="W427" i="6" s="1"/>
  <c r="G430" i="6"/>
  <c r="N430" i="6" s="1"/>
  <c r="T429" i="6" l="1"/>
  <c r="T430" i="6" s="1"/>
  <c r="K429" i="6"/>
  <c r="K430" i="6" s="1"/>
  <c r="E431" i="6"/>
  <c r="O431" i="6" s="1"/>
  <c r="J430" i="6"/>
  <c r="S430" i="6"/>
  <c r="I430" i="6"/>
  <c r="L430" i="6" s="1"/>
  <c r="R430" i="6"/>
  <c r="U430" i="6" s="1"/>
  <c r="W430" i="6" s="1"/>
  <c r="V430" i="6"/>
  <c r="M430" i="6"/>
  <c r="G431" i="6" l="1"/>
  <c r="N431" i="6" s="1"/>
  <c r="H431" i="6"/>
  <c r="F431" i="6"/>
  <c r="E432" i="6"/>
  <c r="O432" i="6" s="1"/>
  <c r="K431" i="6" l="1"/>
  <c r="T431" i="6"/>
  <c r="M431" i="6"/>
  <c r="I431" i="6"/>
  <c r="L431" i="6" s="1"/>
  <c r="J431" i="6"/>
  <c r="V431" i="6"/>
  <c r="R431" i="6"/>
  <c r="U431" i="6" s="1"/>
  <c r="W431" i="6" s="1"/>
  <c r="S431" i="6"/>
  <c r="G432" i="6"/>
  <c r="N432" i="6" s="1"/>
  <c r="H432" i="6"/>
  <c r="E433" i="6"/>
  <c r="O433" i="6" s="1"/>
  <c r="F432" i="6"/>
  <c r="M432" i="6" l="1"/>
  <c r="T432" i="6"/>
  <c r="K432" i="6"/>
  <c r="V432" i="6"/>
  <c r="I432" i="6"/>
  <c r="L432" i="6" s="1"/>
  <c r="J432" i="6"/>
  <c r="S432" i="6"/>
  <c r="R432" i="6"/>
  <c r="U432" i="6" s="1"/>
  <c r="W432" i="6" s="1"/>
  <c r="E434" i="6"/>
  <c r="O434" i="6" s="1"/>
  <c r="F433" i="6"/>
  <c r="H433" i="6"/>
  <c r="G433" i="6"/>
  <c r="N433" i="6" s="1"/>
  <c r="G434" i="6" l="1"/>
  <c r="N434" i="6" s="1"/>
  <c r="F434" i="6"/>
  <c r="E435" i="6"/>
  <c r="O435" i="6" s="1"/>
  <c r="H434" i="6"/>
  <c r="S433" i="6"/>
  <c r="V433" i="6"/>
  <c r="I433" i="6"/>
  <c r="L433" i="6" s="1"/>
  <c r="R433" i="6"/>
  <c r="U433" i="6" s="1"/>
  <c r="T433" i="6"/>
  <c r="K433" i="6"/>
  <c r="J433" i="6"/>
  <c r="M433" i="6"/>
  <c r="E436" i="6"/>
  <c r="O436" i="6" s="1"/>
  <c r="S434" i="6" l="1"/>
  <c r="M434" i="6"/>
  <c r="G435" i="6"/>
  <c r="N435" i="6" s="1"/>
  <c r="I434" i="6"/>
  <c r="L434" i="6" s="1"/>
  <c r="V434" i="6"/>
  <c r="R434" i="6"/>
  <c r="U434" i="6" s="1"/>
  <c r="W434" i="6" s="1"/>
  <c r="J434" i="6"/>
  <c r="F435" i="6"/>
  <c r="H435" i="6"/>
  <c r="T434" i="6"/>
  <c r="K434" i="6"/>
  <c r="H436" i="6"/>
  <c r="F436" i="6"/>
  <c r="W433" i="6"/>
  <c r="E437" i="6"/>
  <c r="O437" i="6" s="1"/>
  <c r="G436" i="6"/>
  <c r="N436" i="6" s="1"/>
  <c r="R435" i="6" l="1"/>
  <c r="U435" i="6" s="1"/>
  <c r="W435" i="6" s="1"/>
  <c r="J435" i="6"/>
  <c r="J436" i="6" s="1"/>
  <c r="V435" i="6"/>
  <c r="V436" i="6" s="1"/>
  <c r="S435" i="6"/>
  <c r="S436" i="6" s="1"/>
  <c r="M435" i="6"/>
  <c r="M436" i="6" s="1"/>
  <c r="K435" i="6"/>
  <c r="I435" i="6"/>
  <c r="L435" i="6" s="1"/>
  <c r="T435" i="6"/>
  <c r="H437" i="6"/>
  <c r="F437" i="6"/>
  <c r="R436" i="6"/>
  <c r="U436" i="6" s="1"/>
  <c r="W436" i="6" s="1"/>
  <c r="I436" i="6"/>
  <c r="L436" i="6" s="1"/>
  <c r="G437" i="6"/>
  <c r="N437" i="6" s="1"/>
  <c r="K436" i="6" l="1"/>
  <c r="K437" i="6" s="1"/>
  <c r="T436" i="6"/>
  <c r="T437" i="6" s="1"/>
  <c r="E438" i="6"/>
  <c r="O438" i="6" s="1"/>
  <c r="J437" i="6"/>
  <c r="V437" i="6"/>
  <c r="I437" i="6"/>
  <c r="L437" i="6" s="1"/>
  <c r="R437" i="6"/>
  <c r="U437" i="6" s="1"/>
  <c r="W437" i="6" s="1"/>
  <c r="S437" i="6"/>
  <c r="M437" i="6"/>
  <c r="G438" i="6" l="1"/>
  <c r="N438" i="6" s="1"/>
  <c r="F438" i="6"/>
  <c r="H438" i="6"/>
  <c r="E439" i="6"/>
  <c r="O439" i="6" s="1"/>
  <c r="C477" i="6"/>
  <c r="E441" i="6" l="1"/>
  <c r="F477" i="6" s="1"/>
  <c r="S438" i="6"/>
  <c r="V438" i="6"/>
  <c r="R438" i="6"/>
  <c r="U438" i="6" s="1"/>
  <c r="W438" i="6" s="1"/>
  <c r="K438" i="6"/>
  <c r="M438" i="6"/>
  <c r="J438" i="6"/>
  <c r="G439" i="6"/>
  <c r="N439" i="6" s="1"/>
  <c r="I438" i="6"/>
  <c r="L438" i="6" s="1"/>
  <c r="T438" i="6"/>
  <c r="F439" i="6"/>
  <c r="H439" i="6"/>
  <c r="E440" i="6"/>
  <c r="O440" i="6" s="1"/>
  <c r="AX4" i="6"/>
  <c r="AJ45" i="6"/>
  <c r="L5" i="6" s="1"/>
  <c r="AI45" i="6"/>
  <c r="E477" i="6" l="1"/>
  <c r="M439" i="6"/>
  <c r="S439" i="6"/>
  <c r="I439" i="6"/>
  <c r="L439" i="6" s="1"/>
  <c r="T439" i="6"/>
  <c r="V439" i="6"/>
  <c r="J439" i="6"/>
  <c r="K439" i="6"/>
  <c r="R439" i="6"/>
  <c r="U439" i="6" s="1"/>
  <c r="W439" i="6" s="1"/>
  <c r="G440" i="6"/>
  <c r="N440" i="6" s="1"/>
  <c r="H440" i="6"/>
  <c r="F440" i="6"/>
  <c r="BC45" i="6"/>
  <c r="BD45" i="6"/>
  <c r="L6" i="6" s="1"/>
  <c r="O441" i="6"/>
  <c r="AP6" i="6"/>
  <c r="AX6" i="6" s="1"/>
  <c r="M440" i="6" l="1"/>
  <c r="V440" i="6"/>
  <c r="V45" i="6" s="1"/>
  <c r="T440" i="6"/>
  <c r="S440" i="6"/>
  <c r="K440" i="6"/>
  <c r="R440" i="6"/>
  <c r="U440" i="6" s="1"/>
  <c r="W440" i="6" s="1"/>
  <c r="J440" i="6"/>
  <c r="I440" i="6"/>
  <c r="L440" i="6" s="1"/>
  <c r="F441" i="6"/>
  <c r="F45" i="6" s="1"/>
  <c r="H441" i="6"/>
  <c r="G441" i="6"/>
  <c r="N441" i="6" s="1"/>
  <c r="AS4" i="6"/>
  <c r="AU4" i="6" s="1"/>
  <c r="AV4" i="6" s="1"/>
  <c r="AW4" i="6"/>
  <c r="AY4" i="6" s="1"/>
  <c r="AR6" i="6"/>
  <c r="S441" i="6" l="1"/>
  <c r="S45" i="6" s="1"/>
  <c r="T441" i="6"/>
  <c r="T45" i="6" s="1"/>
  <c r="K441" i="6"/>
  <c r="K45" i="6" s="1"/>
  <c r="L4" i="6" s="1"/>
  <c r="V441" i="6"/>
  <c r="I441" i="6"/>
  <c r="L441" i="6" s="1"/>
  <c r="R441" i="6"/>
  <c r="U441" i="6" s="1"/>
  <c r="J441" i="6"/>
  <c r="J45" i="6" s="1"/>
  <c r="F48" i="6"/>
  <c r="K4" i="6"/>
  <c r="M441" i="6"/>
  <c r="M45" i="6" s="1"/>
  <c r="AS6" i="6"/>
  <c r="AU6" i="6" s="1"/>
  <c r="AV6" i="6" s="1"/>
  <c r="AW6" i="6"/>
  <c r="AY6" i="6" s="1"/>
  <c r="W441" i="6" l="1"/>
  <c r="W45" i="6" s="1"/>
  <c r="BX45" i="6" l="1"/>
  <c r="L7" i="6" s="1"/>
  <c r="BW45" i="6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<sst xmlns="http://schemas.openxmlformats.org/spreadsheetml/2006/main" count="1249" uniqueCount="495">
  <si>
    <t>Bereich</t>
  </si>
  <si>
    <t>Ausführung</t>
  </si>
  <si>
    <t>Beschreibung</t>
  </si>
  <si>
    <t>l_k-Form-Pb_p_z-Form-P</t>
  </si>
  <si>
    <t>Version 2</t>
  </si>
  <si>
    <t>Version 3</t>
  </si>
  <si>
    <t>Version 4</t>
  </si>
  <si>
    <t>Version 5</t>
  </si>
  <si>
    <t>Anmerkung</t>
  </si>
  <si>
    <t>Metallisches Element Lager A</t>
  </si>
  <si>
    <t>kurz</t>
  </si>
  <si>
    <t>geringer Bauraum</t>
  </si>
  <si>
    <t>lang</t>
  </si>
  <si>
    <t>gestuft</t>
  </si>
  <si>
    <t>X</t>
  </si>
  <si>
    <t>hohe Masse</t>
  </si>
  <si>
    <t>zylindrisch</t>
  </si>
  <si>
    <t>höhere Masse</t>
  </si>
  <si>
    <t>Kraftschlüssig</t>
  </si>
  <si>
    <t>Pressverband</t>
  </si>
  <si>
    <t>Verschraubung</t>
  </si>
  <si>
    <t>Formschlüssig</t>
  </si>
  <si>
    <t>Profilverbindung</t>
  </si>
  <si>
    <t>Pinverbindung</t>
  </si>
  <si>
    <t>Passbolzenverbindung</t>
  </si>
  <si>
    <t>Ti-CFK-Hybridlaminat?</t>
  </si>
  <si>
    <t>Schlaufenverbindung</t>
  </si>
  <si>
    <t>Stoffschlüssig</t>
  </si>
  <si>
    <t>Klebung</t>
  </si>
  <si>
    <t>Kombinationen</t>
  </si>
  <si>
    <t>Klebung + Pressverband</t>
  </si>
  <si>
    <t>Klebung + Bolzenverbindung</t>
  </si>
  <si>
    <t xml:space="preserve"> </t>
  </si>
  <si>
    <t>Konisch</t>
  </si>
  <si>
    <t>Integrative Fertigung oder Einbaurichtung berücksichtigen</t>
  </si>
  <si>
    <t>Zylindrisch</t>
  </si>
  <si>
    <t>freier Bereich</t>
  </si>
  <si>
    <t>konst. Wandstärke/Faserwinkel</t>
  </si>
  <si>
    <t>Faserwinkel/Wandstärke/Bedeckung beachten</t>
  </si>
  <si>
    <t>Spannungskonzentration? + Fertigung kompliziert</t>
  </si>
  <si>
    <t>parabelförmig</t>
  </si>
  <si>
    <t>balgig</t>
  </si>
  <si>
    <t>Übergang Verbund zu Metall Lager B</t>
  </si>
  <si>
    <t>XXXX</t>
  </si>
  <si>
    <t>Metallisches Element Lager B</t>
  </si>
  <si>
    <t>Nomenklatur</t>
  </si>
  <si>
    <t>Ort</t>
  </si>
  <si>
    <t>A</t>
  </si>
  <si>
    <t>k, lz, lg</t>
  </si>
  <si>
    <t>MVA</t>
  </si>
  <si>
    <t>Grundwerte</t>
  </si>
  <si>
    <t>M_t_max=</t>
  </si>
  <si>
    <t>Nm</t>
  </si>
  <si>
    <t>B (kurz)</t>
  </si>
  <si>
    <t>B (lang)</t>
  </si>
  <si>
    <t>D_Trennfuge [mm]</t>
  </si>
  <si>
    <t>Wandstärke CFK [mm]</t>
  </si>
  <si>
    <t>Verfügbarer Bauraum</t>
  </si>
  <si>
    <t>D_Außen/t_Welle</t>
  </si>
  <si>
    <t>Umfangskraft in Trennfuge [N]</t>
  </si>
  <si>
    <t>Übergangslänge [mm]</t>
  </si>
  <si>
    <t>Materialkennwerte</t>
  </si>
  <si>
    <t>Scherfestigkeit Kebstoff</t>
  </si>
  <si>
    <t>MPa</t>
  </si>
  <si>
    <t>3M DP 490</t>
  </si>
  <si>
    <t>R_t-lam</t>
  </si>
  <si>
    <t>Lochleibungsfestigkeit ca.</t>
  </si>
  <si>
    <t>(Elbflorace-Proben)</t>
  </si>
  <si>
    <t xml:space="preserve">Scherfestigkeit Hi-Loc bis zu </t>
  </si>
  <si>
    <t>(HI LOK)</t>
  </si>
  <si>
    <t>Scherfestigkeit Stahlbolzen</t>
  </si>
  <si>
    <t>S355 (R0,2*0,58)</t>
  </si>
  <si>
    <t>Scherfestigkeit Nabe</t>
  </si>
  <si>
    <t>42CrMo4 (R0,2*0,58)</t>
  </si>
  <si>
    <t xml:space="preserve">Lochleibungsfestigkeit Mit Stahl oder Ti-Blechen: bis zu </t>
  </si>
  <si>
    <t>(Schürmann)</t>
  </si>
  <si>
    <t>Reibwert CFK-Stahl</t>
  </si>
  <si>
    <t>(Deutscher Luft- und Raumfahrtkongress 2016)</t>
  </si>
  <si>
    <t>Druckfestigkeit CFK (senkrecht z. F.)</t>
  </si>
  <si>
    <t>(EP)</t>
  </si>
  <si>
    <t>Tragfähigkeit Einzelpin</t>
  </si>
  <si>
    <t>N</t>
  </si>
  <si>
    <t>(Übung KmFV2; 400N inkl. Sicherheit von 1,3)</t>
  </si>
  <si>
    <t>Zulässige Zahnspannung Profilverbindung</t>
  </si>
  <si>
    <t>Klebefläche A (Pi*d*h)</t>
  </si>
  <si>
    <t>mm^2</t>
  </si>
  <si>
    <t>Scherspannung (F/A)</t>
  </si>
  <si>
    <t xml:space="preserve">Mpa </t>
  </si>
  <si>
    <t>Reservefaktor</t>
  </si>
  <si>
    <t>Bolzenverbindung</t>
  </si>
  <si>
    <t xml:space="preserve">  </t>
  </si>
  <si>
    <t>Bolzenreihenabstand w=5*D_Bolzen, Bolzenabstand p=4*D_Bolzen, (D_Bolzen=t [Schürmann])</t>
  </si>
  <si>
    <t>Wandstärke CFK</t>
  </si>
  <si>
    <t>mm</t>
  </si>
  <si>
    <t>D_Bolzen</t>
  </si>
  <si>
    <t>Anzahl Bolzen pro Reihe (möglich)</t>
  </si>
  <si>
    <t>Stk.</t>
  </si>
  <si>
    <t>Anzahl Bolzen pro Reihe (gewählt)</t>
  </si>
  <si>
    <t>Anzahl Bolzenreihen (möglich)</t>
  </si>
  <si>
    <t>Auslauf CFK: 2,5*D_Bolzen; Stahl:1,5*D_Bolzen</t>
  </si>
  <si>
    <t>Anzahl Bolzenreihen (gewählt)</t>
  </si>
  <si>
    <t xml:space="preserve">Länge des Übergangsbereichs </t>
  </si>
  <si>
    <t>bei Lochleibungs-Versagen</t>
  </si>
  <si>
    <t>Lochleibungsspannung Laminat</t>
  </si>
  <si>
    <t>Reservefaktor Laminat</t>
  </si>
  <si>
    <t>Scherspannung Bolzen</t>
  </si>
  <si>
    <t>Reservefaktor Bolzen</t>
  </si>
  <si>
    <t>Mit Stahl oder Ti-Blechen:</t>
  </si>
  <si>
    <t>Bolzenreihenabstand w=3*D_Bolzen, Bolzenabstand p=4*D_Bolzen, D_Bolzen=t</t>
  </si>
  <si>
    <t>max. Anzahl Bolzenreihen</t>
  </si>
  <si>
    <t>Anzahl Bolzenreihen</t>
  </si>
  <si>
    <t>Ausdehnungskoeff. CFK (0°)</t>
  </si>
  <si>
    <t>1/K</t>
  </si>
  <si>
    <t>Ausdehnungskoeff. Stahl</t>
  </si>
  <si>
    <t>E-Modul CFK (0°)</t>
  </si>
  <si>
    <t>Festigkeit CFK R1z</t>
  </si>
  <si>
    <t>Schubfestigkeit tau_zy</t>
  </si>
  <si>
    <t>Faservolumenanteil</t>
  </si>
  <si>
    <t>v CFK(0°)</t>
  </si>
  <si>
    <t>Wandstärke Bandage</t>
  </si>
  <si>
    <t>E-Modul Stahl</t>
  </si>
  <si>
    <t>Festigkeit 42CrMo4</t>
  </si>
  <si>
    <t>v Stahl</t>
  </si>
  <si>
    <t>Wandstärke Stahl</t>
  </si>
  <si>
    <t>Delta T</t>
  </si>
  <si>
    <t>K</t>
  </si>
  <si>
    <t>Hilfsgrößen</t>
  </si>
  <si>
    <t>Außendurchmesser Außenteil D_aA</t>
  </si>
  <si>
    <t>Innendurchmesser Innenteil D_iI</t>
  </si>
  <si>
    <t>Q_A</t>
  </si>
  <si>
    <t>Q_I</t>
  </si>
  <si>
    <t>Benötigte Normalkraft</t>
  </si>
  <si>
    <t>Übergangslänge</t>
  </si>
  <si>
    <t>erf. Druck CFK (senkrecht zur Faser)</t>
  </si>
  <si>
    <t>Sicherheit Druckfestigkeit CFK</t>
  </si>
  <si>
    <t>min. Wirksames Übermaß (kalt)</t>
  </si>
  <si>
    <t>T-Ausdehnung CFK</t>
  </si>
  <si>
    <t>T-Ausdehnung Stahl</t>
  </si>
  <si>
    <t>Wirksames Übermaß (warm)</t>
  </si>
  <si>
    <t>res. Fugenpressung (warm)</t>
  </si>
  <si>
    <t>Tangentialspannung CFK D_A</t>
  </si>
  <si>
    <t>Sicherheit Tangentialspannung D_A</t>
  </si>
  <si>
    <t>Tangentialspannung CFK D_I</t>
  </si>
  <si>
    <t>Sicherheit Tangentialspannung D_I</t>
  </si>
  <si>
    <t>Tangentialspannung Stahl D_A</t>
  </si>
  <si>
    <t>Tangentialspannung Stahl D_I</t>
  </si>
  <si>
    <t>Pressverband RDS</t>
  </si>
  <si>
    <t>Reverse_Eng.</t>
  </si>
  <si>
    <t>Wandstärke</t>
  </si>
  <si>
    <t>Außendurchmesser</t>
  </si>
  <si>
    <t>Innendurchmesser (Wirkfläche)</t>
  </si>
  <si>
    <t>Torsionsmoment</t>
  </si>
  <si>
    <t>Umfangskraft an Wirkfläche</t>
  </si>
  <si>
    <t>soll dieser Teil behalten werden? Ist im Grunde eine Profilverbindung mit  den Parametern der Radialwelle aus dem Triebwerk</t>
  </si>
  <si>
    <t>Effektivität in Umfangskraft/Fläche</t>
  </si>
  <si>
    <t>N/mm²</t>
  </si>
  <si>
    <t>Angesetzt auf Sunshaft</t>
  </si>
  <si>
    <t>Benötigte Übergangsfläche Lager A</t>
  </si>
  <si>
    <t>mm²</t>
  </si>
  <si>
    <t>Benötigte Übergangsfläche Lager B</t>
  </si>
  <si>
    <t>Benötigte Übergangslänge Lager A</t>
  </si>
  <si>
    <t>Benötigte Übergangslänge Lager B</t>
  </si>
  <si>
    <t>Fläche der Pressung wie bei Pressverband</t>
  </si>
  <si>
    <t>Durchmesser Unterlegscheibe</t>
  </si>
  <si>
    <t>Durchmesser Schraube</t>
  </si>
  <si>
    <t>Fläche der Unterlegscheibe</t>
  </si>
  <si>
    <t>Anzahl der Unterlegscheiben Lager A</t>
  </si>
  <si>
    <t>Anzahl der Unterlegscheiben Lager B</t>
  </si>
  <si>
    <r>
      <t xml:space="preserve">Die Fläche unter dem Schraubenkopf muss der der Flächenpressung entsprechen, da die Schrauben Lücken bilden muss der Übergangsbereich </t>
    </r>
    <r>
      <rPr>
        <b/>
        <sz val="11"/>
        <color theme="1"/>
        <rFont val="Calibri"/>
        <family val="2"/>
        <scheme val="minor"/>
      </rPr>
      <t>noch</t>
    </r>
    <r>
      <rPr>
        <sz val="11"/>
        <color theme="1"/>
        <rFont val="Calibri"/>
        <family val="2"/>
        <scheme val="minor"/>
      </rPr>
      <t xml:space="preserve"> länger werden</t>
    </r>
  </si>
  <si>
    <t>Unterlegscheiben pro Reihe Lager A</t>
  </si>
  <si>
    <t>Unterlegscheiben pro Reihe Lager B</t>
  </si>
  <si>
    <t>Anzahl Reihen Lager A</t>
  </si>
  <si>
    <t>Anzahl Reihen Lager B</t>
  </si>
  <si>
    <t>Länge Übergangsbereich Lager A</t>
  </si>
  <si>
    <t>Länge Übergangsbereich Lager B</t>
  </si>
  <si>
    <t>Durchmesser Pin</t>
  </si>
  <si>
    <t>Minimaler Pinabstand</t>
  </si>
  <si>
    <t>Lastüberhöhung 1. Pinkreis</t>
  </si>
  <si>
    <t>Anzahl Pins pro Pinkreis (möglich)</t>
  </si>
  <si>
    <t>Anzahl Pins pro Pinkreis (gewählt)</t>
  </si>
  <si>
    <t>Tragfähigkeit 1. Pk</t>
  </si>
  <si>
    <t>min. Anzahl Pins in folgenden PK'en</t>
  </si>
  <si>
    <t>min. Anzahl Pinkreise</t>
  </si>
  <si>
    <t>Anzahl Pinkreise (gewählt)</t>
  </si>
  <si>
    <t>Länge Übergangsbereich</t>
  </si>
  <si>
    <t>Sicherheit Pins</t>
  </si>
  <si>
    <t>Anflanschung an Curvic Coupling</t>
  </si>
  <si>
    <t>Lochkreisradius</t>
  </si>
  <si>
    <t>Bohrungsdurchmesser</t>
  </si>
  <si>
    <t>Bolzendurchmesser</t>
  </si>
  <si>
    <t>Anzahl Bolzen</t>
  </si>
  <si>
    <t>min. Wandstärke Laminat rein CFK</t>
  </si>
  <si>
    <t>Wandstärke Laminat rein CFK (gewählt)</t>
  </si>
  <si>
    <t>Sicherheit Laminat</t>
  </si>
  <si>
    <t>Sicherheit Scherung Bolzen</t>
  </si>
  <si>
    <t>Anflanschung an Stubshaft</t>
  </si>
  <si>
    <t>min dicke Titan (R=1000MPa)</t>
  </si>
  <si>
    <t>Durchmesser Trennfuge</t>
  </si>
  <si>
    <t>Wanddickeneinordnung Da/Di</t>
  </si>
  <si>
    <t>Länge Übergangsbereich (gewählt)</t>
  </si>
  <si>
    <t>Anzahl Zähne</t>
  </si>
  <si>
    <t>Stk</t>
  </si>
  <si>
    <t>Zahnhöhe hz</t>
  </si>
  <si>
    <t>Breite Zahnsegment</t>
  </si>
  <si>
    <t>Fläche Trennfuge</t>
  </si>
  <si>
    <t>Leistungsdichte</t>
  </si>
  <si>
    <t>Kraft pro Zahn Ftz</t>
  </si>
  <si>
    <t xml:space="preserve">N </t>
  </si>
  <si>
    <t>Pressung pro Zahn</t>
  </si>
  <si>
    <t>N/mm^2</t>
  </si>
  <si>
    <t>Sicherheit Pressung Zahn</t>
  </si>
  <si>
    <t>Varianten</t>
  </si>
  <si>
    <t>Übergang Verbund zu Metall Lager A</t>
  </si>
  <si>
    <t>k-Form-Pb</t>
  </si>
  <si>
    <t>k-Form-Pi</t>
  </si>
  <si>
    <t>k-Form-Pr</t>
  </si>
  <si>
    <t>k-Stoff-KS</t>
  </si>
  <si>
    <t>k-Stoff-KÜ</t>
  </si>
  <si>
    <t>k-Kraft-V</t>
  </si>
  <si>
    <t>z-Form-Pb</t>
  </si>
  <si>
    <t>z-Form-Pi</t>
  </si>
  <si>
    <t>z-Form-Pr</t>
  </si>
  <si>
    <t>z-Stoff-KS</t>
  </si>
  <si>
    <t>z-Stoff-KÜ</t>
  </si>
  <si>
    <t>z-Kraft-V</t>
  </si>
  <si>
    <t>z-Kraft-P</t>
  </si>
  <si>
    <t>konisch</t>
  </si>
  <si>
    <t>gestuft Titan</t>
  </si>
  <si>
    <t>flansch Curvic</t>
  </si>
  <si>
    <t>flansch Stubshaft</t>
  </si>
  <si>
    <t>Kategorie</t>
  </si>
  <si>
    <t>Einfluss des Durchmessers</t>
  </si>
  <si>
    <t>Lastfall</t>
  </si>
  <si>
    <t>v_0 ; phi_0</t>
  </si>
  <si>
    <t>l</t>
  </si>
  <si>
    <t>R_a</t>
  </si>
  <si>
    <t>v´´_max</t>
  </si>
  <si>
    <t>res Dehnung</t>
  </si>
  <si>
    <t>sigma_b_1</t>
  </si>
  <si>
    <t>sigma_t_1</t>
  </si>
  <si>
    <t>Sicherheit</t>
  </si>
  <si>
    <t>R_Faser_druck=</t>
  </si>
  <si>
    <t>rad. Versatz</t>
  </si>
  <si>
    <t>Faservol=</t>
  </si>
  <si>
    <t>Abschlag Fertigung</t>
  </si>
  <si>
    <t>Verkippung</t>
  </si>
  <si>
    <t>Gesamtfaktor=</t>
  </si>
  <si>
    <t>Sicherheitsbeiwert</t>
  </si>
  <si>
    <t>E_CFK.x=</t>
  </si>
  <si>
    <t>Dichte_CFK=</t>
  </si>
  <si>
    <t>g/cm^3</t>
  </si>
  <si>
    <t>R_t-Stahl=</t>
  </si>
  <si>
    <t>E_Stahl=</t>
  </si>
  <si>
    <t>Dichte_Stahl=</t>
  </si>
  <si>
    <t>Gestuft</t>
  </si>
  <si>
    <t>xi</t>
  </si>
  <si>
    <t>ri</t>
  </si>
  <si>
    <t>Platzhalter</t>
  </si>
  <si>
    <t>Stahlwelle konisch</t>
  </si>
  <si>
    <t>x</t>
  </si>
  <si>
    <t>Innenradius</t>
  </si>
  <si>
    <t>Außenradius</t>
  </si>
  <si>
    <t>Masse CFK</t>
  </si>
  <si>
    <t>I_xx ; I_yy</t>
  </si>
  <si>
    <t>v´´</t>
  </si>
  <si>
    <t>v´(x=x) [rad]</t>
  </si>
  <si>
    <t>v(x=x) [mm]</t>
  </si>
  <si>
    <t>Lager A</t>
  </si>
  <si>
    <t>Lager B</t>
  </si>
  <si>
    <t>Gesamt</t>
  </si>
  <si>
    <t>Bild</t>
  </si>
  <si>
    <t>Name</t>
  </si>
  <si>
    <t>Masse</t>
  </si>
  <si>
    <t>Fertigung</t>
  </si>
  <si>
    <t>Anmerkungen</t>
  </si>
  <si>
    <t>Neuheitsgrad</t>
  </si>
  <si>
    <t>Wertung</t>
  </si>
  <si>
    <t>getrennt, anschließende Fügung</t>
  </si>
  <si>
    <t>mit oder ohne Ti-Bleche an (B)</t>
  </si>
  <si>
    <t>z-Form-Pb_k_z-Form-Pb</t>
  </si>
  <si>
    <t>gering</t>
  </si>
  <si>
    <t>z-Form-Pb_g_z-Form-Pb</t>
  </si>
  <si>
    <t>z-Form-Pb_p_z-Form-Pb</t>
  </si>
  <si>
    <t>zusätzliche Fügestelle, Bauraum überschritten</t>
  </si>
  <si>
    <t>z-Form-Pb_k_k-Form-Pb-Ti</t>
  </si>
  <si>
    <t>z-Form-Pb_g_z-Form-Pb-Ti</t>
  </si>
  <si>
    <t>z-Form-Pb_p_z-Form-Pb-Ti</t>
  </si>
  <si>
    <t>Bauraum überschritten</t>
  </si>
  <si>
    <t>z-Form-Pb_k_fs-Form-Pb</t>
  </si>
  <si>
    <t>z-Form-Pb_g_fs-Form-Pb</t>
  </si>
  <si>
    <t>z-Form-Pb_p_fs-Form-Pb</t>
  </si>
  <si>
    <t>z-Form-Pb_k_fc-Form-Pb</t>
  </si>
  <si>
    <t>z-Form-Pb_g_fc-Form-Pb</t>
  </si>
  <si>
    <t>z-Form-Pb_p_fc-Form-Pb</t>
  </si>
  <si>
    <t>Materialparameter</t>
  </si>
  <si>
    <t>E_1=</t>
  </si>
  <si>
    <t>Mpa</t>
  </si>
  <si>
    <t>E_2=</t>
  </si>
  <si>
    <t>G_12=</t>
  </si>
  <si>
    <t>Q=</t>
  </si>
  <si>
    <t>S=</t>
  </si>
  <si>
    <t>v_12=</t>
  </si>
  <si>
    <t>v_21=</t>
  </si>
  <si>
    <t>k</t>
  </si>
  <si>
    <t>theta_k</t>
  </si>
  <si>
    <t>h_k/mm</t>
  </si>
  <si>
    <t>z/mm</t>
  </si>
  <si>
    <t>z*_k/mm</t>
  </si>
  <si>
    <t>T(theta_k)</t>
  </si>
  <si>
    <t>ABD-Matrix</t>
  </si>
  <si>
    <t>ABD mit Höhe</t>
  </si>
  <si>
    <t>N_x=</t>
  </si>
  <si>
    <t>M_x=</t>
  </si>
  <si>
    <t>1/MPa</t>
  </si>
  <si>
    <t>N_y=</t>
  </si>
  <si>
    <t>M_y=</t>
  </si>
  <si>
    <t>N_xy=</t>
  </si>
  <si>
    <t>M_xy=</t>
  </si>
  <si>
    <t>Winkel aus C11=</t>
  </si>
  <si>
    <t>Q_transf (theta_k)</t>
  </si>
  <si>
    <t>A^(k)</t>
  </si>
  <si>
    <t>B^(k)</t>
  </si>
  <si>
    <t>D^(k)</t>
  </si>
  <si>
    <t>sigma_x</t>
  </si>
  <si>
    <t>sigma_y</t>
  </si>
  <si>
    <t>tau_xy</t>
  </si>
  <si>
    <t>sigma</t>
  </si>
  <si>
    <t>S_Trans (theta_k)</t>
  </si>
  <si>
    <t>epsilon</t>
  </si>
  <si>
    <t>abd-Matrix</t>
  </si>
  <si>
    <t>abbTd-Matrix</t>
  </si>
  <si>
    <t>T-Transf</t>
  </si>
  <si>
    <t>epsilon'</t>
  </si>
  <si>
    <t>sigma'</t>
  </si>
  <si>
    <t>eps0_x=</t>
  </si>
  <si>
    <t>abd mit Höhe</t>
  </si>
  <si>
    <t>sigma (global)</t>
  </si>
  <si>
    <t>sigma' (lokal)</t>
  </si>
  <si>
    <t>eps0_y=</t>
  </si>
  <si>
    <t>gam0_xy=</t>
  </si>
  <si>
    <t>kap_x=</t>
  </si>
  <si>
    <t>kap_y=</t>
  </si>
  <si>
    <t>kap_xy=</t>
  </si>
  <si>
    <t>epsilon (global)</t>
  </si>
  <si>
    <t>epsilon' (lokal)</t>
  </si>
  <si>
    <t>A_ges [N/mm]</t>
  </si>
  <si>
    <t>B_ges [N]</t>
  </si>
  <si>
    <t>D_ges [Nmm]</t>
  </si>
  <si>
    <t>E_x=</t>
  </si>
  <si>
    <t>ohne Querkontraktion! (Scheibe)</t>
  </si>
  <si>
    <t>E_y=</t>
  </si>
  <si>
    <t>G_xy=</t>
  </si>
  <si>
    <t>v_xy=</t>
  </si>
  <si>
    <t>sigma_11_ges</t>
  </si>
  <si>
    <t>gesamt</t>
  </si>
  <si>
    <t>Schritte</t>
  </si>
  <si>
    <t>CFK</t>
  </si>
  <si>
    <t>Stahl</t>
  </si>
  <si>
    <t>Verdrillung [°]</t>
  </si>
  <si>
    <t>G_Stahl</t>
  </si>
  <si>
    <t>I_xx/Außenradius</t>
  </si>
  <si>
    <t>Biegekraft=</t>
  </si>
  <si>
    <t>v_Stahl=</t>
  </si>
  <si>
    <t>CFK-Welle konisch</t>
  </si>
  <si>
    <t>sigma_ges (vMises)</t>
  </si>
  <si>
    <t>Biegespannung [MPa]</t>
  </si>
  <si>
    <t>schubfaktor</t>
  </si>
  <si>
    <t>CFK-Welle gestuft</t>
  </si>
  <si>
    <t>Wellenformen</t>
  </si>
  <si>
    <t>Ergebnisse</t>
  </si>
  <si>
    <t>Wellenform</t>
  </si>
  <si>
    <t>Verformung</t>
  </si>
  <si>
    <t>v_M</t>
  </si>
  <si>
    <t>Phi_M</t>
  </si>
  <si>
    <t>Phi_F</t>
  </si>
  <si>
    <t>v_F</t>
  </si>
  <si>
    <t>Konstanter Querschnitt</t>
  </si>
  <si>
    <t>v_F_FEM</t>
  </si>
  <si>
    <t>variabler Querschnitt</t>
  </si>
  <si>
    <t>v_M_FEM</t>
  </si>
  <si>
    <t>Korrekturfaktor I</t>
  </si>
  <si>
    <t>v_M_FEM_244</t>
  </si>
  <si>
    <t>N/mm</t>
  </si>
  <si>
    <t>Mt/2*A</t>
  </si>
  <si>
    <t>11-Faserspannung</t>
  </si>
  <si>
    <t>Schubflusss T</t>
  </si>
  <si>
    <t>OK! 2</t>
  </si>
  <si>
    <t>OK! 5</t>
  </si>
  <si>
    <t>Laminatdicke</t>
  </si>
  <si>
    <t>Kraftfluss Nx</t>
  </si>
  <si>
    <t>Ri</t>
  </si>
  <si>
    <t>WS</t>
  </si>
  <si>
    <t>tv</t>
  </si>
  <si>
    <t>Ra</t>
  </si>
  <si>
    <t>Daten für CAD konisch</t>
  </si>
  <si>
    <t>Daten für CAD parabelförmig2</t>
  </si>
  <si>
    <t>Übergangslänge (gewählt)</t>
  </si>
  <si>
    <t xml:space="preserve">mm </t>
  </si>
  <si>
    <t>Bolzenverbindung mit Ti-Blechen</t>
  </si>
  <si>
    <t>Offset Lager A</t>
  </si>
  <si>
    <t>(59,5 mit Bauraumbeschränkung)</t>
  </si>
  <si>
    <t>B (Flansch)</t>
  </si>
  <si>
    <t>R_Trennfuge [mm]</t>
  </si>
  <si>
    <t>Wandstärke Metall [mm]</t>
  </si>
  <si>
    <t>Masse Metall Lager</t>
  </si>
  <si>
    <t>kg</t>
  </si>
  <si>
    <t>Länge A zu B lang</t>
  </si>
  <si>
    <t>mittlere Wandstärke A zu B lang</t>
  </si>
  <si>
    <t>Länge A zu B kurz</t>
  </si>
  <si>
    <t>mittlere Wandstärke A zu B kurz</t>
  </si>
  <si>
    <t>Dichte Stahl</t>
  </si>
  <si>
    <t>Dichte CFK</t>
  </si>
  <si>
    <t>Dichte Klebstoff</t>
  </si>
  <si>
    <t>3M DP 490 (120°)</t>
  </si>
  <si>
    <t>Dichte Titan</t>
  </si>
  <si>
    <t>Dicke Verklebung</t>
  </si>
  <si>
    <t>Volumen Übergangsbereich</t>
  </si>
  <si>
    <t>dm^3</t>
  </si>
  <si>
    <t>Masse Anschluss Metall Auslauf</t>
  </si>
  <si>
    <t>Masse Anschluss CFK Auslauf</t>
  </si>
  <si>
    <t>Masse Klebstoff</t>
  </si>
  <si>
    <t>Masse Verbindungsbereich</t>
  </si>
  <si>
    <t>Länge freier Bereich</t>
  </si>
  <si>
    <t>Masse freier Bereich</t>
  </si>
  <si>
    <t>Gesamtmasse</t>
  </si>
  <si>
    <t>Volumen Bolzen</t>
  </si>
  <si>
    <t>Masse Anschluss Metall</t>
  </si>
  <si>
    <t>Masse Anschluss CFK</t>
  </si>
  <si>
    <t>Masse Bolzen</t>
  </si>
  <si>
    <t>Bolzenverbindung mit Titanblechen</t>
  </si>
  <si>
    <t>Masse Anschluss CFK + Titan</t>
  </si>
  <si>
    <t>Volumen Bandage</t>
  </si>
  <si>
    <t>Masse Bandage</t>
  </si>
  <si>
    <t>Anflanschung an curvic coupling</t>
  </si>
  <si>
    <t>Dicke Laminat Flansch</t>
  </si>
  <si>
    <t>Anflanschung an stubshaft</t>
  </si>
  <si>
    <t>Volumen Zähne</t>
  </si>
  <si>
    <t>Masse Zähne</t>
  </si>
  <si>
    <t>Verbindungen</t>
  </si>
  <si>
    <t>Lager A/Lager B</t>
  </si>
  <si>
    <t>Masse [kg]</t>
  </si>
  <si>
    <t>Oil, temperatur behaviour, duration</t>
  </si>
  <si>
    <t>Länge [mm]</t>
  </si>
  <si>
    <t>-</t>
  </si>
  <si>
    <t>Balg</t>
  </si>
  <si>
    <t>CFK-Welle konvex</t>
  </si>
  <si>
    <t>CFK-Welle Konkav</t>
  </si>
  <si>
    <t>Konkav</t>
  </si>
  <si>
    <t>Konvex</t>
  </si>
  <si>
    <t>Daten für CAD Balg</t>
  </si>
  <si>
    <t>Freier Bereich</t>
  </si>
  <si>
    <t>Fertigbarkeit</t>
  </si>
  <si>
    <t>zylindrisch (kl. D)</t>
  </si>
  <si>
    <t>1 1/2 Balge</t>
  </si>
  <si>
    <t>Steifigkeit [N/mm]</t>
  </si>
  <si>
    <t>IMS-65</t>
  </si>
  <si>
    <t>UTS-50</t>
  </si>
  <si>
    <t>R1c/R1t</t>
  </si>
  <si>
    <t>t_Reduktion</t>
  </si>
  <si>
    <t>HTS40</t>
  </si>
  <si>
    <t>Bedeckungsgrad</t>
  </si>
  <si>
    <t>Flechten Parameter</t>
  </si>
  <si>
    <t>Ziel-Faserwinkel</t>
  </si>
  <si>
    <t>°</t>
  </si>
  <si>
    <t>Klöppelzahl</t>
  </si>
  <si>
    <t>Ablagebreite</t>
  </si>
  <si>
    <t>FVG Start</t>
  </si>
  <si>
    <t>FVG</t>
  </si>
  <si>
    <t>y</t>
  </si>
  <si>
    <t>FVG Schnitt</t>
  </si>
  <si>
    <t>FVG min</t>
  </si>
  <si>
    <t>FVG max</t>
  </si>
  <si>
    <t>Diff min</t>
  </si>
  <si>
    <t>Diff max</t>
  </si>
  <si>
    <t>Normiert</t>
  </si>
  <si>
    <t>Bereiche</t>
  </si>
  <si>
    <t>Bedeckungsgradd mittel</t>
  </si>
  <si>
    <t>[g/m^2]</t>
  </si>
  <si>
    <t>tex-Zahl</t>
  </si>
  <si>
    <t>tex</t>
  </si>
  <si>
    <t>Lagenzahl</t>
  </si>
  <si>
    <t>Einzellagendicke</t>
  </si>
  <si>
    <t>Faserdichte</t>
  </si>
  <si>
    <t>Einzellage</t>
  </si>
  <si>
    <t>Faserflächen-gewicht</t>
  </si>
  <si>
    <t>mit Titanblechen</t>
  </si>
  <si>
    <t>Pressverband an Profilverbindung für axiale Sicherung</t>
  </si>
  <si>
    <t>Axiale Last</t>
  </si>
  <si>
    <t>Umfangskraft in Trennfuge</t>
  </si>
  <si>
    <t>Bolzenreihenabstand</t>
  </si>
  <si>
    <t>S11_max_compr.</t>
  </si>
  <si>
    <t>Faserwinkel</t>
  </si>
  <si>
    <t>Eingabe</t>
  </si>
  <si>
    <t>Berechnung</t>
  </si>
  <si>
    <t>Fertigung konst. Ablage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</si>
</sst>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"/>
    <numFmt numFmtId="166" formatCode="0.0E+00"/>
    <numFmt numFmtId="167" formatCode="0.0000"/>
    <numFmt numFmtId="168" formatCode="0.0000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2" tint="-0.249977111117893"/>
      <name val="Arial"/>
      <family val="2"/>
    </font>
    <font>
      <sz val="11"/>
      <color theme="2" tint="-0.249977111117893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61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305E"/>
        <bgColor indexed="64"/>
      </patternFill>
    </fill>
    <fill>
      <patternFill patternType="solid">
        <fgColor rgb="FFC6EFCE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/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/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indexed="64"/>
      </right>
      <top style="medium">
        <color rgb="FF000000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double">
        <color rgb="FFFF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double">
        <color rgb="FFFF0000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CCCCCC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6" fillId="5" borderId="0" applyNumberFormat="0" applyBorder="0" applyAlignment="0" applyProtection="0"/>
  </cellStyleXfs>
  <cellXfs count="285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" fontId="0" fillId="0" borderId="0" xfId="0" applyNumberFormat="1"/>
    <xf numFmtId="164" fontId="0" fillId="0" borderId="0" xfId="0" applyNumberFormat="1"/>
    <xf numFmtId="0" fontId="3" fillId="0" borderId="0" xfId="0" applyFont="1"/>
    <xf numFmtId="0" fontId="0" fillId="2" borderId="0" xfId="0" applyFill="1" applyAlignment="1">
      <alignment horizontal="center"/>
    </xf>
    <xf numFmtId="0" fontId="0" fillId="0" borderId="1" xfId="0" applyBorder="1"/>
    <xf numFmtId="0" fontId="0" fillId="0" borderId="5" xfId="0" applyBorder="1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4" fillId="0" borderId="0" xfId="0" applyFont="1"/>
    <xf numFmtId="2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9" xfId="0" applyBorder="1"/>
    <xf numFmtId="0" fontId="0" fillId="0" borderId="0" xfId="0" quotePrefix="1"/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1" fontId="0" fillId="3" borderId="0" xfId="0" applyNumberFormat="1" applyFill="1"/>
    <xf numFmtId="0" fontId="0" fillId="4" borderId="0" xfId="0" applyFill="1"/>
    <xf numFmtId="0" fontId="5" fillId="4" borderId="0" xfId="0" applyFont="1" applyFill="1"/>
    <xf numFmtId="164" fontId="0" fillId="3" borderId="0" xfId="0" applyNumberFormat="1" applyFill="1"/>
    <xf numFmtId="1" fontId="0" fillId="0" borderId="0" xfId="0" applyNumberFormat="1" applyAlignment="1">
      <alignment horizontal="center"/>
    </xf>
    <xf numFmtId="1" fontId="0" fillId="3" borderId="0" xfId="0" applyNumberFormat="1" applyFill="1" applyAlignment="1">
      <alignment horizontal="center"/>
    </xf>
    <xf numFmtId="164" fontId="0" fillId="0" borderId="0" xfId="0" applyNumberFormat="1" applyAlignment="1">
      <alignment horizontal="right"/>
    </xf>
    <xf numFmtId="1" fontId="6" fillId="5" borderId="0" xfId="1" applyNumberFormat="1"/>
    <xf numFmtId="0" fontId="5" fillId="0" borderId="0" xfId="0" applyFont="1"/>
    <xf numFmtId="0" fontId="0" fillId="6" borderId="0" xfId="0" applyFill="1"/>
    <xf numFmtId="1" fontId="0" fillId="6" borderId="0" xfId="0" applyNumberFormat="1" applyFill="1"/>
    <xf numFmtId="164" fontId="0" fillId="6" borderId="0" xfId="0" applyNumberFormat="1" applyFill="1"/>
    <xf numFmtId="165" fontId="0" fillId="0" borderId="0" xfId="0" applyNumberFormat="1"/>
    <xf numFmtId="166" fontId="0" fillId="0" borderId="0" xfId="0" applyNumberFormat="1"/>
    <xf numFmtId="164" fontId="0" fillId="3" borderId="0" xfId="0" applyNumberFormat="1" applyFill="1" applyAlignment="1">
      <alignment horizontal="center"/>
    </xf>
    <xf numFmtId="11" fontId="0" fillId="0" borderId="0" xfId="0" applyNumberFormat="1"/>
    <xf numFmtId="1" fontId="0" fillId="3" borderId="0" xfId="0" applyNumberFormat="1" applyFill="1" applyAlignment="1">
      <alignment horizontal="right"/>
    </xf>
    <xf numFmtId="11" fontId="0" fillId="3" borderId="0" xfId="0" applyNumberFormat="1" applyFill="1"/>
    <xf numFmtId="2" fontId="0" fillId="3" borderId="0" xfId="0" applyNumberFormat="1" applyFill="1"/>
    <xf numFmtId="0" fontId="0" fillId="3" borderId="0" xfId="0" applyFill="1"/>
    <xf numFmtId="1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7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0" xfId="0" applyFont="1" applyBorder="1" applyAlignment="1">
      <alignment horizontal="center" wrapText="1"/>
    </xf>
    <xf numFmtId="0" fontId="3" fillId="0" borderId="14" xfId="0" applyFont="1" applyBorder="1" applyAlignment="1">
      <alignment wrapText="1"/>
    </xf>
    <xf numFmtId="0" fontId="3" fillId="0" borderId="14" xfId="0" applyFont="1" applyBorder="1" applyAlignment="1">
      <alignment horizontal="center" wrapText="1"/>
    </xf>
    <xf numFmtId="2" fontId="3" fillId="0" borderId="15" xfId="0" applyNumberFormat="1" applyFont="1" applyBorder="1" applyAlignment="1">
      <alignment horizontal="center" wrapText="1"/>
    </xf>
    <xf numFmtId="2" fontId="3" fillId="0" borderId="14" xfId="0" applyNumberFormat="1" applyFont="1" applyBorder="1" applyAlignment="1">
      <alignment horizontal="center" wrapText="1"/>
    </xf>
    <xf numFmtId="0" fontId="3" fillId="7" borderId="14" xfId="0" applyFont="1" applyFill="1" applyBorder="1" applyAlignment="1">
      <alignment horizontal="center" wrapText="1"/>
    </xf>
    <xf numFmtId="2" fontId="3" fillId="0" borderId="16" xfId="0" applyNumberFormat="1" applyFont="1" applyBorder="1" applyAlignment="1">
      <alignment horizontal="center" wrapText="1"/>
    </xf>
    <xf numFmtId="2" fontId="3" fillId="0" borderId="10" xfId="0" applyNumberFormat="1" applyFont="1" applyBorder="1" applyAlignment="1">
      <alignment horizontal="center" wrapText="1"/>
    </xf>
    <xf numFmtId="0" fontId="7" fillId="0" borderId="0" xfId="0" applyFont="1" applyAlignment="1">
      <alignment wrapText="1"/>
    </xf>
    <xf numFmtId="11" fontId="8" fillId="0" borderId="0" xfId="0" applyNumberFormat="1" applyFont="1" applyAlignment="1">
      <alignment horizontal="center"/>
    </xf>
    <xf numFmtId="11" fontId="8" fillId="0" borderId="17" xfId="0" applyNumberFormat="1" applyFont="1" applyBorder="1" applyAlignment="1">
      <alignment horizontal="center"/>
    </xf>
    <xf numFmtId="2" fontId="7" fillId="0" borderId="0" xfId="0" applyNumberFormat="1" applyFont="1" applyAlignment="1">
      <alignment wrapText="1"/>
    </xf>
    <xf numFmtId="11" fontId="7" fillId="0" borderId="0" xfId="0" applyNumberFormat="1" applyFont="1" applyAlignment="1">
      <alignment horizontal="center" wrapText="1"/>
    </xf>
    <xf numFmtId="11" fontId="0" fillId="0" borderId="0" xfId="0" applyNumberFormat="1" applyAlignment="1">
      <alignment horizontal="center"/>
    </xf>
    <xf numFmtId="11" fontId="8" fillId="0" borderId="1" xfId="0" applyNumberFormat="1" applyFont="1" applyBorder="1" applyAlignment="1">
      <alignment horizontal="center"/>
    </xf>
    <xf numFmtId="11" fontId="8" fillId="0" borderId="18" xfId="0" applyNumberFormat="1" applyFont="1" applyBorder="1" applyAlignment="1">
      <alignment horizontal="center"/>
    </xf>
    <xf numFmtId="11" fontId="7" fillId="0" borderId="17" xfId="0" applyNumberFormat="1" applyFont="1" applyBorder="1" applyAlignment="1">
      <alignment horizontal="center" wrapText="1"/>
    </xf>
    <xf numFmtId="0" fontId="9" fillId="0" borderId="0" xfId="0" applyFont="1"/>
    <xf numFmtId="0" fontId="9" fillId="0" borderId="0" xfId="0" applyFont="1" applyAlignment="1">
      <alignment horizontal="left"/>
    </xf>
    <xf numFmtId="0" fontId="3" fillId="0" borderId="16" xfId="0" applyFont="1" applyBorder="1" applyAlignment="1">
      <alignment horizontal="center" wrapText="1"/>
    </xf>
    <xf numFmtId="0" fontId="3" fillId="0" borderId="0" xfId="0" applyFont="1" applyAlignment="1">
      <alignment wrapText="1"/>
    </xf>
    <xf numFmtId="0" fontId="3" fillId="0" borderId="0" xfId="0" applyFont="1" applyAlignment="1">
      <alignment horizontal="center" wrapText="1"/>
    </xf>
    <xf numFmtId="1" fontId="3" fillId="0" borderId="15" xfId="0" applyNumberFormat="1" applyFont="1" applyBorder="1" applyAlignment="1">
      <alignment horizontal="center" wrapText="1"/>
    </xf>
    <xf numFmtId="1" fontId="3" fillId="0" borderId="14" xfId="0" applyNumberFormat="1" applyFont="1" applyBorder="1" applyAlignment="1">
      <alignment horizontal="center" wrapText="1"/>
    </xf>
    <xf numFmtId="1" fontId="3" fillId="0" borderId="16" xfId="0" applyNumberFormat="1" applyFont="1" applyBorder="1" applyAlignment="1">
      <alignment horizontal="center" wrapText="1"/>
    </xf>
    <xf numFmtId="1" fontId="3" fillId="0" borderId="10" xfId="0" applyNumberFormat="1" applyFont="1" applyBorder="1" applyAlignment="1">
      <alignment horizontal="center" wrapText="1"/>
    </xf>
    <xf numFmtId="1" fontId="3" fillId="0" borderId="21" xfId="0" applyNumberFormat="1" applyFont="1" applyBorder="1" applyAlignment="1">
      <alignment horizontal="center" wrapText="1"/>
    </xf>
    <xf numFmtId="1" fontId="3" fillId="0" borderId="22" xfId="0" applyNumberFormat="1" applyFont="1" applyBorder="1" applyAlignment="1">
      <alignment horizontal="center" wrapText="1"/>
    </xf>
    <xf numFmtId="0" fontId="3" fillId="7" borderId="0" xfId="0" applyFont="1" applyFill="1" applyAlignment="1">
      <alignment horizontal="center" wrapText="1"/>
    </xf>
    <xf numFmtId="11" fontId="7" fillId="0" borderId="1" xfId="0" applyNumberFormat="1" applyFont="1" applyBorder="1" applyAlignment="1">
      <alignment horizontal="center" wrapText="1"/>
    </xf>
    <xf numFmtId="11" fontId="7" fillId="0" borderId="18" xfId="0" applyNumberFormat="1" applyFont="1" applyBorder="1" applyAlignment="1">
      <alignment horizontal="center" wrapText="1"/>
    </xf>
    <xf numFmtId="2" fontId="7" fillId="0" borderId="0" xfId="0" applyNumberFormat="1" applyFont="1" applyAlignment="1">
      <alignment horizontal="center" wrapText="1"/>
    </xf>
    <xf numFmtId="2" fontId="7" fillId="0" borderId="17" xfId="0" applyNumberFormat="1" applyFont="1" applyBorder="1" applyAlignment="1">
      <alignment horizontal="center" wrapText="1"/>
    </xf>
    <xf numFmtId="1" fontId="3" fillId="0" borderId="23" xfId="0" applyNumberFormat="1" applyFont="1" applyBorder="1" applyAlignment="1">
      <alignment horizontal="center" wrapText="1"/>
    </xf>
    <xf numFmtId="2" fontId="3" fillId="0" borderId="15" xfId="0" applyNumberFormat="1" applyFont="1" applyBorder="1" applyAlignment="1">
      <alignment wrapText="1"/>
    </xf>
    <xf numFmtId="2" fontId="3" fillId="0" borderId="1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horizontal="center" wrapText="1"/>
    </xf>
    <xf numFmtId="1" fontId="3" fillId="0" borderId="25" xfId="0" applyNumberFormat="1" applyFont="1" applyBorder="1" applyAlignment="1">
      <alignment horizontal="center" wrapText="1"/>
    </xf>
    <xf numFmtId="1" fontId="3" fillId="0" borderId="26" xfId="0" applyNumberFormat="1" applyFont="1" applyBorder="1" applyAlignment="1">
      <alignment horizontal="center" wrapText="1"/>
    </xf>
    <xf numFmtId="1" fontId="3" fillId="0" borderId="27" xfId="0" applyNumberFormat="1" applyFont="1" applyBorder="1" applyAlignment="1">
      <alignment horizontal="center" wrapText="1"/>
    </xf>
    <xf numFmtId="1" fontId="3" fillId="0" borderId="28" xfId="0" applyNumberFormat="1" applyFont="1" applyBorder="1" applyAlignment="1">
      <alignment horizontal="center" wrapText="1"/>
    </xf>
    <xf numFmtId="2" fontId="3" fillId="0" borderId="27" xfId="0" applyNumberFormat="1" applyFont="1" applyBorder="1" applyAlignment="1">
      <alignment horizontal="center" wrapText="1"/>
    </xf>
    <xf numFmtId="2" fontId="3" fillId="0" borderId="25" xfId="0" applyNumberFormat="1" applyFont="1" applyBorder="1" applyAlignment="1">
      <alignment horizontal="center" wrapText="1"/>
    </xf>
    <xf numFmtId="2" fontId="3" fillId="0" borderId="29" xfId="0" applyNumberFormat="1" applyFont="1" applyBorder="1" applyAlignment="1">
      <alignment horizontal="center" wrapText="1"/>
    </xf>
    <xf numFmtId="2" fontId="7" fillId="0" borderId="1" xfId="0" applyNumberFormat="1" applyFont="1" applyBorder="1" applyAlignment="1">
      <alignment horizontal="center" wrapText="1"/>
    </xf>
    <xf numFmtId="2" fontId="7" fillId="0" borderId="18" xfId="0" applyNumberFormat="1" applyFont="1" applyBorder="1" applyAlignment="1">
      <alignment horizontal="center" wrapText="1"/>
    </xf>
    <xf numFmtId="11" fontId="3" fillId="7" borderId="0" xfId="0" applyNumberFormat="1" applyFont="1" applyFill="1" applyAlignment="1">
      <alignment horizontal="center" wrapText="1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center" wrapText="1"/>
    </xf>
    <xf numFmtId="167" fontId="7" fillId="0" borderId="0" xfId="0" applyNumberFormat="1" applyFont="1" applyAlignment="1">
      <alignment horizontal="center" wrapText="1"/>
    </xf>
    <xf numFmtId="0" fontId="3" fillId="0" borderId="30" xfId="0" applyFont="1" applyBorder="1" applyAlignment="1">
      <alignment wrapText="1"/>
    </xf>
    <xf numFmtId="0" fontId="3" fillId="0" borderId="30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32" xfId="0" applyFont="1" applyBorder="1" applyAlignment="1">
      <alignment wrapText="1"/>
    </xf>
    <xf numFmtId="0" fontId="3" fillId="0" borderId="32" xfId="0" applyFont="1" applyBorder="1" applyAlignment="1">
      <alignment horizontal="center" wrapText="1"/>
    </xf>
    <xf numFmtId="1" fontId="0" fillId="0" borderId="33" xfId="0" applyNumberFormat="1" applyBorder="1" applyAlignment="1">
      <alignment horizontal="center"/>
    </xf>
    <xf numFmtId="1" fontId="0" fillId="0" borderId="0" xfId="0" applyNumberFormat="1" applyFill="1" applyAlignment="1">
      <alignment horizontal="center"/>
    </xf>
    <xf numFmtId="0" fontId="3" fillId="0" borderId="1" xfId="0" applyFont="1" applyBorder="1" applyAlignment="1">
      <alignment horizontal="center" wrapText="1"/>
    </xf>
    <xf numFmtId="11" fontId="0" fillId="0" borderId="1" xfId="0" applyNumberFormat="1" applyBorder="1" applyAlignment="1">
      <alignment horizontal="center"/>
    </xf>
    <xf numFmtId="0" fontId="0" fillId="0" borderId="0" xfId="0" applyFill="1" applyAlignment="1">
      <alignment horizontal="center"/>
    </xf>
    <xf numFmtId="1" fontId="0" fillId="0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34" xfId="0" applyFill="1" applyBorder="1" applyAlignment="1">
      <alignment horizontal="center"/>
    </xf>
    <xf numFmtId="0" fontId="0" fillId="0" borderId="0" xfId="0" applyBorder="1"/>
    <xf numFmtId="0" fontId="0" fillId="0" borderId="0" xfId="0" applyBorder="1" applyAlignment="1"/>
    <xf numFmtId="1" fontId="0" fillId="0" borderId="34" xfId="0" applyNumberFormat="1" applyBorder="1"/>
    <xf numFmtId="165" fontId="0" fillId="0" borderId="0" xfId="0" applyNumberFormat="1" applyBorder="1"/>
    <xf numFmtId="1" fontId="0" fillId="0" borderId="0" xfId="0" applyNumberFormat="1" applyBorder="1"/>
    <xf numFmtId="168" fontId="0" fillId="0" borderId="0" xfId="0" applyNumberFormat="1"/>
    <xf numFmtId="167" fontId="0" fillId="0" borderId="0" xfId="0" applyNumberFormat="1"/>
    <xf numFmtId="2" fontId="0" fillId="3" borderId="0" xfId="0" applyNumberFormat="1" applyFill="1" applyAlignment="1">
      <alignment horizontal="center"/>
    </xf>
    <xf numFmtId="164" fontId="0" fillId="8" borderId="0" xfId="0" applyNumberFormat="1" applyFill="1"/>
    <xf numFmtId="164" fontId="0" fillId="9" borderId="0" xfId="0" applyNumberFormat="1" applyFill="1"/>
    <xf numFmtId="164" fontId="0" fillId="10" borderId="0" xfId="0" applyNumberFormat="1" applyFill="1"/>
    <xf numFmtId="164" fontId="0" fillId="11" borderId="0" xfId="0" applyNumberFormat="1" applyFill="1"/>
    <xf numFmtId="164" fontId="0" fillId="0" borderId="0" xfId="0" applyNumberFormat="1" applyFill="1"/>
    <xf numFmtId="0" fontId="10" fillId="0" borderId="0" xfId="0" applyFont="1" applyAlignment="1">
      <alignment horizontal="center"/>
    </xf>
    <xf numFmtId="0" fontId="10" fillId="0" borderId="0" xfId="0" applyFont="1"/>
    <xf numFmtId="164" fontId="10" fillId="0" borderId="0" xfId="0" applyNumberFormat="1" applyFont="1"/>
    <xf numFmtId="166" fontId="10" fillId="0" borderId="0" xfId="0" applyNumberFormat="1" applyFont="1"/>
    <xf numFmtId="0" fontId="0" fillId="0" borderId="0" xfId="0" applyAlignment="1">
      <alignment horizontal="center"/>
    </xf>
    <xf numFmtId="11" fontId="0" fillId="0" borderId="0" xfId="0" applyNumberFormat="1" applyFill="1"/>
    <xf numFmtId="0" fontId="0" fillId="0" borderId="0" xfId="0" applyFill="1"/>
    <xf numFmtId="167" fontId="0" fillId="0" borderId="0" xfId="0" applyNumberFormat="1" applyFill="1"/>
    <xf numFmtId="0" fontId="5" fillId="4" borderId="0" xfId="0" applyFont="1" applyFill="1" applyAlignment="1"/>
    <xf numFmtId="0" fontId="0" fillId="0" borderId="0" xfId="0" applyAlignment="1"/>
    <xf numFmtId="0" fontId="0" fillId="0" borderId="17" xfId="0" applyBorder="1" applyAlignment="1"/>
    <xf numFmtId="0" fontId="0" fillId="0" borderId="34" xfId="0" applyBorder="1" applyAlignment="1"/>
    <xf numFmtId="164" fontId="0" fillId="0" borderId="2" xfId="0" applyNumberFormat="1" applyBorder="1"/>
    <xf numFmtId="2" fontId="0" fillId="0" borderId="2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 applyAlignment="1">
      <alignment horizontal="center" vertical="center"/>
    </xf>
    <xf numFmtId="11" fontId="0" fillId="0" borderId="17" xfId="0" applyNumberFormat="1" applyBorder="1" applyAlignment="1">
      <alignment horizontal="center"/>
    </xf>
    <xf numFmtId="11" fontId="3" fillId="0" borderId="0" xfId="0" applyNumberFormat="1" applyFont="1" applyAlignment="1">
      <alignment horizontal="center" wrapText="1"/>
    </xf>
    <xf numFmtId="2" fontId="3" fillId="0" borderId="0" xfId="0" applyNumberFormat="1" applyFont="1" applyAlignment="1">
      <alignment wrapText="1"/>
    </xf>
    <xf numFmtId="11" fontId="0" fillId="0" borderId="18" xfId="0" applyNumberFormat="1" applyBorder="1" applyAlignment="1">
      <alignment horizontal="center"/>
    </xf>
    <xf numFmtId="11" fontId="3" fillId="0" borderId="1" xfId="0" applyNumberFormat="1" applyFont="1" applyBorder="1" applyAlignment="1">
      <alignment horizontal="center" wrapText="1"/>
    </xf>
    <xf numFmtId="11" fontId="3" fillId="0" borderId="17" xfId="0" applyNumberFormat="1" applyFont="1" applyBorder="1" applyAlignment="1">
      <alignment horizontal="center" wrapText="1"/>
    </xf>
    <xf numFmtId="11" fontId="3" fillId="0" borderId="18" xfId="0" applyNumberFormat="1" applyFont="1" applyBorder="1" applyAlignment="1">
      <alignment horizontal="center" wrapText="1"/>
    </xf>
    <xf numFmtId="2" fontId="3" fillId="0" borderId="0" xfId="0" applyNumberFormat="1" applyFont="1" applyAlignment="1">
      <alignment horizontal="center" wrapText="1"/>
    </xf>
    <xf numFmtId="2" fontId="3" fillId="0" borderId="17" xfId="0" applyNumberFormat="1" applyFont="1" applyBorder="1" applyAlignment="1">
      <alignment horizontal="center" wrapText="1"/>
    </xf>
    <xf numFmtId="2" fontId="3" fillId="0" borderId="1" xfId="0" applyNumberFormat="1" applyFont="1" applyBorder="1" applyAlignment="1">
      <alignment horizontal="center" wrapText="1"/>
    </xf>
    <xf numFmtId="2" fontId="3" fillId="0" borderId="18" xfId="0" applyNumberFormat="1" applyFont="1" applyBorder="1" applyAlignment="1">
      <alignment horizontal="center" wrapText="1"/>
    </xf>
    <xf numFmtId="0" fontId="3" fillId="13" borderId="0" xfId="0" applyFont="1" applyFill="1" applyAlignment="1">
      <alignment horizontal="center" wrapText="1"/>
    </xf>
    <xf numFmtId="167" fontId="3" fillId="0" borderId="0" xfId="0" applyNumberFormat="1" applyFont="1" applyAlignment="1">
      <alignment horizontal="center" wrapText="1"/>
    </xf>
    <xf numFmtId="0" fontId="3" fillId="14" borderId="0" xfId="0" applyFont="1" applyFill="1" applyAlignment="1">
      <alignment horizontal="center" wrapText="1"/>
    </xf>
    <xf numFmtId="0" fontId="3" fillId="15" borderId="0" xfId="0" applyFont="1" applyFill="1" applyAlignment="1">
      <alignment horizontal="center" wrapText="1"/>
    </xf>
    <xf numFmtId="167" fontId="0" fillId="0" borderId="0" xfId="0" applyNumberFormat="1" applyFill="1" applyAlignment="1">
      <alignment horizontal="left"/>
    </xf>
    <xf numFmtId="2" fontId="0" fillId="0" borderId="0" xfId="0" applyNumberFormat="1" applyFill="1"/>
    <xf numFmtId="0" fontId="11" fillId="0" borderId="0" xfId="0" applyFont="1"/>
    <xf numFmtId="0" fontId="12" fillId="4" borderId="0" xfId="0" applyFont="1" applyFill="1"/>
    <xf numFmtId="0" fontId="11" fillId="0" borderId="0" xfId="0" applyFont="1" applyAlignment="1">
      <alignment horizontal="center"/>
    </xf>
    <xf numFmtId="0" fontId="11" fillId="0" borderId="0" xfId="0" applyFont="1" applyFill="1"/>
    <xf numFmtId="164" fontId="11" fillId="0" borderId="0" xfId="0" applyNumberFormat="1" applyFont="1"/>
    <xf numFmtId="167" fontId="3" fillId="7" borderId="0" xfId="0" applyNumberFormat="1" applyFont="1" applyFill="1" applyAlignment="1">
      <alignment horizontal="center" wrapText="1"/>
    </xf>
    <xf numFmtId="164" fontId="11" fillId="0" borderId="0" xfId="0" applyNumberFormat="1" applyFont="1" applyFill="1"/>
    <xf numFmtId="164" fontId="11" fillId="0" borderId="0" xfId="0" applyNumberFormat="1" applyFont="1" applyAlignment="1">
      <alignment horizontal="center"/>
    </xf>
    <xf numFmtId="1" fontId="11" fillId="0" borderId="0" xfId="0" applyNumberFormat="1" applyFont="1"/>
    <xf numFmtId="164" fontId="10" fillId="0" borderId="0" xfId="0" applyNumberFormat="1" applyFont="1" applyAlignment="1">
      <alignment horizontal="center"/>
    </xf>
    <xf numFmtId="0" fontId="12" fillId="4" borderId="0" xfId="0" applyFont="1" applyFill="1" applyAlignment="1"/>
    <xf numFmtId="164" fontId="10" fillId="0" borderId="0" xfId="0" applyNumberFormat="1" applyFont="1" applyFill="1"/>
    <xf numFmtId="164" fontId="0" fillId="3" borderId="0" xfId="0" applyNumberFormat="1" applyFill="1" applyAlignment="1">
      <alignment horizontal="right"/>
    </xf>
    <xf numFmtId="164" fontId="0" fillId="16" borderId="0" xfId="0" applyNumberFormat="1" applyFill="1"/>
    <xf numFmtId="2" fontId="0" fillId="16" borderId="0" xfId="0" applyNumberFormat="1" applyFill="1"/>
    <xf numFmtId="2" fontId="13" fillId="0" borderId="0" xfId="0" applyNumberFormat="1" applyFont="1"/>
    <xf numFmtId="2" fontId="6" fillId="0" borderId="0" xfId="0" applyNumberFormat="1" applyFont="1"/>
    <xf numFmtId="2" fontId="0" fillId="17" borderId="0" xfId="0" applyNumberFormat="1" applyFill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/>
    </xf>
    <xf numFmtId="164" fontId="15" fillId="0" borderId="35" xfId="0" applyNumberFormat="1" applyFont="1" applyBorder="1"/>
    <xf numFmtId="0" fontId="15" fillId="0" borderId="0" xfId="0" applyFont="1"/>
    <xf numFmtId="1" fontId="15" fillId="0" borderId="36" xfId="0" applyNumberFormat="1" applyFont="1" applyBorder="1"/>
    <xf numFmtId="164" fontId="0" fillId="0" borderId="35" xfId="0" applyNumberFormat="1" applyBorder="1"/>
    <xf numFmtId="1" fontId="0" fillId="0" borderId="36" xfId="0" applyNumberFormat="1" applyBorder="1"/>
    <xf numFmtId="2" fontId="0" fillId="0" borderId="35" xfId="0" applyNumberFormat="1" applyBorder="1"/>
    <xf numFmtId="164" fontId="0" fillId="0" borderId="35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/>
    <xf numFmtId="164" fontId="0" fillId="0" borderId="1" xfId="0" applyNumberFormat="1" applyBorder="1"/>
    <xf numFmtId="0" fontId="0" fillId="0" borderId="35" xfId="0" applyBorder="1"/>
    <xf numFmtId="0" fontId="0" fillId="0" borderId="37" xfId="0" applyBorder="1"/>
    <xf numFmtId="0" fontId="0" fillId="0" borderId="36" xfId="0" applyBorder="1"/>
    <xf numFmtId="1" fontId="10" fillId="3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0" fillId="12" borderId="2" xfId="0" applyFill="1" applyBorder="1"/>
    <xf numFmtId="2" fontId="0" fillId="0" borderId="1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/>
    <xf numFmtId="0" fontId="0" fillId="18" borderId="0" xfId="0" applyFill="1" applyBorder="1"/>
    <xf numFmtId="0" fontId="0" fillId="0" borderId="0" xfId="0" applyAlignment="1">
      <alignment horizontal="center"/>
    </xf>
    <xf numFmtId="164" fontId="0" fillId="8" borderId="0" xfId="0" applyNumberFormat="1" applyFill="1" applyBorder="1"/>
    <xf numFmtId="2" fontId="0" fillId="8" borderId="0" xfId="0" applyNumberFormat="1" applyFill="1" applyBorder="1"/>
    <xf numFmtId="164" fontId="0" fillId="0" borderId="0" xfId="0" applyNumberFormat="1" applyBorder="1"/>
    <xf numFmtId="2" fontId="0" fillId="0" borderId="0" xfId="0" applyNumberFormat="1" applyBorder="1"/>
    <xf numFmtId="164" fontId="0" fillId="9" borderId="0" xfId="0" applyNumberFormat="1" applyFill="1" applyBorder="1"/>
    <xf numFmtId="2" fontId="0" fillId="9" borderId="0" xfId="0" applyNumberFormat="1" applyFill="1" applyBorder="1"/>
    <xf numFmtId="164" fontId="0" fillId="10" borderId="0" xfId="0" applyNumberFormat="1" applyFill="1" applyBorder="1"/>
    <xf numFmtId="2" fontId="0" fillId="10" borderId="0" xfId="0" applyNumberFormat="1" applyFill="1" applyBorder="1"/>
    <xf numFmtId="164" fontId="0" fillId="11" borderId="0" xfId="0" applyNumberFormat="1" applyFill="1" applyBorder="1"/>
    <xf numFmtId="2" fontId="0" fillId="11" borderId="0" xfId="0" applyNumberForma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2" fontId="11" fillId="3" borderId="0" xfId="0" applyNumberFormat="1" applyFont="1" applyFill="1" applyAlignment="1">
      <alignment horizontal="center"/>
    </xf>
    <xf numFmtId="1" fontId="1" fillId="3" borderId="0" xfId="0" applyNumberFormat="1" applyFont="1" applyFill="1"/>
    <xf numFmtId="1" fontId="1" fillId="0" borderId="0" xfId="0" applyNumberFormat="1" applyFont="1"/>
    <xf numFmtId="1" fontId="17" fillId="5" borderId="0" xfId="1" applyNumberFormat="1" applyFont="1"/>
    <xf numFmtId="2" fontId="1" fillId="0" borderId="0" xfId="0" applyNumberFormat="1" applyFont="1"/>
    <xf numFmtId="0" fontId="0" fillId="0" borderId="0" xfId="0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/>
    <xf numFmtId="0" fontId="0" fillId="0" borderId="9" xfId="0" applyBorder="1" applyAlignment="1"/>
    <xf numFmtId="0" fontId="3" fillId="0" borderId="20" xfId="0" applyFont="1" applyBorder="1" applyAlignment="1">
      <alignment horizontal="center" wrapText="1"/>
    </xf>
    <xf numFmtId="0" fontId="3" fillId="0" borderId="13" xfId="0" applyFont="1" applyBorder="1" applyAlignment="1">
      <alignment horizontal="center" wrapText="1"/>
    </xf>
    <xf numFmtId="0" fontId="3" fillId="0" borderId="12" xfId="0" applyFont="1" applyBorder="1" applyAlignment="1">
      <alignment horizontal="center" wrapText="1"/>
    </xf>
    <xf numFmtId="0" fontId="3" fillId="0" borderId="11" xfId="0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wrapText="1"/>
    </xf>
    <xf numFmtId="1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0" fillId="12" borderId="1" xfId="0" applyFill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5" fillId="4" borderId="0" xfId="0" applyFont="1" applyFill="1" applyAlignment="1">
      <alignment horizontal="left"/>
    </xf>
    <xf numFmtId="0" fontId="0" fillId="0" borderId="0" xfId="0" applyAlignment="1">
      <alignment horizontal="right"/>
    </xf>
    <xf numFmtId="0" fontId="10" fillId="0" borderId="0" xfId="0" applyFont="1" applyAlignment="1">
      <alignment horizontal="right"/>
    </xf>
    <xf numFmtId="0" fontId="0" fillId="12" borderId="2" xfId="0" applyFill="1" applyBorder="1" applyAlignment="1">
      <alignment horizontal="left"/>
    </xf>
    <xf numFmtId="0" fontId="11" fillId="0" borderId="0" xfId="0" applyFont="1" applyAlignment="1">
      <alignment horizontal="right"/>
    </xf>
    <xf numFmtId="0" fontId="0" fillId="0" borderId="0" xfId="0" applyAlignment="1">
      <alignment horizontal="left" wrapText="1"/>
    </xf>
  </cellXfs>
  <cellStyles count="2">
    <cellStyle name="Gut" xfId="1" builtinId="26"/>
    <cellStyle name="Standard" xfId="0" builtinId="0"/>
  </cellStyles>
  <dxfs count="1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D"/>
        </patternFill>
      </fill>
    </dxf>
    <dxf>
      <numFmt numFmtId="1" formatCode="0"/>
    </dxf>
    <dxf>
      <numFmt numFmtId="1" formatCode="0"/>
    </dxf>
    <dxf>
      <fill>
        <patternFill>
          <bgColor theme="5"/>
        </patternFill>
      </fill>
    </dxf>
    <dxf>
      <numFmt numFmtId="1" formatCode="0"/>
    </dxf>
    <dxf>
      <numFmt numFmtId="1" formatCode="0"/>
    </dxf>
    <dxf>
      <numFmt numFmtId="1" formatCode="0"/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border>
        <vertical/>
        <horizontal/>
      </border>
    </dxf>
    <dxf>
      <font>
        <color rgb="FF006100"/>
      </font>
    </dxf>
    <dxf>
      <font>
        <color rgb="FF9C0006"/>
      </font>
      <border>
        <vertical/>
        <horizontal/>
      </border>
    </dxf>
    <dxf>
      <font>
        <color rgb="FF006100"/>
      </font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border>
        <vertical/>
        <horizontal/>
      </border>
    </dxf>
    <dxf>
      <font>
        <color rgb="FF006100"/>
      </font>
    </dxf>
    <dxf>
      <font>
        <color rgb="FF9C0006"/>
      </font>
      <border>
        <vertical/>
        <horizontal/>
      </border>
    </dxf>
    <dxf>
      <font>
        <color rgb="FF006100"/>
      </font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D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FF3131"/>
      <color rgb="FF9C0006"/>
      <color rgb="FF006100"/>
      <color rgb="FFFFC7CD"/>
      <color rgb="FFC6EFCE"/>
      <color rgb="FFFFC7CE"/>
      <color rgb="FF9C6500"/>
      <color rgb="FFFFEB9C"/>
      <color rgb="FF00305E"/>
      <color rgb="FFBD19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2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876725086783506E-2"/>
          <c:y val="0.11432324766510785"/>
          <c:w val="0.7716242566804471"/>
          <c:h val="0.7773630086498905"/>
        </c:manualLayout>
      </c:layout>
      <c:scatterChart>
        <c:scatterStyle val="smoothMarker"/>
        <c:varyColors val="0"/>
        <c:ser>
          <c:idx val="2"/>
          <c:order val="1"/>
          <c:tx>
            <c:strRef>
              <c:f>'Berechnung freier Bereich'!$CK$44</c:f>
              <c:strCache>
                <c:ptCount val="1"/>
                <c:pt idx="0">
                  <c:v>Innenradius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[3]!XAchse</c:f>
            </c:numRef>
          </c:xVal>
          <c:yVal>
            <c:numRef>
              <c:f>'Berechnung freier Bereich'!$CK$51:$CK$441</c:f>
              <c:numCache>
                <c:formatCode>0.0</c:formatCode>
                <c:ptCount val="391"/>
                <c:pt idx="0">
                  <c:v>85.5</c:v>
                </c:pt>
                <c:pt idx="1">
                  <c:v>85.499481270253511</c:v>
                </c:pt>
                <c:pt idx="2">
                  <c:v>85.498964198869885</c:v>
                </c:pt>
                <c:pt idx="3">
                  <c:v>85.498450444211855</c:v>
                </c:pt>
                <c:pt idx="4">
                  <c:v>85.497941664642283</c:v>
                </c:pt>
                <c:pt idx="5">
                  <c:v>85.497439518523962</c:v>
                </c:pt>
                <c:pt idx="6">
                  <c:v>85.496945664219723</c:v>
                </c:pt>
                <c:pt idx="7">
                  <c:v>85.496461760092359</c:v>
                </c:pt>
                <c:pt idx="8">
                  <c:v>85.495989464504703</c:v>
                </c:pt>
                <c:pt idx="9">
                  <c:v>85.495530435819603</c:v>
                </c:pt>
                <c:pt idx="10">
                  <c:v>85.495086332399808</c:v>
                </c:pt>
                <c:pt idx="11">
                  <c:v>85.494658812608165</c:v>
                </c:pt>
                <c:pt idx="12">
                  <c:v>85.49424953480748</c:v>
                </c:pt>
                <c:pt idx="13">
                  <c:v>85.493860157360587</c:v>
                </c:pt>
                <c:pt idx="14">
                  <c:v>85.49349233863029</c:v>
                </c:pt>
                <c:pt idx="15">
                  <c:v>85.49314773697941</c:v>
                </c:pt>
                <c:pt idx="16">
                  <c:v>85.492828010770751</c:v>
                </c:pt>
                <c:pt idx="17">
                  <c:v>85.492534818367133</c:v>
                </c:pt>
                <c:pt idx="18">
                  <c:v>85.492269818131362</c:v>
                </c:pt>
                <c:pt idx="19">
                  <c:v>85.492034668426271</c:v>
                </c:pt>
                <c:pt idx="20">
                  <c:v>85.491831027614666</c:v>
                </c:pt>
                <c:pt idx="21">
                  <c:v>85.491660554059365</c:v>
                </c:pt>
                <c:pt idx="22">
                  <c:v>85.491524906123175</c:v>
                </c:pt>
                <c:pt idx="23">
                  <c:v>85.491425742168914</c:v>
                </c:pt>
                <c:pt idx="24">
                  <c:v>85.491364720559403</c:v>
                </c:pt>
                <c:pt idx="25">
                  <c:v>85.491343499657461</c:v>
                </c:pt>
                <c:pt idx="26">
                  <c:v>85.491363737825893</c:v>
                </c:pt>
                <c:pt idx="27">
                  <c:v>85.491427093427504</c:v>
                </c:pt>
                <c:pt idx="28">
                  <c:v>85.491535224825142</c:v>
                </c:pt>
                <c:pt idx="29">
                  <c:v>85.491689790381585</c:v>
                </c:pt>
                <c:pt idx="30">
                  <c:v>85.491892448459666</c:v>
                </c:pt>
                <c:pt idx="31">
                  <c:v>85.492144857422204</c:v>
                </c:pt>
                <c:pt idx="32">
                  <c:v>85.492448675632019</c:v>
                </c:pt>
                <c:pt idx="33">
                  <c:v>85.492805561451902</c:v>
                </c:pt>
                <c:pt idx="34">
                  <c:v>85.493217173244688</c:v>
                </c:pt>
                <c:pt idx="35">
                  <c:v>85.49368516937318</c:v>
                </c:pt>
                <c:pt idx="36">
                  <c:v>85.494211208200198</c:v>
                </c:pt>
                <c:pt idx="37">
                  <c:v>85.494796948088577</c:v>
                </c:pt>
                <c:pt idx="38">
                  <c:v>85.495444047401094</c:v>
                </c:pt>
                <c:pt idx="39">
                  <c:v>85.496154164500595</c:v>
                </c:pt>
                <c:pt idx="40">
                  <c:v>85.496928957749873</c:v>
                </c:pt>
                <c:pt idx="41">
                  <c:v>85.49777008551176</c:v>
                </c:pt>
                <c:pt idx="42">
                  <c:v>85.498679206149063</c:v>
                </c:pt>
                <c:pt idx="43">
                  <c:v>85.499657978024601</c:v>
                </c:pt>
                <c:pt idx="44">
                  <c:v>85.50070756813443</c:v>
                </c:pt>
                <c:pt idx="45">
                  <c:v>85.501823431336007</c:v>
                </c:pt>
                <c:pt idx="46">
                  <c:v>85.502997337236124</c:v>
                </c:pt>
                <c:pt idx="47">
                  <c:v>85.504220994020685</c:v>
                </c:pt>
                <c:pt idx="48">
                  <c:v>85.505486109875619</c:v>
                </c:pt>
                <c:pt idx="49">
                  <c:v>85.506784392986859</c:v>
                </c:pt>
                <c:pt idx="50">
                  <c:v>85.508107551540334</c:v>
                </c:pt>
                <c:pt idx="51">
                  <c:v>85.509447293721948</c:v>
                </c:pt>
                <c:pt idx="52">
                  <c:v>85.510795327717631</c:v>
                </c:pt>
                <c:pt idx="53">
                  <c:v>85.512143361713328</c:v>
                </c:pt>
                <c:pt idx="54">
                  <c:v>85.513483103894941</c:v>
                </c:pt>
                <c:pt idx="55">
                  <c:v>85.514806262448417</c:v>
                </c:pt>
                <c:pt idx="56">
                  <c:v>85.516104545559656</c:v>
                </c:pt>
                <c:pt idx="57">
                  <c:v>85.517369661414591</c:v>
                </c:pt>
                <c:pt idx="58">
                  <c:v>85.518593318199152</c:v>
                </c:pt>
                <c:pt idx="59">
                  <c:v>85.519767224099269</c:v>
                </c:pt>
                <c:pt idx="60">
                  <c:v>85.520883087300845</c:v>
                </c:pt>
                <c:pt idx="61">
                  <c:v>85.521932615989826</c:v>
                </c:pt>
                <c:pt idx="62">
                  <c:v>85.522907518352127</c:v>
                </c:pt>
                <c:pt idx="63">
                  <c:v>85.523799502573681</c:v>
                </c:pt>
                <c:pt idx="64">
                  <c:v>85.524600276840403</c:v>
                </c:pt>
                <c:pt idx="65">
                  <c:v>85.525301549338209</c:v>
                </c:pt>
                <c:pt idx="66">
                  <c:v>85.525895028253046</c:v>
                </c:pt>
                <c:pt idx="67">
                  <c:v>85.52637242177083</c:v>
                </c:pt>
                <c:pt idx="68">
                  <c:v>85.526725438077477</c:v>
                </c:pt>
                <c:pt idx="69">
                  <c:v>85.526945785358933</c:v>
                </c:pt>
                <c:pt idx="70">
                  <c:v>85.5270251718011</c:v>
                </c:pt>
                <c:pt idx="71">
                  <c:v>85.526955305589908</c:v>
                </c:pt>
                <c:pt idx="72">
                  <c:v>85.526727894911289</c:v>
                </c:pt>
                <c:pt idx="73">
                  <c:v>85.52633464795116</c:v>
                </c:pt>
                <c:pt idx="74">
                  <c:v>85.52576727289545</c:v>
                </c:pt>
                <c:pt idx="75">
                  <c:v>85.525017477930078</c:v>
                </c:pt>
                <c:pt idx="76">
                  <c:v>85.524076971240973</c:v>
                </c:pt>
                <c:pt idx="77">
                  <c:v>85.522937461014067</c:v>
                </c:pt>
                <c:pt idx="78">
                  <c:v>85.521590655435276</c:v>
                </c:pt>
                <c:pt idx="79">
                  <c:v>85.520028262690531</c:v>
                </c:pt>
                <c:pt idx="80">
                  <c:v>85.518241990965734</c:v>
                </c:pt>
                <c:pt idx="81">
                  <c:v>85.516223548446845</c:v>
                </c:pt>
                <c:pt idx="82">
                  <c:v>85.513964643319767</c:v>
                </c:pt>
                <c:pt idx="83">
                  <c:v>85.511456983770429</c:v>
                </c:pt>
                <c:pt idx="84">
                  <c:v>85.50869227798475</c:v>
                </c:pt>
                <c:pt idx="85">
                  <c:v>85.505662234148673</c:v>
                </c:pt>
                <c:pt idx="86">
                  <c:v>85.502358560448101</c:v>
                </c:pt>
                <c:pt idx="87">
                  <c:v>85.498773210752347</c:v>
                </c:pt>
                <c:pt idx="88">
                  <c:v>85.494912879933509</c:v>
                </c:pt>
                <c:pt idx="89">
                  <c:v>85.49080711141805</c:v>
                </c:pt>
                <c:pt idx="90">
                  <c:v>85.486487414099457</c:v>
                </c:pt>
                <c:pt idx="91">
                  <c:v>85.481985296871201</c:v>
                </c:pt>
                <c:pt idx="92">
                  <c:v>85.477332268626768</c:v>
                </c:pt>
                <c:pt idx="93">
                  <c:v>85.472559838259642</c:v>
                </c:pt>
                <c:pt idx="94">
                  <c:v>85.467699514663323</c:v>
                </c:pt>
                <c:pt idx="95">
                  <c:v>85.462782806731298</c:v>
                </c:pt>
                <c:pt idx="96">
                  <c:v>85.45784122335705</c:v>
                </c:pt>
                <c:pt idx="97">
                  <c:v>85.452906273434053</c:v>
                </c:pt>
                <c:pt idx="98">
                  <c:v>85.448009465855819</c:v>
                </c:pt>
                <c:pt idx="99">
                  <c:v>85.443182309515805</c:v>
                </c:pt>
                <c:pt idx="100">
                  <c:v>85.438456313307498</c:v>
                </c:pt>
                <c:pt idx="101">
                  <c:v>85.43386298612441</c:v>
                </c:pt>
                <c:pt idx="102">
                  <c:v>85.429433836860014</c:v>
                </c:pt>
                <c:pt idx="103">
                  <c:v>85.425200374407794</c:v>
                </c:pt>
                <c:pt idx="104">
                  <c:v>85.42119410766125</c:v>
                </c:pt>
                <c:pt idx="105">
                  <c:v>85.41744654551384</c:v>
                </c:pt>
                <c:pt idx="106">
                  <c:v>85.413989196859077</c:v>
                </c:pt>
                <c:pt idx="107">
                  <c:v>85.410853570590433</c:v>
                </c:pt>
                <c:pt idx="108">
                  <c:v>85.408071175601393</c:v>
                </c:pt>
                <c:pt idx="109">
                  <c:v>85.405673520785456</c:v>
                </c:pt>
                <c:pt idx="110">
                  <c:v>85.403692115036094</c:v>
                </c:pt>
                <c:pt idx="111">
                  <c:v>85.402158467246807</c:v>
                </c:pt>
                <c:pt idx="112">
                  <c:v>85.401104086311065</c:v>
                </c:pt>
                <c:pt idx="113">
                  <c:v>85.400560481122369</c:v>
                </c:pt>
                <c:pt idx="114">
                  <c:v>85.400559160574204</c:v>
                </c:pt>
                <c:pt idx="115">
                  <c:v>85.401131633560055</c:v>
                </c:pt>
                <c:pt idx="116">
                  <c:v>85.402309408973395</c:v>
                </c:pt>
                <c:pt idx="117">
                  <c:v>85.404123995707735</c:v>
                </c:pt>
                <c:pt idx="118">
                  <c:v>85.406606902656534</c:v>
                </c:pt>
                <c:pt idx="119">
                  <c:v>85.409789638713292</c:v>
                </c:pt>
                <c:pt idx="120">
                  <c:v>85.413703712771508</c:v>
                </c:pt>
                <c:pt idx="121">
                  <c:v>85.418380633724638</c:v>
                </c:pt>
                <c:pt idx="122">
                  <c:v>85.423851910466198</c:v>
                </c:pt>
                <c:pt idx="123">
                  <c:v>85.430149051889643</c:v>
                </c:pt>
                <c:pt idx="124">
                  <c:v>85.437303566888502</c:v>
                </c:pt>
                <c:pt idx="125">
                  <c:v>85.445346964356219</c:v>
                </c:pt>
                <c:pt idx="126">
                  <c:v>85.454310753186306</c:v>
                </c:pt>
                <c:pt idx="127">
                  <c:v>85.464226442272235</c:v>
                </c:pt>
                <c:pt idx="128">
                  <c:v>85.475125540507506</c:v>
                </c:pt>
                <c:pt idx="129">
                  <c:v>85.487039556785604</c:v>
                </c:pt>
                <c:pt idx="130">
                  <c:v>85.5</c:v>
                </c:pt>
                <c:pt idx="131">
                  <c:v>85.514534943767075</c:v>
                </c:pt>
                <c:pt idx="132">
                  <c:v>85.533158720594784</c:v>
                </c:pt>
                <c:pt idx="133">
                  <c:v>85.558882227713923</c:v>
                </c:pt>
                <c:pt idx="134">
                  <c:v>85.594716362355342</c:v>
                </c:pt>
                <c:pt idx="135">
                  <c:v>85.64367202174985</c:v>
                </c:pt>
                <c:pt idx="136">
                  <c:v>85.70876010312827</c:v>
                </c:pt>
                <c:pt idx="137">
                  <c:v>85.792991503721453</c:v>
                </c:pt>
                <c:pt idx="138">
                  <c:v>85.899377120760192</c:v>
                </c:pt>
                <c:pt idx="139">
                  <c:v>86.03092785147534</c:v>
                </c:pt>
                <c:pt idx="140">
                  <c:v>86.19065459309769</c:v>
                </c:pt>
                <c:pt idx="141">
                  <c:v>86.381568242858094</c:v>
                </c:pt>
                <c:pt idx="142">
                  <c:v>86.606679697987389</c:v>
                </c:pt>
                <c:pt idx="143">
                  <c:v>86.868999855716353</c:v>
                </c:pt>
                <c:pt idx="144">
                  <c:v>87.17153961327584</c:v>
                </c:pt>
                <c:pt idx="145">
                  <c:v>87.517309867896699</c:v>
                </c:pt>
                <c:pt idx="146">
                  <c:v>87.909321516809712</c:v>
                </c:pt>
                <c:pt idx="147">
                  <c:v>88.350585457245728</c:v>
                </c:pt>
                <c:pt idx="148">
                  <c:v>88.844112586435557</c:v>
                </c:pt>
                <c:pt idx="149">
                  <c:v>89.39291380161005</c:v>
                </c:pt>
                <c:pt idx="150">
                  <c:v>90</c:v>
                </c:pt>
                <c:pt idx="151">
                  <c:v>90.667184543924037</c:v>
                </c:pt>
                <c:pt idx="152">
                  <c:v>91.391490656051857</c:v>
                </c:pt>
                <c:pt idx="153">
                  <c:v>92.168744024140992</c:v>
                </c:pt>
                <c:pt idx="154">
                  <c:v>92.9947703359489</c:v>
                </c:pt>
                <c:pt idx="155">
                  <c:v>93.865395279233113</c:v>
                </c:pt>
                <c:pt idx="156">
                  <c:v>94.776444541751104</c:v>
                </c:pt>
                <c:pt idx="157">
                  <c:v>95.723743811260377</c:v>
                </c:pt>
                <c:pt idx="158">
                  <c:v>96.703118775518433</c:v>
                </c:pt>
                <c:pt idx="159">
                  <c:v>97.710395122282776</c:v>
                </c:pt>
                <c:pt idx="160">
                  <c:v>98.741398539310893</c:v>
                </c:pt>
                <c:pt idx="161">
                  <c:v>99.791954714360287</c:v>
                </c:pt>
                <c:pt idx="162">
                  <c:v>100.85788933518846</c:v>
                </c:pt>
                <c:pt idx="163">
                  <c:v>101.9350280895529</c:v>
                </c:pt>
                <c:pt idx="164">
                  <c:v>103.0191966652111</c:v>
                </c:pt>
                <c:pt idx="165">
                  <c:v>104.10622074992058</c:v>
                </c:pt>
                <c:pt idx="166">
                  <c:v>105.19192603143881</c:v>
                </c:pt>
                <c:pt idx="167">
                  <c:v>106.27213819752332</c:v>
                </c:pt>
                <c:pt idx="168">
                  <c:v>107.34268293593158</c:v>
                </c:pt>
                <c:pt idx="169">
                  <c:v>108.39938593442109</c:v>
                </c:pt>
                <c:pt idx="170">
                  <c:v>109.43807288074937</c:v>
                </c:pt>
                <c:pt idx="171">
                  <c:v>110.4545694626739</c:v>
                </c:pt>
                <c:pt idx="172">
                  <c:v>111.44470136795218</c:v>
                </c:pt>
                <c:pt idx="173">
                  <c:v>112.4042942843417</c:v>
                </c:pt>
                <c:pt idx="174">
                  <c:v>113.32917389959997</c:v>
                </c:pt>
                <c:pt idx="175">
                  <c:v>114.21516590148448</c:v>
                </c:pt>
                <c:pt idx="176">
                  <c:v>115.05809597775274</c:v>
                </c:pt>
                <c:pt idx="177">
                  <c:v>115.85378981616225</c:v>
                </c:pt>
                <c:pt idx="178">
                  <c:v>116.59807310447049</c:v>
                </c:pt>
                <c:pt idx="179">
                  <c:v>117.28677153043495</c:v>
                </c:pt>
                <c:pt idx="180">
                  <c:v>117.91571078181316</c:v>
                </c:pt>
                <c:pt idx="181">
                  <c:v>118.48071654636259</c:v>
                </c:pt>
                <c:pt idx="182">
                  <c:v>118.97761451184076</c:v>
                </c:pt>
                <c:pt idx="183">
                  <c:v>119.40223036600514</c:v>
                </c:pt>
                <c:pt idx="184">
                  <c:v>119.75038979661325</c:v>
                </c:pt>
                <c:pt idx="185">
                  <c:v>120.01791849142259</c:v>
                </c:pt>
                <c:pt idx="186">
                  <c:v>120.20064213819064</c:v>
                </c:pt>
                <c:pt idx="187">
                  <c:v>120.29438642467491</c:v>
                </c:pt>
                <c:pt idx="188">
                  <c:v>120.29497703863289</c:v>
                </c:pt>
                <c:pt idx="189">
                  <c:v>120.19823966782209</c:v>
                </c:pt>
                <c:pt idx="190">
                  <c:v>120</c:v>
                </c:pt>
                <c:pt idx="191">
                  <c:v>119.69768883643117</c:v>
                </c:pt>
                <c:pt idx="192">
                  <c:v>119.2951574324084</c:v>
                </c:pt>
                <c:pt idx="193">
                  <c:v>118.79786215673153</c:v>
                </c:pt>
                <c:pt idx="194">
                  <c:v>118.21125937820041</c:v>
                </c:pt>
                <c:pt idx="195">
                  <c:v>117.54080546561491</c:v>
                </c:pt>
                <c:pt idx="196">
                  <c:v>116.79195678777484</c:v>
                </c:pt>
                <c:pt idx="197">
                  <c:v>115.97016971348006</c:v>
                </c:pt>
                <c:pt idx="198">
                  <c:v>115.08090061153045</c:v>
                </c:pt>
                <c:pt idx="199">
                  <c:v>114.12960585072581</c:v>
                </c:pt>
                <c:pt idx="200">
                  <c:v>113.12174179986603</c:v>
                </c:pt>
                <c:pt idx="201">
                  <c:v>112.06276482775093</c:v>
                </c:pt>
                <c:pt idx="202">
                  <c:v>110.95813130318035</c:v>
                </c:pt>
                <c:pt idx="203">
                  <c:v>109.81329759495416</c:v>
                </c:pt>
                <c:pt idx="204">
                  <c:v>108.63372007187222</c:v>
                </c:pt>
                <c:pt idx="205">
                  <c:v>107.42485510273434</c:v>
                </c:pt>
                <c:pt idx="206">
                  <c:v>106.19215905634042</c:v>
                </c:pt>
                <c:pt idx="207">
                  <c:v>104.94108830149024</c:v>
                </c:pt>
                <c:pt idx="208">
                  <c:v>103.67709920698373</c:v>
                </c:pt>
                <c:pt idx="209">
                  <c:v>102.40564814162065</c:v>
                </c:pt>
                <c:pt idx="210">
                  <c:v>101.13219147420089</c:v>
                </c:pt>
                <c:pt idx="211">
                  <c:v>99.862185573524329</c:v>
                </c:pt>
                <c:pt idx="212">
                  <c:v>98.601086808390775</c:v>
                </c:pt>
                <c:pt idx="213">
                  <c:v>97.354351547600075</c:v>
                </c:pt>
                <c:pt idx="214">
                  <c:v>96.127436159952111</c:v>
                </c:pt>
                <c:pt idx="215">
                  <c:v>94.925797014246697</c:v>
                </c:pt>
                <c:pt idx="216">
                  <c:v>93.754890479283688</c:v>
                </c:pt>
                <c:pt idx="217">
                  <c:v>92.620172923862924</c:v>
                </c:pt>
                <c:pt idx="218">
                  <c:v>91.527100716784304</c:v>
                </c:pt>
                <c:pt idx="219">
                  <c:v>90.481130226847597</c:v>
                </c:pt>
                <c:pt idx="220">
                  <c:v>89.487717822852716</c:v>
                </c:pt>
                <c:pt idx="221">
                  <c:v>88.552319873599487</c:v>
                </c:pt>
                <c:pt idx="222">
                  <c:v>87.680392747887737</c:v>
                </c:pt>
                <c:pt idx="223">
                  <c:v>86.877392814517364</c:v>
                </c:pt>
                <c:pt idx="224">
                  <c:v>86.148776442288153</c:v>
                </c:pt>
                <c:pt idx="225">
                  <c:v>85.5</c:v>
                </c:pt>
                <c:pt idx="226">
                  <c:v>84.935306468973323</c:v>
                </c:pt>
                <c:pt idx="227">
                  <c:v>84.454085280610911</c:v>
                </c:pt>
                <c:pt idx="228">
                  <c:v>84.054512478836145</c:v>
                </c:pt>
                <c:pt idx="229">
                  <c:v>83.734764107572374</c:v>
                </c:pt>
                <c:pt idx="230">
                  <c:v>83.493016210743008</c:v>
                </c:pt>
                <c:pt idx="231">
                  <c:v>83.327444832271397</c:v>
                </c:pt>
                <c:pt idx="232">
                  <c:v>83.23622601608092</c:v>
                </c:pt>
                <c:pt idx="233">
                  <c:v>83.217535806094972</c:v>
                </c:pt>
                <c:pt idx="234">
                  <c:v>83.269550246236903</c:v>
                </c:pt>
                <c:pt idx="235">
                  <c:v>83.390445380430094</c:v>
                </c:pt>
                <c:pt idx="236">
                  <c:v>83.57839725259791</c:v>
                </c:pt>
                <c:pt idx="237">
                  <c:v>83.831581906663757</c:v>
                </c:pt>
                <c:pt idx="238">
                  <c:v>84.148175386550975</c:v>
                </c:pt>
                <c:pt idx="239">
                  <c:v>84.526353736182955</c:v>
                </c:pt>
                <c:pt idx="240">
                  <c:v>84.964292999483064</c:v>
                </c:pt>
                <c:pt idx="241">
                  <c:v>85.460169220374695</c:v>
                </c:pt>
                <c:pt idx="242">
                  <c:v>86.0121584427812</c:v>
                </c:pt>
                <c:pt idx="243">
                  <c:v>86.618436710625971</c:v>
                </c:pt>
                <c:pt idx="244">
                  <c:v>87.277180067832361</c:v>
                </c:pt>
                <c:pt idx="245">
                  <c:v>87.986564558323764</c:v>
                </c:pt>
                <c:pt idx="246">
                  <c:v>88.744766226023543</c:v>
                </c:pt>
                <c:pt idx="247">
                  <c:v>89.54996111485508</c:v>
                </c:pt>
                <c:pt idx="248">
                  <c:v>90.400325268741767</c:v>
                </c:pt>
                <c:pt idx="249">
                  <c:v>91.294034731606928</c:v>
                </c:pt>
                <c:pt idx="250">
                  <c:v>92.229265547373984</c:v>
                </c:pt>
                <c:pt idx="251">
                  <c:v>93.204193759966287</c:v>
                </c:pt>
                <c:pt idx="252">
                  <c:v>94.216995413307217</c:v>
                </c:pt>
                <c:pt idx="253">
                  <c:v>95.265846551320166</c:v>
                </c:pt>
                <c:pt idx="254">
                  <c:v>96.348923217928487</c:v>
                </c:pt>
                <c:pt idx="255">
                  <c:v>97.464401457055558</c:v>
                </c:pt>
                <c:pt idx="256">
                  <c:v>98.610457312624746</c:v>
                </c:pt>
                <c:pt idx="257">
                  <c:v>99.785266828559443</c:v>
                </c:pt>
                <c:pt idx="258">
                  <c:v>100.98700604878302</c:v>
                </c:pt>
                <c:pt idx="259">
                  <c:v>102.21385101721884</c:v>
                </c:pt>
                <c:pt idx="260">
                  <c:v>103.46397777779029</c:v>
                </c:pt>
                <c:pt idx="261">
                  <c:v>104.73556237442072</c:v>
                </c:pt>
                <c:pt idx="262">
                  <c:v>106.02678085103355</c:v>
                </c:pt>
                <c:pt idx="263">
                  <c:v>107.33580925155212</c:v>
                </c:pt>
                <c:pt idx="264">
                  <c:v>108.66082361989982</c:v>
                </c:pt>
                <c:pt idx="265">
                  <c:v>110</c:v>
                </c:pt>
                <c:pt idx="266">
                  <c:v>111.35130775598567</c:v>
                </c:pt>
                <c:pt idx="267">
                  <c:v>112.7118895328282</c:v>
                </c:pt>
                <c:pt idx="268">
                  <c:v>114.07868129570858</c:v>
                </c:pt>
                <c:pt idx="269">
                  <c:v>115.44861900980784</c:v>
                </c:pt>
                <c:pt idx="270">
                  <c:v>116.81863864030696</c:v>
                </c:pt>
                <c:pt idx="271">
                  <c:v>118.18567615238689</c:v>
                </c:pt>
                <c:pt idx="272">
                  <c:v>119.54666751122869</c:v>
                </c:pt>
                <c:pt idx="273">
                  <c:v>120.89854868201331</c:v>
                </c:pt>
                <c:pt idx="274">
                  <c:v>122.23825562992178</c:v>
                </c:pt>
                <c:pt idx="275">
                  <c:v>123.56272432013508</c:v>
                </c:pt>
                <c:pt idx="276">
                  <c:v>124.86889071783419</c:v>
                </c:pt>
                <c:pt idx="277">
                  <c:v>126.15369078820011</c:v>
                </c:pt>
                <c:pt idx="278">
                  <c:v>127.41406049641388</c:v>
                </c:pt>
                <c:pt idx="279">
                  <c:v>128.64693580765643</c:v>
                </c:pt>
                <c:pt idx="280">
                  <c:v>129.84925268710876</c:v>
                </c:pt>
                <c:pt idx="281">
                  <c:v>131.01794709995195</c:v>
                </c:pt>
                <c:pt idx="282">
                  <c:v>132.1499550113669</c:v>
                </c:pt>
                <c:pt idx="283">
                  <c:v>133.24221238653465</c:v>
                </c:pt>
                <c:pt idx="284">
                  <c:v>134.29165519063613</c:v>
                </c:pt>
                <c:pt idx="285">
                  <c:v>135.29521938885247</c:v>
                </c:pt>
                <c:pt idx="286">
                  <c:v>136.24984094636454</c:v>
                </c:pt>
                <c:pt idx="287">
                  <c:v>137.15245582835337</c:v>
                </c:pt>
                <c:pt idx="288">
                  <c:v>138</c:v>
                </c:pt>
                <c:pt idx="289">
                  <c:v>138.79030053508922</c:v>
                </c:pt>
                <c:pt idx="290">
                  <c:v>139.52474894182146</c:v>
                </c:pt>
                <c:pt idx="291">
                  <c:v>140.20562783700092</c:v>
                </c:pt>
                <c:pt idx="292">
                  <c:v>140.83521983743177</c:v>
                </c:pt>
                <c:pt idx="293">
                  <c:v>141.41580755991833</c:v>
                </c:pt>
                <c:pt idx="294">
                  <c:v>141.94967362126476</c:v>
                </c:pt>
                <c:pt idx="295">
                  <c:v>142.43910063827531</c:v>
                </c:pt>
                <c:pt idx="296">
                  <c:v>142.88637122775415</c:v>
                </c:pt>
                <c:pt idx="297">
                  <c:v>143.29376800650556</c:v>
                </c:pt>
                <c:pt idx="298">
                  <c:v>143.6635735913338</c:v>
                </c:pt>
                <c:pt idx="299">
                  <c:v>143.99807059904305</c:v>
                </c:pt>
                <c:pt idx="300">
                  <c:v>144.29954164643755</c:v>
                </c:pt>
                <c:pt idx="301">
                  <c:v>144.5702693503215</c:v>
                </c:pt>
                <c:pt idx="302">
                  <c:v>144.81253632749909</c:v>
                </c:pt>
                <c:pt idx="303">
                  <c:v>145.02862519477463</c:v>
                </c:pt>
                <c:pt idx="304">
                  <c:v>145.22081856895232</c:v>
                </c:pt>
                <c:pt idx="305">
                  <c:v>145.39139906683639</c:v>
                </c:pt>
                <c:pt idx="306">
                  <c:v>145.54264930523104</c:v>
                </c:pt>
                <c:pt idx="307">
                  <c:v>145.67685190094048</c:v>
                </c:pt>
                <c:pt idx="308">
                  <c:v>145.79628947076898</c:v>
                </c:pt>
                <c:pt idx="309">
                  <c:v>145.90324463152075</c:v>
                </c:pt>
                <c:pt idx="310">
                  <c:v>146</c:v>
                </c:pt>
                <c:pt idx="311">
                  <c:v>146.0884989613549</c:v>
                </c:pt>
                <c:pt idx="312">
                  <c:v>146.16932797410936</c:v>
                </c:pt>
                <c:pt idx="313">
                  <c:v>146.24273426513122</c:v>
                </c:pt>
                <c:pt idx="314">
                  <c:v>146.30896506128823</c:v>
                </c:pt>
                <c:pt idx="315">
                  <c:v>146.36826758944832</c:v>
                </c:pt>
                <c:pt idx="316">
                  <c:v>146.42088907647928</c:v>
                </c:pt>
                <c:pt idx="317">
                  <c:v>146.46707674924892</c:v>
                </c:pt>
                <c:pt idx="318">
                  <c:v>146.50707783462508</c:v>
                </c:pt>
                <c:pt idx="319">
                  <c:v>146.5411395594756</c:v>
                </c:pt>
                <c:pt idx="320">
                  <c:v>146.5695091506683</c:v>
                </c:pt>
                <c:pt idx="321">
                  <c:v>146.59243383507101</c:v>
                </c:pt>
                <c:pt idx="322">
                  <c:v>146.61016083955158</c:v>
                </c:pt>
                <c:pt idx="323">
                  <c:v>146.62293739097782</c:v>
                </c:pt>
                <c:pt idx="324">
                  <c:v>146.63101071621756</c:v>
                </c:pt>
                <c:pt idx="325">
                  <c:v>146.63462804213862</c:v>
                </c:pt>
                <c:pt idx="326">
                  <c:v>146.63403659560885</c:v>
                </c:pt>
                <c:pt idx="327">
                  <c:v>146.62948360349608</c:v>
                </c:pt>
                <c:pt idx="328">
                  <c:v>146.62121629266812</c:v>
                </c:pt>
                <c:pt idx="329">
                  <c:v>146.60948188999282</c:v>
                </c:pt>
                <c:pt idx="330">
                  <c:v>146.59452762233801</c:v>
                </c:pt>
                <c:pt idx="331">
                  <c:v>146.57660071657148</c:v>
                </c:pt>
                <c:pt idx="332">
                  <c:v>146.55594839956112</c:v>
                </c:pt>
                <c:pt idx="333">
                  <c:v>146.5328178981747</c:v>
                </c:pt>
                <c:pt idx="334">
                  <c:v>146.50745643928011</c:v>
                </c:pt>
                <c:pt idx="335">
                  <c:v>146.48011124974511</c:v>
                </c:pt>
                <c:pt idx="336">
                  <c:v>146.45102955643759</c:v>
                </c:pt>
                <c:pt idx="337">
                  <c:v>146.42045858622538</c:v>
                </c:pt>
                <c:pt idx="338">
                  <c:v>146.38864556597625</c:v>
                </c:pt>
                <c:pt idx="339">
                  <c:v>146.35583772255808</c:v>
                </c:pt>
                <c:pt idx="340">
                  <c:v>146.3222822828387</c:v>
                </c:pt>
                <c:pt idx="341">
                  <c:v>146.28822647368591</c:v>
                </c:pt>
                <c:pt idx="342">
                  <c:v>146.25391752196757</c:v>
                </c:pt>
                <c:pt idx="343">
                  <c:v>146.21960265455147</c:v>
                </c:pt>
                <c:pt idx="344">
                  <c:v>146.18552909830549</c:v>
                </c:pt>
                <c:pt idx="345">
                  <c:v>146.15194408009742</c:v>
                </c:pt>
                <c:pt idx="346">
                  <c:v>146.11909482679511</c:v>
                </c:pt>
                <c:pt idx="347">
                  <c:v>146.08722856526637</c:v>
                </c:pt>
                <c:pt idx="348">
                  <c:v>146.05659252237908</c:v>
                </c:pt>
                <c:pt idx="349">
                  <c:v>146.02743392500099</c:v>
                </c:pt>
                <c:pt idx="350">
                  <c:v>146</c:v>
                </c:pt>
                <c:pt idx="351">
                  <c:v>145.97448861468217</c:v>
                </c:pt>
                <c:pt idx="352">
                  <c:v>145.95090019810695</c:v>
                </c:pt>
                <c:pt idx="353">
                  <c:v>145.92918581977187</c:v>
                </c:pt>
                <c:pt idx="354">
                  <c:v>145.90929654917468</c:v>
                </c:pt>
                <c:pt idx="355">
                  <c:v>145.89118345581295</c:v>
                </c:pt>
                <c:pt idx="356">
                  <c:v>145.87479760918436</c:v>
                </c:pt>
                <c:pt idx="357">
                  <c:v>145.86009007878653</c:v>
                </c:pt>
                <c:pt idx="358">
                  <c:v>145.84701193411709</c:v>
                </c:pt>
                <c:pt idx="359">
                  <c:v>145.83551424467376</c:v>
                </c:pt>
                <c:pt idx="360">
                  <c:v>145.8255480799541</c:v>
                </c:pt>
                <c:pt idx="361">
                  <c:v>145.8170645094558</c:v>
                </c:pt>
                <c:pt idx="362">
                  <c:v>145.81001460267652</c:v>
                </c:pt>
                <c:pt idx="363">
                  <c:v>145.80434942911387</c:v>
                </c:pt>
                <c:pt idx="364">
                  <c:v>145.80002005826552</c:v>
                </c:pt>
                <c:pt idx="365">
                  <c:v>145.79697755962908</c:v>
                </c:pt>
                <c:pt idx="366">
                  <c:v>145.79517300270223</c:v>
                </c:pt>
                <c:pt idx="367">
                  <c:v>145.7945574569826</c:v>
                </c:pt>
                <c:pt idx="368">
                  <c:v>145.79508199196786</c:v>
                </c:pt>
                <c:pt idx="369">
                  <c:v>145.79669767715561</c:v>
                </c:pt>
                <c:pt idx="370">
                  <c:v>145.79935558204352</c:v>
                </c:pt>
                <c:pt idx="371">
                  <c:v>145.80300677612925</c:v>
                </c:pt>
                <c:pt idx="372">
                  <c:v>145.80760232891043</c:v>
                </c:pt>
                <c:pt idx="373">
                  <c:v>145.81309330988469</c:v>
                </c:pt>
                <c:pt idx="374">
                  <c:v>145.81943078854968</c:v>
                </c:pt>
                <c:pt idx="375">
                  <c:v>145.82656583440308</c:v>
                </c:pt>
                <c:pt idx="376">
                  <c:v>145.8344495169425</c:v>
                </c:pt>
                <c:pt idx="377">
                  <c:v>145.84303290566561</c:v>
                </c:pt>
                <c:pt idx="378">
                  <c:v>145.85226707007001</c:v>
                </c:pt>
                <c:pt idx="379">
                  <c:v>145.86210307965339</c:v>
                </c:pt>
                <c:pt idx="380">
                  <c:v>145.87249200391338</c:v>
                </c:pt>
                <c:pt idx="381">
                  <c:v>145.88338491234762</c:v>
                </c:pt>
                <c:pt idx="382">
                  <c:v>145.89473287445378</c:v>
                </c:pt>
                <c:pt idx="383">
                  <c:v>145.90648695972948</c:v>
                </c:pt>
                <c:pt idx="384">
                  <c:v>145.91859823767234</c:v>
                </c:pt>
                <c:pt idx="385">
                  <c:v>145.93101777778008</c:v>
                </c:pt>
                <c:pt idx="386">
                  <c:v>145.94369664955028</c:v>
                </c:pt>
                <c:pt idx="387">
                  <c:v>145.9565859224806</c:v>
                </c:pt>
                <c:pt idx="388">
                  <c:v>145.96963666606871</c:v>
                </c:pt>
                <c:pt idx="389">
                  <c:v>145.9827999498122</c:v>
                </c:pt>
                <c:pt idx="390">
                  <c:v>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41-4FFD-94FD-2E33F5F645D7}"/>
            </c:ext>
          </c:extLst>
        </c:ser>
        <c:ser>
          <c:idx val="1"/>
          <c:order val="2"/>
          <c:tx>
            <c:strRef>
              <c:f>'Berechnung freier Bereich'!$CM$44</c:f>
              <c:strCache>
                <c:ptCount val="1"/>
                <c:pt idx="0">
                  <c:v>Außenradius</c:v>
                </c:pt>
              </c:strCache>
            </c:strRef>
          </c:tx>
          <c:spPr>
            <a:ln w="25400" cap="rnd">
              <a:solidFill>
                <a:srgbClr val="9C0006"/>
              </a:solidFill>
              <a:round/>
            </a:ln>
            <a:effectLst/>
          </c:spPr>
          <c:marker>
            <c:symbol val="none"/>
          </c:marker>
          <c:xVal>
            <c:numRef>
              <c:f>[3]!XAchse</c:f>
              <c:extLst xmlns:c15="http://schemas.microsoft.com/office/drawing/2012/chart"/>
            </c:numRef>
          </c:xVal>
          <c:yVal>
            <c:numRef>
              <c:f>'Berechnung freier Bereich'!$CM$51:$CM$441</c:f>
              <c:numCache>
                <c:formatCode>0.0</c:formatCode>
                <c:ptCount val="391"/>
                <c:pt idx="0">
                  <c:v>95.593751358015808</c:v>
                </c:pt>
                <c:pt idx="1">
                  <c:v>95.59323261960013</c:v>
                </c:pt>
                <c:pt idx="2">
                  <c:v>95.592715530961414</c:v>
                </c:pt>
                <c:pt idx="3">
                  <c:v>95.592201750628931</c:v>
                </c:pt>
                <c:pt idx="4">
                  <c:v>95.591692937215385</c:v>
                </c:pt>
                <c:pt idx="5">
                  <c:v>95.591190749416697</c:v>
                </c:pt>
                <c:pt idx="6">
                  <c:v>95.590696846012079</c:v>
                </c:pt>
                <c:pt idx="7">
                  <c:v>95.590212885863991</c:v>
                </c:pt>
                <c:pt idx="8">
                  <c:v>95.589740527918224</c:v>
                </c:pt>
                <c:pt idx="9">
                  <c:v>95.589281431203844</c:v>
                </c:pt>
                <c:pt idx="10">
                  <c:v>95.588837254833123</c:v>
                </c:pt>
                <c:pt idx="11">
                  <c:v>95.588409658001666</c:v>
                </c:pt>
                <c:pt idx="12">
                  <c:v>95.58800029998838</c:v>
                </c:pt>
                <c:pt idx="13">
                  <c:v>95.587610840155406</c:v>
                </c:pt>
                <c:pt idx="14">
                  <c:v>95.58724293794819</c:v>
                </c:pt>
                <c:pt idx="15">
                  <c:v>95.586898252895423</c:v>
                </c:pt>
                <c:pt idx="16">
                  <c:v>95.586578444609131</c:v>
                </c:pt>
                <c:pt idx="17">
                  <c:v>95.586285172784557</c:v>
                </c:pt>
                <c:pt idx="18">
                  <c:v>95.586020097200247</c:v>
                </c:pt>
                <c:pt idx="19">
                  <c:v>95.585784877718055</c:v>
                </c:pt>
                <c:pt idx="20">
                  <c:v>95.585581174283078</c:v>
                </c:pt>
                <c:pt idx="21">
                  <c:v>95.585410646923691</c:v>
                </c:pt>
                <c:pt idx="22">
                  <c:v>95.585274955751572</c:v>
                </c:pt>
                <c:pt idx="23">
                  <c:v>95.585175760961647</c:v>
                </c:pt>
                <c:pt idx="24">
                  <c:v>95.585114722832145</c:v>
                </c:pt>
                <c:pt idx="25">
                  <c:v>95.585093501724572</c:v>
                </c:pt>
                <c:pt idx="26">
                  <c:v>95.585113758083708</c:v>
                </c:pt>
                <c:pt idx="27">
                  <c:v>95.585177152437581</c:v>
                </c:pt>
                <c:pt idx="28">
                  <c:v>95.585285345397565</c:v>
                </c:pt>
                <c:pt idx="29">
                  <c:v>95.585439997658241</c:v>
                </c:pt>
                <c:pt idx="30">
                  <c:v>95.585642769997506</c:v>
                </c:pt>
                <c:pt idx="31">
                  <c:v>95.585895323276532</c:v>
                </c:pt>
                <c:pt idx="32">
                  <c:v>95.586199318439796</c:v>
                </c:pt>
                <c:pt idx="33">
                  <c:v>95.586556416514966</c:v>
                </c:pt>
                <c:pt idx="34">
                  <c:v>95.586968278613085</c:v>
                </c:pt>
                <c:pt idx="35">
                  <c:v>95.587436565928414</c:v>
                </c:pt>
                <c:pt idx="36">
                  <c:v>95.587962939738532</c:v>
                </c:pt>
                <c:pt idx="37">
                  <c:v>95.588549061404279</c:v>
                </c:pt>
                <c:pt idx="38">
                  <c:v>95.589196592369731</c:v>
                </c:pt>
                <c:pt idx="39">
                  <c:v>95.589907194162322</c:v>
                </c:pt>
                <c:pt idx="40">
                  <c:v>95.590682528392676</c:v>
                </c:pt>
                <c:pt idx="41">
                  <c:v>95.591524256754766</c:v>
                </c:pt>
                <c:pt idx="42">
                  <c:v>95.592434041025811</c:v>
                </c:pt>
                <c:pt idx="43">
                  <c:v>95.593413537859405</c:v>
                </c:pt>
                <c:pt idx="44">
                  <c:v>95.594463852252332</c:v>
                </c:pt>
                <c:pt idx="45">
                  <c:v>95.595580386205256</c:v>
                </c:pt>
                <c:pt idx="46">
                  <c:v>95.596754894100542</c:v>
                </c:pt>
                <c:pt idx="47">
                  <c:v>95.597979071632366</c:v>
                </c:pt>
                <c:pt idx="48">
                  <c:v>95.599244616576868</c:v>
                </c:pt>
                <c:pt idx="49">
                  <c:v>95.60054322879212</c:v>
                </c:pt>
                <c:pt idx="50">
                  <c:v>95.601866610218195</c:v>
                </c:pt>
                <c:pt idx="51">
                  <c:v>95.587581450680261</c:v>
                </c:pt>
                <c:pt idx="52">
                  <c:v>95.588929484675944</c:v>
                </c:pt>
                <c:pt idx="53">
                  <c:v>95.590277406368472</c:v>
                </c:pt>
                <c:pt idx="54">
                  <c:v>95.591616926022482</c:v>
                </c:pt>
                <c:pt idx="55">
                  <c:v>95.592939755981391</c:v>
                </c:pt>
                <c:pt idx="56">
                  <c:v>95.594237610667307</c:v>
                </c:pt>
                <c:pt idx="57">
                  <c:v>95.595502206581088</c:v>
                </c:pt>
                <c:pt idx="58">
                  <c:v>95.596725262302343</c:v>
                </c:pt>
                <c:pt idx="59">
                  <c:v>95.597898498489442</c:v>
                </c:pt>
                <c:pt idx="60">
                  <c:v>95.599013637879409</c:v>
                </c:pt>
                <c:pt idx="61">
                  <c:v>95.600062405288128</c:v>
                </c:pt>
                <c:pt idx="62">
                  <c:v>95.60103652761012</c:v>
                </c:pt>
                <c:pt idx="63">
                  <c:v>95.601927733818712</c:v>
                </c:pt>
                <c:pt idx="64">
                  <c:v>95.602727754965954</c:v>
                </c:pt>
                <c:pt idx="65">
                  <c:v>95.603428324182644</c:v>
                </c:pt>
                <c:pt idx="66">
                  <c:v>95.604021176678359</c:v>
                </c:pt>
                <c:pt idx="67">
                  <c:v>95.604498049741366</c:v>
                </c:pt>
                <c:pt idx="68">
                  <c:v>95.6048506827387</c:v>
                </c:pt>
                <c:pt idx="69">
                  <c:v>95.605070817116143</c:v>
                </c:pt>
                <c:pt idx="70">
                  <c:v>95.605150196398213</c:v>
                </c:pt>
                <c:pt idx="71">
                  <c:v>95.605080566188121</c:v>
                </c:pt>
                <c:pt idx="72">
                  <c:v>95.60485367416787</c:v>
                </c:pt>
                <c:pt idx="73">
                  <c:v>95.604461270098085</c:v>
                </c:pt>
                <c:pt idx="74">
                  <c:v>95.603895105818154</c:v>
                </c:pt>
                <c:pt idx="75">
                  <c:v>95.603146935246102</c:v>
                </c:pt>
                <c:pt idx="76">
                  <c:v>95.602208514378646</c:v>
                </c:pt>
                <c:pt idx="77">
                  <c:v>95.601071601291153</c:v>
                </c:pt>
                <c:pt idx="78">
                  <c:v>95.599727956137556</c:v>
                </c:pt>
                <c:pt idx="79">
                  <c:v>95.598169341150395</c:v>
                </c:pt>
                <c:pt idx="80">
                  <c:v>95.596387520640761</c:v>
                </c:pt>
                <c:pt idx="81">
                  <c:v>95.594374260998265</c:v>
                </c:pt>
                <c:pt idx="82">
                  <c:v>95.592121330690958</c:v>
                </c:pt>
                <c:pt idx="83">
                  <c:v>95.589620500265283</c:v>
                </c:pt>
                <c:pt idx="84">
                  <c:v>95.58686354234608</c:v>
                </c:pt>
                <c:pt idx="85">
                  <c:v>95.583842231636481</c:v>
                </c:pt>
                <c:pt idx="86">
                  <c:v>95.580548336040124</c:v>
                </c:pt>
                <c:pt idx="87">
                  <c:v>95.57697330335813</c:v>
                </c:pt>
                <c:pt idx="88">
                  <c:v>95.573122824740693</c:v>
                </c:pt>
                <c:pt idx="89">
                  <c:v>95.569026138801888</c:v>
                </c:pt>
                <c:pt idx="90">
                  <c:v>95.564714550639735</c:v>
                </c:pt>
                <c:pt idx="91">
                  <c:v>95.560219395369273</c:v>
                </c:pt>
                <c:pt idx="92">
                  <c:v>95.555572038122392</c:v>
                </c:pt>
                <c:pt idx="93">
                  <c:v>95.55080387404746</c:v>
                </c:pt>
                <c:pt idx="94">
                  <c:v>95.545946328309128</c:v>
                </c:pt>
                <c:pt idx="95">
                  <c:v>95.541030856088142</c:v>
                </c:pt>
                <c:pt idx="96">
                  <c:v>95.536088942581202</c:v>
                </c:pt>
                <c:pt idx="97">
                  <c:v>95.531152103000935</c:v>
                </c:pt>
                <c:pt idx="98">
                  <c:v>95.52625188257592</c:v>
                </c:pt>
                <c:pt idx="99">
                  <c:v>95.521419856550679</c:v>
                </c:pt>
                <c:pt idx="100">
                  <c:v>95.532312795018342</c:v>
                </c:pt>
                <c:pt idx="101">
                  <c:v>95.52771199201878</c:v>
                </c:pt>
                <c:pt idx="102">
                  <c:v>95.523274287579738</c:v>
                </c:pt>
                <c:pt idx="103">
                  <c:v>95.519031377300863</c:v>
                </c:pt>
                <c:pt idx="104">
                  <c:v>95.515014986845543</c:v>
                </c:pt>
                <c:pt idx="105">
                  <c:v>95.511256871941214</c:v>
                </c:pt>
                <c:pt idx="106">
                  <c:v>95.507788818379723</c:v>
                </c:pt>
                <c:pt idx="107">
                  <c:v>95.504642642017401</c:v>
                </c:pt>
                <c:pt idx="108">
                  <c:v>95.501850188775364</c:v>
                </c:pt>
                <c:pt idx="109">
                  <c:v>95.499443334639508</c:v>
                </c:pt>
                <c:pt idx="110">
                  <c:v>95.497453985660357</c:v>
                </c:pt>
                <c:pt idx="111">
                  <c:v>95.495914077952875</c:v>
                </c:pt>
                <c:pt idx="112">
                  <c:v>95.49485557769583</c:v>
                </c:pt>
                <c:pt idx="113">
                  <c:v>95.494310481131166</c:v>
                </c:pt>
                <c:pt idx="114">
                  <c:v>95.494310814562795</c:v>
                </c:pt>
                <c:pt idx="115">
                  <c:v>95.494888634355135</c:v>
                </c:pt>
                <c:pt idx="116">
                  <c:v>95.496076026931277</c:v>
                </c:pt>
                <c:pt idx="117">
                  <c:v>95.497905108770624</c:v>
                </c:pt>
                <c:pt idx="118">
                  <c:v>95.500408026405893</c:v>
                </c:pt>
                <c:pt idx="119">
                  <c:v>95.503616956419691</c:v>
                </c:pt>
                <c:pt idx="120">
                  <c:v>95.507564105440366</c:v>
                </c:pt>
                <c:pt idx="121">
                  <c:v>95.512281710136946</c:v>
                </c:pt>
                <c:pt idx="122">
                  <c:v>95.517802037213585</c:v>
                </c:pt>
                <c:pt idx="123">
                  <c:v>95.524157383402823</c:v>
                </c:pt>
                <c:pt idx="124">
                  <c:v>95.531380075458117</c:v>
                </c:pt>
                <c:pt idx="125">
                  <c:v>95.539502470145081</c:v>
                </c:pt>
                <c:pt idx="126">
                  <c:v>95.548556954231842</c:v>
                </c:pt>
                <c:pt idx="127">
                  <c:v>95.558575944478008</c:v>
                </c:pt>
                <c:pt idx="128">
                  <c:v>95.569591887622394</c:v>
                </c:pt>
                <c:pt idx="129">
                  <c:v>95.581637260369334</c:v>
                </c:pt>
                <c:pt idx="130">
                  <c:v>95.594816169671233</c:v>
                </c:pt>
                <c:pt idx="131">
                  <c:v>95.594407566193581</c:v>
                </c:pt>
                <c:pt idx="132">
                  <c:v>95.614617510897347</c:v>
                </c:pt>
                <c:pt idx="133">
                  <c:v>95.643475737456527</c:v>
                </c:pt>
                <c:pt idx="134">
                  <c:v>95.653623611949669</c:v>
                </c:pt>
                <c:pt idx="135">
                  <c:v>95.711806113412166</c:v>
                </c:pt>
                <c:pt idx="136">
                  <c:v>95.791213040556258</c:v>
                </c:pt>
                <c:pt idx="137">
                  <c:v>95.865134954777602</c:v>
                </c:pt>
                <c:pt idx="138">
                  <c:v>95.969774324566643</c:v>
                </c:pt>
                <c:pt idx="139">
                  <c:v>96.110218423241477</c:v>
                </c:pt>
                <c:pt idx="140">
                  <c:v>96.291727709817877</c:v>
                </c:pt>
                <c:pt idx="141">
                  <c:v>96.519700906560729</c:v>
                </c:pt>
                <c:pt idx="142">
                  <c:v>96.767325322978309</c:v>
                </c:pt>
                <c:pt idx="143">
                  <c:v>97.071766232372113</c:v>
                </c:pt>
                <c:pt idx="144">
                  <c:v>97.438331161800804</c:v>
                </c:pt>
                <c:pt idx="145">
                  <c:v>97.838660481431489</c:v>
                </c:pt>
                <c:pt idx="146">
                  <c:v>98.327260583538916</c:v>
                </c:pt>
                <c:pt idx="147">
                  <c:v>98.874853801441489</c:v>
                </c:pt>
                <c:pt idx="148">
                  <c:v>99.46682534771665</c:v>
                </c:pt>
                <c:pt idx="149">
                  <c:v>100.14092885673016</c:v>
                </c:pt>
                <c:pt idx="150">
                  <c:v>100.89437353154301</c:v>
                </c:pt>
                <c:pt idx="151">
                  <c:v>101.70280530813852</c:v>
                </c:pt>
                <c:pt idx="152">
                  <c:v>102.5132923499807</c:v>
                </c:pt>
                <c:pt idx="153">
                  <c:v>103.39626890220066</c:v>
                </c:pt>
                <c:pt idx="154">
                  <c:v>104.2648465540811</c:v>
                </c:pt>
                <c:pt idx="155">
                  <c:v>105.15264424599751</c:v>
                </c:pt>
                <c:pt idx="156">
                  <c:v>106.05433841980091</c:v>
                </c:pt>
                <c:pt idx="157">
                  <c:v>106.98699852907782</c:v>
                </c:pt>
                <c:pt idx="158">
                  <c:v>107.90281973220266</c:v>
                </c:pt>
                <c:pt idx="159">
                  <c:v>108.84174806153905</c:v>
                </c:pt>
                <c:pt idx="160">
                  <c:v>109.75539478790137</c:v>
                </c:pt>
                <c:pt idx="161">
                  <c:v>110.70813166664541</c:v>
                </c:pt>
                <c:pt idx="162">
                  <c:v>111.60559251831981</c:v>
                </c:pt>
                <c:pt idx="163">
                  <c:v>112.53609476336379</c:v>
                </c:pt>
                <c:pt idx="164">
                  <c:v>113.45072998132875</c:v>
                </c:pt>
                <c:pt idx="165">
                  <c:v>114.34639366151966</c:v>
                </c:pt>
                <c:pt idx="166">
                  <c:v>115.22009801725829</c:v>
                </c:pt>
                <c:pt idx="167">
                  <c:v>116.06896286981288</c:v>
                </c:pt>
                <c:pt idx="168">
                  <c:v>116.9129420288651</c:v>
                </c:pt>
                <c:pt idx="169">
                  <c:v>117.72621662142035</c:v>
                </c:pt>
                <c:pt idx="170">
                  <c:v>118.50607180317041</c:v>
                </c:pt>
                <c:pt idx="171">
                  <c:v>119.27188945006385</c:v>
                </c:pt>
                <c:pt idx="172">
                  <c:v>119.99852504912536</c:v>
                </c:pt>
                <c:pt idx="173">
                  <c:v>120.6834999849917</c:v>
                </c:pt>
                <c:pt idx="174">
                  <c:v>121.34536662348829</c:v>
                </c:pt>
                <c:pt idx="175">
                  <c:v>121.96022480504919</c:v>
                </c:pt>
                <c:pt idx="176">
                  <c:v>122.54602117395993</c:v>
                </c:pt>
                <c:pt idx="177">
                  <c:v>123.08004875988843</c:v>
                </c:pt>
                <c:pt idx="178">
                  <c:v>123.56080762354246</c:v>
                </c:pt>
                <c:pt idx="179">
                  <c:v>123.98718527034887</c:v>
                </c:pt>
                <c:pt idx="180">
                  <c:v>124.37646225682256</c:v>
                </c:pt>
                <c:pt idx="181">
                  <c:v>124.72697839957226</c:v>
                </c:pt>
                <c:pt idx="182">
                  <c:v>125.00382545002779</c:v>
                </c:pt>
                <c:pt idx="183">
                  <c:v>125.24258446325854</c:v>
                </c:pt>
                <c:pt idx="184">
                  <c:v>125.44381064677252</c:v>
                </c:pt>
                <c:pt idx="185">
                  <c:v>125.59309774026636</c:v>
                </c:pt>
                <c:pt idx="186">
                  <c:v>125.69336923934873</c:v>
                </c:pt>
                <c:pt idx="187">
                  <c:v>125.74751237576757</c:v>
                </c:pt>
                <c:pt idx="188">
                  <c:v>125.77355811815556</c:v>
                </c:pt>
                <c:pt idx="189">
                  <c:v>125.77341227853917</c:v>
                </c:pt>
                <c:pt idx="190">
                  <c:v>125.71318728884103</c:v>
                </c:pt>
                <c:pt idx="191">
                  <c:v>125.6265549860033</c:v>
                </c:pt>
                <c:pt idx="192">
                  <c:v>125.45515646115973</c:v>
                </c:pt>
                <c:pt idx="193">
                  <c:v>125.22865656067025</c:v>
                </c:pt>
                <c:pt idx="194">
                  <c:v>124.94588453388224</c:v>
                </c:pt>
                <c:pt idx="195">
                  <c:v>124.5876921248217</c:v>
                </c:pt>
                <c:pt idx="196">
                  <c:v>124.15355499670069</c:v>
                </c:pt>
                <c:pt idx="197">
                  <c:v>123.66486331676894</c:v>
                </c:pt>
                <c:pt idx="198">
                  <c:v>123.12489917829687</c:v>
                </c:pt>
                <c:pt idx="199">
                  <c:v>122.51521204445018</c:v>
                </c:pt>
                <c:pt idx="200">
                  <c:v>121.83806611542829</c:v>
                </c:pt>
                <c:pt idx="201">
                  <c:v>121.11940608929075</c:v>
                </c:pt>
                <c:pt idx="202">
                  <c:v>120.3398771098714</c:v>
                </c:pt>
                <c:pt idx="203">
                  <c:v>119.52672449202247</c:v>
                </c:pt>
                <c:pt idx="204">
                  <c:v>118.68429644266621</c:v>
                </c:pt>
                <c:pt idx="205">
                  <c:v>117.76714412764014</c:v>
                </c:pt>
                <c:pt idx="206">
                  <c:v>116.82789905935559</c:v>
                </c:pt>
                <c:pt idx="207">
                  <c:v>115.87062150487027</c:v>
                </c:pt>
                <c:pt idx="208">
                  <c:v>114.8738344559156</c:v>
                </c:pt>
                <c:pt idx="209">
                  <c:v>113.86629294639815</c:v>
                </c:pt>
                <c:pt idx="210">
                  <c:v>112.80094970353916</c:v>
                </c:pt>
                <c:pt idx="211">
                  <c:v>111.73197278607697</c:v>
                </c:pt>
                <c:pt idx="212">
                  <c:v>110.66275168852977</c:v>
                </c:pt>
                <c:pt idx="213">
                  <c:v>109.57174882596613</c:v>
                </c:pt>
                <c:pt idx="214">
                  <c:v>108.48735200483436</c:v>
                </c:pt>
                <c:pt idx="215">
                  <c:v>107.36459376008038</c:v>
                </c:pt>
                <c:pt idx="216">
                  <c:v>106.25645068188959</c:v>
                </c:pt>
                <c:pt idx="217">
                  <c:v>105.14337661818686</c:v>
                </c:pt>
                <c:pt idx="218">
                  <c:v>104.03081736127447</c:v>
                </c:pt>
                <c:pt idx="219">
                  <c:v>102.92492969302982</c:v>
                </c:pt>
                <c:pt idx="220">
                  <c:v>101.85416502768965</c:v>
                </c:pt>
                <c:pt idx="221">
                  <c:v>100.78326638454249</c:v>
                </c:pt>
                <c:pt idx="222">
                  <c:v>99.743918065145536</c:v>
                </c:pt>
                <c:pt idx="223">
                  <c:v>98.747625428825657</c:v>
                </c:pt>
                <c:pt idx="224">
                  <c:v>97.808218750859822</c:v>
                </c:pt>
                <c:pt idx="225">
                  <c:v>96.912468260135853</c:v>
                </c:pt>
                <c:pt idx="226">
                  <c:v>96.136976368033856</c:v>
                </c:pt>
                <c:pt idx="227">
                  <c:v>95.45839532095448</c:v>
                </c:pt>
                <c:pt idx="228">
                  <c:v>94.881355809316048</c:v>
                </c:pt>
                <c:pt idx="229">
                  <c:v>94.440777859933064</c:v>
                </c:pt>
                <c:pt idx="230">
                  <c:v>94.104290563767307</c:v>
                </c:pt>
                <c:pt idx="231">
                  <c:v>93.902418659472119</c:v>
                </c:pt>
                <c:pt idx="232">
                  <c:v>93.800570722102321</c:v>
                </c:pt>
                <c:pt idx="233">
                  <c:v>93.794314587150041</c:v>
                </c:pt>
                <c:pt idx="234">
                  <c:v>93.877481521244675</c:v>
                </c:pt>
                <c:pt idx="235">
                  <c:v>94.074296800410409</c:v>
                </c:pt>
                <c:pt idx="236">
                  <c:v>94.345236128186613</c:v>
                </c:pt>
                <c:pt idx="237">
                  <c:v>94.714118326638129</c:v>
                </c:pt>
                <c:pt idx="238">
                  <c:v>95.140071587929967</c:v>
                </c:pt>
                <c:pt idx="239">
                  <c:v>95.647963072201406</c:v>
                </c:pt>
                <c:pt idx="240">
                  <c:v>96.196013969488035</c:v>
                </c:pt>
                <c:pt idx="241">
                  <c:v>96.811091715562014</c:v>
                </c:pt>
                <c:pt idx="242">
                  <c:v>97.48721890181686</c:v>
                </c:pt>
                <c:pt idx="243">
                  <c:v>98.218961352956214</c:v>
                </c:pt>
                <c:pt idx="244">
                  <c:v>98.963077004451776</c:v>
                </c:pt>
                <c:pt idx="245">
                  <c:v>99.75160974661209</c:v>
                </c:pt>
                <c:pt idx="246">
                  <c:v>100.58050250126279</c:v>
                </c:pt>
                <c:pt idx="247">
                  <c:v>101.44609051728233</c:v>
                </c:pt>
                <c:pt idx="248">
                  <c:v>102.34505296294104</c:v>
                </c:pt>
                <c:pt idx="249">
                  <c:v>103.25297524537491</c:v>
                </c:pt>
                <c:pt idx="250">
                  <c:v>104.20945483663515</c:v>
                </c:pt>
                <c:pt idx="251">
                  <c:v>105.14652404221142</c:v>
                </c:pt>
                <c:pt idx="252">
                  <c:v>106.14999048584482</c:v>
                </c:pt>
                <c:pt idx="253">
                  <c:v>107.17404147397012</c:v>
                </c:pt>
                <c:pt idx="254">
                  <c:v>108.16983717005363</c:v>
                </c:pt>
                <c:pt idx="255">
                  <c:v>109.22839352087716</c:v>
                </c:pt>
                <c:pt idx="256">
                  <c:v>110.30185485601895</c:v>
                </c:pt>
                <c:pt idx="257">
                  <c:v>111.38852554548259</c:v>
                </c:pt>
                <c:pt idx="258">
                  <c:v>112.46206038661916</c:v>
                </c:pt>
                <c:pt idx="259">
                  <c:v>113.57009383426114</c:v>
                </c:pt>
                <c:pt idx="260">
                  <c:v>114.68671598388399</c:v>
                </c:pt>
                <c:pt idx="261">
                  <c:v>115.83601660229948</c:v>
                </c:pt>
                <c:pt idx="262">
                  <c:v>116.96579788535168</c:v>
                </c:pt>
                <c:pt idx="263">
                  <c:v>118.12593274365597</c:v>
                </c:pt>
                <c:pt idx="264">
                  <c:v>119.28953183665216</c:v>
                </c:pt>
                <c:pt idx="265">
                  <c:v>120.4542212162298</c:v>
                </c:pt>
                <c:pt idx="266">
                  <c:v>121.64087624133151</c:v>
                </c:pt>
                <c:pt idx="267">
                  <c:v>122.79381864919479</c:v>
                </c:pt>
                <c:pt idx="268">
                  <c:v>123.96371966184589</c:v>
                </c:pt>
                <c:pt idx="269">
                  <c:v>125.1220231750714</c:v>
                </c:pt>
                <c:pt idx="270">
                  <c:v>126.29305682597148</c:v>
                </c:pt>
                <c:pt idx="271">
                  <c:v>127.44809789119178</c:v>
                </c:pt>
                <c:pt idx="272">
                  <c:v>128.58495448608926</c:v>
                </c:pt>
                <c:pt idx="273">
                  <c:v>129.70146223135825</c:v>
                </c:pt>
                <c:pt idx="274">
                  <c:v>130.79548292423001</c:v>
                </c:pt>
                <c:pt idx="275">
                  <c:v>131.89060707699565</c:v>
                </c:pt>
                <c:pt idx="276">
                  <c:v>132.95851505082885</c:v>
                </c:pt>
                <c:pt idx="277">
                  <c:v>134.02217569316298</c:v>
                </c:pt>
                <c:pt idx="278">
                  <c:v>135.02883558732549</c:v>
                </c:pt>
                <c:pt idx="279">
                  <c:v>136.02626104875992</c:v>
                </c:pt>
                <c:pt idx="280">
                  <c:v>136.98714134223758</c:v>
                </c:pt>
                <c:pt idx="281">
                  <c:v>137.9211494560233</c:v>
                </c:pt>
                <c:pt idx="282">
                  <c:v>138.82551573838421</c:v>
                </c:pt>
                <c:pt idx="283">
                  <c:v>139.67479714038635</c:v>
                </c:pt>
                <c:pt idx="284">
                  <c:v>140.48987550908802</c:v>
                </c:pt>
                <c:pt idx="285">
                  <c:v>141.27884604659397</c:v>
                </c:pt>
                <c:pt idx="286">
                  <c:v>141.99612013846937</c:v>
                </c:pt>
                <c:pt idx="287">
                  <c:v>142.68260973764549</c:v>
                </c:pt>
                <c:pt idx="288">
                  <c:v>143.31742241151022</c:v>
                </c:pt>
                <c:pt idx="289">
                  <c:v>143.92770408033147</c:v>
                </c:pt>
                <c:pt idx="290">
                  <c:v>144.47733390405801</c:v>
                </c:pt>
                <c:pt idx="291">
                  <c:v>145.00623457664955</c:v>
                </c:pt>
                <c:pt idx="292">
                  <c:v>145.49664557706888</c:v>
                </c:pt>
                <c:pt idx="293">
                  <c:v>145.95014406522105</c:v>
                </c:pt>
                <c:pt idx="294">
                  <c:v>146.37696266228585</c:v>
                </c:pt>
                <c:pt idx="295">
                  <c:v>146.76962409353928</c:v>
                </c:pt>
                <c:pt idx="296">
                  <c:v>147.12965524227332</c:v>
                </c:pt>
                <c:pt idx="297">
                  <c:v>147.46689322566741</c:v>
                </c:pt>
                <c:pt idx="298">
                  <c:v>147.76608637632515</c:v>
                </c:pt>
                <c:pt idx="299">
                  <c:v>148.04533102569445</c:v>
                </c:pt>
                <c:pt idx="300">
                  <c:v>148.29784947057527</c:v>
                </c:pt>
                <c:pt idx="301">
                  <c:v>148.52521220774827</c:v>
                </c:pt>
                <c:pt idx="302">
                  <c:v>148.73701047478605</c:v>
                </c:pt>
                <c:pt idx="303">
                  <c:v>148.91885579711004</c:v>
                </c:pt>
                <c:pt idx="304">
                  <c:v>149.09631369087884</c:v>
                </c:pt>
                <c:pt idx="305">
                  <c:v>149.23935970323294</c:v>
                </c:pt>
                <c:pt idx="306">
                  <c:v>149.38144576356456</c:v>
                </c:pt>
                <c:pt idx="307">
                  <c:v>149.49284481752318</c:v>
                </c:pt>
                <c:pt idx="308">
                  <c:v>149.60696265608848</c:v>
                </c:pt>
                <c:pt idx="309">
                  <c:v>149.70215267840703</c:v>
                </c:pt>
                <c:pt idx="310">
                  <c:v>149.79602861974143</c:v>
                </c:pt>
                <c:pt idx="311">
                  <c:v>149.87424294839155</c:v>
                </c:pt>
                <c:pt idx="312">
                  <c:v>149.95291836827857</c:v>
                </c:pt>
                <c:pt idx="313">
                  <c:v>150.01660921948573</c:v>
                </c:pt>
                <c:pt idx="314">
                  <c:v>150.08120570581747</c:v>
                </c:pt>
                <c:pt idx="315">
                  <c:v>150.13910253248957</c:v>
                </c:pt>
                <c:pt idx="316">
                  <c:v>150.18270771384297</c:v>
                </c:pt>
                <c:pt idx="317">
                  <c:v>150.22789446072741</c:v>
                </c:pt>
                <c:pt idx="318">
                  <c:v>150.26706961180602</c:v>
                </c:pt>
                <c:pt idx="319">
                  <c:v>150.29264831915731</c:v>
                </c:pt>
                <c:pt idx="320">
                  <c:v>150.32049441090214</c:v>
                </c:pt>
                <c:pt idx="321">
                  <c:v>150.34302300132848</c:v>
                </c:pt>
                <c:pt idx="322">
                  <c:v>150.36046690256103</c:v>
                </c:pt>
                <c:pt idx="323">
                  <c:v>150.37305959882482</c:v>
                </c:pt>
                <c:pt idx="324">
                  <c:v>150.38103525060009</c:v>
                </c:pt>
                <c:pt idx="325">
                  <c:v>150.38462869803044</c:v>
                </c:pt>
                <c:pt idx="326">
                  <c:v>150.38407546366463</c:v>
                </c:pt>
                <c:pt idx="327">
                  <c:v>150.3796117546095</c:v>
                </c:pt>
                <c:pt idx="328">
                  <c:v>150.37147446416765</c:v>
                </c:pt>
                <c:pt idx="329">
                  <c:v>150.3599011730301</c:v>
                </c:pt>
                <c:pt idx="330">
                  <c:v>150.34513015008963</c:v>
                </c:pt>
                <c:pt idx="331">
                  <c:v>150.32740035293676</c:v>
                </c:pt>
                <c:pt idx="332">
                  <c:v>150.30695142809591</c:v>
                </c:pt>
                <c:pt idx="333">
                  <c:v>150.28402371105494</c:v>
                </c:pt>
                <c:pt idx="334">
                  <c:v>150.25885822613682</c:v>
                </c:pt>
                <c:pt idx="335">
                  <c:v>150.23169668625781</c:v>
                </c:pt>
                <c:pt idx="336">
                  <c:v>150.2105976424792</c:v>
                </c:pt>
                <c:pt idx="337">
                  <c:v>150.18017218671037</c:v>
                </c:pt>
                <c:pt idx="338">
                  <c:v>150.1484798914382</c:v>
                </c:pt>
                <c:pt idx="339">
                  <c:v>150.11576521481078</c:v>
                </c:pt>
                <c:pt idx="340">
                  <c:v>150.08227330332917</c:v>
                </c:pt>
                <c:pt idx="341">
                  <c:v>150.05606708831669</c:v>
                </c:pt>
                <c:pt idx="342">
                  <c:v>150.02175890049119</c:v>
                </c:pt>
                <c:pt idx="343">
                  <c:v>149.9874129793761</c:v>
                </c:pt>
                <c:pt idx="344">
                  <c:v>149.95327722462869</c:v>
                </c:pt>
                <c:pt idx="345">
                  <c:v>149.91960022527246</c:v>
                </c:pt>
                <c:pt idx="346">
                  <c:v>149.89444772549186</c:v>
                </c:pt>
                <c:pt idx="347">
                  <c:v>149.86243646214533</c:v>
                </c:pt>
                <c:pt idx="348">
                  <c:v>149.83163381474304</c:v>
                </c:pt>
                <c:pt idx="349">
                  <c:v>149.8022911406448</c:v>
                </c:pt>
                <c:pt idx="350">
                  <c:v>149.77466523490784</c:v>
                </c:pt>
                <c:pt idx="351">
                  <c:v>149.75679043746825</c:v>
                </c:pt>
                <c:pt idx="352">
                  <c:v>149.73304154963253</c:v>
                </c:pt>
                <c:pt idx="353">
                  <c:v>149.71118364509229</c:v>
                </c:pt>
                <c:pt idx="354">
                  <c:v>149.69116678240491</c:v>
                </c:pt>
                <c:pt idx="355">
                  <c:v>149.67294104693647</c:v>
                </c:pt>
                <c:pt idx="356">
                  <c:v>149.65645655090677</c:v>
                </c:pt>
                <c:pt idx="357">
                  <c:v>149.64166343342981</c:v>
                </c:pt>
                <c:pt idx="358">
                  <c:v>149.62851186055073</c:v>
                </c:pt>
                <c:pt idx="359">
                  <c:v>149.61695202527898</c:v>
                </c:pt>
                <c:pt idx="360">
                  <c:v>149.61474692874958</c:v>
                </c:pt>
                <c:pt idx="361">
                  <c:v>149.60622116873515</c:v>
                </c:pt>
                <c:pt idx="362">
                  <c:v>149.59913790563741</c:v>
                </c:pt>
                <c:pt idx="363">
                  <c:v>149.59344743900292</c:v>
                </c:pt>
                <c:pt idx="364">
                  <c:v>149.58910009551792</c:v>
                </c:pt>
                <c:pt idx="365">
                  <c:v>149.5860462290243</c:v>
                </c:pt>
                <c:pt idx="366">
                  <c:v>149.58423622053348</c:v>
                </c:pt>
                <c:pt idx="367">
                  <c:v>149.58362047823812</c:v>
                </c:pt>
                <c:pt idx="368">
                  <c:v>149.5841494375222</c:v>
                </c:pt>
                <c:pt idx="369">
                  <c:v>149.58577356096916</c:v>
                </c:pt>
                <c:pt idx="370">
                  <c:v>149.58844333836893</c:v>
                </c:pt>
                <c:pt idx="371">
                  <c:v>149.59210928672309</c:v>
                </c:pt>
                <c:pt idx="372">
                  <c:v>149.59672195024922</c:v>
                </c:pt>
                <c:pt idx="373">
                  <c:v>149.60223190038388</c:v>
                </c:pt>
                <c:pt idx="374">
                  <c:v>149.60858973578499</c:v>
                </c:pt>
                <c:pt idx="375">
                  <c:v>149.61574608233303</c:v>
                </c:pt>
                <c:pt idx="376">
                  <c:v>149.62365159313174</c:v>
                </c:pt>
                <c:pt idx="377">
                  <c:v>149.63225694850809</c:v>
                </c:pt>
                <c:pt idx="378">
                  <c:v>149.64151285601201</c:v>
                </c:pt>
                <c:pt idx="379">
                  <c:v>149.65137005041544</c:v>
                </c:pt>
                <c:pt idx="380">
                  <c:v>149.66177929371133</c:v>
                </c:pt>
                <c:pt idx="381">
                  <c:v>149.67269137511218</c:v>
                </c:pt>
                <c:pt idx="382">
                  <c:v>149.68405711104867</c:v>
                </c:pt>
                <c:pt idx="383">
                  <c:v>149.68801427220845</c:v>
                </c:pt>
                <c:pt idx="384">
                  <c:v>149.70013984583667</c:v>
                </c:pt>
                <c:pt idx="385">
                  <c:v>149.7125716906998</c:v>
                </c:pt>
                <c:pt idx="386">
                  <c:v>149.72526073238336</c:v>
                </c:pt>
                <c:pt idx="387">
                  <c:v>149.73815792362791</c:v>
                </c:pt>
                <c:pt idx="388">
                  <c:v>149.75121424432785</c:v>
                </c:pt>
                <c:pt idx="389">
                  <c:v>149.76438089732</c:v>
                </c:pt>
                <c:pt idx="390">
                  <c:v>149.78125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741-4FFD-94FD-2E33F5F64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875375"/>
        <c:axId val="1930934719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Stützpunkte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'[3]Berechnung freier Bereich'!$CK$23:$CK$34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43.333333333333336</c:v>
                      </c:pt>
                      <c:pt idx="2">
                        <c:v>86.666666666666671</c:v>
                      </c:pt>
                      <c:pt idx="3">
                        <c:v>130</c:v>
                      </c:pt>
                      <c:pt idx="4">
                        <c:v>150</c:v>
                      </c:pt>
                      <c:pt idx="5">
                        <c:v>190</c:v>
                      </c:pt>
                      <c:pt idx="6">
                        <c:v>225</c:v>
                      </c:pt>
                      <c:pt idx="7">
                        <c:v>265</c:v>
                      </c:pt>
                      <c:pt idx="8">
                        <c:v>288</c:v>
                      </c:pt>
                      <c:pt idx="9">
                        <c:v>310</c:v>
                      </c:pt>
                      <c:pt idx="10">
                        <c:v>350</c:v>
                      </c:pt>
                      <c:pt idx="11">
                        <c:v>390.3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'[3]Berechnung freier Bereich'!$CL$23:$CL$34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85.5</c:v>
                      </c:pt>
                      <c:pt idx="1">
                        <c:v>85.5</c:v>
                      </c:pt>
                      <c:pt idx="2">
                        <c:v>85.5</c:v>
                      </c:pt>
                      <c:pt idx="3">
                        <c:v>85.5</c:v>
                      </c:pt>
                      <c:pt idx="4">
                        <c:v>90</c:v>
                      </c:pt>
                      <c:pt idx="5">
                        <c:v>120</c:v>
                      </c:pt>
                      <c:pt idx="6">
                        <c:v>85.5</c:v>
                      </c:pt>
                      <c:pt idx="7">
                        <c:v>110</c:v>
                      </c:pt>
                      <c:pt idx="8">
                        <c:v>138</c:v>
                      </c:pt>
                      <c:pt idx="9">
                        <c:v>141.5</c:v>
                      </c:pt>
                      <c:pt idx="10">
                        <c:v>141.5</c:v>
                      </c:pt>
                      <c:pt idx="11">
                        <c:v>141.5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B741-4FFD-94FD-2E33F5F645D7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5"/>
          <c:order val="5"/>
          <c:tx>
            <c:v>FVG Flächengewicht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'Berechnung freier Bereich'!$CJ$51:$CJ$441</c:f>
              <c:numCache>
                <c:formatCode>0.0</c:formatCode>
                <c:ptCount val="3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390.3</c:v>
                </c:pt>
              </c:numCache>
            </c:numRef>
          </c:xVal>
          <c:yVal>
            <c:numRef>
              <c:f>'Berechnung freier Bereich'!$CZ$51:$CZ$441</c:f>
              <c:numCache>
                <c:formatCode>0.00</c:formatCode>
                <c:ptCount val="391"/>
                <c:pt idx="0">
                  <c:v>0.58896696269569837</c:v>
                </c:pt>
                <c:pt idx="1">
                  <c:v>0.58897053598852656</c:v>
                </c:pt>
                <c:pt idx="2">
                  <c:v>0.58897409790080024</c:v>
                </c:pt>
                <c:pt idx="3">
                  <c:v>0.58897763700805517</c:v>
                </c:pt>
                <c:pt idx="4">
                  <c:v>0.58898114188528161</c:v>
                </c:pt>
                <c:pt idx="5">
                  <c:v>0.58898460110693585</c:v>
                </c:pt>
                <c:pt idx="6">
                  <c:v>0.58898800324695522</c:v>
                </c:pt>
                <c:pt idx="7">
                  <c:v>0.58899133687877891</c:v>
                </c:pt>
                <c:pt idx="8">
                  <c:v>0.58899459057537118</c:v>
                </c:pt>
                <c:pt idx="9">
                  <c:v>0.58899775290925072</c:v>
                </c:pt>
                <c:pt idx="10">
                  <c:v>0.58900081245252434</c:v>
                </c:pt>
                <c:pt idx="11">
                  <c:v>0.58900375777692393</c:v>
                </c:pt>
                <c:pt idx="12">
                  <c:v>0.5890065774538481</c:v>
                </c:pt>
                <c:pt idx="13">
                  <c:v>0.58900926005441046</c:v>
                </c:pt>
                <c:pt idx="14">
                  <c:v>0.58901179414948879</c:v>
                </c:pt>
                <c:pt idx="15">
                  <c:v>0.58901416830978148</c:v>
                </c:pt>
                <c:pt idx="16">
                  <c:v>0.58901637110586702</c:v>
                </c:pt>
                <c:pt idx="17">
                  <c:v>0.58901839110826826</c:v>
                </c:pt>
                <c:pt idx="18">
                  <c:v>0.58902021688752104</c:v>
                </c:pt>
                <c:pt idx="19">
                  <c:v>0.58902183701424782</c:v>
                </c:pt>
                <c:pt idx="20">
                  <c:v>0.58902324005923479</c:v>
                </c:pt>
                <c:pt idx="21">
                  <c:v>0.58902441459351362</c:v>
                </c:pt>
                <c:pt idx="22">
                  <c:v>0.58902534918844918</c:v>
                </c:pt>
                <c:pt idx="23">
                  <c:v>0.58902603241582874</c:v>
                </c:pt>
                <c:pt idx="24">
                  <c:v>0.5890264528479584</c:v>
                </c:pt>
                <c:pt idx="25">
                  <c:v>0.58902659905776256</c:v>
                </c:pt>
                <c:pt idx="26">
                  <c:v>0.58902645961888833</c:v>
                </c:pt>
                <c:pt idx="27">
                  <c:v>0.58902602310581365</c:v>
                </c:pt>
                <c:pt idx="28">
                  <c:v>0.58902527809395999</c:v>
                </c:pt>
                <c:pt idx="29">
                  <c:v>0.58902421315981157</c:v>
                </c:pt>
                <c:pt idx="30">
                  <c:v>0.58902281688103497</c:v>
                </c:pt>
                <c:pt idx="31">
                  <c:v>0.5890210778366074</c:v>
                </c:pt>
                <c:pt idx="32">
                  <c:v>0.58901898460694591</c:v>
                </c:pt>
                <c:pt idx="33">
                  <c:v>0.58901652577404329</c:v>
                </c:pt>
                <c:pt idx="34">
                  <c:v>0.58901368992160752</c:v>
                </c:pt>
                <c:pt idx="35">
                  <c:v>0.58901046563520598</c:v>
                </c:pt>
                <c:pt idx="36">
                  <c:v>0.58900684150241311</c:v>
                </c:pt>
                <c:pt idx="37">
                  <c:v>0.58900280611296341</c:v>
                </c:pt>
                <c:pt idx="38">
                  <c:v>0.58899834805890994</c:v>
                </c:pt>
                <c:pt idx="39">
                  <c:v>0.58899345593478325</c:v>
                </c:pt>
                <c:pt idx="40">
                  <c:v>0.58898811833775955</c:v>
                </c:pt>
                <c:pt idx="41">
                  <c:v>0.58898232386783056</c:v>
                </c:pt>
                <c:pt idx="42">
                  <c:v>0.58897606112797773</c:v>
                </c:pt>
                <c:pt idx="43">
                  <c:v>0.58896931872435154</c:v>
                </c:pt>
                <c:pt idx="44">
                  <c:v>0.58896208865117983</c:v>
                </c:pt>
                <c:pt idx="45">
                  <c:v>0.58895440225227669</c:v>
                </c:pt>
                <c:pt idx="46">
                  <c:v>0.58894631625448435</c:v>
                </c:pt>
                <c:pt idx="47">
                  <c:v>0.58893788780326595</c:v>
                </c:pt>
                <c:pt idx="48">
                  <c:v>0.58892917403888267</c:v>
                </c:pt>
                <c:pt idx="49">
                  <c:v>0.58892023209578648</c:v>
                </c:pt>
                <c:pt idx="50">
                  <c:v>0.58891111910212168</c:v>
                </c:pt>
                <c:pt idx="51">
                  <c:v>0.58890189217933775</c:v>
                </c:pt>
                <c:pt idx="52">
                  <c:v>0.58889260844191316</c:v>
                </c:pt>
                <c:pt idx="53">
                  <c:v>0.58888332499719076</c:v>
                </c:pt>
                <c:pt idx="54">
                  <c:v>0.58887409894532261</c:v>
                </c:pt>
                <c:pt idx="55">
                  <c:v>0.58886498737932624</c:v>
                </c:pt>
                <c:pt idx="56">
                  <c:v>0.58885604738525155</c:v>
                </c:pt>
                <c:pt idx="57">
                  <c:v>0.5888473360424592</c:v>
                </c:pt>
                <c:pt idx="58">
                  <c:v>0.58883891042400749</c:v>
                </c:pt>
                <c:pt idx="59">
                  <c:v>0.58883082759715244</c:v>
                </c:pt>
                <c:pt idx="60">
                  <c:v>0.58882314462395624</c:v>
                </c:pt>
                <c:pt idx="61">
                  <c:v>0.5888159185620081</c:v>
                </c:pt>
                <c:pt idx="62">
                  <c:v>0.58880920646525381</c:v>
                </c:pt>
                <c:pt idx="63">
                  <c:v>0.58880306538493787</c:v>
                </c:pt>
                <c:pt idx="64">
                  <c:v>0.58879755237065412</c:v>
                </c:pt>
                <c:pt idx="65">
                  <c:v>0.58879272447150888</c:v>
                </c:pt>
                <c:pt idx="66">
                  <c:v>0.58878863873739207</c:v>
                </c:pt>
                <c:pt idx="67">
                  <c:v>0.5887853522203621</c:v>
                </c:pt>
                <c:pt idx="68">
                  <c:v>0.5887829219761388</c:v>
                </c:pt>
                <c:pt idx="69">
                  <c:v>0.58878140506570731</c:v>
                </c:pt>
                <c:pt idx="70">
                  <c:v>0.58878085855703499</c:v>
                </c:pt>
                <c:pt idx="71">
                  <c:v>0.58878133952689604</c:v>
                </c:pt>
                <c:pt idx="72">
                  <c:v>0.5887829050628085</c:v>
                </c:pt>
                <c:pt idx="73">
                  <c:v>0.58878561226508186</c:v>
                </c:pt>
                <c:pt idx="74">
                  <c:v>0.58878951824897663</c:v>
                </c:pt>
                <c:pt idx="75">
                  <c:v>0.588794680146974</c:v>
                </c:pt>
                <c:pt idx="76">
                  <c:v>0.58880115511115727</c:v>
                </c:pt>
                <c:pt idx="77">
                  <c:v>0.58880900031570438</c:v>
                </c:pt>
                <c:pt idx="78">
                  <c:v>0.58881827295949407</c:v>
                </c:pt>
                <c:pt idx="79">
                  <c:v>0.58882903026882072</c:v>
                </c:pt>
                <c:pt idx="80">
                  <c:v>0.58884132950022461</c:v>
                </c:pt>
                <c:pt idx="81">
                  <c:v>0.58885522794343259</c:v>
                </c:pt>
                <c:pt idx="82">
                  <c:v>0.58887078292441208</c:v>
                </c:pt>
                <c:pt idx="83">
                  <c:v>0.58888805180853843</c:v>
                </c:pt>
                <c:pt idx="84">
                  <c:v>0.58890709200387503</c:v>
                </c:pt>
                <c:pt idx="85">
                  <c:v>0.58892796096456757</c:v>
                </c:pt>
                <c:pt idx="86">
                  <c:v>0.58895071619435213</c:v>
                </c:pt>
                <c:pt idx="87">
                  <c:v>0.58897541355773897</c:v>
                </c:pt>
                <c:pt idx="88">
                  <c:v>0.58900200742003916</c:v>
                </c:pt>
                <c:pt idx="89">
                  <c:v>0.58903029474097235</c:v>
                </c:pt>
                <c:pt idx="90">
                  <c:v>0.58906005889039215</c:v>
                </c:pt>
                <c:pt idx="91">
                  <c:v>0.58909108317498748</c:v>
                </c:pt>
                <c:pt idx="92">
                  <c:v>0.58912315082819799</c:v>
                </c:pt>
                <c:pt idx="93">
                  <c:v>0.58915604500172347</c:v>
                </c:pt>
                <c:pt idx="94">
                  <c:v>0.5891895487586245</c:v>
                </c:pt>
                <c:pt idx="95">
                  <c:v>0.58922344506802049</c:v>
                </c:pt>
                <c:pt idx="96">
                  <c:v>0.5892575168013825</c:v>
                </c:pt>
                <c:pt idx="97">
                  <c:v>0.58929154673042738</c:v>
                </c:pt>
                <c:pt idx="98">
                  <c:v>0.58932531752660933</c:v>
                </c:pt>
                <c:pt idx="99">
                  <c:v>0.58935861176221649</c:v>
                </c:pt>
                <c:pt idx="100">
                  <c:v>0.5893912119130702</c:v>
                </c:pt>
                <c:pt idx="101">
                  <c:v>0.58942290036283151</c:v>
                </c:pt>
                <c:pt idx="102">
                  <c:v>0.58945345940891558</c:v>
                </c:pt>
                <c:pt idx="103">
                  <c:v>0.58948267127001508</c:v>
                </c:pt>
                <c:pt idx="104">
                  <c:v>0.58951031809523502</c:v>
                </c:pt>
                <c:pt idx="105">
                  <c:v>0.58953618197483981</c:v>
                </c:pt>
                <c:pt idx="106">
                  <c:v>0.58956004495261249</c:v>
                </c:pt>
                <c:pt idx="107">
                  <c:v>0.58958168903982888</c:v>
                </c:pt>
                <c:pt idx="108">
                  <c:v>0.58960089623084277</c:v>
                </c:pt>
                <c:pt idx="109">
                  <c:v>0.58961744852028752</c:v>
                </c:pt>
                <c:pt idx="110">
                  <c:v>0.58963112792188588</c:v>
                </c:pt>
                <c:pt idx="111">
                  <c:v>0.58964171648887365</c:v>
                </c:pt>
                <c:pt idx="112">
                  <c:v>0.58964899633603063</c:v>
                </c:pt>
                <c:pt idx="113">
                  <c:v>0.58965274966331693</c:v>
                </c:pt>
                <c:pt idx="114">
                  <c:v>0.58965275878111256</c:v>
                </c:pt>
                <c:pt idx="115">
                  <c:v>0.58964880613705539</c:v>
                </c:pt>
                <c:pt idx="116">
                  <c:v>0.58964067434447065</c:v>
                </c:pt>
                <c:pt idx="117">
                  <c:v>0.58962814621238946</c:v>
                </c:pt>
                <c:pt idx="118">
                  <c:v>0.58961100477714767</c:v>
                </c:pt>
                <c:pt idx="119">
                  <c:v>0.58958903333555646</c:v>
                </c:pt>
                <c:pt idx="120">
                  <c:v>0.58956201547963782</c:v>
                </c:pt>
                <c:pt idx="121">
                  <c:v>0.58952973513291507</c:v>
                </c:pt>
                <c:pt idx="122">
                  <c:v>0.58949197658824437</c:v>
                </c:pt>
                <c:pt idx="123">
                  <c:v>0.58944852454718211</c:v>
                </c:pt>
                <c:pt idx="124">
                  <c:v>0.58939916416086524</c:v>
                </c:pt>
                <c:pt idx="125">
                  <c:v>0.58934368107240109</c:v>
                </c:pt>
                <c:pt idx="126">
                  <c:v>0.58928186146074057</c:v>
                </c:pt>
                <c:pt idx="127">
                  <c:v>0.58921349208602714</c:v>
                </c:pt>
                <c:pt idx="128">
                  <c:v>0.58913836033639611</c:v>
                </c:pt>
                <c:pt idx="129">
                  <c:v>0.58905625427620867</c:v>
                </c:pt>
                <c:pt idx="130">
                  <c:v>0.58896696269569837</c:v>
                </c:pt>
                <c:pt idx="131">
                  <c:v>0.58886685571752106</c:v>
                </c:pt>
                <c:pt idx="132">
                  <c:v>0.58873863731583731</c:v>
                </c:pt>
                <c:pt idx="133">
                  <c:v>0.58856163146753759</c:v>
                </c:pt>
                <c:pt idx="134">
                  <c:v>0.5883152307825058</c:v>
                </c:pt>
                <c:pt idx="135">
                  <c:v>0.58797893786821454</c:v>
                </c:pt>
                <c:pt idx="136">
                  <c:v>0.58753242083879165</c:v>
                </c:pt>
                <c:pt idx="137">
                  <c:v>0.58695558259322234</c:v>
                </c:pt>
                <c:pt idx="138">
                  <c:v>0.58622864330772873</c:v>
                </c:pt>
                <c:pt idx="139">
                  <c:v>0.58533223537259149</c:v>
                </c:pt>
                <c:pt idx="140">
                  <c:v>0.58424750975861428</c:v>
                </c:pt>
                <c:pt idx="141">
                  <c:v>0.58295625252955074</c:v>
                </c:pt>
                <c:pt idx="142">
                  <c:v>0.58144100993231385</c:v>
                </c:pt>
                <c:pt idx="143">
                  <c:v>0.57968522020653279</c:v>
                </c:pt>
                <c:pt idx="144">
                  <c:v>0.57767334997044273</c:v>
                </c:pt>
                <c:pt idx="145">
                  <c:v>0.57539103277389647</c:v>
                </c:pt>
                <c:pt idx="146">
                  <c:v>0.57282520717502261</c:v>
                </c:pt>
                <c:pt idx="147">
                  <c:v>0.56996425150856089</c:v>
                </c:pt>
                <c:pt idx="148">
                  <c:v>0.56679811238466349</c:v>
                </c:pt>
                <c:pt idx="149">
                  <c:v>0.56331842389922437</c:v>
                </c:pt>
                <c:pt idx="150">
                  <c:v>0.55951861456091334</c:v>
                </c:pt>
                <c:pt idx="151">
                  <c:v>0.55540133471428943</c:v>
                </c:pt>
                <c:pt idx="152">
                  <c:v>0.55099960564159622</c:v>
                </c:pt>
                <c:pt idx="153">
                  <c:v>0.54635305974542403</c:v>
                </c:pt>
                <c:pt idx="154">
                  <c:v>0.54150007713945469</c:v>
                </c:pt>
                <c:pt idx="155">
                  <c:v>0.53647752891978906</c:v>
                </c:pt>
                <c:pt idx="156">
                  <c:v>0.5313205781664343</c:v>
                </c:pt>
                <c:pt idx="157">
                  <c:v>0.52606253480610887</c:v>
                </c:pt>
                <c:pt idx="158">
                  <c:v>0.52073475962422233</c:v>
                </c:pt>
                <c:pt idx="159">
                  <c:v>0.51536661219578273</c:v>
                </c:pt>
                <c:pt idx="160">
                  <c:v>0.5099854372675735</c:v>
                </c:pt>
                <c:pt idx="161">
                  <c:v>0.50461658411863708</c:v>
                </c:pt>
                <c:pt idx="162">
                  <c:v>0.49928345360399273</c:v>
                </c:pt>
                <c:pt idx="163">
                  <c:v>0.49400756790141265</c:v>
                </c:pt>
                <c:pt idx="164">
                  <c:v>0.48880865839140569</c:v>
                </c:pt>
                <c:pt idx="165">
                  <c:v>0.48370476757048747</c:v>
                </c:pt>
                <c:pt idx="166">
                  <c:v>0.47871236139769946</c:v>
                </c:pt>
                <c:pt idx="167">
                  <c:v>0.473846448980696</c:v>
                </c:pt>
                <c:pt idx="168">
                  <c:v>0.4691207070028055</c:v>
                </c:pt>
                <c:pt idx="169">
                  <c:v>0.46454760676362811</c:v>
                </c:pt>
                <c:pt idx="170">
                  <c:v>0.46013854214478006</c:v>
                </c:pt>
                <c:pt idx="171">
                  <c:v>0.45590395721472915</c:v>
                </c:pt>
                <c:pt idx="172">
                  <c:v>0.45185347255067554</c:v>
                </c:pt>
                <c:pt idx="173">
                  <c:v>0.44799600968178549</c:v>
                </c:pt>
                <c:pt idx="174">
                  <c:v>0.44433991334917822</c:v>
                </c:pt>
                <c:pt idx="175">
                  <c:v>0.44089307153760127</c:v>
                </c:pt>
                <c:pt idx="176">
                  <c:v>0.43766303346631952</c:v>
                </c:pt>
                <c:pt idx="177">
                  <c:v>0.43465712593768913</c:v>
                </c:pt>
                <c:pt idx="178">
                  <c:v>0.43188256863698954</c:v>
                </c:pt>
                <c:pt idx="179">
                  <c:v>0.42934658916257296</c:v>
                </c:pt>
                <c:pt idx="180">
                  <c:v>0.42705653874792232</c:v>
                </c:pt>
                <c:pt idx="181">
                  <c:v>0.42502000982393762</c:v>
                </c:pt>
                <c:pt idx="182">
                  <c:v>0.42324495676849083</c:v>
                </c:pt>
                <c:pt idx="183">
                  <c:v>0.42173982140972799</c:v>
                </c:pt>
                <c:pt idx="184">
                  <c:v>0.42051366509962196</c:v>
                </c:pt>
                <c:pt idx="185">
                  <c:v>0.41957630946649926</c:v>
                </c:pt>
                <c:pt idx="186">
                  <c:v>0.41893848830348857</c:v>
                </c:pt>
                <c:pt idx="187">
                  <c:v>0.41861201347092108</c:v>
                </c:pt>
                <c:pt idx="188">
                  <c:v>0.41860995820557073</c:v>
                </c:pt>
                <c:pt idx="189">
                  <c:v>0.41894686186459212</c:v>
                </c:pt>
                <c:pt idx="190">
                  <c:v>0.41963896092068509</c:v>
                </c:pt>
                <c:pt idx="191">
                  <c:v>0.4206988104782492</c:v>
                </c:pt>
                <c:pt idx="192">
                  <c:v>0.42211835244874757</c:v>
                </c:pt>
                <c:pt idx="193">
                  <c:v>0.42388536625386408</c:v>
                </c:pt>
                <c:pt idx="194">
                  <c:v>0.42598882352968642</c:v>
                </c:pt>
                <c:pt idx="195">
                  <c:v>0.4284186679766579</c:v>
                </c:pt>
                <c:pt idx="196">
                  <c:v>0.43116561016257654</c:v>
                </c:pt>
                <c:pt idx="197">
                  <c:v>0.43422093314940508</c:v>
                </c:pt>
                <c:pt idx="198">
                  <c:v>0.43757630538943443</c:v>
                </c:pt>
                <c:pt idx="199">
                  <c:v>0.44122359781339732</c:v>
                </c:pt>
                <c:pt idx="200">
                  <c:v>0.44515470244060407</c:v>
                </c:pt>
                <c:pt idx="201">
                  <c:v>0.44936135020302492</c:v>
                </c:pt>
                <c:pt idx="202">
                  <c:v>0.45383492601266301</c:v>
                </c:pt>
                <c:pt idx="203">
                  <c:v>0.45856627943386752</c:v>
                </c:pt>
                <c:pt idx="204">
                  <c:v>0.46354552966764062</c:v>
                </c:pt>
                <c:pt idx="205">
                  <c:v>0.46876186393106384</c:v>
                </c:pt>
                <c:pt idx="206">
                  <c:v>0.47420332873885146</c:v>
                </c:pt>
                <c:pt idx="207">
                  <c:v>0.4798566140824661</c:v>
                </c:pt>
                <c:pt idx="208">
                  <c:v>0.4857068310712358</c:v>
                </c:pt>
                <c:pt idx="209">
                  <c:v>0.49173728426426294</c:v>
                </c:pt>
                <c:pt idx="210">
                  <c:v>0.49792924069412986</c:v>
                </c:pt>
                <c:pt idx="211">
                  <c:v>0.50426169847250835</c:v>
                </c:pt>
                <c:pt idx="212">
                  <c:v>0.51071115887737806</c:v>
                </c:pt>
                <c:pt idx="213">
                  <c:v>0.51725140694775207</c:v>
                </c:pt>
                <c:pt idx="214">
                  <c:v>0.5238533068404192</c:v>
                </c:pt>
                <c:pt idx="215">
                  <c:v>0.53048461950679793</c:v>
                </c:pt>
                <c:pt idx="216">
                  <c:v>0.53710985158271973</c:v>
                </c:pt>
                <c:pt idx="217">
                  <c:v>0.54369014568648222</c:v>
                </c:pt>
                <c:pt idx="218">
                  <c:v>0.55018322350560112</c:v>
                </c:pt>
                <c:pt idx="219">
                  <c:v>0.55654339401189701</c:v>
                </c:pt>
                <c:pt idx="220">
                  <c:v>0.56272163974688472</c:v>
                </c:pt>
                <c:pt idx="221">
                  <c:v>0.56866579421478569</c:v>
                </c:pt>
                <c:pt idx="222">
                  <c:v>0.57432082284662578</c:v>
                </c:pt>
                <c:pt idx="223">
                  <c:v>0.57962921859307359</c:v>
                </c:pt>
                <c:pt idx="224">
                  <c:v>0.58453152081871529</c:v>
                </c:pt>
                <c:pt idx="225">
                  <c:v>0.58896696269569837</c:v>
                </c:pt>
                <c:pt idx="226">
                  <c:v>0.59288271749366539</c:v>
                </c:pt>
                <c:pt idx="227">
                  <c:v>0.59626097592750993</c:v>
                </c:pt>
                <c:pt idx="228">
                  <c:v>0.59909544205804988</c:v>
                </c:pt>
                <c:pt idx="229">
                  <c:v>0.60138313933493603</c:v>
                </c:pt>
                <c:pt idx="230">
                  <c:v>0.60312440005015455</c:v>
                </c:pt>
                <c:pt idx="231">
                  <c:v>0.60432280639163272</c:v>
                </c:pt>
                <c:pt idx="232">
                  <c:v>0.60498508546931817</c:v>
                </c:pt>
                <c:pt idx="233">
                  <c:v>0.60512096185854636</c:v>
                </c:pt>
                <c:pt idx="234">
                  <c:v>0.60474297220979534</c:v>
                </c:pt>
                <c:pt idx="235">
                  <c:v>0.60386624727513216</c:v>
                </c:pt>
                <c:pt idx="236">
                  <c:v>0.60250826727736684</c:v>
                </c:pt>
                <c:pt idx="237">
                  <c:v>0.60068859688879817</c:v>
                </c:pt>
                <c:pt idx="238">
                  <c:v>0.59842860619566673</c:v>
                </c:pt>
                <c:pt idx="239">
                  <c:v>0.59575118391657478</c:v>
                </c:pt>
                <c:pt idx="240">
                  <c:v>0.59268044884206339</c:v>
                </c:pt>
                <c:pt idx="241">
                  <c:v>0.58924146499907215</c:v>
                </c:pt>
                <c:pt idx="242">
                  <c:v>0.58545996545339019</c:v>
                </c:pt>
                <c:pt idx="243">
                  <c:v>0.58136208898243324</c:v>
                </c:pt>
                <c:pt idx="244">
                  <c:v>0.57697413311640777</c:v>
                </c:pt>
                <c:pt idx="245">
                  <c:v>0.57232232629223989</c:v>
                </c:pt>
                <c:pt idx="246">
                  <c:v>0.5674326211218933</c:v>
                </c:pt>
                <c:pt idx="247">
                  <c:v>0.56233051007019064</c:v>
                </c:pt>
                <c:pt idx="248">
                  <c:v>0.55704086418696019</c:v>
                </c:pt>
                <c:pt idx="249">
                  <c:v>0.55158779495861432</c:v>
                </c:pt>
                <c:pt idx="250">
                  <c:v>0.54599453884424864</c:v>
                </c:pt>
                <c:pt idx="251">
                  <c:v>0.54028336364529284</c:v>
                </c:pt>
                <c:pt idx="252">
                  <c:v>0.53447549552582985</c:v>
                </c:pt>
                <c:pt idx="253">
                  <c:v>0.52859106524975674</c:v>
                </c:pt>
                <c:pt idx="254">
                  <c:v>0.52264907202524813</c:v>
                </c:pt>
                <c:pt idx="255">
                  <c:v>0.5166673632389791</c:v>
                </c:pt>
                <c:pt idx="256">
                  <c:v>0.51066262831371356</c:v>
                </c:pt>
                <c:pt idx="257">
                  <c:v>0.50465040492400304</c:v>
                </c:pt>
                <c:pt idx="258">
                  <c:v>0.49864509584685385</c:v>
                </c:pt>
                <c:pt idx="259">
                  <c:v>0.49265999479854411</c:v>
                </c:pt>
                <c:pt idx="260">
                  <c:v>0.48670731970728304</c:v>
                </c:pt>
                <c:pt idx="261">
                  <c:v>0.48079825198685988</c:v>
                </c:pt>
                <c:pt idx="262">
                  <c:v>0.4749429805025655</c:v>
                </c:pt>
                <c:pt idx="263">
                  <c:v>0.46915074905212983</c:v>
                </c:pt>
                <c:pt idx="264">
                  <c:v>0.46342990631685255</c:v>
                </c:pt>
                <c:pt idx="265">
                  <c:v>0.45778795736802008</c:v>
                </c:pt>
                <c:pt idx="266">
                  <c:v>0.45223245532808115</c:v>
                </c:pt>
                <c:pt idx="267">
                  <c:v>0.44677341067745513</c:v>
                </c:pt>
                <c:pt idx="268">
                  <c:v>0.44142055937647418</c:v>
                </c:pt>
                <c:pt idx="269">
                  <c:v>0.43618256972137709</c:v>
                </c:pt>
                <c:pt idx="270">
                  <c:v>0.43106713018231668</c:v>
                </c:pt>
                <c:pt idx="271">
                  <c:v>0.42608103578942208</c:v>
                </c:pt>
                <c:pt idx="272">
                  <c:v>0.42123027231815008</c:v>
                </c:pt>
                <c:pt idx="273">
                  <c:v>0.41652009771374554</c:v>
                </c:pt>
                <c:pt idx="274">
                  <c:v>0.41195512035886567</c:v>
                </c:pt>
                <c:pt idx="275">
                  <c:v>0.40753937392975054</c:v>
                </c:pt>
                <c:pt idx="276">
                  <c:v>0.40327638870655963</c:v>
                </c:pt>
                <c:pt idx="277">
                  <c:v>0.39916925930471764</c:v>
                </c:pt>
                <c:pt idx="278">
                  <c:v>0.39522070887851124</c:v>
                </c:pt>
                <c:pt idx="279">
                  <c:v>0.39143314991794176</c:v>
                </c:pt>
                <c:pt idx="280">
                  <c:v>0.38780874181712982</c:v>
                </c:pt>
                <c:pt idx="281">
                  <c:v>0.38434944543945365</c:v>
                </c:pt>
                <c:pt idx="282">
                  <c:v>0.38105707494301277</c:v>
                </c:pt>
                <c:pt idx="283">
                  <c:v>0.37793334716176791</c:v>
                </c:pt>
                <c:pt idx="284">
                  <c:v>0.37497992886451131</c:v>
                </c:pt>
                <c:pt idx="285">
                  <c:v>0.37219848223721719</c:v>
                </c:pt>
                <c:pt idx="286">
                  <c:v>0.36959070895580248</c:v>
                </c:pt>
                <c:pt idx="287">
                  <c:v>0.36715839323725785</c:v>
                </c:pt>
                <c:pt idx="288">
                  <c:v>0.36490344427885663</c:v>
                </c:pt>
                <c:pt idx="289">
                  <c:v>0.36282560896790433</c:v>
                </c:pt>
                <c:pt idx="290">
                  <c:v>0.36091572063304522</c:v>
                </c:pt>
                <c:pt idx="291">
                  <c:v>0.35916300998291911</c:v>
                </c:pt>
                <c:pt idx="292">
                  <c:v>0.35755740196670749</c:v>
                </c:pt>
                <c:pt idx="293">
                  <c:v>0.35608943709596197</c:v>
                </c:pt>
                <c:pt idx="294">
                  <c:v>0.35475020143292901</c:v>
                </c:pt>
                <c:pt idx="295">
                  <c:v>0.35353126413205305</c:v>
                </c:pt>
                <c:pt idx="296">
                  <c:v>0.35242462159120858</c:v>
                </c:pt>
                <c:pt idx="297">
                  <c:v>0.35142264741196566</c:v>
                </c:pt>
                <c:pt idx="298">
                  <c:v>0.35051804748869109</c:v>
                </c:pt>
                <c:pt idx="299">
                  <c:v>0.34970381964837832</c:v>
                </c:pt>
                <c:pt idx="300">
                  <c:v>0.34897321734996251</c:v>
                </c:pt>
                <c:pt idx="301">
                  <c:v>0.34831971702603887</c:v>
                </c:pt>
                <c:pt idx="302">
                  <c:v>0.34773698871345404</c:v>
                </c:pt>
                <c:pt idx="303">
                  <c:v>0.34721886967385074</c:v>
                </c:pt>
                <c:pt idx="304">
                  <c:v>0.34675934075232012</c:v>
                </c:pt>
                <c:pt idx="305">
                  <c:v>0.34635250526293693</c:v>
                </c:pt>
                <c:pt idx="306">
                  <c:v>0.34599257022506535</c:v>
                </c:pt>
                <c:pt idx="307">
                  <c:v>0.34567382980464517</c:v>
                </c:pt>
                <c:pt idx="308">
                  <c:v>0.3453906508407974</c:v>
                </c:pt>
                <c:pt idx="309">
                  <c:v>0.34513746036051629</c:v>
                </c:pt>
                <c:pt idx="310">
                  <c:v>0.34490873500330282</c:v>
                </c:pt>
                <c:pt idx="311">
                  <c:v>0.34469979271813289</c:v>
                </c:pt>
                <c:pt idx="312">
                  <c:v>0.34450917992454455</c:v>
                </c:pt>
                <c:pt idx="313">
                  <c:v>0.34433625412930202</c:v>
                </c:pt>
                <c:pt idx="314">
                  <c:v>0.34418038080843505</c:v>
                </c:pt>
                <c:pt idx="315">
                  <c:v>0.34404093277737491</c:v>
                </c:pt>
                <c:pt idx="316">
                  <c:v>0.34391728958959988</c:v>
                </c:pt>
                <c:pt idx="317">
                  <c:v>0.3438088369626755</c:v>
                </c:pt>
                <c:pt idx="318">
                  <c:v>0.34371496623066933</c:v>
                </c:pt>
                <c:pt idx="319">
                  <c:v>0.34363507382201225</c:v>
                </c:pt>
                <c:pt idx="320">
                  <c:v>0.34356856076196124</c:v>
                </c:pt>
                <c:pt idx="321">
                  <c:v>0.34351483219889617</c:v>
                </c:pt>
                <c:pt idx="322">
                  <c:v>0.34347329695376266</c:v>
                </c:pt>
                <c:pt idx="323">
                  <c:v>0.34344336709203599</c:v>
                </c:pt>
                <c:pt idx="324">
                  <c:v>0.34342445751765316</c:v>
                </c:pt>
                <c:pt idx="325">
                  <c:v>0.34341598558841874</c:v>
                </c:pt>
                <c:pt idx="326">
                  <c:v>0.34341737075244783</c:v>
                </c:pt>
                <c:pt idx="327">
                  <c:v>0.34342803420526774</c:v>
                </c:pt>
                <c:pt idx="328">
                  <c:v>0.34344739856724482</c:v>
                </c:pt>
                <c:pt idx="329">
                  <c:v>0.34347488758105643</c:v>
                </c:pt>
                <c:pt idx="330">
                  <c:v>0.34350992582896989</c:v>
                </c:pt>
                <c:pt idx="331">
                  <c:v>0.34355193846973309</c:v>
                </c:pt>
                <c:pt idx="332">
                  <c:v>0.34360035099491748</c:v>
                </c:pt>
                <c:pt idx="333">
                  <c:v>0.34365458900459372</c:v>
                </c:pt>
                <c:pt idx="334">
                  <c:v>0.34371407800225162</c:v>
                </c:pt>
                <c:pt idx="335">
                  <c:v>0.34377824320890416</c:v>
                </c:pt>
                <c:pt idx="336">
                  <c:v>0.34384650939634631</c:v>
                </c:pt>
                <c:pt idx="337">
                  <c:v>0.34391830073956309</c:v>
                </c:pt>
                <c:pt idx="338">
                  <c:v>0.34399304068830144</c:v>
                </c:pt>
                <c:pt idx="339">
                  <c:v>0.34407015185784173</c:v>
                </c:pt>
                <c:pt idx="340">
                  <c:v>0.34414905593902323</c:v>
                </c:pt>
                <c:pt idx="341">
                  <c:v>0.34422917362758698</c:v>
                </c:pt>
                <c:pt idx="342">
                  <c:v>0.34430992457291648</c:v>
                </c:pt>
                <c:pt idx="343">
                  <c:v>0.34439072734626058</c:v>
                </c:pt>
                <c:pt idx="344">
                  <c:v>0.3444709994285331</c:v>
                </c:pt>
                <c:pt idx="345">
                  <c:v>0.34455015721778298</c:v>
                </c:pt>
                <c:pt idx="346">
                  <c:v>0.34462761605643255</c:v>
                </c:pt>
                <c:pt idx="347">
                  <c:v>0.34470279027837608</c:v>
                </c:pt>
                <c:pt idx="348">
                  <c:v>0.34477509327602901</c:v>
                </c:pt>
                <c:pt idx="349">
                  <c:v>0.34484393758740672</c:v>
                </c:pt>
                <c:pt idx="350">
                  <c:v>0.34490873500330282</c:v>
                </c:pt>
                <c:pt idx="351">
                  <c:v>0.34496901334181013</c:v>
                </c:pt>
                <c:pt idx="352">
                  <c:v>0.34502476683686367</c:v>
                </c:pt>
                <c:pt idx="353">
                  <c:v>0.34507610679521378</c:v>
                </c:pt>
                <c:pt idx="354">
                  <c:v>0.34512314500475222</c:v>
                </c:pt>
                <c:pt idx="355">
                  <c:v>0.34516599370608347</c:v>
                </c:pt>
                <c:pt idx="356">
                  <c:v>0.34520476556473878</c:v>
                </c:pt>
                <c:pt idx="357">
                  <c:v>0.34523957364404462</c:v>
                </c:pt>
                <c:pt idx="358">
                  <c:v>0.34527053137865887</c:v>
                </c:pt>
                <c:pt idx="359">
                  <c:v>0.34529775254878525</c:v>
                </c:pt>
                <c:pt idx="360">
                  <c:v>0.34532135125507868</c:v>
                </c:pt>
                <c:pt idx="361">
                  <c:v>0.34534144189424903</c:v>
                </c:pt>
                <c:pt idx="362">
                  <c:v>0.34535813913537494</c:v>
                </c:pt>
                <c:pt idx="363">
                  <c:v>0.34537155789693541</c:v>
                </c:pt>
                <c:pt idx="364">
                  <c:v>0.34538181332456847</c:v>
                </c:pt>
                <c:pt idx="365">
                  <c:v>0.34538902076956279</c:v>
                </c:pt>
                <c:pt idx="366">
                  <c:v>0.34539329576809019</c:v>
                </c:pt>
                <c:pt idx="367">
                  <c:v>0.34539475402118625</c:v>
                </c:pt>
                <c:pt idx="368">
                  <c:v>0.34539351137548285</c:v>
                </c:pt>
                <c:pt idx="369">
                  <c:v>0.34538968380469992</c:v>
                </c:pt>
                <c:pt idx="370">
                  <c:v>0.34538338739189928</c:v>
                </c:pt>
                <c:pt idx="371">
                  <c:v>0.34537473831250615</c:v>
                </c:pt>
                <c:pt idx="372">
                  <c:v>0.34536385281810222</c:v>
                </c:pt>
                <c:pt idx="373">
                  <c:v>0.34535084722099174</c:v>
                </c:pt>
                <c:pt idx="374">
                  <c:v>0.34533583787954553</c:v>
                </c:pt>
                <c:pt idx="375">
                  <c:v>0.3453189411843241</c:v>
                </c:pt>
                <c:pt idx="376">
                  <c:v>0.34530027354498266</c:v>
                </c:pt>
                <c:pt idx="377">
                  <c:v>0.34527995137795836</c:v>
                </c:pt>
                <c:pt idx="378">
                  <c:v>0.3452580910949431</c:v>
                </c:pt>
                <c:pt idx="379">
                  <c:v>0.34523480909214016</c:v>
                </c:pt>
                <c:pt idx="380">
                  <c:v>0.34521022174030774</c:v>
                </c:pt>
                <c:pt idx="381">
                  <c:v>0.34518444537558846</c:v>
                </c:pt>
                <c:pt idx="382">
                  <c:v>0.34515759629112475</c:v>
                </c:pt>
                <c:pt idx="383">
                  <c:v>0.34512979072946054</c:v>
                </c:pt>
                <c:pt idx="384">
                  <c:v>0.34510114487572863</c:v>
                </c:pt>
                <c:pt idx="385">
                  <c:v>0.34507177485162216</c:v>
                </c:pt>
                <c:pt idx="386">
                  <c:v>0.34504179671015189</c:v>
                </c:pt>
                <c:pt idx="387">
                  <c:v>0.34501132643118465</c:v>
                </c:pt>
                <c:pt idx="388">
                  <c:v>0.34498047991776531</c:v>
                </c:pt>
                <c:pt idx="389">
                  <c:v>0.34494937299321882</c:v>
                </c:pt>
                <c:pt idx="390">
                  <c:v>0.34490873500330282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41-4FFD-94FD-2E33F5F645D7}"/>
            </c:ext>
          </c:extLst>
        </c:ser>
        <c:ser>
          <c:idx val="6"/>
          <c:order val="6"/>
          <c:tx>
            <c:v>FVG lineare Näherung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'Berechnung freier Bereich'!$CJ$51:$CJ$441</c:f>
              <c:numCache>
                <c:formatCode>0.0</c:formatCode>
                <c:ptCount val="3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390.3</c:v>
                </c:pt>
              </c:numCache>
            </c:numRef>
          </c:xVal>
          <c:yVal>
            <c:numRef>
              <c:f>'Berechnung freier Bereich'!$CS$51:$CS$440</c:f>
              <c:numCache>
                <c:formatCode>0.00</c:formatCode>
                <c:ptCount val="390"/>
                <c:pt idx="0">
                  <c:v>0.6</c:v>
                </c:pt>
                <c:pt idx="1">
                  <c:v>0.60000188252380005</c:v>
                </c:pt>
                <c:pt idx="2">
                  <c:v>0.60000375906598846</c:v>
                </c:pt>
                <c:pt idx="3">
                  <c:v>0.60000562360759524</c:v>
                </c:pt>
                <c:pt idx="4">
                  <c:v>0.60000747012927835</c:v>
                </c:pt>
                <c:pt idx="5">
                  <c:v>0.6000092926113253</c:v>
                </c:pt>
                <c:pt idx="6">
                  <c:v>0.60001108503365497</c:v>
                </c:pt>
                <c:pt idx="7">
                  <c:v>0.60001284137582156</c:v>
                </c:pt>
                <c:pt idx="8">
                  <c:v>0.60001455561701555</c:v>
                </c:pt>
                <c:pt idx="9">
                  <c:v>0.60001622173606861</c:v>
                </c:pt>
                <c:pt idx="10">
                  <c:v>0.60001783371145823</c:v>
                </c:pt>
                <c:pt idx="11">
                  <c:v>0.60001938552131107</c:v>
                </c:pt>
                <c:pt idx="12">
                  <c:v>0.60002087114340996</c:v>
                </c:pt>
                <c:pt idx="13">
                  <c:v>0.60002228455519824</c:v>
                </c:pt>
                <c:pt idx="14">
                  <c:v>0.60002361973378793</c:v>
                </c:pt>
                <c:pt idx="15">
                  <c:v>0.60002487065596555</c:v>
                </c:pt>
                <c:pt idx="16">
                  <c:v>0.60002603129819931</c:v>
                </c:pt>
                <c:pt idx="17">
                  <c:v>0.60002709563664958</c:v>
                </c:pt>
                <c:pt idx="18">
                  <c:v>0.60002805764717515</c:v>
                </c:pt>
                <c:pt idx="19">
                  <c:v>0.60002891130534364</c:v>
                </c:pt>
                <c:pt idx="20">
                  <c:v>0.60002965058644175</c:v>
                </c:pt>
                <c:pt idx="21">
                  <c:v>0.60003026946548477</c:v>
                </c:pt>
                <c:pt idx="22">
                  <c:v>0.60003076191722859</c:v>
                </c:pt>
                <c:pt idx="23">
                  <c:v>0.60003112191618013</c:v>
                </c:pt>
                <c:pt idx="24">
                  <c:v>0.60003134343661102</c:v>
                </c:pt>
                <c:pt idx="25">
                  <c:v>0.60003142045256819</c:v>
                </c:pt>
                <c:pt idx="26">
                  <c:v>0.60003134693788995</c:v>
                </c:pt>
                <c:pt idx="27">
                  <c:v>0.60003111686621735</c:v>
                </c:pt>
                <c:pt idx="28">
                  <c:v>0.60003072421100923</c:v>
                </c:pt>
                <c:pt idx="29">
                  <c:v>0.60003016294555844</c:v>
                </c:pt>
                <c:pt idx="30">
                  <c:v>0.60002942704300621</c:v>
                </c:pt>
                <c:pt idx="31">
                  <c:v>0.60002851047635808</c:v>
                </c:pt>
                <c:pt idx="32">
                  <c:v>0.60002740721850156</c:v>
                </c:pt>
                <c:pt idx="33">
                  <c:v>0.60002611124222283</c:v>
                </c:pt>
                <c:pt idx="34">
                  <c:v>0.60002461652022454</c:v>
                </c:pt>
                <c:pt idx="35">
                  <c:v>0.60002291702514443</c:v>
                </c:pt>
                <c:pt idx="36">
                  <c:v>0.60002100672957426</c:v>
                </c:pt>
                <c:pt idx="37">
                  <c:v>0.60001887960607947</c:v>
                </c:pt>
                <c:pt idx="38">
                  <c:v>0.60001652962721885</c:v>
                </c:pt>
                <c:pt idx="39">
                  <c:v>0.60001395076556563</c:v>
                </c:pt>
                <c:pt idx="40">
                  <c:v>0.60001113699372943</c:v>
                </c:pt>
                <c:pt idx="41">
                  <c:v>0.6000080822843763</c:v>
                </c:pt>
                <c:pt idx="42">
                  <c:v>0.60000478061025309</c:v>
                </c:pt>
                <c:pt idx="43">
                  <c:v>0.60000122596310546</c:v>
                </c:pt>
                <c:pt idx="44">
                  <c:v>0.59999741433708265</c:v>
                </c:pt>
                <c:pt idx="45">
                  <c:v>0.59999336242290591</c:v>
                </c:pt>
                <c:pt idx="46">
                  <c:v>0.59998910014827678</c:v>
                </c:pt>
                <c:pt idx="47">
                  <c:v>0.59998465765330511</c:v>
                </c:pt>
                <c:pt idx="48">
                  <c:v>0.59998006506988233</c:v>
                </c:pt>
                <c:pt idx="49">
                  <c:v>0.59997535252160217</c:v>
                </c:pt>
                <c:pt idx="50">
                  <c:v>0.59997055012369838</c:v>
                </c:pt>
                <c:pt idx="51">
                  <c:v>0.60002239121441292</c:v>
                </c:pt>
                <c:pt idx="52">
                  <c:v>0.60001749899670387</c:v>
                </c:pt>
                <c:pt idx="53">
                  <c:v>0.60001260722386196</c:v>
                </c:pt>
                <c:pt idx="54">
                  <c:v>0.60000774598000151</c:v>
                </c:pt>
                <c:pt idx="55">
                  <c:v>0.6000029453407838</c:v>
                </c:pt>
                <c:pt idx="56">
                  <c:v>0.5999982353734391</c:v>
                </c:pt>
                <c:pt idx="57">
                  <c:v>0.59999364613680106</c:v>
                </c:pt>
                <c:pt idx="58">
                  <c:v>0.59998920768135744</c:v>
                </c:pt>
                <c:pt idx="59">
                  <c:v>0.59998495004931351</c:v>
                </c:pt>
                <c:pt idx="60">
                  <c:v>0.59998090327466957</c:v>
                </c:pt>
                <c:pt idx="61">
                  <c:v>0.59997709738331328</c:v>
                </c:pt>
                <c:pt idx="62">
                  <c:v>0.59997356239312594</c:v>
                </c:pt>
                <c:pt idx="63">
                  <c:v>0.59997032831410146</c:v>
                </c:pt>
                <c:pt idx="64">
                  <c:v>0.59996742514848123</c:v>
                </c:pt>
                <c:pt idx="65">
                  <c:v>0.599964882890902</c:v>
                </c:pt>
                <c:pt idx="66">
                  <c:v>0.59996273152855839</c:v>
                </c:pt>
                <c:pt idx="67">
                  <c:v>0.59996100104137828</c:v>
                </c:pt>
                <c:pt idx="68">
                  <c:v>0.59995972140221321</c:v>
                </c:pt>
                <c:pt idx="69">
                  <c:v>0.59995892257704297</c:v>
                </c:pt>
                <c:pt idx="70">
                  <c:v>0.5999586345251926</c:v>
                </c:pt>
                <c:pt idx="71">
                  <c:v>0.59995888719956514</c:v>
                </c:pt>
                <c:pt idx="72">
                  <c:v>0.59995971054688746</c:v>
                </c:pt>
                <c:pt idx="73">
                  <c:v>0.59996113450796884</c:v>
                </c:pt>
                <c:pt idx="74">
                  <c:v>0.59996318901797574</c:v>
                </c:pt>
                <c:pt idx="75">
                  <c:v>0.59996590400671845</c:v>
                </c:pt>
                <c:pt idx="76">
                  <c:v>0.59996930939895232</c:v>
                </c:pt>
                <c:pt idx="77">
                  <c:v>0.59997343511469148</c:v>
                </c:pt>
                <c:pt idx="78">
                  <c:v>0.59997831106953903</c:v>
                </c:pt>
                <c:pt idx="79">
                  <c:v>0.59998396717502744</c:v>
                </c:pt>
                <c:pt idx="80">
                  <c:v>0.59999043333897473</c:v>
                </c:pt>
                <c:pt idx="81">
                  <c:v>0.59999773946585322</c:v>
                </c:pt>
                <c:pt idx="82">
                  <c:v>0.60000591545717186</c:v>
                </c:pt>
                <c:pt idx="83">
                  <c:v>0.60001499121187263</c:v>
                </c:pt>
                <c:pt idx="84">
                  <c:v>0.60002499662673847</c:v>
                </c:pt>
                <c:pt idx="85">
                  <c:v>0.60003596159681638</c:v>
                </c:pt>
                <c:pt idx="86">
                  <c:v>0.60004791604807228</c:v>
                </c:pt>
                <c:pt idx="87">
                  <c:v>0.60006089107493865</c:v>
                </c:pt>
                <c:pt idx="88">
                  <c:v>0.60007486608342764</c:v>
                </c:pt>
                <c:pt idx="89">
                  <c:v>0.60008973501588514</c:v>
                </c:pt>
                <c:pt idx="90">
                  <c:v>0.60010538430826843</c:v>
                </c:pt>
                <c:pt idx="91">
                  <c:v>0.60012170027962142</c:v>
                </c:pt>
                <c:pt idx="92">
                  <c:v>0.60013856913078545</c:v>
                </c:pt>
                <c:pt idx="93">
                  <c:v>0.60015587694331329</c:v>
                </c:pt>
                <c:pt idx="94">
                  <c:v>0.60017350967858085</c:v>
                </c:pt>
                <c:pt idx="95">
                  <c:v>0.60019135317710604</c:v>
                </c:pt>
                <c:pt idx="96">
                  <c:v>0.60020929315806604</c:v>
                </c:pt>
                <c:pt idx="97">
                  <c:v>0.60022721521901856</c:v>
                </c:pt>
                <c:pt idx="98">
                  <c:v>0.60024500483582677</c:v>
                </c:pt>
                <c:pt idx="99">
                  <c:v>0.60026254736278661</c:v>
                </c:pt>
                <c:pt idx="100">
                  <c:v>0.60022300154867458</c:v>
                </c:pt>
                <c:pt idx="101">
                  <c:v>0.60023970404584781</c:v>
                </c:pt>
                <c:pt idx="102">
                  <c:v>0.60025581484953516</c:v>
                </c:pt>
                <c:pt idx="103">
                  <c:v>0.60027121884215584</c:v>
                </c:pt>
                <c:pt idx="104">
                  <c:v>0.60028580078809357</c:v>
                </c:pt>
                <c:pt idx="105">
                  <c:v>0.60029944533505408</c:v>
                </c:pt>
                <c:pt idx="106">
                  <c:v>0.60031203701562574</c:v>
                </c:pt>
                <c:pt idx="107">
                  <c:v>0.60032346024905159</c:v>
                </c:pt>
                <c:pt idx="108">
                  <c:v>0.60033359934320563</c:v>
                </c:pt>
                <c:pt idx="109">
                  <c:v>0.60034233849678043</c:v>
                </c:pt>
                <c:pt idx="110">
                  <c:v>0.60034956180168253</c:v>
                </c:pt>
                <c:pt idx="111">
                  <c:v>0.60035515324564004</c:v>
                </c:pt>
                <c:pt idx="112">
                  <c:v>0.6003589967150228</c:v>
                </c:pt>
                <c:pt idx="113">
                  <c:v>0.60036097599787408</c:v>
                </c:pt>
                <c:pt idx="114">
                  <c:v>0.60036097478715922</c:v>
                </c:pt>
                <c:pt idx="115">
                  <c:v>0.6003588766842306</c:v>
                </c:pt>
                <c:pt idx="116">
                  <c:v>0.60035456520251107</c:v>
                </c:pt>
                <c:pt idx="117">
                  <c:v>0.60034792377139756</c:v>
                </c:pt>
                <c:pt idx="118">
                  <c:v>0.60033883574038871</c:v>
                </c:pt>
                <c:pt idx="119">
                  <c:v>0.60032718438343824</c:v>
                </c:pt>
                <c:pt idx="120">
                  <c:v>0.6003128529035342</c:v>
                </c:pt>
                <c:pt idx="121">
                  <c:v>0.60029572443751267</c:v>
                </c:pt>
                <c:pt idx="122">
                  <c:v>0.60027568206110249</c:v>
                </c:pt>
                <c:pt idx="123">
                  <c:v>0.6002526087942105</c:v>
                </c:pt>
                <c:pt idx="124">
                  <c:v>0.60022638760644498</c:v>
                </c:pt>
                <c:pt idx="125">
                  <c:v>0.6001969014228874</c:v>
                </c:pt>
                <c:pt idx="126">
                  <c:v>0.60016403313011168</c:v>
                </c:pt>
                <c:pt idx="127">
                  <c:v>0.60012766558245656</c:v>
                </c:pt>
                <c:pt idx="128">
                  <c:v>0.60008768160855852</c:v>
                </c:pt>
                <c:pt idx="129">
                  <c:v>0.60004396401814686</c:v>
                </c:pt>
                <c:pt idx="130">
                  <c:v>0.59999613577047262</c:v>
                </c:pt>
                <c:pt idx="131">
                  <c:v>0.59999761860049594</c:v>
                </c:pt>
                <c:pt idx="132">
                  <c:v>0.59992428042589174</c:v>
                </c:pt>
                <c:pt idx="133">
                  <c:v>0.59981957378347284</c:v>
                </c:pt>
                <c:pt idx="134">
                  <c:v>0.59978275820482985</c:v>
                </c:pt>
                <c:pt idx="135">
                  <c:v>0.59957171829138578</c:v>
                </c:pt>
                <c:pt idx="136">
                  <c:v>0.59928380593666353</c:v>
                </c:pt>
                <c:pt idx="137">
                  <c:v>0.59901589862905524</c:v>
                </c:pt>
                <c:pt idx="138">
                  <c:v>0.59863686000238292</c:v>
                </c:pt>
                <c:pt idx="139">
                  <c:v>0.59812848529390572</c:v>
                </c:pt>
                <c:pt idx="140">
                  <c:v>0.59747208070179481</c:v>
                </c:pt>
                <c:pt idx="141">
                  <c:v>0.59664863897214571</c:v>
                </c:pt>
                <c:pt idx="142">
                  <c:v>0.59575548310148452</c:v>
                </c:pt>
                <c:pt idx="143">
                  <c:v>0.59465922436317686</c:v>
                </c:pt>
                <c:pt idx="144">
                  <c:v>0.59334197503961772</c:v>
                </c:pt>
                <c:pt idx="145">
                  <c:v>0.59190682746294898</c:v>
                </c:pt>
                <c:pt idx="146">
                  <c:v>0.5901601733506493</c:v>
                </c:pt>
                <c:pt idx="147">
                  <c:v>0.58820919151159845</c:v>
                </c:pt>
                <c:pt idx="148">
                  <c:v>0.58610804049823706</c:v>
                </c:pt>
                <c:pt idx="149">
                  <c:v>0.58372560599331191</c:v>
                </c:pt>
                <c:pt idx="150">
                  <c:v>0.58107590547264787</c:v>
                </c:pt>
                <c:pt idx="151">
                  <c:v>0.57824854614314791</c:v>
                </c:pt>
                <c:pt idx="152">
                  <c:v>0.57543062184317861</c:v>
                </c:pt>
                <c:pt idx="153">
                  <c:v>0.57237991856387271</c:v>
                </c:pt>
                <c:pt idx="154">
                  <c:v>0.56939884197270041</c:v>
                </c:pt>
                <c:pt idx="155">
                  <c:v>0.56637244108775886</c:v>
                </c:pt>
                <c:pt idx="156">
                  <c:v>0.56332027118834105</c:v>
                </c:pt>
                <c:pt idx="157">
                  <c:v>0.56018641487564369</c:v>
                </c:pt>
                <c:pt idx="158">
                  <c:v>0.55713221952782876</c:v>
                </c:pt>
                <c:pt idx="159">
                  <c:v>0.55402487231363917</c:v>
                </c:pt>
                <c:pt idx="160">
                  <c:v>0.55102456107401898</c:v>
                </c:pt>
                <c:pt idx="161">
                  <c:v>0.54792053931552898</c:v>
                </c:pt>
                <c:pt idx="162">
                  <c:v>0.54501970634432872</c:v>
                </c:pt>
                <c:pt idx="163">
                  <c:v>0.5420357888533972</c:v>
                </c:pt>
                <c:pt idx="164">
                  <c:v>0.53912631150042023</c:v>
                </c:pt>
                <c:pt idx="165">
                  <c:v>0.53629982604528514</c:v>
                </c:pt>
                <c:pt idx="166">
                  <c:v>0.53356421924716479</c:v>
                </c:pt>
                <c:pt idx="167">
                  <c:v>0.53092677781295783</c:v>
                </c:pt>
                <c:pt idx="168">
                  <c:v>0.52832440922284896</c:v>
                </c:pt>
                <c:pt idx="169">
                  <c:v>0.52583544383619574</c:v>
                </c:pt>
                <c:pt idx="170">
                  <c:v>0.52346597593720046</c:v>
                </c:pt>
                <c:pt idx="171">
                  <c:v>0.52115551894995971</c:v>
                </c:pt>
                <c:pt idx="172">
                  <c:v>0.51897821600969574</c:v>
                </c:pt>
                <c:pt idx="173">
                  <c:v>0.51693902536318292</c:v>
                </c:pt>
                <c:pt idx="174">
                  <c:v>0.51498083051986898</c:v>
                </c:pt>
                <c:pt idx="175">
                  <c:v>0.51317242304717503</c:v>
                </c:pt>
                <c:pt idx="176">
                  <c:v>0.51145905307917761</c:v>
                </c:pt>
                <c:pt idx="177">
                  <c:v>0.50990520182205723</c:v>
                </c:pt>
                <c:pt idx="178">
                  <c:v>0.50851293444302936</c:v>
                </c:pt>
                <c:pt idx="179">
                  <c:v>0.50728336176837385</c:v>
                </c:pt>
                <c:pt idx="180">
                  <c:v>0.50616504194410528</c:v>
                </c:pt>
                <c:pt idx="181">
                  <c:v>0.50516154755153897</c:v>
                </c:pt>
                <c:pt idx="182">
                  <c:v>0.50437128148815258</c:v>
                </c:pt>
                <c:pt idx="183">
                  <c:v>0.50369138021494553</c:v>
                </c:pt>
                <c:pt idx="184">
                  <c:v>0.50311953785840469</c:v>
                </c:pt>
                <c:pt idx="185">
                  <c:v>0.50269599109998186</c:v>
                </c:pt>
                <c:pt idx="186">
                  <c:v>0.50241184023153196</c:v>
                </c:pt>
                <c:pt idx="187">
                  <c:v>0.50225851955361744</c:v>
                </c:pt>
                <c:pt idx="188">
                  <c:v>0.50218479181779929</c:v>
                </c:pt>
                <c:pt idx="189">
                  <c:v>0.50218520459620242</c:v>
                </c:pt>
                <c:pt idx="190">
                  <c:v>0.50235571113343314</c:v>
                </c:pt>
                <c:pt idx="191">
                  <c:v>0.50260114978436254</c:v>
                </c:pt>
                <c:pt idx="192">
                  <c:v>0.50308732752198426</c:v>
                </c:pt>
                <c:pt idx="193">
                  <c:v>0.50373100024866146</c:v>
                </c:pt>
                <c:pt idx="194">
                  <c:v>0.50453650586697474</c:v>
                </c:pt>
                <c:pt idx="195">
                  <c:v>0.50555991741922157</c:v>
                </c:pt>
                <c:pt idx="196">
                  <c:v>0.50680491543056549</c:v>
                </c:pt>
                <c:pt idx="197">
                  <c:v>0.5082124113086075</c:v>
                </c:pt>
                <c:pt idx="198">
                  <c:v>0.50977505224921005</c:v>
                </c:pt>
                <c:pt idx="199">
                  <c:v>0.51154893341591667</c:v>
                </c:pt>
                <c:pt idx="200">
                  <c:v>0.5135308942080955</c:v>
                </c:pt>
                <c:pt idx="201">
                  <c:v>0.51564801041733677</c:v>
                </c:pt>
                <c:pt idx="202">
                  <c:v>0.51796039260000881</c:v>
                </c:pt>
                <c:pt idx="203">
                  <c:v>0.52039027281502381</c:v>
                </c:pt>
                <c:pt idx="204">
                  <c:v>0.52292683004823781</c:v>
                </c:pt>
                <c:pt idx="205">
                  <c:v>0.52571067325117915</c:v>
                </c:pt>
                <c:pt idx="206">
                  <c:v>0.52858573753970262</c:v>
                </c:pt>
                <c:pt idx="207">
                  <c:v>0.53154123088195715</c:v>
                </c:pt>
                <c:pt idx="208">
                  <c:v>0.53464583726721215</c:v>
                </c:pt>
                <c:pt idx="209">
                  <c:v>0.537812115041855</c:v>
                </c:pt>
                <c:pt idx="210">
                  <c:v>0.54119087556918233</c:v>
                </c:pt>
                <c:pt idx="211">
                  <c:v>0.54461301469964041</c:v>
                </c:pt>
                <c:pt idx="212">
                  <c:v>0.54806781524539505</c:v>
                </c:pt>
                <c:pt idx="213">
                  <c:v>0.5516257773273705</c:v>
                </c:pt>
                <c:pt idx="214">
                  <c:v>0.55519487912907384</c:v>
                </c:pt>
                <c:pt idx="215">
                  <c:v>0.55892438235660702</c:v>
                </c:pt>
                <c:pt idx="216">
                  <c:v>0.56263914477853727</c:v>
                </c:pt>
                <c:pt idx="217">
                  <c:v>0.56640392475855084</c:v>
                </c:pt>
                <c:pt idx="218">
                  <c:v>0.57020010636290919</c:v>
                </c:pt>
                <c:pt idx="219">
                  <c:v>0.57400588909738615</c:v>
                </c:pt>
                <c:pt idx="220">
                  <c:v>0.57772102208670595</c:v>
                </c:pt>
                <c:pt idx="221">
                  <c:v>0.58146576304568143</c:v>
                </c:pt>
                <c:pt idx="222">
                  <c:v>0.5851274015203799</c:v>
                </c:pt>
                <c:pt idx="223">
                  <c:v>0.58866185973628471</c:v>
                </c:pt>
                <c:pt idx="224">
                  <c:v>0.5920158313932713</c:v>
                </c:pt>
                <c:pt idx="225">
                  <c:v>0.59523258613344376</c:v>
                </c:pt>
                <c:pt idx="226">
                  <c:v>0.598031674885249</c:v>
                </c:pt>
                <c:pt idx="227">
                  <c:v>0.60049139976209986</c:v>
                </c:pt>
                <c:pt idx="228">
                  <c:v>0.602590453643847</c:v>
                </c:pt>
                <c:pt idx="229">
                  <c:v>0.6041975445958474</c:v>
                </c:pt>
                <c:pt idx="230">
                  <c:v>0.60542745985151247</c:v>
                </c:pt>
                <c:pt idx="231">
                  <c:v>0.60616635713022793</c:v>
                </c:pt>
                <c:pt idx="232">
                  <c:v>0.60653943075603212</c:v>
                </c:pt>
                <c:pt idx="233">
                  <c:v>0.60656235349003107</c:v>
                </c:pt>
                <c:pt idx="234">
                  <c:v>0.60625768530699031</c:v>
                </c:pt>
                <c:pt idx="235">
                  <c:v>0.60553719575419718</c:v>
                </c:pt>
                <c:pt idx="236">
                  <c:v>0.60454654617302195</c:v>
                </c:pt>
                <c:pt idx="237">
                  <c:v>0.6032000385172358</c:v>
                </c:pt>
                <c:pt idx="238">
                  <c:v>0.60164851687531895</c:v>
                </c:pt>
                <c:pt idx="239">
                  <c:v>0.59980329387386377</c:v>
                </c:pt>
                <c:pt idx="240">
                  <c:v>0.59781812997661965</c:v>
                </c:pt>
                <c:pt idx="241">
                  <c:v>0.59559776041865453</c:v>
                </c:pt>
                <c:pt idx="242">
                  <c:v>0.59316652329544695</c:v>
                </c:pt>
                <c:pt idx="243">
                  <c:v>0.59054685021698494</c:v>
                </c:pt>
                <c:pt idx="244">
                  <c:v>0.58789552415499446</c:v>
                </c:pt>
                <c:pt idx="245">
                  <c:v>0.58510020683915231</c:v>
                </c:pt>
                <c:pt idx="246">
                  <c:v>0.58217801911985878</c:v>
                </c:pt>
                <c:pt idx="247">
                  <c:v>0.57914458365984711</c:v>
                </c:pt>
                <c:pt idx="248">
                  <c:v>0.57601417892152229</c:v>
                </c:pt>
                <c:pt idx="249">
                  <c:v>0.57287362386450758</c:v>
                </c:pt>
                <c:pt idx="250">
                  <c:v>0.569588360190458</c:v>
                </c:pt>
                <c:pt idx="251">
                  <c:v>0.5663932321785361</c:v>
                </c:pt>
                <c:pt idx="252">
                  <c:v>0.56299778208079931</c:v>
                </c:pt>
                <c:pt idx="253">
                  <c:v>0.55956077649086244</c:v>
                </c:pt>
                <c:pt idx="254">
                  <c:v>0.5562460659920847</c:v>
                </c:pt>
                <c:pt idx="255">
                  <c:v>0.55275235333285333</c:v>
                </c:pt>
                <c:pt idx="256">
                  <c:v>0.54924110689583849</c:v>
                </c:pt>
                <c:pt idx="257">
                  <c:v>0.54571926714346985</c:v>
                </c:pt>
                <c:pt idx="258">
                  <c:v>0.54227231606507431</c:v>
                </c:pt>
                <c:pt idx="259">
                  <c:v>0.53874833571031155</c:v>
                </c:pt>
                <c:pt idx="260">
                  <c:v>0.53523172876628122</c:v>
                </c:pt>
                <c:pt idx="261">
                  <c:v>0.53164854766833147</c:v>
                </c:pt>
                <c:pt idx="262">
                  <c:v>0.52816208987924518</c:v>
                </c:pt>
                <c:pt idx="263">
                  <c:v>0.52461886585589146</c:v>
                </c:pt>
                <c:pt idx="264">
                  <c:v>0.52110248285516292</c:v>
                </c:pt>
                <c:pt idx="265">
                  <c:v>0.51762016278290224</c:v>
                </c:pt>
                <c:pt idx="266">
                  <c:v>0.51411039897308142</c:v>
                </c:pt>
                <c:pt idx="267">
                  <c:v>0.51073708146185215</c:v>
                </c:pt>
                <c:pt idx="268">
                  <c:v>0.50735090399335714</c:v>
                </c:pt>
                <c:pt idx="269">
                  <c:v>0.50403450629393776</c:v>
                </c:pt>
                <c:pt idx="270">
                  <c:v>0.50071799971093089</c:v>
                </c:pt>
                <c:pt idx="271">
                  <c:v>0.49748228086367674</c:v>
                </c:pt>
                <c:pt idx="272">
                  <c:v>0.49433162612416626</c:v>
                </c:pt>
                <c:pt idx="273">
                  <c:v>0.49127001758176808</c:v>
                </c:pt>
                <c:pt idx="274">
                  <c:v>0.48830116916426186</c:v>
                </c:pt>
                <c:pt idx="275">
                  <c:v>0.48535986460582553</c:v>
                </c:pt>
                <c:pt idx="276">
                  <c:v>0.48252080103961931</c:v>
                </c:pt>
                <c:pt idx="277">
                  <c:v>0.4797213562571721</c:v>
                </c:pt>
                <c:pt idx="278">
                  <c:v>0.47709771815108287</c:v>
                </c:pt>
                <c:pt idx="279">
                  <c:v>0.47452264097208852</c:v>
                </c:pt>
                <c:pt idx="280">
                  <c:v>0.47206475057878217</c:v>
                </c:pt>
                <c:pt idx="281">
                  <c:v>0.46969687467611343</c:v>
                </c:pt>
                <c:pt idx="282">
                  <c:v>0.46742394730829023</c:v>
                </c:pt>
                <c:pt idx="283">
                  <c:v>0.46530704150871766</c:v>
                </c:pt>
                <c:pt idx="284">
                  <c:v>0.46329126049681768</c:v>
                </c:pt>
                <c:pt idx="285">
                  <c:v>0.46135472784824005</c:v>
                </c:pt>
                <c:pt idx="286">
                  <c:v>0.45960660627513744</c:v>
                </c:pt>
                <c:pt idx="287">
                  <c:v>0.45794451528982816</c:v>
                </c:pt>
                <c:pt idx="288">
                  <c:v>0.45641705008251338</c:v>
                </c:pt>
                <c:pt idx="289">
                  <c:v>0.45495716518397972</c:v>
                </c:pt>
                <c:pt idx="290">
                  <c:v>0.45364949980662683</c:v>
                </c:pt>
                <c:pt idx="291">
                  <c:v>0.45239749476997598</c:v>
                </c:pt>
                <c:pt idx="292">
                  <c:v>0.45124212799786606</c:v>
                </c:pt>
                <c:pt idx="293">
                  <c:v>0.45017843085712389</c:v>
                </c:pt>
                <c:pt idx="294">
                  <c:v>0.44918142324798449</c:v>
                </c:pt>
                <c:pt idx="295">
                  <c:v>0.44826770767732321</c:v>
                </c:pt>
                <c:pt idx="296">
                  <c:v>0.44743286047674208</c:v>
                </c:pt>
                <c:pt idx="297">
                  <c:v>0.44665340593565067</c:v>
                </c:pt>
                <c:pt idx="298">
                  <c:v>0.44596393282554864</c:v>
                </c:pt>
                <c:pt idx="299">
                  <c:v>0.44532216195486363</c:v>
                </c:pt>
                <c:pt idx="300">
                  <c:v>0.44474324977403135</c:v>
                </c:pt>
                <c:pt idx="301">
                  <c:v>0.44422317151364676</c:v>
                </c:pt>
                <c:pt idx="302">
                  <c:v>0.44373968501272804</c:v>
                </c:pt>
                <c:pt idx="303">
                  <c:v>0.44332533352238868</c:v>
                </c:pt>
                <c:pt idx="304">
                  <c:v>0.44292165414905971</c:v>
                </c:pt>
                <c:pt idx="305">
                  <c:v>0.44259673897423601</c:v>
                </c:pt>
                <c:pt idx="306">
                  <c:v>0.44227443155346252</c:v>
                </c:pt>
                <c:pt idx="307">
                  <c:v>0.44202203180897631</c:v>
                </c:pt>
                <c:pt idx="308">
                  <c:v>0.44176374271471253</c:v>
                </c:pt>
                <c:pt idx="309">
                  <c:v>0.44154850327174427</c:v>
                </c:pt>
                <c:pt idx="310">
                  <c:v>0.44133642140572638</c:v>
                </c:pt>
                <c:pt idx="311">
                  <c:v>0.44115986290315046</c:v>
                </c:pt>
                <c:pt idx="312">
                  <c:v>0.44098239281421098</c:v>
                </c:pt>
                <c:pt idx="313">
                  <c:v>0.44083881866739094</c:v>
                </c:pt>
                <c:pt idx="314">
                  <c:v>0.44069328965183185</c:v>
                </c:pt>
                <c:pt idx="315">
                  <c:v>0.44056292835705863</c:v>
                </c:pt>
                <c:pt idx="316">
                  <c:v>0.44046479254431314</c:v>
                </c:pt>
                <c:pt idx="317">
                  <c:v>0.44036313920512693</c:v>
                </c:pt>
                <c:pt idx="318">
                  <c:v>0.44027504418968766</c:v>
                </c:pt>
                <c:pt idx="319">
                  <c:v>0.44021754141059477</c:v>
                </c:pt>
                <c:pt idx="320">
                  <c:v>0.4401549568941252</c:v>
                </c:pt>
                <c:pt idx="321">
                  <c:v>0.44010433536867116</c:v>
                </c:pt>
                <c:pt idx="322">
                  <c:v>0.44006514635471877</c:v>
                </c:pt>
                <c:pt idx="323">
                  <c:v>0.4400368598710106</c:v>
                </c:pt>
                <c:pt idx="324">
                  <c:v>0.44001894618309034</c:v>
                </c:pt>
                <c:pt idx="325">
                  <c:v>0.44001087556454188</c:v>
                </c:pt>
                <c:pt idx="326">
                  <c:v>0.44001211807071094</c:v>
                </c:pt>
                <c:pt idx="327">
                  <c:v>0.44002214332471851</c:v>
                </c:pt>
                <c:pt idx="328">
                  <c:v>0.44004042031560758</c:v>
                </c:pt>
                <c:pt idx="329">
                  <c:v>0.440066417208484</c:v>
                </c:pt>
                <c:pt idx="330">
                  <c:v>0.44009960116654184</c:v>
                </c:pt>
                <c:pt idx="331">
                  <c:v>0.4401394381848841</c:v>
                </c:pt>
                <c:pt idx="332">
                  <c:v>0.440185392936075</c:v>
                </c:pt>
                <c:pt idx="333">
                  <c:v>0.44023692862738012</c:v>
                </c:pt>
                <c:pt idx="334">
                  <c:v>0.44029350686967578</c:v>
                </c:pt>
                <c:pt idx="335">
                  <c:v>0.4403545875580247</c:v>
                </c:pt>
                <c:pt idx="336">
                  <c:v>0.44040204556646589</c:v>
                </c:pt>
                <c:pt idx="337">
                  <c:v>0.44047049779794967</c:v>
                </c:pt>
                <c:pt idx="338">
                  <c:v>0.44054182075426607</c:v>
                </c:pt>
                <c:pt idx="339">
                  <c:v>0.44061546656016209</c:v>
                </c:pt>
                <c:pt idx="340">
                  <c:v>0.44069088520076882</c:v>
                </c:pt>
                <c:pt idx="341">
                  <c:v>0.44074991391703916</c:v>
                </c:pt>
                <c:pt idx="342">
                  <c:v>0.44082721378361378</c:v>
                </c:pt>
                <c:pt idx="343">
                  <c:v>0.44090462332029878</c:v>
                </c:pt>
                <c:pt idx="344">
                  <c:v>0.4409815836299194</c:v>
                </c:pt>
                <c:pt idx="345">
                  <c:v>0.44105753355383587</c:v>
                </c:pt>
                <c:pt idx="346">
                  <c:v>0.44111427412060589</c:v>
                </c:pt>
                <c:pt idx="347">
                  <c:v>0.4411865062706728</c:v>
                </c:pt>
                <c:pt idx="348">
                  <c:v>0.4412560314918737</c:v>
                </c:pt>
                <c:pt idx="349">
                  <c:v>0.44132227987146583</c:v>
                </c:pt>
                <c:pt idx="350">
                  <c:v>0.44138466871480775</c:v>
                </c:pt>
                <c:pt idx="351">
                  <c:v>0.44142504471210925</c:v>
                </c:pt>
                <c:pt idx="352">
                  <c:v>0.44147869960402891</c:v>
                </c:pt>
                <c:pt idx="353">
                  <c:v>0.44152809273092297</c:v>
                </c:pt>
                <c:pt idx="354">
                  <c:v>0.44157333438062685</c:v>
                </c:pt>
                <c:pt idx="355">
                  <c:v>0.44161453508040249</c:v>
                </c:pt>
                <c:pt idx="356">
                  <c:v>0.44165180557803801</c:v>
                </c:pt>
                <c:pt idx="357">
                  <c:v>0.44168525682345067</c:v>
                </c:pt>
                <c:pt idx="358">
                  <c:v>0.44171499995079566</c:v>
                </c:pt>
                <c:pt idx="359">
                  <c:v>0.44174114626108202</c:v>
                </c:pt>
                <c:pt idx="360">
                  <c:v>0.44174613411962788</c:v>
                </c:pt>
                <c:pt idx="361">
                  <c:v>0.44176542007983399</c:v>
                </c:pt>
                <c:pt idx="362">
                  <c:v>0.44178144415645598</c:v>
                </c:pt>
                <c:pt idx="363">
                  <c:v>0.44179431814981174</c:v>
                </c:pt>
                <c:pt idx="364">
                  <c:v>0.44180415394773209</c:v>
                </c:pt>
                <c:pt idx="365">
                  <c:v>0.44181106351127158</c:v>
                </c:pt>
                <c:pt idx="366">
                  <c:v>0.44181515886094375</c:v>
                </c:pt>
                <c:pt idx="367">
                  <c:v>0.44181655206347581</c:v>
                </c:pt>
                <c:pt idx="368">
                  <c:v>0.44181535521908744</c:v>
                </c:pt>
                <c:pt idx="369">
                  <c:v>0.44181168044929386</c:v>
                </c:pt>
                <c:pt idx="370">
                  <c:v>0.44180563988523081</c:v>
                </c:pt>
                <c:pt idx="371">
                  <c:v>0.44179734565650491</c:v>
                </c:pt>
                <c:pt idx="372">
                  <c:v>0.44178690988056757</c:v>
                </c:pt>
                <c:pt idx="373">
                  <c:v>0.44177444465261323</c:v>
                </c:pt>
                <c:pt idx="374">
                  <c:v>0.44176006203600027</c:v>
                </c:pt>
                <c:pt idx="375">
                  <c:v>0.4417438740531956</c:v>
                </c:pt>
                <c:pt idx="376">
                  <c:v>0.44172599267724261</c:v>
                </c:pt>
                <c:pt idx="377">
                  <c:v>0.44170652982375014</c:v>
                </c:pt>
                <c:pt idx="378">
                  <c:v>0.44168559734340251</c:v>
                </c:pt>
                <c:pt idx="379">
                  <c:v>0.44166330701499118</c:v>
                </c:pt>
                <c:pt idx="380">
                  <c:v>0.44163977053896353</c:v>
                </c:pt>
                <c:pt idx="381">
                  <c:v>0.44161509953149269</c:v>
                </c:pt>
                <c:pt idx="382">
                  <c:v>0.44158940551906167</c:v>
                </c:pt>
                <c:pt idx="383">
                  <c:v>0.44158046037766013</c:v>
                </c:pt>
                <c:pt idx="384">
                  <c:v>0.44155305263054273</c:v>
                </c:pt>
                <c:pt idx="385">
                  <c:v>0.44152495581411322</c:v>
                </c:pt>
                <c:pt idx="386">
                  <c:v>0.44149628105964467</c:v>
                </c:pt>
                <c:pt idx="387">
                  <c:v>0.44146713938947812</c:v>
                </c:pt>
                <c:pt idx="388">
                  <c:v>0.44143764171468192</c:v>
                </c:pt>
                <c:pt idx="389">
                  <c:v>0.44140789839096156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41-4FFD-94FD-2E33F5F64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997792"/>
        <c:axId val="67399529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Verschiebung CFK</c:v>
                </c:tx>
                <c:spPr>
                  <a:ln w="25400" cap="rnd">
                    <a:solidFill>
                      <a:srgbClr val="0061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[3]!XAchse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'[3]Berechnung freier Bereich'!$BX$51:$BX$441</c15:sqref>
                        </c15:formulaRef>
                      </c:ext>
                    </c:extLst>
                    <c:numCache>
                      <c:formatCode>General</c:formatCode>
                      <c:ptCount val="391"/>
                      <c:pt idx="0">
                        <c:v>-4.7892329720364186E-5</c:v>
                      </c:pt>
                      <c:pt idx="1">
                        <c:v>-1.9156947934002811E-4</c:v>
                      </c:pt>
                      <c:pt idx="2">
                        <c:v>-4.3103176549524511E-4</c:v>
                      </c:pt>
                      <c:pt idx="3">
                        <c:v>-7.6627949196002635E-4</c:v>
                      </c:pt>
                      <c:pt idx="4">
                        <c:v>-1.1973129410437326E-3</c:v>
                      </c:pt>
                      <c:pt idx="5">
                        <c:v>-1.7241323649857172E-3</c:v>
                      </c:pt>
                      <c:pt idx="6">
                        <c:v>-2.3467379773470512E-3</c:v>
                      </c:pt>
                      <c:pt idx="7">
                        <c:v>-3.0651299443993727E-3</c:v>
                      </c:pt>
                      <c:pt idx="8">
                        <c:v>-3.8793083765109094E-3</c:v>
                      </c:pt>
                      <c:pt idx="9">
                        <c:v>-4.7892733195297379E-3</c:v>
                      </c:pt>
                      <c:pt idx="10">
                        <c:v>-5.7950247461643501E-3</c:v>
                      </c:pt>
                      <c:pt idx="11">
                        <c:v>-6.8965625473616154E-3</c:v>
                      </c:pt>
                      <c:pt idx="12">
                        <c:v>-8.0938865236822189E-3</c:v>
                      </c:pt>
                      <c:pt idx="13">
                        <c:v>-9.3869963766736939E-3</c:v>
                      </c:pt>
                      <c:pt idx="14">
                        <c:v>-1.0775891700241151E-2</c:v>
                      </c:pt>
                      <c:pt idx="15">
                        <c:v>-1.2260571972054574E-2</c:v>
                      </c:pt>
                      <c:pt idx="16">
                        <c:v>-1.3841036549449477E-2</c:v>
                      </c:pt>
                      <c:pt idx="17">
                        <c:v>-1.5517284686898945E-2</c:v>
                      </c:pt>
                      <c:pt idx="18">
                        <c:v>-1.7289315574831231E-2</c:v>
                      </c:pt>
                      <c:pt idx="19">
                        <c:v>-1.9157128382640838E-2</c:v>
                      </c:pt>
                      <c:pt idx="20">
                        <c:v>-2.1120722301626992E-2</c:v>
                      </c:pt>
                      <c:pt idx="21">
                        <c:v>-2.3180096587859456E-2</c:v>
                      </c:pt>
                      <c:pt idx="22">
                        <c:v>-2.5335250604972E-2</c:v>
                      </c:pt>
                      <c:pt idx="23">
                        <c:v>-2.758618386688402E-2</c:v>
                      </c:pt>
                      <c:pt idx="24">
                        <c:v>-2.9932896080451056E-2</c:v>
                      </c:pt>
                      <c:pt idx="25">
                        <c:v>-3.2375387188045279E-2</c:v>
                      </c:pt>
                      <c:pt idx="26">
                        <c:v>-3.4913657410067148E-2</c:v>
                      </c:pt>
                      <c:pt idx="27">
                        <c:v>-3.7547707287389855E-2</c:v>
                      </c:pt>
                      <c:pt idx="28">
                        <c:v>-4.0277537723738231E-2</c:v>
                      </c:pt>
                      <c:pt idx="29">
                        <c:v>-4.3103150028004182E-2</c:v>
                      </c:pt>
                      <c:pt idx="30">
                        <c:v>-4.6024545957050494E-2</c:v>
                      </c:pt>
                      <c:pt idx="31">
                        <c:v>-4.9041727744163419E-2</c:v>
                      </c:pt>
                      <c:pt idx="32">
                        <c:v>-5.2154698042939443E-2</c:v>
                      </c:pt>
                      <c:pt idx="33">
                        <c:v>-5.5363459783331209E-2</c:v>
                      </c:pt>
                      <c:pt idx="34">
                        <c:v>-5.8668016009024521E-2</c:v>
                      </c:pt>
                      <c:pt idx="35">
                        <c:v>-6.2068369713767883E-2</c:v>
                      </c:pt>
                      <c:pt idx="36">
                        <c:v>-6.5564523676653746E-2</c:v>
                      </c:pt>
                      <c:pt idx="37">
                        <c:v>-6.9156480296354253E-2</c:v>
                      </c:pt>
                      <c:pt idx="38">
                        <c:v>-7.2844241424318307E-2</c:v>
                      </c:pt>
                      <c:pt idx="39">
                        <c:v>-7.6627808196940497E-2</c:v>
                      </c:pt>
                      <c:pt idx="40">
                        <c:v>-8.0507180866716405E-2</c:v>
                      </c:pt>
                      <c:pt idx="41">
                        <c:v>-8.4482358632402846E-2</c:v>
                      </c:pt>
                      <c:pt idx="42">
                        <c:v>-8.8553339468205816E-2</c:v>
                      </c:pt>
                      <c:pt idx="43">
                        <c:v>-9.2720119952022756E-2</c:v>
                      </c:pt>
                      <c:pt idx="44">
                        <c:v>-9.6982695092770355E-2</c:v>
                      </c:pt>
                      <c:pt idx="45">
                        <c:v>-0.10134105815907449</c:v>
                      </c:pt>
                      <c:pt idx="46">
                        <c:v>-0.1057952005381754</c:v>
                      </c:pt>
                      <c:pt idx="47">
                        <c:v>-0.11034511169613322</c:v>
                      </c:pt>
                      <c:pt idx="48">
                        <c:v>-0.11499077922790182</c:v>
                      </c:pt>
                      <c:pt idx="49">
                        <c:v>-0.11973218892434895</c:v>
                      </c:pt>
                      <c:pt idx="50">
                        <c:v>-0.12456932483921651</c:v>
                      </c:pt>
                      <c:pt idx="51">
                        <c:v>-0.12950216935600531</c:v>
                      </c:pt>
                      <c:pt idx="52">
                        <c:v>-0.13453070325476843</c:v>
                      </c:pt>
                      <c:pt idx="53">
                        <c:v>-0.13965490577879894</c:v>
                      </c:pt>
                      <c:pt idx="54">
                        <c:v>-0.14487475470119729</c:v>
                      </c:pt>
                      <c:pt idx="55">
                        <c:v>-0.15019022639130547</c:v>
                      </c:pt>
                      <c:pt idx="56">
                        <c:v>-0.15560129588099461</c:v>
                      </c:pt>
                      <c:pt idx="57">
                        <c:v>-0.16110793693079403</c:v>
                      </c:pt>
                      <c:pt idx="58">
                        <c:v>-0.16671012209585015</c:v>
                      </c:pt>
                      <c:pt idx="59">
                        <c:v>-0.17240782279170427</c:v>
                      </c:pt>
                      <c:pt idx="60">
                        <c:v>-0.17820100935987879</c:v>
                      </c:pt>
                      <c:pt idx="61">
                        <c:v>-0.18408965113326234</c:v>
                      </c:pt>
                      <c:pt idx="62">
                        <c:v>-0.1900737165012846</c:v>
                      </c:pt>
                      <c:pt idx="63">
                        <c:v>-0.19615317297487236</c:v>
                      </c:pt>
                      <c:pt idx="64">
                        <c:v>-0.20232798725117887</c:v>
                      </c:pt>
                      <c:pt idx="65">
                        <c:v>-0.20859837189805563</c:v>
                      </c:pt>
                      <c:pt idx="66">
                        <c:v>-0.21496453870127666</c:v>
                      </c:pt>
                      <c:pt idx="67">
                        <c:v>-0.22142645210692641</c:v>
                      </c:pt>
                      <c:pt idx="68">
                        <c:v>-0.22798407600071854</c:v>
                      </c:pt>
                      <c:pt idx="69">
                        <c:v>-0.23463737377184588</c:v>
                      </c:pt>
                      <c:pt idx="70">
                        <c:v>-0.24138630837656769</c:v>
                      </c:pt>
                      <c:pt idx="71">
                        <c:v>-0.24823084240153045</c:v>
                      </c:pt>
                      <c:pt idx="72">
                        <c:v>-0.25517093812681896</c:v>
                      </c:pt>
                      <c:pt idx="73">
                        <c:v>-0.26220655758873501</c:v>
                      </c:pt>
                      <c:pt idx="74">
                        <c:v>-0.2693376626423018</c:v>
                      </c:pt>
                      <c:pt idx="75">
                        <c:v>-0.27656421502349204</c:v>
                      </c:pt>
                      <c:pt idx="76">
                        <c:v>-0.28388617641117958</c:v>
                      </c:pt>
                      <c:pt idx="77">
                        <c:v>-0.29130350848881303</c:v>
                      </c:pt>
                      <c:pt idx="78">
                        <c:v>-0.29881617300581254</c:v>
                      </c:pt>
                      <c:pt idx="79">
                        <c:v>-0.30642413183868955</c:v>
                      </c:pt>
                      <c:pt idx="80">
                        <c:v>-0.3141273470518911</c:v>
                      </c:pt>
                      <c:pt idx="81">
                        <c:v>-0.32192578095836993</c:v>
                      </c:pt>
                      <c:pt idx="82">
                        <c:v>-0.32981939617988315</c:v>
                      </c:pt>
                      <c:pt idx="83">
                        <c:v>-0.33780840255440181</c:v>
                      </c:pt>
                      <c:pt idx="84">
                        <c:v>-0.34589301024732094</c:v>
                      </c:pt>
                      <c:pt idx="85">
                        <c:v>-0.354073182965008</c:v>
                      </c:pt>
                      <c:pt idx="86">
                        <c:v>-0.36234888496419176</c:v>
                      </c:pt>
                      <c:pt idx="87">
                        <c:v>-0.37072008111128085</c:v>
                      </c:pt>
                      <c:pt idx="88">
                        <c:v>-0.37918673694143229</c:v>
                      </c:pt>
                      <c:pt idx="89">
                        <c:v>-0.3877488187173761</c:v>
                      </c:pt>
                      <c:pt idx="90">
                        <c:v>-0.39640629348800155</c:v>
                      </c:pt>
                      <c:pt idx="91">
                        <c:v>-0.4051591291467122</c:v>
                      </c:pt>
                      <c:pt idx="92">
                        <c:v>-0.41400729448955631</c:v>
                      </c:pt>
                      <c:pt idx="93">
                        <c:v>-0.42295075927313985</c:v>
                      </c:pt>
                      <c:pt idx="94">
                        <c:v>-0.43198949427199324</c:v>
                      </c:pt>
                      <c:pt idx="95">
                        <c:v>-0.44112347132224705</c:v>
                      </c:pt>
                      <c:pt idx="96">
                        <c:v>-0.45035266331416324</c:v>
                      </c:pt>
                      <c:pt idx="97">
                        <c:v>-0.45967704411624505</c:v>
                      </c:pt>
                      <c:pt idx="98">
                        <c:v>-0.46909658846665919</c:v>
                      </c:pt>
                      <c:pt idx="99">
                        <c:v>-0.47861127186234131</c:v>
                      </c:pt>
                      <c:pt idx="100">
                        <c:v>-0.48822107044778151</c:v>
                      </c:pt>
                      <c:pt idx="101">
                        <c:v>-0.49792596090347946</c:v>
                      </c:pt>
                      <c:pt idx="102">
                        <c:v>-0.50772592033406005</c:v>
                      </c:pt>
                      <c:pt idx="103">
                        <c:v>-0.51762092615604338</c:v>
                      </c:pt>
                      <c:pt idx="104">
                        <c:v>-0.52761095598526253</c:v>
                      </c:pt>
                      <c:pt idx="105">
                        <c:v>-0.53769598752392678</c:v>
                      </c:pt>
                      <c:pt idx="106">
                        <c:v>-0.54787599844732759</c:v>
                      </c:pt>
                      <c:pt idx="107">
                        <c:v>-0.55815121336642626</c:v>
                      </c:pt>
                      <c:pt idx="108">
                        <c:v>-0.56852185657393761</c:v>
                      </c:pt>
                      <c:pt idx="109">
                        <c:v>-0.57898790485257079</c:v>
                      </c:pt>
                      <c:pt idx="110">
                        <c:v>-0.58954933449875335</c:v>
                      </c:pt>
                      <c:pt idx="111">
                        <c:v>-0.6002061212069526</c:v>
                      </c:pt>
                      <c:pt idx="112">
                        <c:v>-0.61095823995366572</c:v>
                      </c:pt>
                      <c:pt idx="113">
                        <c:v>-0.62180566488109135</c:v>
                      </c:pt>
                      <c:pt idx="114">
                        <c:v>-0.63274836918049493</c:v>
                      </c:pt>
                      <c:pt idx="115">
                        <c:v>-0.64378632497528321</c:v>
                      </c:pt>
                      <c:pt idx="116">
                        <c:v>-0.65491950320380454</c:v>
                      </c:pt>
                      <c:pt idx="117">
                        <c:v>-0.66614787350189475</c:v>
                      </c:pt>
                      <c:pt idx="118">
                        <c:v>-0.67747140408518858</c:v>
                      </c:pt>
                      <c:pt idx="119">
                        <c:v>-0.6888900616312208</c:v>
                      </c:pt>
                      <c:pt idx="120">
                        <c:v>-0.70040381116134087</c:v>
                      </c:pt>
                      <c:pt idx="121">
                        <c:v>-0.71201261592246867</c:v>
                      </c:pt>
                      <c:pt idx="122">
                        <c:v>-0.72371643726872081</c:v>
                      </c:pt>
                      <c:pt idx="123">
                        <c:v>-0.73551523454293799</c:v>
                      </c:pt>
                      <c:pt idx="124">
                        <c:v>-0.74740896495814624</c:v>
                      </c:pt>
                      <c:pt idx="125">
                        <c:v>-0.75939758347898845</c:v>
                      </c:pt>
                      <c:pt idx="126">
                        <c:v>-0.7714810427031622</c:v>
                      </c:pt>
                      <c:pt idx="127">
                        <c:v>-0.78365929274290369</c:v>
                      </c:pt>
                      <c:pt idx="128">
                        <c:v>-0.79593252827753036</c:v>
                      </c:pt>
                      <c:pt idx="129">
                        <c:v>-0.80830094110723705</c:v>
                      </c:pt>
                      <c:pt idx="130">
                        <c:v>-0.82076447285602117</c:v>
                      </c:pt>
                      <c:pt idx="131">
                        <c:v>-0.8333230621733887</c:v>
                      </c:pt>
                      <c:pt idx="132">
                        <c:v>-0.84597664461608968</c:v>
                      </c:pt>
                      <c:pt idx="133">
                        <c:v>-0.85872515253018056</c:v>
                      </c:pt>
                      <c:pt idx="134">
                        <c:v>-0.87156851493346799</c:v>
                      </c:pt>
                      <c:pt idx="135">
                        <c:v>-0.88450665739838918</c:v>
                      </c:pt>
                      <c:pt idx="136">
                        <c:v>-0.89753950193538712</c:v>
                      </c:pt>
                      <c:pt idx="137">
                        <c:v>-0.9106669668768399</c:v>
                      </c:pt>
                      <c:pt idx="138">
                        <c:v>-0.92388921407819968</c:v>
                      </c:pt>
                      <c:pt idx="139">
                        <c:v>-0.93720640123342858</c:v>
                      </c:pt>
                      <c:pt idx="140">
                        <c:v>-0.95061843443316318</c:v>
                      </c:pt>
                      <c:pt idx="141">
                        <c:v>-0.96412521560977005</c:v>
                      </c:pt>
                      <c:pt idx="142">
                        <c:v>-0.97772664242440332</c:v>
                      </c:pt>
                      <c:pt idx="143">
                        <c:v>-0.99142260815502004</c:v>
                      </c:pt>
                      <c:pt idx="144">
                        <c:v>-1.0052130015854253</c:v>
                      </c:pt>
                      <c:pt idx="145">
                        <c:v>-1.0190979543150096</c:v>
                      </c:pt>
                      <c:pt idx="146">
                        <c:v>-1.033077592889585</c:v>
                      </c:pt>
                      <c:pt idx="147">
                        <c:v>-1.0471517912609998</c:v>
                      </c:pt>
                      <c:pt idx="148">
                        <c:v>-1.0613204184278924</c:v>
                      </c:pt>
                      <c:pt idx="149">
                        <c:v>-1.075583338330474</c:v>
                      </c:pt>
                      <c:pt idx="150">
                        <c:v>-1.0899406574618387</c:v>
                      </c:pt>
                      <c:pt idx="151">
                        <c:v>-1.104392476667525</c:v>
                      </c:pt>
                      <c:pt idx="152">
                        <c:v>-1.1189386433611248</c:v>
                      </c:pt>
                      <c:pt idx="153">
                        <c:v>-1.1335789995723451</c:v>
                      </c:pt>
                      <c:pt idx="154">
                        <c:v>-1.1483133818848146</c:v>
                      </c:pt>
                      <c:pt idx="155">
                        <c:v>-1.1631418690073283</c:v>
                      </c:pt>
                      <c:pt idx="156">
                        <c:v>-1.1780645335904099</c:v>
                      </c:pt>
                      <c:pt idx="157">
                        <c:v>-1.1930811945224495</c:v>
                      </c:pt>
                      <c:pt idx="158">
                        <c:v>-1.2081916649841919</c:v>
                      </c:pt>
                      <c:pt idx="159">
                        <c:v>-1.2233960001093778</c:v>
                      </c:pt>
                      <c:pt idx="160">
                        <c:v>-1.2386942486591181</c:v>
                      </c:pt>
                      <c:pt idx="161">
                        <c:v>-1.2540862052433646</c:v>
                      </c:pt>
                      <c:pt idx="162">
                        <c:v>-1.2695719066750948</c:v>
                      </c:pt>
                      <c:pt idx="163">
                        <c:v>-1.2851513831679804</c:v>
                      </c:pt>
                      <c:pt idx="164">
                        <c:v>-1.3008244101352391</c:v>
                      </c:pt>
                      <c:pt idx="165">
                        <c:v>-1.3165907568908748</c:v>
                      </c:pt>
                      <c:pt idx="166">
                        <c:v>-1.3324504343577352</c:v>
                      </c:pt>
                      <c:pt idx="167">
                        <c:v>-1.348403446597924</c:v>
                      </c:pt>
                      <c:pt idx="168">
                        <c:v>-1.3644495430174575</c:v>
                      </c:pt>
                      <c:pt idx="169">
                        <c:v>-1.3805887145561082</c:v>
                      </c:pt>
                      <c:pt idx="170">
                        <c:v>-1.396820945110272</c:v>
                      </c:pt>
                      <c:pt idx="171">
                        <c:v>-1.4131462121686742</c:v>
                      </c:pt>
                      <c:pt idx="172">
                        <c:v>-1.4295644860528558</c:v>
                      </c:pt>
                      <c:pt idx="173">
                        <c:v>-1.4460754813996974</c:v>
                      </c:pt>
                      <c:pt idx="174">
                        <c:v>-1.4626791546530988</c:v>
                      </c:pt>
                      <c:pt idx="175">
                        <c:v>-1.4793754549441578</c:v>
                      </c:pt>
                      <c:pt idx="176">
                        <c:v>-1.4961643245543874</c:v>
                      </c:pt>
                      <c:pt idx="177">
                        <c:v>-1.5130456983544325</c:v>
                      </c:pt>
                      <c:pt idx="178">
                        <c:v>-1.5300192550333469</c:v>
                      </c:pt>
                      <c:pt idx="179">
                        <c:v>-1.5470849149469248</c:v>
                      </c:pt>
                      <c:pt idx="180">
                        <c:v>-1.5642425909364925</c:v>
                      </c:pt>
                      <c:pt idx="181">
                        <c:v>-1.5814921886095643</c:v>
                      </c:pt>
                      <c:pt idx="182">
                        <c:v>-1.5988336059901691</c:v>
                      </c:pt>
                      <c:pt idx="183">
                        <c:v>-1.6162667337262073</c:v>
                      </c:pt>
                      <c:pt idx="184">
                        <c:v>-1.633791454825428</c:v>
                      </c:pt>
                      <c:pt idx="185">
                        <c:v>-1.6514076447879613</c:v>
                      </c:pt>
                      <c:pt idx="186">
                        <c:v>-1.6691151714299393</c:v>
                      </c:pt>
                      <c:pt idx="187">
                        <c:v>-1.6869138949397748</c:v>
                      </c:pt>
                      <c:pt idx="188">
                        <c:v>-1.7048036677912901</c:v>
                      </c:pt>
                      <c:pt idx="189">
                        <c:v>-1.7227843347224174</c:v>
                      </c:pt>
                      <c:pt idx="190">
                        <c:v>-1.7408557327395613</c:v>
                      </c:pt>
                      <c:pt idx="191">
                        <c:v>-1.7590176910175017</c:v>
                      </c:pt>
                      <c:pt idx="192">
                        <c:v>-1.7772700309965725</c:v>
                      </c:pt>
                      <c:pt idx="193">
                        <c:v>-1.7956128170702306</c:v>
                      </c:pt>
                      <c:pt idx="194">
                        <c:v>-1.8140461046132752</c:v>
                      </c:pt>
                      <c:pt idx="195">
                        <c:v>-1.8325694405770796</c:v>
                      </c:pt>
                      <c:pt idx="196">
                        <c:v>-1.8511826147464576</c:v>
                      </c:pt>
                      <c:pt idx="197">
                        <c:v>-1.869885409203726</c:v>
                      </c:pt>
                      <c:pt idx="198">
                        <c:v>-1.8886778491012928</c:v>
                      </c:pt>
                      <c:pt idx="199">
                        <c:v>-1.9075599505143577</c:v>
                      </c:pt>
                      <c:pt idx="200">
                        <c:v>-1.9265312200174589</c:v>
                      </c:pt>
                      <c:pt idx="201">
                        <c:v>-1.9455916555769348</c:v>
                      </c:pt>
                      <c:pt idx="202">
                        <c:v>-1.9647412397977131</c:v>
                      </c:pt>
                      <c:pt idx="203">
                        <c:v>-1.983979437703014</c:v>
                      </c:pt>
                      <c:pt idx="204">
                        <c:v>-2.0033062000314747</c:v>
                      </c:pt>
                      <c:pt idx="205">
                        <c:v>-2.0227214581306128</c:v>
                      </c:pt>
                      <c:pt idx="206">
                        <c:v>-2.0422248726424153</c:v>
                      </c:pt>
                      <c:pt idx="207">
                        <c:v>-2.0618160841513804</c:v>
                      </c:pt>
                      <c:pt idx="208">
                        <c:v>-2.0814949625075503</c:v>
                      </c:pt>
                      <c:pt idx="209">
                        <c:v>-2.1012613533657483</c:v>
                      </c:pt>
                      <c:pt idx="210">
                        <c:v>-2.1211148263707207</c:v>
                      </c:pt>
                      <c:pt idx="211">
                        <c:v>-2.1410551771501365</c:v>
                      </c:pt>
                      <c:pt idx="212">
                        <c:v>-2.1610819237067482</c:v>
                      </c:pt>
                      <c:pt idx="213">
                        <c:v>-2.1811948065537967</c:v>
                      </c:pt>
                      <c:pt idx="214">
                        <c:v>-2.2013935365318371</c:v>
                      </c:pt>
                      <c:pt idx="215">
                        <c:v>-2.2216777942235781</c:v>
                      </c:pt>
                      <c:pt idx="216">
                        <c:v>-2.2420472286130604</c:v>
                      </c:pt>
                      <c:pt idx="217">
                        <c:v>-2.2625012051723803</c:v>
                      </c:pt>
                      <c:pt idx="218">
                        <c:v>-2.2830393068804247</c:v>
                      </c:pt>
                      <c:pt idx="219">
                        <c:v>-2.3036613324605648</c:v>
                      </c:pt>
                      <c:pt idx="220">
                        <c:v>-2.3243667953192411</c:v>
                      </c:pt>
                      <c:pt idx="221">
                        <c:v>-2.3451551719067476</c:v>
                      </c:pt>
                      <c:pt idx="222">
                        <c:v>-2.3660261515866852</c:v>
                      </c:pt>
                      <c:pt idx="223">
                        <c:v>-2.3869791368106328</c:v>
                      </c:pt>
                      <c:pt idx="224">
                        <c:v>-2.4080134923755807</c:v>
                      </c:pt>
                      <c:pt idx="225">
                        <c:v>-2.4291287933630681</c:v>
                      </c:pt>
                      <c:pt idx="226">
                        <c:v>-2.4503243285603902</c:v>
                      </c:pt>
                      <c:pt idx="227">
                        <c:v>-2.4715993462209047</c:v>
                      </c:pt>
                      <c:pt idx="228">
                        <c:v>-2.4929533034369196</c:v>
                      </c:pt>
                      <c:pt idx="229">
                        <c:v>-2.5143856177547734</c:v>
                      </c:pt>
                      <c:pt idx="230">
                        <c:v>-2.5358956675132398</c:v>
                      </c:pt>
                      <c:pt idx="231">
                        <c:v>-2.5574827914837357</c:v>
                      </c:pt>
                      <c:pt idx="232">
                        <c:v>-2.5791462899743722</c:v>
                      </c:pt>
                      <c:pt idx="233">
                        <c:v>-2.6008854242743533</c:v>
                      </c:pt>
                      <c:pt idx="234">
                        <c:v>-2.6226994185421613</c:v>
                      </c:pt>
                      <c:pt idx="235">
                        <c:v>-2.6445874590457383</c:v>
                      </c:pt>
                      <c:pt idx="236">
                        <c:v>-2.6665486968377539</c:v>
                      </c:pt>
                      <c:pt idx="237">
                        <c:v>-2.688582246780181</c:v>
                      </c:pt>
                      <c:pt idx="238">
                        <c:v>-2.7106874304065998</c:v>
                      </c:pt>
                      <c:pt idx="239">
                        <c:v>-2.7328632958904002</c:v>
                      </c:pt>
                      <c:pt idx="240">
                        <c:v>-2.7551088625102014</c:v>
                      </c:pt>
                      <c:pt idx="241">
                        <c:v>-2.7774233808579374</c:v>
                      </c:pt>
                      <c:pt idx="242">
                        <c:v>-2.7998061152060796</c:v>
                      </c:pt>
                      <c:pt idx="243">
                        <c:v>-2.8222561143905507</c:v>
                      </c:pt>
                      <c:pt idx="244">
                        <c:v>-2.844772451043506</c:v>
                      </c:pt>
                      <c:pt idx="245">
                        <c:v>-2.8673544604578689</c:v>
                      </c:pt>
                      <c:pt idx="246">
                        <c:v>-2.8900015067423479</c:v>
                      </c:pt>
                      <c:pt idx="247">
                        <c:v>-2.9127127508140815</c:v>
                      </c:pt>
                      <c:pt idx="248">
                        <c:v>-2.9354873859560713</c:v>
                      </c:pt>
                      <c:pt idx="249">
                        <c:v>-2.9583248735269314</c:v>
                      </c:pt>
                      <c:pt idx="250">
                        <c:v>-2.9812247107090859</c:v>
                      </c:pt>
                      <c:pt idx="251">
                        <c:v>-3.0041864319084337</c:v>
                      </c:pt>
                      <c:pt idx="252">
                        <c:v>-3.0272093752122879</c:v>
                      </c:pt>
                      <c:pt idx="253">
                        <c:v>-3.0502929172143354</c:v>
                      </c:pt>
                      <c:pt idx="254">
                        <c:v>-3.0734367088197097</c:v>
                      </c:pt>
                      <c:pt idx="255">
                        <c:v>-3.0966402067699135</c:v>
                      </c:pt>
                      <c:pt idx="256">
                        <c:v>-3.1199029087348413</c:v>
                      </c:pt>
                      <c:pt idx="257">
                        <c:v>-3.1432245899510529</c:v>
                      </c:pt>
                      <c:pt idx="258">
                        <c:v>-3.1666048317548836</c:v>
                      </c:pt>
                      <c:pt idx="259">
                        <c:v>-3.1900432585811864</c:v>
                      </c:pt>
                      <c:pt idx="260">
                        <c:v>-3.2135395373435989</c:v>
                      </c:pt>
                      <c:pt idx="261">
                        <c:v>-3.2370933793991381</c:v>
                      </c:pt>
                      <c:pt idx="262">
                        <c:v>-3.26070453918615</c:v>
                      </c:pt>
                      <c:pt idx="263">
                        <c:v>-3.2843728170425397</c:v>
                      </c:pt>
                      <c:pt idx="264">
                        <c:v>-3.3080980570677516</c:v>
                      </c:pt>
                      <c:pt idx="265">
                        <c:v>-3.3318799055703101</c:v>
                      </c:pt>
                      <c:pt idx="266">
                        <c:v>-3.3557182987568788</c:v>
                      </c:pt>
                      <c:pt idx="267">
                        <c:v>-3.3796132176579046</c:v>
                      </c:pt>
                      <c:pt idx="268">
                        <c:v>-3.4035644428591687</c:v>
                      </c:pt>
                      <c:pt idx="269">
                        <c:v>-3.4275720513986569</c:v>
                      </c:pt>
                      <c:pt idx="270">
                        <c:v>-3.4516361665480528</c:v>
                      </c:pt>
                      <c:pt idx="271">
                        <c:v>-3.4757567067393045</c:v>
                      </c:pt>
                      <c:pt idx="272">
                        <c:v>-3.4999336363313951</c:v>
                      </c:pt>
                      <c:pt idx="273">
                        <c:v>-3.524166965816161</c:v>
                      </c:pt>
                      <c:pt idx="274">
                        <c:v>-3.5484567515793417</c:v>
                      </c:pt>
                      <c:pt idx="275">
                        <c:v>-3.5728030938618045</c:v>
                      </c:pt>
                      <c:pt idx="276">
                        <c:v>-3.5972061346804876</c:v>
                      </c:pt>
                      <c:pt idx="277">
                        <c:v>-3.6216660574841604</c:v>
                      </c:pt>
                      <c:pt idx="278">
                        <c:v>-3.6461830872185064</c:v>
                      </c:pt>
                      <c:pt idx="279">
                        <c:v>-3.6707574903511704</c:v>
                      </c:pt>
                      <c:pt idx="280">
                        <c:v>-3.69538957484066</c:v>
                      </c:pt>
                      <c:pt idx="281">
                        <c:v>-3.720079549267449</c:v>
                      </c:pt>
                      <c:pt idx="282">
                        <c:v>-3.7448276613680562</c:v>
                      </c:pt>
                      <c:pt idx="283">
                        <c:v>-3.7696341946943646</c:v>
                      </c:pt>
                      <c:pt idx="284">
                        <c:v>-3.7944994706465764</c:v>
                      </c:pt>
                      <c:pt idx="285">
                        <c:v>-3.8194236987311085</c:v>
                      </c:pt>
                      <c:pt idx="286">
                        <c:v>-3.8444071218031577</c:v>
                      </c:pt>
                      <c:pt idx="287">
                        <c:v>-3.869450157964589</c:v>
                      </c:pt>
                      <c:pt idx="288">
                        <c:v>-3.8945532579525284</c:v>
                      </c:pt>
                      <c:pt idx="289">
                        <c:v>-3.919716747176909</c:v>
                      </c:pt>
                      <c:pt idx="290">
                        <c:v>-3.9449408231327681</c:v>
                      </c:pt>
                      <c:pt idx="291">
                        <c:v>-3.9702258537990915</c:v>
                      </c:pt>
                      <c:pt idx="292">
                        <c:v>-3.9955720685909819</c:v>
                      </c:pt>
                      <c:pt idx="293">
                        <c:v>-4.0209798619224753</c:v>
                      </c:pt>
                      <c:pt idx="294">
                        <c:v>-4.0464496172796904</c:v>
                      </c:pt>
                      <c:pt idx="295">
                        <c:v>-4.0719813814667072</c:v>
                      </c:pt>
                      <c:pt idx="296">
                        <c:v>-4.0975753355393794</c:v>
                      </c:pt>
                      <c:pt idx="297">
                        <c:v>-4.1232316405176084</c:v>
                      </c:pt>
                      <c:pt idx="298">
                        <c:v>-4.1489504426999835</c:v>
                      </c:pt>
                      <c:pt idx="299">
                        <c:v>-4.1747318759874856</c:v>
                      </c:pt>
                      <c:pt idx="300">
                        <c:v>-4.200575905660016</c:v>
                      </c:pt>
                      <c:pt idx="301">
                        <c:v>-4.226482652048035</c:v>
                      </c:pt>
                      <c:pt idx="302">
                        <c:v>-4.2524522321677791</c:v>
                      </c:pt>
                      <c:pt idx="303">
                        <c:v>-4.2784846009805539</c:v>
                      </c:pt>
                      <c:pt idx="304">
                        <c:v>-4.3045797139287041</c:v>
                      </c:pt>
                      <c:pt idx="305">
                        <c:v>-4.3307375279309559</c:v>
                      </c:pt>
                      <c:pt idx="306">
                        <c:v>-4.3569580017944709</c:v>
                      </c:pt>
                      <c:pt idx="307">
                        <c:v>-4.3832410960342143</c:v>
                      </c:pt>
                      <c:pt idx="308">
                        <c:v>-4.4095869336826388</c:v>
                      </c:pt>
                      <c:pt idx="309">
                        <c:v>-4.4359956372174967</c:v>
                      </c:pt>
                      <c:pt idx="310">
                        <c:v>-4.4624671652983698</c:v>
                      </c:pt>
                      <c:pt idx="311">
                        <c:v>-4.4890014738027757</c:v>
                      </c:pt>
                      <c:pt idx="312">
                        <c:v>-4.5155985161286516</c:v>
                      </c:pt>
                      <c:pt idx="313">
                        <c:v>-4.5422582433398775</c:v>
                      </c:pt>
                      <c:pt idx="314">
                        <c:v>-4.5689806042090897</c:v>
                      </c:pt>
                      <c:pt idx="315">
                        <c:v>-4.5957655452605763</c:v>
                      </c:pt>
                      <c:pt idx="316">
                        <c:v>-4.6226130108132466</c:v>
                      </c:pt>
                      <c:pt idx="317">
                        <c:v>-4.6495229430236407</c:v>
                      </c:pt>
                      <c:pt idx="318">
                        <c:v>-4.6764954437467949</c:v>
                      </c:pt>
                      <c:pt idx="319">
                        <c:v>-4.7035306125953005</c:v>
                      </c:pt>
                      <c:pt idx="320">
                        <c:v>-4.7306283851592363</c:v>
                      </c:pt>
                      <c:pt idx="321">
                        <c:v>-4.7577886950280108</c:v>
                      </c:pt>
                      <c:pt idx="322">
                        <c:v>-4.7850114738335954</c:v>
                      </c:pt>
                      <c:pt idx="323">
                        <c:v>-4.8122966512937078</c:v>
                      </c:pt>
                      <c:pt idx="324">
                        <c:v>-4.8396441552549323</c:v>
                      </c:pt>
                      <c:pt idx="325">
                        <c:v>-4.8670540738528869</c:v>
                      </c:pt>
                      <c:pt idx="326">
                        <c:v>-4.8945264932350758</c:v>
                      </c:pt>
                      <c:pt idx="327">
                        <c:v>-4.92206133548203</c:v>
                      </c:pt>
                      <c:pt idx="328">
                        <c:v>-4.9496585209656603</c:v>
                      </c:pt>
                      <c:pt idx="329">
                        <c:v>-4.9773179683920645</c:v>
                      </c:pt>
                      <c:pt idx="330">
                        <c:v>-5.0050395948441837</c:v>
                      </c:pt>
                      <c:pt idx="331">
                        <c:v>-5.0328233158243005</c:v>
                      </c:pt>
                      <c:pt idx="332">
                        <c:v>-5.0606692074791431</c:v>
                      </c:pt>
                      <c:pt idx="333">
                        <c:v>-5.0885773442243663</c:v>
                      </c:pt>
                      <c:pt idx="334">
                        <c:v>-5.1165476365998908</c:v>
                      </c:pt>
                      <c:pt idx="335">
                        <c:v>-5.1445799937255821</c:v>
                      </c:pt>
                      <c:pt idx="336">
                        <c:v>-5.1726743233429895</c:v>
                      </c:pt>
                      <c:pt idx="337">
                        <c:v>-5.2008306944178431</c:v>
                      </c:pt>
                      <c:pt idx="338">
                        <c:v>-5.229049174364933</c:v>
                      </c:pt>
                      <c:pt idx="339">
                        <c:v>-5.2573296665248375</c:v>
                      </c:pt>
                      <c:pt idx="340">
                        <c:v>-5.2856720730178761</c:v>
                      </c:pt>
                      <c:pt idx="341">
                        <c:v>-5.3140762947848277</c:v>
                      </c:pt>
                      <c:pt idx="342">
                        <c:v>-5.3425423944796488</c:v>
                      </c:pt>
                      <c:pt idx="343">
                        <c:v>-5.3710704333837773</c:v>
                      </c:pt>
                      <c:pt idx="344">
                        <c:v>-5.3996603085909145</c:v>
                      </c:pt>
                      <c:pt idx="345">
                        <c:v>-5.4283119161697488</c:v>
                      </c:pt>
                      <c:pt idx="346">
                        <c:v>-5.4570251512034247</c:v>
                      </c:pt>
                      <c:pt idx="347">
                        <c:v>-5.4858000708964312</c:v>
                      </c:pt>
                      <c:pt idx="348">
                        <c:v>-5.5146367312563047</c:v>
                      </c:pt>
                      <c:pt idx="349">
                        <c:v>-5.5435350240620975</c:v>
                      </c:pt>
                      <c:pt idx="350">
                        <c:v>-5.5724948402574892</c:v>
                      </c:pt>
                      <c:pt idx="351">
                        <c:v>-5.6015160699888318</c:v>
                      </c:pt>
                      <c:pt idx="352">
                        <c:v>-5.6305987658612517</c:v>
                      </c:pt>
                      <c:pt idx="353">
                        <c:v>-5.6597429794546752</c:v>
                      </c:pt>
                      <c:pt idx="354">
                        <c:v>-5.6889485981405983</c:v>
                      </c:pt>
                      <c:pt idx="355">
                        <c:v>-5.7182155086383393</c:v>
                      </c:pt>
                      <c:pt idx="356">
                        <c:v>-5.7475437606795046</c:v>
                      </c:pt>
                      <c:pt idx="357">
                        <c:v>-5.7769334031033708</c:v>
                      </c:pt>
                      <c:pt idx="358">
                        <c:v>-5.8063843202631817</c:v>
                      </c:pt>
                      <c:pt idx="359">
                        <c:v>-5.8358963960009005</c:v>
                      </c:pt>
                      <c:pt idx="360">
                        <c:v>-5.865469677694926</c:v>
                      </c:pt>
                      <c:pt idx="361">
                        <c:v>-5.8951042119611961</c:v>
                      </c:pt>
                      <c:pt idx="362">
                        <c:v>-5.9247998806739961</c:v>
                      </c:pt>
                      <c:pt idx="363">
                        <c:v>-5.9545565653327168</c:v>
                      </c:pt>
                      <c:pt idx="364">
                        <c:v>-5.9843743114731094</c:v>
                      </c:pt>
                      <c:pt idx="365">
                        <c:v>-6.0142531639950807</c:v>
                      </c:pt>
                      <c:pt idx="366">
                        <c:v>-6.044193002817611</c:v>
                      </c:pt>
                      <c:pt idx="367">
                        <c:v>-6.0741937076164536</c:v>
                      </c:pt>
                      <c:pt idx="368">
                        <c:v>-6.1042551578565929</c:v>
                      </c:pt>
                      <c:pt idx="369">
                        <c:v>-6.134377397218346</c:v>
                      </c:pt>
                      <c:pt idx="370">
                        <c:v>-6.1645604689006506</c:v>
                      </c:pt>
                      <c:pt idx="371">
                        <c:v>-6.1948042512580228</c:v>
                      </c:pt>
                      <c:pt idx="372">
                        <c:v>-6.2251086225596239</c:v>
                      </c:pt>
                      <c:pt idx="373">
                        <c:v>-6.2554736257511347</c:v>
                      </c:pt>
                      <c:pt idx="374">
                        <c:v>-6.2858993034153752</c:v>
                      </c:pt>
                      <c:pt idx="375">
                        <c:v>-6.3163855330710224</c:v>
                      </c:pt>
                      <c:pt idx="376">
                        <c:v>-6.3469321922718747</c:v>
                      </c:pt>
                      <c:pt idx="377">
                        <c:v>-6.3775393237020284</c:v>
                      </c:pt>
                      <c:pt idx="378">
                        <c:v>-6.4082069697975621</c:v>
                      </c:pt>
                      <c:pt idx="379">
                        <c:v>-6.4389350077094702</c:v>
                      </c:pt>
                      <c:pt idx="380">
                        <c:v>-6.4697233147393893</c:v>
                      </c:pt>
                      <c:pt idx="381">
                        <c:v>-6.5005719337707779</c:v>
                      </c:pt>
                      <c:pt idx="382">
                        <c:v>-6.5314809075502236</c:v>
                      </c:pt>
                      <c:pt idx="383">
                        <c:v>-6.5624501133119058</c:v>
                      </c:pt>
                      <c:pt idx="384">
                        <c:v>-6.593479428551241</c:v>
                      </c:pt>
                      <c:pt idx="385">
                        <c:v>-6.6245688967998761</c:v>
                      </c:pt>
                      <c:pt idx="386">
                        <c:v>-6.6557185615600618</c:v>
                      </c:pt>
                      <c:pt idx="387">
                        <c:v>-6.6869283005828732</c:v>
                      </c:pt>
                      <c:pt idx="388">
                        <c:v>-6.7181979919863748</c:v>
                      </c:pt>
                      <c:pt idx="389">
                        <c:v>-6.7495276803817807</c:v>
                      </c:pt>
                      <c:pt idx="39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B741-4FFD-94FD-2E33F5F645D7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'[3]Berechnung freier Bereich'!$CQ$44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rgbClr val="FF313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'[3]Berechnung freier Bereich'!$B$51:$B$441</c15:sqref>
                        </c15:formulaRef>
                      </c:ext>
                    </c:extLst>
                    <c:numCache>
                      <c:formatCode>General</c:formatCode>
                      <c:ptCount val="39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  <c:pt idx="361">
                        <c:v>361</c:v>
                      </c:pt>
                      <c:pt idx="362">
                        <c:v>362</c:v>
                      </c:pt>
                      <c:pt idx="363">
                        <c:v>363</c:v>
                      </c:pt>
                      <c:pt idx="364">
                        <c:v>364</c:v>
                      </c:pt>
                      <c:pt idx="365">
                        <c:v>365</c:v>
                      </c:pt>
                      <c:pt idx="366">
                        <c:v>366</c:v>
                      </c:pt>
                      <c:pt idx="367">
                        <c:v>367</c:v>
                      </c:pt>
                      <c:pt idx="368">
                        <c:v>368</c:v>
                      </c:pt>
                      <c:pt idx="369">
                        <c:v>369</c:v>
                      </c:pt>
                      <c:pt idx="370">
                        <c:v>370</c:v>
                      </c:pt>
                      <c:pt idx="371">
                        <c:v>371</c:v>
                      </c:pt>
                      <c:pt idx="372">
                        <c:v>372</c:v>
                      </c:pt>
                      <c:pt idx="373">
                        <c:v>373</c:v>
                      </c:pt>
                      <c:pt idx="374">
                        <c:v>374</c:v>
                      </c:pt>
                      <c:pt idx="375">
                        <c:v>375</c:v>
                      </c:pt>
                      <c:pt idx="376">
                        <c:v>376</c:v>
                      </c:pt>
                      <c:pt idx="377">
                        <c:v>377</c:v>
                      </c:pt>
                      <c:pt idx="378">
                        <c:v>378</c:v>
                      </c:pt>
                      <c:pt idx="379">
                        <c:v>379</c:v>
                      </c:pt>
                      <c:pt idx="380">
                        <c:v>380</c:v>
                      </c:pt>
                      <c:pt idx="381">
                        <c:v>381</c:v>
                      </c:pt>
                      <c:pt idx="382">
                        <c:v>382</c:v>
                      </c:pt>
                      <c:pt idx="383">
                        <c:v>383</c:v>
                      </c:pt>
                      <c:pt idx="384">
                        <c:v>384</c:v>
                      </c:pt>
                      <c:pt idx="385">
                        <c:v>385</c:v>
                      </c:pt>
                      <c:pt idx="386">
                        <c:v>386</c:v>
                      </c:pt>
                      <c:pt idx="387">
                        <c:v>387</c:v>
                      </c:pt>
                      <c:pt idx="388">
                        <c:v>388</c:v>
                      </c:pt>
                      <c:pt idx="389">
                        <c:v>389</c:v>
                      </c:pt>
                      <c:pt idx="390">
                        <c:v>390.3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'[3]Berechnung freier Bereich'!$CQ$51:$CQ$441</c15:sqref>
                        </c15:formulaRef>
                      </c:ext>
                    </c:extLst>
                    <c:numCache>
                      <c:formatCode>General</c:formatCode>
                      <c:ptCount val="39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741-4FFD-94FD-2E33F5F645D7}"/>
                  </c:ext>
                </c:extLst>
              </c15:ser>
            </c15:filteredScatterSeries>
          </c:ext>
        </c:extLst>
      </c:scatterChart>
      <c:valAx>
        <c:axId val="1666875375"/>
        <c:scaling>
          <c:orientation val="minMax"/>
          <c:max val="412.9129999999999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x-Achse [mm]</a:t>
                </a:r>
              </a:p>
            </c:rich>
          </c:tx>
          <c:layout>
            <c:manualLayout>
              <c:xMode val="edge"/>
              <c:yMode val="edge"/>
              <c:x val="0.44486666968582872"/>
              <c:y val="0.945554761839957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930934719"/>
        <c:crosses val="autoZero"/>
        <c:crossBetween val="midCat"/>
      </c:valAx>
      <c:valAx>
        <c:axId val="1930934719"/>
        <c:scaling>
          <c:orientation val="minMax"/>
          <c:max val="160.84299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Radius [mm]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66875375"/>
        <c:crosses val="autoZero"/>
        <c:crossBetween val="midCat"/>
      </c:valAx>
      <c:valAx>
        <c:axId val="673995296"/>
        <c:scaling>
          <c:orientation val="minMax"/>
          <c:max val="0.8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Faservolumengehalt</a:t>
                </a:r>
              </a:p>
            </c:rich>
          </c:tx>
          <c:layout>
            <c:manualLayout>
              <c:xMode val="edge"/>
              <c:yMode val="edge"/>
              <c:x val="0.85563592930952237"/>
              <c:y val="0.361663759134077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3997792"/>
        <c:crosses val="max"/>
        <c:crossBetween val="midCat"/>
      </c:valAx>
      <c:valAx>
        <c:axId val="6739977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73995296"/>
        <c:crosses val="autoZero"/>
        <c:crossBetween val="midCat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881533112202571"/>
          <c:y val="0.37385459735081583"/>
          <c:w val="0.11118466887797417"/>
          <c:h val="0.218261254792930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18" Type="http://schemas.openxmlformats.org/officeDocument/2006/relationships/image" Target="../media/image30.png"/><Relationship Id="rId26" Type="http://schemas.openxmlformats.org/officeDocument/2006/relationships/image" Target="../media/image38.png"/><Relationship Id="rId39" Type="http://schemas.openxmlformats.org/officeDocument/2006/relationships/image" Target="../media/image51.png"/><Relationship Id="rId3" Type="http://schemas.openxmlformats.org/officeDocument/2006/relationships/image" Target="../media/image15.png"/><Relationship Id="rId21" Type="http://schemas.openxmlformats.org/officeDocument/2006/relationships/image" Target="../media/image33.png"/><Relationship Id="rId34" Type="http://schemas.openxmlformats.org/officeDocument/2006/relationships/image" Target="../media/image46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17" Type="http://schemas.openxmlformats.org/officeDocument/2006/relationships/image" Target="../media/image29.png"/><Relationship Id="rId25" Type="http://schemas.openxmlformats.org/officeDocument/2006/relationships/image" Target="../media/image37.png"/><Relationship Id="rId33" Type="http://schemas.openxmlformats.org/officeDocument/2006/relationships/image" Target="../media/image45.png"/><Relationship Id="rId38" Type="http://schemas.openxmlformats.org/officeDocument/2006/relationships/image" Target="../media/image50.png"/><Relationship Id="rId2" Type="http://schemas.openxmlformats.org/officeDocument/2006/relationships/image" Target="../media/image14.png"/><Relationship Id="rId16" Type="http://schemas.openxmlformats.org/officeDocument/2006/relationships/image" Target="../media/image28.png"/><Relationship Id="rId20" Type="http://schemas.openxmlformats.org/officeDocument/2006/relationships/image" Target="../media/image32.png"/><Relationship Id="rId29" Type="http://schemas.openxmlformats.org/officeDocument/2006/relationships/image" Target="../media/image41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24" Type="http://schemas.openxmlformats.org/officeDocument/2006/relationships/image" Target="../media/image36.png"/><Relationship Id="rId32" Type="http://schemas.openxmlformats.org/officeDocument/2006/relationships/image" Target="../media/image44.png"/><Relationship Id="rId37" Type="http://schemas.openxmlformats.org/officeDocument/2006/relationships/image" Target="../media/image49.png"/><Relationship Id="rId5" Type="http://schemas.openxmlformats.org/officeDocument/2006/relationships/image" Target="../media/image17.png"/><Relationship Id="rId15" Type="http://schemas.openxmlformats.org/officeDocument/2006/relationships/image" Target="../media/image27.png"/><Relationship Id="rId23" Type="http://schemas.openxmlformats.org/officeDocument/2006/relationships/image" Target="../media/image35.png"/><Relationship Id="rId28" Type="http://schemas.openxmlformats.org/officeDocument/2006/relationships/image" Target="../media/image40.png"/><Relationship Id="rId36" Type="http://schemas.openxmlformats.org/officeDocument/2006/relationships/image" Target="../media/image48.png"/><Relationship Id="rId10" Type="http://schemas.openxmlformats.org/officeDocument/2006/relationships/image" Target="../media/image22.png"/><Relationship Id="rId19" Type="http://schemas.openxmlformats.org/officeDocument/2006/relationships/image" Target="../media/image31.png"/><Relationship Id="rId31" Type="http://schemas.openxmlformats.org/officeDocument/2006/relationships/image" Target="../media/image43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Relationship Id="rId14" Type="http://schemas.openxmlformats.org/officeDocument/2006/relationships/image" Target="../media/image26.png"/><Relationship Id="rId22" Type="http://schemas.openxmlformats.org/officeDocument/2006/relationships/image" Target="../media/image34.png"/><Relationship Id="rId27" Type="http://schemas.openxmlformats.org/officeDocument/2006/relationships/image" Target="../media/image39.png"/><Relationship Id="rId30" Type="http://schemas.openxmlformats.org/officeDocument/2006/relationships/image" Target="../media/image42.png"/><Relationship Id="rId35" Type="http://schemas.openxmlformats.org/officeDocument/2006/relationships/image" Target="../media/image4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666750</xdr:colOff>
      <xdr:row>1</xdr:row>
      <xdr:rowOff>9525</xdr:rowOff>
    </xdr:from>
    <xdr:to>
      <xdr:col>15</xdr:col>
      <xdr:colOff>179988</xdr:colOff>
      <xdr:row>16</xdr:row>
      <xdr:rowOff>75834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14750" y="200025"/>
          <a:ext cx="7895238" cy="2923809"/>
        </a:xfrm>
        <a:prstGeom prst="rect">
          <a:avLst/>
        </a:prstGeom>
      </xdr:spPr>
    </xdr:pic>
    <xdr:clientData/>
  </xdr:twoCellAnchor>
  <xdr:twoCellAnchor editAs="oneCell">
    <xdr:from>
      <xdr:col>4</xdr:col>
      <xdr:colOff>685800</xdr:colOff>
      <xdr:row>18</xdr:row>
      <xdr:rowOff>9525</xdr:rowOff>
    </xdr:from>
    <xdr:to>
      <xdr:col>14</xdr:col>
      <xdr:colOff>637228</xdr:colOff>
      <xdr:row>36</xdr:row>
      <xdr:rowOff>151954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33800" y="3438525"/>
          <a:ext cx="7571428" cy="35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219075</xdr:colOff>
      <xdr:row>40</xdr:row>
      <xdr:rowOff>47625</xdr:rowOff>
    </xdr:from>
    <xdr:to>
      <xdr:col>16</xdr:col>
      <xdr:colOff>294027</xdr:colOff>
      <xdr:row>47</xdr:row>
      <xdr:rowOff>18887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05075" y="7667625"/>
          <a:ext cx="9980952" cy="1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533400</xdr:colOff>
      <xdr:row>40</xdr:row>
      <xdr:rowOff>57150</xdr:rowOff>
    </xdr:from>
    <xdr:to>
      <xdr:col>15</xdr:col>
      <xdr:colOff>644525</xdr:colOff>
      <xdr:row>55</xdr:row>
      <xdr:rowOff>178134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162800" y="7677150"/>
          <a:ext cx="5311775" cy="29784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304800</xdr:colOff>
      <xdr:row>1</xdr:row>
      <xdr:rowOff>114300</xdr:rowOff>
    </xdr:to>
    <xdr:sp macro="" textlink="">
      <xdr:nvSpPr>
        <xdr:cNvPr id="1025" name="AutoShape 1" descr="blob:vector://vector/8e8d8c50-7fc8-4ef0-b98a-5c38b271c047">
          <a:extLst>
            <a:ext uri="{FF2B5EF4-FFF2-40B4-BE49-F238E27FC236}">
              <a16:creationId xmlns:a16="http://schemas.microsoft.com/office/drawing/2014/main" id="{00000000-0008-0000-0200-000001040000}"/>
            </a:ext>
          </a:extLst>
        </xdr:cNvPr>
        <xdr:cNvSpPr>
          <a:spLocks noChangeAspect="1" noChangeArrowheads="1"/>
        </xdr:cNvSpPr>
      </xdr:nvSpPr>
      <xdr:spPr bwMode="auto">
        <a:xfrm>
          <a:off x="58769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5</xdr:row>
      <xdr:rowOff>0</xdr:rowOff>
    </xdr:from>
    <xdr:to>
      <xdr:col>8</xdr:col>
      <xdr:colOff>304800</xdr:colOff>
      <xdr:row>6</xdr:row>
      <xdr:rowOff>114300</xdr:rowOff>
    </xdr:to>
    <xdr:sp macro="" textlink="">
      <xdr:nvSpPr>
        <xdr:cNvPr id="1027" name="AutoShape 3" descr="blob:vector://vector/8e8d8c50-7fc8-4ef0-b98a-5c38b271c047">
          <a:extLst>
            <a:ext uri="{FF2B5EF4-FFF2-40B4-BE49-F238E27FC236}">
              <a16:creationId xmlns:a16="http://schemas.microsoft.com/office/drawing/2014/main" id="{00000000-0008-0000-0200-000003040000}"/>
            </a:ext>
          </a:extLst>
        </xdr:cNvPr>
        <xdr:cNvSpPr>
          <a:spLocks noChangeAspect="1" noChangeArrowheads="1"/>
        </xdr:cNvSpPr>
      </xdr:nvSpPr>
      <xdr:spPr bwMode="auto">
        <a:xfrm>
          <a:off x="5876925" y="7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361950</xdr:colOff>
      <xdr:row>0</xdr:row>
      <xdr:rowOff>19050</xdr:rowOff>
    </xdr:from>
    <xdr:to>
      <xdr:col>15</xdr:col>
      <xdr:colOff>722915</xdr:colOff>
      <xdr:row>2</xdr:row>
      <xdr:rowOff>76201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2988" b="27264"/>
        <a:stretch/>
      </xdr:blipFill>
      <xdr:spPr>
        <a:xfrm>
          <a:off x="5381625" y="19050"/>
          <a:ext cx="7876190" cy="438151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34</xdr:row>
      <xdr:rowOff>38100</xdr:rowOff>
    </xdr:from>
    <xdr:to>
      <xdr:col>7</xdr:col>
      <xdr:colOff>65946</xdr:colOff>
      <xdr:row>38</xdr:row>
      <xdr:rowOff>133243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4775" y="6515100"/>
          <a:ext cx="5828571" cy="857143"/>
        </a:xfrm>
        <a:prstGeom prst="rect">
          <a:avLst/>
        </a:prstGeom>
      </xdr:spPr>
    </xdr:pic>
    <xdr:clientData/>
  </xdr:twoCellAnchor>
  <xdr:twoCellAnchor>
    <xdr:from>
      <xdr:col>5</xdr:col>
      <xdr:colOff>676275</xdr:colOff>
      <xdr:row>205</xdr:row>
      <xdr:rowOff>101333</xdr:rowOff>
    </xdr:from>
    <xdr:to>
      <xdr:col>11</xdr:col>
      <xdr:colOff>867175</xdr:colOff>
      <xdr:row>228</xdr:row>
      <xdr:rowOff>37206</xdr:rowOff>
    </xdr:to>
    <xdr:grpSp>
      <xdr:nvGrpSpPr>
        <xdr:cNvPr id="22" name="Gruppieren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4991100" y="29438333"/>
          <a:ext cx="4791475" cy="4317373"/>
          <a:chOff x="4381500" y="28181033"/>
          <a:chExt cx="4791475" cy="2793373"/>
        </a:xfrm>
      </xdr:grpSpPr>
      <xdr:pic>
        <xdr:nvPicPr>
          <xdr:cNvPr id="23" name="Grafik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381500" y="28181033"/>
            <a:ext cx="3113680" cy="2793373"/>
          </a:xfrm>
          <a:prstGeom prst="rect">
            <a:avLst/>
          </a:prstGeom>
        </xdr:spPr>
      </xdr:pic>
      <xdr:sp macro="" textlink="">
        <xdr:nvSpPr>
          <xdr:cNvPr id="24" name="Ellipse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7439025" y="29705030"/>
            <a:ext cx="114300" cy="11430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27" name="Ellipse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>
            <a:off x="8382000" y="29996940"/>
            <a:ext cx="114300" cy="11430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28" name="Ellipse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/>
        </xdr:nvSpPr>
        <xdr:spPr>
          <a:xfrm>
            <a:off x="8601075" y="30168369"/>
            <a:ext cx="114300" cy="11430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29" name="Textfeld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 txBox="1"/>
        </xdr:nvSpPr>
        <xdr:spPr>
          <a:xfrm>
            <a:off x="8639175" y="29986711"/>
            <a:ext cx="53380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100"/>
              <a:t>B lang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SpPr txBox="1"/>
        </xdr:nvSpPr>
        <xdr:spPr>
          <a:xfrm>
            <a:off x="8201025" y="29801674"/>
            <a:ext cx="53642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100"/>
              <a:t>B kurz</a:t>
            </a:r>
          </a:p>
        </xdr:txBody>
      </xdr:sp>
      <xdr:sp macro="" textlink="">
        <xdr:nvSpPr>
          <xdr:cNvPr id="32" name="Textfeld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 txBox="1"/>
        </xdr:nvSpPr>
        <xdr:spPr>
          <a:xfrm>
            <a:off x="7419975" y="29470987"/>
            <a:ext cx="26629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100"/>
              <a:t>A</a:t>
            </a:r>
          </a:p>
        </xdr:txBody>
      </xdr:sp>
    </xdr:grpSp>
    <xdr:clientData/>
  </xdr:twoCellAnchor>
  <xdr:twoCellAnchor>
    <xdr:from>
      <xdr:col>10</xdr:col>
      <xdr:colOff>714375</xdr:colOff>
      <xdr:row>208</xdr:row>
      <xdr:rowOff>88426</xdr:rowOff>
    </xdr:from>
    <xdr:to>
      <xdr:col>13</xdr:col>
      <xdr:colOff>367797</xdr:colOff>
      <xdr:row>213</xdr:row>
      <xdr:rowOff>44155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8867775" y="32473426"/>
          <a:ext cx="1806072" cy="9082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de-DE" sz="1100"/>
            <a:t>(Bei 50mm Übergangslänge)</a:t>
          </a:r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304800</xdr:colOff>
      <xdr:row>1</xdr:row>
      <xdr:rowOff>114300</xdr:rowOff>
    </xdr:to>
    <xdr:sp macro="" textlink="">
      <xdr:nvSpPr>
        <xdr:cNvPr id="34" name="AutoShape 1" descr="blob:vector://vector/8e8d8c50-7fc8-4ef0-b98a-5c38b271c047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66294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5</xdr:row>
      <xdr:rowOff>0</xdr:rowOff>
    </xdr:from>
    <xdr:to>
      <xdr:col>8</xdr:col>
      <xdr:colOff>304800</xdr:colOff>
      <xdr:row>6</xdr:row>
      <xdr:rowOff>114300</xdr:rowOff>
    </xdr:to>
    <xdr:sp macro="" textlink="">
      <xdr:nvSpPr>
        <xdr:cNvPr id="35" name="AutoShape 3" descr="blob:vector://vector/8e8d8c50-7fc8-4ef0-b98a-5c38b271c047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6629400" y="9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352425</xdr:colOff>
      <xdr:row>206</xdr:row>
      <xdr:rowOff>76200</xdr:rowOff>
    </xdr:from>
    <xdr:to>
      <xdr:col>18</xdr:col>
      <xdr:colOff>513825</xdr:colOff>
      <xdr:row>218</xdr:row>
      <xdr:rowOff>104486</xdr:rowOff>
    </xdr:to>
    <xdr:pic>
      <xdr:nvPicPr>
        <xdr:cNvPr id="38" name="Grafik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658475" y="32080200"/>
          <a:ext cx="4200000" cy="23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285750</xdr:colOff>
      <xdr:row>91</xdr:row>
      <xdr:rowOff>58629</xdr:rowOff>
    </xdr:from>
    <xdr:to>
      <xdr:col>11</xdr:col>
      <xdr:colOff>790575</xdr:colOff>
      <xdr:row>105</xdr:row>
      <xdr:rowOff>151993</xdr:rowOff>
    </xdr:to>
    <xdr:pic>
      <xdr:nvPicPr>
        <xdr:cNvPr id="39" name="Grafik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57675" y="17394129"/>
          <a:ext cx="5448300" cy="2760364"/>
        </a:xfrm>
        <a:prstGeom prst="rect">
          <a:avLst/>
        </a:prstGeom>
      </xdr:spPr>
    </xdr:pic>
    <xdr:clientData/>
  </xdr:twoCellAnchor>
  <xdr:twoCellAnchor editAs="oneCell">
    <xdr:from>
      <xdr:col>4</xdr:col>
      <xdr:colOff>304801</xdr:colOff>
      <xdr:row>77</xdr:row>
      <xdr:rowOff>85726</xdr:rowOff>
    </xdr:from>
    <xdr:to>
      <xdr:col>11</xdr:col>
      <xdr:colOff>752476</xdr:colOff>
      <xdr:row>91</xdr:row>
      <xdr:rowOff>61920</xdr:rowOff>
    </xdr:to>
    <xdr:pic>
      <xdr:nvPicPr>
        <xdr:cNvPr id="40" name="Grafik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76726" y="14754226"/>
          <a:ext cx="5391150" cy="2643194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76</xdr:row>
      <xdr:rowOff>114300</xdr:rowOff>
    </xdr:from>
    <xdr:to>
      <xdr:col>19</xdr:col>
      <xdr:colOff>227862</xdr:colOff>
      <xdr:row>93</xdr:row>
      <xdr:rowOff>75800</xdr:rowOff>
    </xdr:to>
    <xdr:pic>
      <xdr:nvPicPr>
        <xdr:cNvPr id="41" name="Grafik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7425" y="14592300"/>
          <a:ext cx="5495187" cy="320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93</xdr:row>
      <xdr:rowOff>38100</xdr:rowOff>
    </xdr:from>
    <xdr:to>
      <xdr:col>20</xdr:col>
      <xdr:colOff>332583</xdr:colOff>
      <xdr:row>114</xdr:row>
      <xdr:rowOff>180457</xdr:rowOff>
    </xdr:to>
    <xdr:pic>
      <xdr:nvPicPr>
        <xdr:cNvPr id="42" name="Grafik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906000" y="17754600"/>
          <a:ext cx="6333333" cy="4142857"/>
        </a:xfrm>
        <a:prstGeom prst="rect">
          <a:avLst/>
        </a:prstGeom>
      </xdr:spPr>
    </xdr:pic>
    <xdr:clientData/>
  </xdr:twoCellAnchor>
  <xdr:oneCellAnchor>
    <xdr:from>
      <xdr:col>4</xdr:col>
      <xdr:colOff>285750</xdr:colOff>
      <xdr:row>248</xdr:row>
      <xdr:rowOff>58629</xdr:rowOff>
    </xdr:from>
    <xdr:ext cx="5448300" cy="2760364"/>
    <xdr:pic>
      <xdr:nvPicPr>
        <xdr:cNvPr id="25" name="Grafik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57675" y="17394129"/>
          <a:ext cx="5448300" cy="2760364"/>
        </a:xfrm>
        <a:prstGeom prst="rect">
          <a:avLst/>
        </a:prstGeom>
      </xdr:spPr>
    </xdr:pic>
    <xdr:clientData/>
  </xdr:oneCellAnchor>
  <xdr:oneCellAnchor>
    <xdr:from>
      <xdr:col>4</xdr:col>
      <xdr:colOff>304801</xdr:colOff>
      <xdr:row>232</xdr:row>
      <xdr:rowOff>85726</xdr:rowOff>
    </xdr:from>
    <xdr:ext cx="5391150" cy="2643194"/>
    <xdr:pic>
      <xdr:nvPicPr>
        <xdr:cNvPr id="26" name="Grafik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276726" y="14754226"/>
          <a:ext cx="5391150" cy="2643194"/>
        </a:xfrm>
        <a:prstGeom prst="rect">
          <a:avLst/>
        </a:prstGeom>
      </xdr:spPr>
    </xdr:pic>
    <xdr:clientData/>
  </xdr:oneCellAnchor>
  <xdr:oneCellAnchor>
    <xdr:from>
      <xdr:col>12</xdr:col>
      <xdr:colOff>9525</xdr:colOff>
      <xdr:row>231</xdr:row>
      <xdr:rowOff>114300</xdr:rowOff>
    </xdr:from>
    <xdr:ext cx="5495187" cy="3200000"/>
    <xdr:pic>
      <xdr:nvPicPr>
        <xdr:cNvPr id="30" name="Grafik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7425" y="14592300"/>
          <a:ext cx="5495187" cy="3200000"/>
        </a:xfrm>
        <a:prstGeom prst="rect">
          <a:avLst/>
        </a:prstGeom>
      </xdr:spPr>
    </xdr:pic>
    <xdr:clientData/>
  </xdr:oneCellAnchor>
  <xdr:oneCellAnchor>
    <xdr:from>
      <xdr:col>12</xdr:col>
      <xdr:colOff>38100</xdr:colOff>
      <xdr:row>250</xdr:row>
      <xdr:rowOff>38100</xdr:rowOff>
    </xdr:from>
    <xdr:ext cx="6333333" cy="4142857"/>
    <xdr:pic>
      <xdr:nvPicPr>
        <xdr:cNvPr id="36" name="Grafik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906000" y="17754600"/>
          <a:ext cx="6333333" cy="4142857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141176</xdr:colOff>
      <xdr:row>25</xdr:row>
      <xdr:rowOff>94569</xdr:rowOff>
    </xdr:from>
    <xdr:to>
      <xdr:col>12</xdr:col>
      <xdr:colOff>547603</xdr:colOff>
      <xdr:row>27</xdr:row>
      <xdr:rowOff>282278</xdr:rowOff>
    </xdr:to>
    <xdr:pic>
      <xdr:nvPicPr>
        <xdr:cNvPr id="35" name="Grafik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3712" y="12708390"/>
          <a:ext cx="2161748" cy="1439567"/>
        </a:xfrm>
        <a:prstGeom prst="rect">
          <a:avLst/>
        </a:prstGeom>
      </xdr:spPr>
    </xdr:pic>
    <xdr:clientData/>
  </xdr:twoCellAnchor>
  <xdr:twoCellAnchor editAs="oneCell">
    <xdr:from>
      <xdr:col>13</xdr:col>
      <xdr:colOff>137432</xdr:colOff>
      <xdr:row>25</xdr:row>
      <xdr:rowOff>85725</xdr:rowOff>
    </xdr:from>
    <xdr:to>
      <xdr:col>16</xdr:col>
      <xdr:colOff>547034</xdr:colOff>
      <xdr:row>27</xdr:row>
      <xdr:rowOff>267084</xdr:rowOff>
    </xdr:to>
    <xdr:pic>
      <xdr:nvPicPr>
        <xdr:cNvPr id="37" name="Grafik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0396" y="12699546"/>
          <a:ext cx="2164924" cy="1433217"/>
        </a:xfrm>
        <a:prstGeom prst="rect">
          <a:avLst/>
        </a:prstGeom>
      </xdr:spPr>
    </xdr:pic>
    <xdr:clientData/>
  </xdr:twoCellAnchor>
  <xdr:twoCellAnchor editAs="oneCell">
    <xdr:from>
      <xdr:col>1</xdr:col>
      <xdr:colOff>138571</xdr:colOff>
      <xdr:row>1</xdr:row>
      <xdr:rowOff>104775</xdr:rowOff>
    </xdr:from>
    <xdr:to>
      <xdr:col>4</xdr:col>
      <xdr:colOff>544286</xdr:colOff>
      <xdr:row>3</xdr:row>
      <xdr:rowOff>286134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250" y="308882"/>
          <a:ext cx="2161036" cy="1433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165785</xdr:colOff>
      <xdr:row>1</xdr:row>
      <xdr:rowOff>104775</xdr:rowOff>
    </xdr:from>
    <xdr:to>
      <xdr:col>8</xdr:col>
      <xdr:colOff>571499</xdr:colOff>
      <xdr:row>3</xdr:row>
      <xdr:rowOff>286134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5142" y="308882"/>
          <a:ext cx="2161036" cy="1433216"/>
        </a:xfrm>
        <a:prstGeom prst="rect">
          <a:avLst/>
        </a:prstGeom>
      </xdr:spPr>
    </xdr:pic>
    <xdr:clientData/>
  </xdr:twoCellAnchor>
  <xdr:twoCellAnchor editAs="oneCell">
    <xdr:from>
      <xdr:col>9</xdr:col>
      <xdr:colOff>138571</xdr:colOff>
      <xdr:row>1</xdr:row>
      <xdr:rowOff>104775</xdr:rowOff>
    </xdr:from>
    <xdr:to>
      <xdr:col>12</xdr:col>
      <xdr:colOff>544286</xdr:colOff>
      <xdr:row>3</xdr:row>
      <xdr:rowOff>286134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1107" y="308882"/>
          <a:ext cx="2161036" cy="1433216"/>
        </a:xfrm>
        <a:prstGeom prst="rect">
          <a:avLst/>
        </a:prstGeom>
      </xdr:spPr>
    </xdr:pic>
    <xdr:clientData/>
  </xdr:twoCellAnchor>
  <xdr:twoCellAnchor editAs="oneCell">
    <xdr:from>
      <xdr:col>1</xdr:col>
      <xdr:colOff>138571</xdr:colOff>
      <xdr:row>13</xdr:row>
      <xdr:rowOff>66675</xdr:rowOff>
    </xdr:from>
    <xdr:to>
      <xdr:col>4</xdr:col>
      <xdr:colOff>544286</xdr:colOff>
      <xdr:row>15</xdr:row>
      <xdr:rowOff>248034</xdr:rowOff>
    </xdr:to>
    <xdr:pic>
      <xdr:nvPicPr>
        <xdr:cNvPr id="9" name="Grafik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250" y="6475639"/>
          <a:ext cx="2161036" cy="1433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165785</xdr:colOff>
      <xdr:row>13</xdr:row>
      <xdr:rowOff>66675</xdr:rowOff>
    </xdr:from>
    <xdr:to>
      <xdr:col>8</xdr:col>
      <xdr:colOff>571499</xdr:colOff>
      <xdr:row>15</xdr:row>
      <xdr:rowOff>248034</xdr:rowOff>
    </xdr:to>
    <xdr:pic>
      <xdr:nvPicPr>
        <xdr:cNvPr id="11" name="Grafik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5142" y="6475639"/>
          <a:ext cx="2161036" cy="1433216"/>
        </a:xfrm>
        <a:prstGeom prst="rect">
          <a:avLst/>
        </a:prstGeom>
      </xdr:spPr>
    </xdr:pic>
    <xdr:clientData/>
  </xdr:twoCellAnchor>
  <xdr:twoCellAnchor editAs="oneCell">
    <xdr:from>
      <xdr:col>9</xdr:col>
      <xdr:colOff>138571</xdr:colOff>
      <xdr:row>13</xdr:row>
      <xdr:rowOff>66675</xdr:rowOff>
    </xdr:from>
    <xdr:to>
      <xdr:col>12</xdr:col>
      <xdr:colOff>544286</xdr:colOff>
      <xdr:row>15</xdr:row>
      <xdr:rowOff>248034</xdr:rowOff>
    </xdr:to>
    <xdr:pic>
      <xdr:nvPicPr>
        <xdr:cNvPr id="13" name="Grafik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1107" y="6475639"/>
          <a:ext cx="2161036" cy="1433216"/>
        </a:xfrm>
        <a:prstGeom prst="rect">
          <a:avLst/>
        </a:prstGeom>
      </xdr:spPr>
    </xdr:pic>
    <xdr:clientData/>
  </xdr:twoCellAnchor>
  <xdr:twoCellAnchor editAs="oneCell">
    <xdr:from>
      <xdr:col>13</xdr:col>
      <xdr:colOff>138571</xdr:colOff>
      <xdr:row>13</xdr:row>
      <xdr:rowOff>66675</xdr:rowOff>
    </xdr:from>
    <xdr:to>
      <xdr:col>16</xdr:col>
      <xdr:colOff>544285</xdr:colOff>
      <xdr:row>15</xdr:row>
      <xdr:rowOff>248034</xdr:rowOff>
    </xdr:to>
    <xdr:pic>
      <xdr:nvPicPr>
        <xdr:cNvPr id="15" name="Grafik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1535" y="6475639"/>
          <a:ext cx="2161036" cy="1433216"/>
        </a:xfrm>
        <a:prstGeom prst="rect">
          <a:avLst/>
        </a:prstGeom>
      </xdr:spPr>
    </xdr:pic>
    <xdr:clientData/>
  </xdr:twoCellAnchor>
  <xdr:twoCellAnchor editAs="oneCell">
    <xdr:from>
      <xdr:col>17</xdr:col>
      <xdr:colOff>138571</xdr:colOff>
      <xdr:row>13</xdr:row>
      <xdr:rowOff>66675</xdr:rowOff>
    </xdr:from>
    <xdr:to>
      <xdr:col>20</xdr:col>
      <xdr:colOff>544286</xdr:colOff>
      <xdr:row>15</xdr:row>
      <xdr:rowOff>248034</xdr:rowOff>
    </xdr:to>
    <xdr:pic>
      <xdr:nvPicPr>
        <xdr:cNvPr id="17" name="Grafik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1964" y="6475639"/>
          <a:ext cx="2161036" cy="1433216"/>
        </a:xfrm>
        <a:prstGeom prst="rect">
          <a:avLst/>
        </a:prstGeom>
      </xdr:spPr>
    </xdr:pic>
    <xdr:clientData/>
  </xdr:twoCellAnchor>
  <xdr:twoCellAnchor editAs="oneCell">
    <xdr:from>
      <xdr:col>2</xdr:col>
      <xdr:colOff>124964</xdr:colOff>
      <xdr:row>5</xdr:row>
      <xdr:rowOff>123825</xdr:rowOff>
    </xdr:from>
    <xdr:to>
      <xdr:col>5</xdr:col>
      <xdr:colOff>530679</xdr:colOff>
      <xdr:row>7</xdr:row>
      <xdr:rowOff>305184</xdr:rowOff>
    </xdr:to>
    <xdr:pic>
      <xdr:nvPicPr>
        <xdr:cNvPr id="19" name="Grafik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339" y="2400300"/>
          <a:ext cx="2161036" cy="1438659"/>
        </a:xfrm>
        <a:prstGeom prst="rect">
          <a:avLst/>
        </a:prstGeom>
      </xdr:spPr>
    </xdr:pic>
    <xdr:clientData/>
  </xdr:twoCellAnchor>
  <xdr:twoCellAnchor editAs="oneCell">
    <xdr:from>
      <xdr:col>5</xdr:col>
      <xdr:colOff>165785</xdr:colOff>
      <xdr:row>5</xdr:row>
      <xdr:rowOff>123825</xdr:rowOff>
    </xdr:from>
    <xdr:to>
      <xdr:col>8</xdr:col>
      <xdr:colOff>571499</xdr:colOff>
      <xdr:row>7</xdr:row>
      <xdr:rowOff>305184</xdr:rowOff>
    </xdr:to>
    <xdr:pic>
      <xdr:nvPicPr>
        <xdr:cNvPr id="21" name="Grafik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5142" y="2396218"/>
          <a:ext cx="2161036" cy="1433216"/>
        </a:xfrm>
        <a:prstGeom prst="rect">
          <a:avLst/>
        </a:prstGeom>
      </xdr:spPr>
    </xdr:pic>
    <xdr:clientData/>
  </xdr:twoCellAnchor>
  <xdr:twoCellAnchor editAs="oneCell">
    <xdr:from>
      <xdr:col>9</xdr:col>
      <xdr:colOff>138571</xdr:colOff>
      <xdr:row>5</xdr:row>
      <xdr:rowOff>123825</xdr:rowOff>
    </xdr:from>
    <xdr:to>
      <xdr:col>12</xdr:col>
      <xdr:colOff>544286</xdr:colOff>
      <xdr:row>7</xdr:row>
      <xdr:rowOff>305184</xdr:rowOff>
    </xdr:to>
    <xdr:pic>
      <xdr:nvPicPr>
        <xdr:cNvPr id="23" name="Grafik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1107" y="2396218"/>
          <a:ext cx="2161036" cy="1433216"/>
        </a:xfrm>
        <a:prstGeom prst="rect">
          <a:avLst/>
        </a:prstGeom>
      </xdr:spPr>
    </xdr:pic>
    <xdr:clientData/>
  </xdr:twoCellAnchor>
  <xdr:twoCellAnchor editAs="oneCell">
    <xdr:from>
      <xdr:col>21</xdr:col>
      <xdr:colOff>124964</xdr:colOff>
      <xdr:row>5</xdr:row>
      <xdr:rowOff>123825</xdr:rowOff>
    </xdr:from>
    <xdr:to>
      <xdr:col>24</xdr:col>
      <xdr:colOff>0</xdr:colOff>
      <xdr:row>7</xdr:row>
      <xdr:rowOff>305184</xdr:rowOff>
    </xdr:to>
    <xdr:pic>
      <xdr:nvPicPr>
        <xdr:cNvPr id="25" name="Grafik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93339" y="2400300"/>
          <a:ext cx="2161036" cy="1438659"/>
        </a:xfrm>
        <a:prstGeom prst="rect">
          <a:avLst/>
        </a:prstGeom>
      </xdr:spPr>
    </xdr:pic>
    <xdr:clientData/>
  </xdr:twoCellAnchor>
  <xdr:twoCellAnchor editAs="oneCell">
    <xdr:from>
      <xdr:col>13</xdr:col>
      <xdr:colOff>138571</xdr:colOff>
      <xdr:row>5</xdr:row>
      <xdr:rowOff>123825</xdr:rowOff>
    </xdr:from>
    <xdr:to>
      <xdr:col>16</xdr:col>
      <xdr:colOff>544285</xdr:colOff>
      <xdr:row>7</xdr:row>
      <xdr:rowOff>305184</xdr:rowOff>
    </xdr:to>
    <xdr:pic>
      <xdr:nvPicPr>
        <xdr:cNvPr id="29" name="Grafik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1535" y="2396218"/>
          <a:ext cx="2161036" cy="1433216"/>
        </a:xfrm>
        <a:prstGeom prst="rect">
          <a:avLst/>
        </a:prstGeom>
      </xdr:spPr>
    </xdr:pic>
    <xdr:clientData/>
  </xdr:twoCellAnchor>
  <xdr:twoCellAnchor editAs="oneCell">
    <xdr:from>
      <xdr:col>17</xdr:col>
      <xdr:colOff>138571</xdr:colOff>
      <xdr:row>5</xdr:row>
      <xdr:rowOff>123825</xdr:rowOff>
    </xdr:from>
    <xdr:to>
      <xdr:col>20</xdr:col>
      <xdr:colOff>544286</xdr:colOff>
      <xdr:row>7</xdr:row>
      <xdr:rowOff>305184</xdr:rowOff>
    </xdr:to>
    <xdr:pic>
      <xdr:nvPicPr>
        <xdr:cNvPr id="31" name="Grafik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1964" y="2396218"/>
          <a:ext cx="2161036" cy="1433216"/>
        </a:xfrm>
        <a:prstGeom prst="rect">
          <a:avLst/>
        </a:prstGeom>
      </xdr:spPr>
    </xdr:pic>
    <xdr:clientData/>
  </xdr:twoCellAnchor>
  <xdr:twoCellAnchor editAs="oneCell">
    <xdr:from>
      <xdr:col>24</xdr:col>
      <xdr:colOff>124964</xdr:colOff>
      <xdr:row>9</xdr:row>
      <xdr:rowOff>180591</xdr:rowOff>
    </xdr:from>
    <xdr:to>
      <xdr:col>27</xdr:col>
      <xdr:colOff>0</xdr:colOff>
      <xdr:row>11</xdr:row>
      <xdr:rowOff>361950</xdr:rowOff>
    </xdr:to>
    <xdr:pic>
      <xdr:nvPicPr>
        <xdr:cNvPr id="39" name="Grafik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9339" y="4533516"/>
          <a:ext cx="2161036" cy="1438659"/>
        </a:xfrm>
        <a:prstGeom prst="rect">
          <a:avLst/>
        </a:prstGeom>
      </xdr:spPr>
    </xdr:pic>
    <xdr:clientData/>
  </xdr:twoCellAnchor>
  <xdr:twoCellAnchor editAs="oneCell">
    <xdr:from>
      <xdr:col>13</xdr:col>
      <xdr:colOff>138571</xdr:colOff>
      <xdr:row>9</xdr:row>
      <xdr:rowOff>180591</xdr:rowOff>
    </xdr:from>
    <xdr:to>
      <xdr:col>16</xdr:col>
      <xdr:colOff>544285</xdr:colOff>
      <xdr:row>11</xdr:row>
      <xdr:rowOff>361950</xdr:rowOff>
    </xdr:to>
    <xdr:pic>
      <xdr:nvPicPr>
        <xdr:cNvPr id="43" name="Grafik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1535" y="4521270"/>
          <a:ext cx="2161036" cy="1433216"/>
        </a:xfrm>
        <a:prstGeom prst="rect">
          <a:avLst/>
        </a:prstGeom>
      </xdr:spPr>
    </xdr:pic>
    <xdr:clientData/>
  </xdr:twoCellAnchor>
  <xdr:twoCellAnchor editAs="oneCell">
    <xdr:from>
      <xdr:col>17</xdr:col>
      <xdr:colOff>138571</xdr:colOff>
      <xdr:row>9</xdr:row>
      <xdr:rowOff>180591</xdr:rowOff>
    </xdr:from>
    <xdr:to>
      <xdr:col>20</xdr:col>
      <xdr:colOff>544286</xdr:colOff>
      <xdr:row>11</xdr:row>
      <xdr:rowOff>361950</xdr:rowOff>
    </xdr:to>
    <xdr:pic>
      <xdr:nvPicPr>
        <xdr:cNvPr id="45" name="Grafik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1964" y="4521270"/>
          <a:ext cx="2161036" cy="1433216"/>
        </a:xfrm>
        <a:prstGeom prst="rect">
          <a:avLst/>
        </a:prstGeom>
      </xdr:spPr>
    </xdr:pic>
    <xdr:clientData/>
  </xdr:twoCellAnchor>
  <xdr:twoCellAnchor editAs="oneCell">
    <xdr:from>
      <xdr:col>1</xdr:col>
      <xdr:colOff>138571</xdr:colOff>
      <xdr:row>9</xdr:row>
      <xdr:rowOff>180591</xdr:rowOff>
    </xdr:from>
    <xdr:to>
      <xdr:col>4</xdr:col>
      <xdr:colOff>544286</xdr:colOff>
      <xdr:row>11</xdr:row>
      <xdr:rowOff>361950</xdr:rowOff>
    </xdr:to>
    <xdr:pic>
      <xdr:nvPicPr>
        <xdr:cNvPr id="46" name="Grafik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250" y="4521270"/>
          <a:ext cx="2161036" cy="1433216"/>
        </a:xfrm>
        <a:prstGeom prst="rect">
          <a:avLst/>
        </a:prstGeom>
      </xdr:spPr>
    </xdr:pic>
    <xdr:clientData/>
  </xdr:twoCellAnchor>
  <xdr:twoCellAnchor editAs="oneCell">
    <xdr:from>
      <xdr:col>5</xdr:col>
      <xdr:colOff>165785</xdr:colOff>
      <xdr:row>9</xdr:row>
      <xdr:rowOff>180591</xdr:rowOff>
    </xdr:from>
    <xdr:to>
      <xdr:col>8</xdr:col>
      <xdr:colOff>571499</xdr:colOff>
      <xdr:row>11</xdr:row>
      <xdr:rowOff>361950</xdr:rowOff>
    </xdr:to>
    <xdr:pic>
      <xdr:nvPicPr>
        <xdr:cNvPr id="47" name="Grafik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5142" y="4521270"/>
          <a:ext cx="2161036" cy="1433216"/>
        </a:xfrm>
        <a:prstGeom prst="rect">
          <a:avLst/>
        </a:prstGeom>
      </xdr:spPr>
    </xdr:pic>
    <xdr:clientData/>
  </xdr:twoCellAnchor>
  <xdr:twoCellAnchor editAs="oneCell">
    <xdr:from>
      <xdr:col>9</xdr:col>
      <xdr:colOff>138571</xdr:colOff>
      <xdr:row>9</xdr:row>
      <xdr:rowOff>180591</xdr:rowOff>
    </xdr:from>
    <xdr:to>
      <xdr:col>12</xdr:col>
      <xdr:colOff>544286</xdr:colOff>
      <xdr:row>11</xdr:row>
      <xdr:rowOff>361950</xdr:rowOff>
    </xdr:to>
    <xdr:pic>
      <xdr:nvPicPr>
        <xdr:cNvPr id="48" name="Grafik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1107" y="4521270"/>
          <a:ext cx="2161036" cy="1433216"/>
        </a:xfrm>
        <a:prstGeom prst="rect">
          <a:avLst/>
        </a:prstGeom>
      </xdr:spPr>
    </xdr:pic>
    <xdr:clientData/>
  </xdr:twoCellAnchor>
  <xdr:twoCellAnchor editAs="oneCell">
    <xdr:from>
      <xdr:col>21</xdr:col>
      <xdr:colOff>124964</xdr:colOff>
      <xdr:row>9</xdr:row>
      <xdr:rowOff>180591</xdr:rowOff>
    </xdr:from>
    <xdr:to>
      <xdr:col>24</xdr:col>
      <xdr:colOff>0</xdr:colOff>
      <xdr:row>11</xdr:row>
      <xdr:rowOff>361950</xdr:rowOff>
    </xdr:to>
    <xdr:pic>
      <xdr:nvPicPr>
        <xdr:cNvPr id="49" name="Grafik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93339" y="4533516"/>
          <a:ext cx="2161036" cy="1438659"/>
        </a:xfrm>
        <a:prstGeom prst="rect">
          <a:avLst/>
        </a:prstGeom>
      </xdr:spPr>
    </xdr:pic>
    <xdr:clientData/>
  </xdr:twoCellAnchor>
  <xdr:oneCellAnchor>
    <xdr:from>
      <xdr:col>1</xdr:col>
      <xdr:colOff>138571</xdr:colOff>
      <xdr:row>21</xdr:row>
      <xdr:rowOff>161541</xdr:rowOff>
    </xdr:from>
    <xdr:ext cx="2161036" cy="1438659"/>
    <xdr:pic>
      <xdr:nvPicPr>
        <xdr:cNvPr id="59" name="Grafik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250" y="10707077"/>
          <a:ext cx="2161036" cy="1438659"/>
        </a:xfrm>
        <a:prstGeom prst="rect">
          <a:avLst/>
        </a:prstGeom>
      </xdr:spPr>
    </xdr:pic>
    <xdr:clientData/>
  </xdr:oneCellAnchor>
  <xdr:oneCellAnchor>
    <xdr:from>
      <xdr:col>5</xdr:col>
      <xdr:colOff>165785</xdr:colOff>
      <xdr:row>21</xdr:row>
      <xdr:rowOff>161541</xdr:rowOff>
    </xdr:from>
    <xdr:ext cx="2161036" cy="1438659"/>
    <xdr:pic>
      <xdr:nvPicPr>
        <xdr:cNvPr id="60" name="Grafik 59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5142" y="10707077"/>
          <a:ext cx="2161036" cy="1438659"/>
        </a:xfrm>
        <a:prstGeom prst="rect">
          <a:avLst/>
        </a:prstGeom>
      </xdr:spPr>
    </xdr:pic>
    <xdr:clientData/>
  </xdr:oneCellAnchor>
  <xdr:oneCellAnchor>
    <xdr:from>
      <xdr:col>9</xdr:col>
      <xdr:colOff>138571</xdr:colOff>
      <xdr:row>21</xdr:row>
      <xdr:rowOff>161541</xdr:rowOff>
    </xdr:from>
    <xdr:ext cx="2161036" cy="1438659"/>
    <xdr:pic>
      <xdr:nvPicPr>
        <xdr:cNvPr id="61" name="Grafik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1107" y="10707077"/>
          <a:ext cx="2161036" cy="1438659"/>
        </a:xfrm>
        <a:prstGeom prst="rect">
          <a:avLst/>
        </a:prstGeom>
      </xdr:spPr>
    </xdr:pic>
    <xdr:clientData/>
  </xdr:oneCellAnchor>
  <xdr:oneCellAnchor>
    <xdr:from>
      <xdr:col>1</xdr:col>
      <xdr:colOff>138571</xdr:colOff>
      <xdr:row>17</xdr:row>
      <xdr:rowOff>123825</xdr:rowOff>
    </xdr:from>
    <xdr:ext cx="2161036" cy="1438659"/>
    <xdr:pic>
      <xdr:nvPicPr>
        <xdr:cNvPr id="76" name="Grafik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250" y="8601075"/>
          <a:ext cx="2161036" cy="1438659"/>
        </a:xfrm>
        <a:prstGeom prst="rect">
          <a:avLst/>
        </a:prstGeom>
      </xdr:spPr>
    </xdr:pic>
    <xdr:clientData/>
  </xdr:oneCellAnchor>
  <xdr:oneCellAnchor>
    <xdr:from>
      <xdr:col>5</xdr:col>
      <xdr:colOff>165785</xdr:colOff>
      <xdr:row>17</xdr:row>
      <xdr:rowOff>123825</xdr:rowOff>
    </xdr:from>
    <xdr:ext cx="2161036" cy="1438659"/>
    <xdr:pic>
      <xdr:nvPicPr>
        <xdr:cNvPr id="77" name="Grafik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5142" y="8601075"/>
          <a:ext cx="2161036" cy="1438659"/>
        </a:xfrm>
        <a:prstGeom prst="rect">
          <a:avLst/>
        </a:prstGeom>
      </xdr:spPr>
    </xdr:pic>
    <xdr:clientData/>
  </xdr:oneCellAnchor>
  <xdr:oneCellAnchor>
    <xdr:from>
      <xdr:col>9</xdr:col>
      <xdr:colOff>138571</xdr:colOff>
      <xdr:row>17</xdr:row>
      <xdr:rowOff>123825</xdr:rowOff>
    </xdr:from>
    <xdr:ext cx="2161036" cy="1438659"/>
    <xdr:pic>
      <xdr:nvPicPr>
        <xdr:cNvPr id="78" name="Grafik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1107" y="8601075"/>
          <a:ext cx="2161036" cy="1438659"/>
        </a:xfrm>
        <a:prstGeom prst="rect">
          <a:avLst/>
        </a:prstGeom>
      </xdr:spPr>
    </xdr:pic>
    <xdr:clientData/>
  </xdr:oneCellAnchor>
  <xdr:oneCellAnchor>
    <xdr:from>
      <xdr:col>21</xdr:col>
      <xdr:colOff>124964</xdr:colOff>
      <xdr:row>17</xdr:row>
      <xdr:rowOff>123825</xdr:rowOff>
    </xdr:from>
    <xdr:ext cx="2161036" cy="1438659"/>
    <xdr:pic>
      <xdr:nvPicPr>
        <xdr:cNvPr id="79" name="Grafik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93339" y="8629650"/>
          <a:ext cx="2161036" cy="1438659"/>
        </a:xfrm>
        <a:prstGeom prst="rect">
          <a:avLst/>
        </a:prstGeom>
      </xdr:spPr>
    </xdr:pic>
    <xdr:clientData/>
  </xdr:oneCellAnchor>
  <xdr:oneCellAnchor>
    <xdr:from>
      <xdr:col>13</xdr:col>
      <xdr:colOff>138571</xdr:colOff>
      <xdr:row>17</xdr:row>
      <xdr:rowOff>123825</xdr:rowOff>
    </xdr:from>
    <xdr:ext cx="2161036" cy="1438659"/>
    <xdr:pic>
      <xdr:nvPicPr>
        <xdr:cNvPr id="80" name="Grafik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1535" y="8601075"/>
          <a:ext cx="2161036" cy="1438659"/>
        </a:xfrm>
        <a:prstGeom prst="rect">
          <a:avLst/>
        </a:prstGeom>
      </xdr:spPr>
    </xdr:pic>
    <xdr:clientData/>
  </xdr:oneCellAnchor>
  <xdr:oneCellAnchor>
    <xdr:from>
      <xdr:col>17</xdr:col>
      <xdr:colOff>138571</xdr:colOff>
      <xdr:row>17</xdr:row>
      <xdr:rowOff>123825</xdr:rowOff>
    </xdr:from>
    <xdr:ext cx="2161036" cy="1438659"/>
    <xdr:pic>
      <xdr:nvPicPr>
        <xdr:cNvPr id="81" name="Grafik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1964" y="8601075"/>
          <a:ext cx="2161036" cy="1438659"/>
        </a:xfrm>
        <a:prstGeom prst="rect">
          <a:avLst/>
        </a:prstGeom>
      </xdr:spPr>
    </xdr:pic>
    <xdr:clientData/>
  </xdr:oneCellAnchor>
  <xdr:oneCellAnchor>
    <xdr:from>
      <xdr:col>24</xdr:col>
      <xdr:colOff>124964</xdr:colOff>
      <xdr:row>21</xdr:row>
      <xdr:rowOff>161541</xdr:rowOff>
    </xdr:from>
    <xdr:ext cx="2161036" cy="1438659"/>
    <xdr:pic>
      <xdr:nvPicPr>
        <xdr:cNvPr id="82" name="Grafik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9339" y="10743816"/>
          <a:ext cx="2161036" cy="1438659"/>
        </a:xfrm>
        <a:prstGeom prst="rect">
          <a:avLst/>
        </a:prstGeom>
      </xdr:spPr>
    </xdr:pic>
    <xdr:clientData/>
  </xdr:oneCellAnchor>
  <xdr:oneCellAnchor>
    <xdr:from>
      <xdr:col>13</xdr:col>
      <xdr:colOff>138571</xdr:colOff>
      <xdr:row>21</xdr:row>
      <xdr:rowOff>161541</xdr:rowOff>
    </xdr:from>
    <xdr:ext cx="2161036" cy="1438659"/>
    <xdr:pic>
      <xdr:nvPicPr>
        <xdr:cNvPr id="83" name="Grafik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1535" y="10707077"/>
          <a:ext cx="2161036" cy="1438659"/>
        </a:xfrm>
        <a:prstGeom prst="rect">
          <a:avLst/>
        </a:prstGeom>
      </xdr:spPr>
    </xdr:pic>
    <xdr:clientData/>
  </xdr:oneCellAnchor>
  <xdr:oneCellAnchor>
    <xdr:from>
      <xdr:col>17</xdr:col>
      <xdr:colOff>138571</xdr:colOff>
      <xdr:row>21</xdr:row>
      <xdr:rowOff>161541</xdr:rowOff>
    </xdr:from>
    <xdr:ext cx="2161036" cy="1438659"/>
    <xdr:pic>
      <xdr:nvPicPr>
        <xdr:cNvPr id="84" name="Grafik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1964" y="10707077"/>
          <a:ext cx="2161036" cy="1438659"/>
        </a:xfrm>
        <a:prstGeom prst="rect">
          <a:avLst/>
        </a:prstGeom>
      </xdr:spPr>
    </xdr:pic>
    <xdr:clientData/>
  </xdr:oneCellAnchor>
  <xdr:oneCellAnchor>
    <xdr:from>
      <xdr:col>21</xdr:col>
      <xdr:colOff>124964</xdr:colOff>
      <xdr:row>21</xdr:row>
      <xdr:rowOff>161541</xdr:rowOff>
    </xdr:from>
    <xdr:ext cx="2161036" cy="1438659"/>
    <xdr:pic>
      <xdr:nvPicPr>
        <xdr:cNvPr id="88" name="Grafik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93339" y="10743816"/>
          <a:ext cx="2161036" cy="1438659"/>
        </a:xfrm>
        <a:prstGeom prst="rect">
          <a:avLst/>
        </a:prstGeom>
      </xdr:spPr>
    </xdr:pic>
    <xdr:clientData/>
  </xdr:oneCellAnchor>
  <xdr:oneCellAnchor>
    <xdr:from>
      <xdr:col>17</xdr:col>
      <xdr:colOff>138571</xdr:colOff>
      <xdr:row>25</xdr:row>
      <xdr:rowOff>104775</xdr:rowOff>
    </xdr:from>
    <xdr:ext cx="2161036" cy="1438659"/>
    <xdr:pic>
      <xdr:nvPicPr>
        <xdr:cNvPr id="89" name="Grafik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1964" y="12718596"/>
          <a:ext cx="2161036" cy="1438659"/>
        </a:xfrm>
        <a:prstGeom prst="rect">
          <a:avLst/>
        </a:prstGeom>
      </xdr:spPr>
    </xdr:pic>
    <xdr:clientData/>
  </xdr:oneCellAnchor>
  <xdr:oneCellAnchor>
    <xdr:from>
      <xdr:col>5</xdr:col>
      <xdr:colOff>165785</xdr:colOff>
      <xdr:row>25</xdr:row>
      <xdr:rowOff>85725</xdr:rowOff>
    </xdr:from>
    <xdr:ext cx="2161036" cy="1438659"/>
    <xdr:pic>
      <xdr:nvPicPr>
        <xdr:cNvPr id="91" name="Grafik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5142" y="12699546"/>
          <a:ext cx="2161036" cy="1438659"/>
        </a:xfrm>
        <a:prstGeom prst="rect">
          <a:avLst/>
        </a:prstGeom>
      </xdr:spPr>
    </xdr:pic>
    <xdr:clientData/>
  </xdr:oneCellAnchor>
  <xdr:twoCellAnchor editAs="oneCell">
    <xdr:from>
      <xdr:col>10</xdr:col>
      <xdr:colOff>115407</xdr:colOff>
      <xdr:row>27</xdr:row>
      <xdr:rowOff>125079</xdr:rowOff>
    </xdr:from>
    <xdr:to>
      <xdr:col>10</xdr:col>
      <xdr:colOff>488983</xdr:colOff>
      <xdr:row>27</xdr:row>
      <xdr:rowOff>486667</xdr:rowOff>
    </xdr:to>
    <xdr:sp macro="" textlink="">
      <xdr:nvSpPr>
        <xdr:cNvPr id="118" name="Ellipse 117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/>
      </xdr:nvSpPr>
      <xdr:spPr>
        <a:xfrm>
          <a:off x="6293050" y="13990758"/>
          <a:ext cx="373576" cy="361588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135203</xdr:colOff>
      <xdr:row>15</xdr:row>
      <xdr:rowOff>328687</xdr:rowOff>
    </xdr:from>
    <xdr:to>
      <xdr:col>10</xdr:col>
      <xdr:colOff>302195</xdr:colOff>
      <xdr:row>27</xdr:row>
      <xdr:rowOff>125079</xdr:rowOff>
    </xdr:to>
    <xdr:cxnSp macro="">
      <xdr:nvCxnSpPr>
        <xdr:cNvPr id="120" name="Gerader Verbinder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CxnSpPr>
          <a:stCxn id="107" idx="5"/>
          <a:endCxn id="118" idx="0"/>
        </xdr:cNvCxnSpPr>
      </xdr:nvCxnSpPr>
      <xdr:spPr>
        <a:xfrm>
          <a:off x="4557524" y="7989508"/>
          <a:ext cx="1922314" cy="6001250"/>
        </a:xfrm>
        <a:prstGeom prst="line">
          <a:avLst/>
        </a:prstGeom>
        <a:ln w="38100">
          <a:solidFill>
            <a:schemeClr val="accent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415609</xdr:colOff>
      <xdr:row>15</xdr:row>
      <xdr:rowOff>23476</xdr:rowOff>
    </xdr:from>
    <xdr:to>
      <xdr:col>15</xdr:col>
      <xdr:colOff>192963</xdr:colOff>
      <xdr:row>15</xdr:row>
      <xdr:rowOff>379341</xdr:rowOff>
    </xdr:to>
    <xdr:sp macro="" textlink="">
      <xdr:nvSpPr>
        <xdr:cNvPr id="169" name="Ellipse 168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/>
      </xdr:nvSpPr>
      <xdr:spPr>
        <a:xfrm>
          <a:off x="8933680" y="7684297"/>
          <a:ext cx="362462" cy="355865"/>
        </a:xfrm>
        <a:prstGeom prst="ellips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4</xdr:col>
      <xdr:colOff>118155</xdr:colOff>
      <xdr:row>23</xdr:row>
      <xdr:rowOff>9382</xdr:rowOff>
    </xdr:from>
    <xdr:to>
      <xdr:col>4</xdr:col>
      <xdr:colOff>482205</xdr:colOff>
      <xdr:row>23</xdr:row>
      <xdr:rowOff>374404</xdr:rowOff>
    </xdr:to>
    <xdr:sp macro="" textlink="">
      <xdr:nvSpPr>
        <xdr:cNvPr id="170" name="Ellipse 169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/>
      </xdr:nvSpPr>
      <xdr:spPr>
        <a:xfrm>
          <a:off x="2785155" y="11806775"/>
          <a:ext cx="364050" cy="365022"/>
        </a:xfrm>
        <a:prstGeom prst="ellips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7</xdr:col>
      <xdr:colOff>120815</xdr:colOff>
      <xdr:row>27</xdr:row>
      <xdr:rowOff>126100</xdr:rowOff>
    </xdr:from>
    <xdr:to>
      <xdr:col>7</xdr:col>
      <xdr:colOff>491928</xdr:colOff>
      <xdr:row>27</xdr:row>
      <xdr:rowOff>485646</xdr:rowOff>
    </xdr:to>
    <xdr:sp macro="" textlink="">
      <xdr:nvSpPr>
        <xdr:cNvPr id="171" name="Ellipse 170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/>
      </xdr:nvSpPr>
      <xdr:spPr>
        <a:xfrm>
          <a:off x="4543136" y="13991779"/>
          <a:ext cx="371113" cy="359546"/>
        </a:xfrm>
        <a:prstGeom prst="ellips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428891</xdr:colOff>
      <xdr:row>15</xdr:row>
      <xdr:rowOff>327226</xdr:rowOff>
    </xdr:from>
    <xdr:to>
      <xdr:col>14</xdr:col>
      <xdr:colOff>468690</xdr:colOff>
      <xdr:row>23</xdr:row>
      <xdr:rowOff>62838</xdr:rowOff>
    </xdr:to>
    <xdr:cxnSp macro="">
      <xdr:nvCxnSpPr>
        <xdr:cNvPr id="172" name="Gerader Verbinder 171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CxnSpPr>
          <a:stCxn id="169" idx="3"/>
          <a:endCxn id="170" idx="7"/>
        </xdr:cNvCxnSpPr>
      </xdr:nvCxnSpPr>
      <xdr:spPr>
        <a:xfrm flipH="1">
          <a:off x="3095891" y="7988047"/>
          <a:ext cx="5890870" cy="3872184"/>
        </a:xfrm>
        <a:prstGeom prst="line">
          <a:avLst/>
        </a:prstGeom>
        <a:ln w="381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428891</xdr:colOff>
      <xdr:row>23</xdr:row>
      <xdr:rowOff>320948</xdr:rowOff>
    </xdr:from>
    <xdr:to>
      <xdr:col>7</xdr:col>
      <xdr:colOff>175163</xdr:colOff>
      <xdr:row>27</xdr:row>
      <xdr:rowOff>178754</xdr:rowOff>
    </xdr:to>
    <xdr:cxnSp macro="">
      <xdr:nvCxnSpPr>
        <xdr:cNvPr id="173" name="Gerader Verbinder 172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CxnSpPr>
          <a:stCxn id="170" idx="5"/>
          <a:endCxn id="171" idx="1"/>
        </xdr:cNvCxnSpPr>
      </xdr:nvCxnSpPr>
      <xdr:spPr>
        <a:xfrm>
          <a:off x="3095891" y="12118341"/>
          <a:ext cx="1501593" cy="1926092"/>
        </a:xfrm>
        <a:prstGeom prst="line">
          <a:avLst/>
        </a:prstGeom>
        <a:ln w="381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401763</xdr:colOff>
      <xdr:row>11</xdr:row>
      <xdr:rowOff>400311</xdr:rowOff>
    </xdr:from>
    <xdr:to>
      <xdr:col>14</xdr:col>
      <xdr:colOff>468690</xdr:colOff>
      <xdr:row>15</xdr:row>
      <xdr:rowOff>75591</xdr:rowOff>
    </xdr:to>
    <xdr:cxnSp macro="">
      <xdr:nvCxnSpPr>
        <xdr:cNvPr id="174" name="Gerader Verbinder 173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CxnSpPr>
          <a:stCxn id="106" idx="5"/>
          <a:endCxn id="169" idx="1"/>
        </xdr:cNvCxnSpPr>
      </xdr:nvCxnSpPr>
      <xdr:spPr>
        <a:xfrm>
          <a:off x="3068763" y="5992847"/>
          <a:ext cx="5917998" cy="1743565"/>
        </a:xfrm>
        <a:prstGeom prst="line">
          <a:avLst/>
        </a:prstGeom>
        <a:ln w="381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35618</xdr:colOff>
      <xdr:row>2</xdr:row>
      <xdr:rowOff>556559</xdr:rowOff>
    </xdr:from>
    <xdr:to>
      <xdr:col>6</xdr:col>
      <xdr:colOff>413081</xdr:colOff>
      <xdr:row>3</xdr:row>
      <xdr:rowOff>289029</xdr:rowOff>
    </xdr:to>
    <xdr:sp macro="" textlink="">
      <xdr:nvSpPr>
        <xdr:cNvPr id="105" name="Ellipse 104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/>
      </xdr:nvSpPr>
      <xdr:spPr>
        <a:xfrm>
          <a:off x="4730082" y="1386595"/>
          <a:ext cx="377463" cy="358398"/>
        </a:xfrm>
        <a:prstGeom prst="ellips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4</xdr:col>
      <xdr:colOff>80186</xdr:colOff>
      <xdr:row>11</xdr:row>
      <xdr:rowOff>121109</xdr:rowOff>
    </xdr:from>
    <xdr:to>
      <xdr:col>4</xdr:col>
      <xdr:colOff>456937</xdr:colOff>
      <xdr:row>11</xdr:row>
      <xdr:rowOff>448214</xdr:rowOff>
    </xdr:to>
    <xdr:sp macro="" textlink="">
      <xdr:nvSpPr>
        <xdr:cNvPr id="106" name="Ellipse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/>
      </xdr:nvSpPr>
      <xdr:spPr>
        <a:xfrm>
          <a:off x="2747186" y="5713645"/>
          <a:ext cx="376751" cy="327105"/>
        </a:xfrm>
        <a:prstGeom prst="ellips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6</xdr:col>
      <xdr:colOff>413031</xdr:colOff>
      <xdr:row>15</xdr:row>
      <xdr:rowOff>21409</xdr:rowOff>
    </xdr:from>
    <xdr:to>
      <xdr:col>7</xdr:col>
      <xdr:colOff>187924</xdr:colOff>
      <xdr:row>15</xdr:row>
      <xdr:rowOff>381408</xdr:rowOff>
    </xdr:to>
    <xdr:sp macro="" textlink="">
      <xdr:nvSpPr>
        <xdr:cNvPr id="107" name="Ellipse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/>
      </xdr:nvSpPr>
      <xdr:spPr>
        <a:xfrm>
          <a:off x="4250245" y="7682230"/>
          <a:ext cx="360000" cy="359999"/>
        </a:xfrm>
        <a:prstGeom prst="ellips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3</xdr:col>
      <xdr:colOff>120717</xdr:colOff>
      <xdr:row>23</xdr:row>
      <xdr:rowOff>11099</xdr:rowOff>
    </xdr:from>
    <xdr:to>
      <xdr:col>3</xdr:col>
      <xdr:colOff>488655</xdr:colOff>
      <xdr:row>23</xdr:row>
      <xdr:rowOff>372687</xdr:rowOff>
    </xdr:to>
    <xdr:sp macro="" textlink="">
      <xdr:nvSpPr>
        <xdr:cNvPr id="108" name="Ellipse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/>
      </xdr:nvSpPr>
      <xdr:spPr>
        <a:xfrm>
          <a:off x="2202610" y="11808492"/>
          <a:ext cx="367938" cy="361588"/>
        </a:xfrm>
        <a:prstGeom prst="ellips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6</xdr:col>
      <xdr:colOff>131084</xdr:colOff>
      <xdr:row>27</xdr:row>
      <xdr:rowOff>125873</xdr:rowOff>
    </xdr:from>
    <xdr:to>
      <xdr:col>6</xdr:col>
      <xdr:colOff>495847</xdr:colOff>
      <xdr:row>27</xdr:row>
      <xdr:rowOff>485873</xdr:rowOff>
    </xdr:to>
    <xdr:sp macro="" textlink="">
      <xdr:nvSpPr>
        <xdr:cNvPr id="109" name="Ellipse 108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/>
      </xdr:nvSpPr>
      <xdr:spPr>
        <a:xfrm>
          <a:off x="3968298" y="13991552"/>
          <a:ext cx="364763" cy="360000"/>
        </a:xfrm>
        <a:prstGeom prst="ellips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401763</xdr:colOff>
      <xdr:row>11</xdr:row>
      <xdr:rowOff>400311</xdr:rowOff>
    </xdr:from>
    <xdr:to>
      <xdr:col>7</xdr:col>
      <xdr:colOff>7924</xdr:colOff>
      <xdr:row>15</xdr:row>
      <xdr:rowOff>21409</xdr:rowOff>
    </xdr:to>
    <xdr:cxnSp macro="">
      <xdr:nvCxnSpPr>
        <xdr:cNvPr id="110" name="Gerader Verbinder 109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CxnSpPr>
          <a:stCxn id="106" idx="5"/>
          <a:endCxn id="107" idx="0"/>
        </xdr:cNvCxnSpPr>
      </xdr:nvCxnSpPr>
      <xdr:spPr>
        <a:xfrm>
          <a:off x="3068763" y="5992847"/>
          <a:ext cx="1361482" cy="1689383"/>
        </a:xfrm>
        <a:prstGeom prst="line">
          <a:avLst/>
        </a:prstGeom>
        <a:ln w="381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304686</xdr:colOff>
      <xdr:row>15</xdr:row>
      <xdr:rowOff>328687</xdr:rowOff>
    </xdr:from>
    <xdr:to>
      <xdr:col>6</xdr:col>
      <xdr:colOff>465752</xdr:colOff>
      <xdr:row>23</xdr:row>
      <xdr:rowOff>11099</xdr:rowOff>
    </xdr:to>
    <xdr:cxnSp macro="">
      <xdr:nvCxnSpPr>
        <xdr:cNvPr id="112" name="Gerader Verbinder 111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CxnSpPr>
          <a:stCxn id="107" idx="3"/>
          <a:endCxn id="108" idx="0"/>
        </xdr:cNvCxnSpPr>
      </xdr:nvCxnSpPr>
      <xdr:spPr>
        <a:xfrm flipH="1">
          <a:off x="2386579" y="7989508"/>
          <a:ext cx="1916387" cy="3818984"/>
        </a:xfrm>
        <a:prstGeom prst="line">
          <a:avLst/>
        </a:prstGeom>
        <a:ln w="381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434772</xdr:colOff>
      <xdr:row>23</xdr:row>
      <xdr:rowOff>319734</xdr:rowOff>
    </xdr:from>
    <xdr:to>
      <xdr:col>6</xdr:col>
      <xdr:colOff>184502</xdr:colOff>
      <xdr:row>27</xdr:row>
      <xdr:rowOff>178594</xdr:rowOff>
    </xdr:to>
    <xdr:cxnSp macro="">
      <xdr:nvCxnSpPr>
        <xdr:cNvPr id="113" name="Gerader Verbinder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CxnSpPr>
          <a:stCxn id="108" idx="5"/>
          <a:endCxn id="109" idx="1"/>
        </xdr:cNvCxnSpPr>
      </xdr:nvCxnSpPr>
      <xdr:spPr>
        <a:xfrm>
          <a:off x="2516665" y="12117127"/>
          <a:ext cx="1505051" cy="1927146"/>
        </a:xfrm>
        <a:prstGeom prst="line">
          <a:avLst/>
        </a:prstGeom>
        <a:ln w="381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268562</xdr:colOff>
      <xdr:row>3</xdr:row>
      <xdr:rowOff>289029</xdr:rowOff>
    </xdr:from>
    <xdr:to>
      <xdr:col>6</xdr:col>
      <xdr:colOff>224350</xdr:colOff>
      <xdr:row>11</xdr:row>
      <xdr:rowOff>121109</xdr:rowOff>
    </xdr:to>
    <xdr:cxnSp macro="">
      <xdr:nvCxnSpPr>
        <xdr:cNvPr id="114" name="Gerader Verbinder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CxnSpPr>
          <a:stCxn id="105" idx="4"/>
          <a:endCxn id="106" idx="0"/>
        </xdr:cNvCxnSpPr>
      </xdr:nvCxnSpPr>
      <xdr:spPr>
        <a:xfrm flipH="1">
          <a:off x="2935562" y="1744993"/>
          <a:ext cx="1126002" cy="3968652"/>
        </a:xfrm>
        <a:prstGeom prst="line">
          <a:avLst/>
        </a:prstGeom>
        <a:ln w="381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109257</xdr:colOff>
      <xdr:row>27</xdr:row>
      <xdr:rowOff>123265</xdr:rowOff>
    </xdr:from>
    <xdr:to>
      <xdr:col>14</xdr:col>
      <xdr:colOff>483545</xdr:colOff>
      <xdr:row>27</xdr:row>
      <xdr:rowOff>488481</xdr:rowOff>
    </xdr:to>
    <xdr:sp macro="" textlink="">
      <xdr:nvSpPr>
        <xdr:cNvPr id="136" name="Ellipse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/>
      </xdr:nvSpPr>
      <xdr:spPr>
        <a:xfrm>
          <a:off x="8627328" y="13988944"/>
          <a:ext cx="374288" cy="365216"/>
        </a:xfrm>
        <a:prstGeom prst="ellipse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135203</xdr:colOff>
      <xdr:row>15</xdr:row>
      <xdr:rowOff>328687</xdr:rowOff>
    </xdr:from>
    <xdr:to>
      <xdr:col>14</xdr:col>
      <xdr:colOff>164070</xdr:colOff>
      <xdr:row>27</xdr:row>
      <xdr:rowOff>176750</xdr:rowOff>
    </xdr:to>
    <xdr:cxnSp macro="">
      <xdr:nvCxnSpPr>
        <xdr:cNvPr id="139" name="Gerader Verbinder 138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CxnSpPr>
          <a:stCxn id="107" idx="5"/>
          <a:endCxn id="136" idx="1"/>
        </xdr:cNvCxnSpPr>
      </xdr:nvCxnSpPr>
      <xdr:spPr>
        <a:xfrm>
          <a:off x="4557524" y="7989508"/>
          <a:ext cx="4124617" cy="6052921"/>
        </a:xfrm>
        <a:prstGeom prst="line">
          <a:avLst/>
        </a:prstGeom>
        <a:ln w="38100">
          <a:solidFill>
            <a:schemeClr val="accent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113207</xdr:colOff>
      <xdr:row>27</xdr:row>
      <xdr:rowOff>126440</xdr:rowOff>
    </xdr:from>
    <xdr:to>
      <xdr:col>12</xdr:col>
      <xdr:colOff>485033</xdr:colOff>
      <xdr:row>27</xdr:row>
      <xdr:rowOff>485306</xdr:rowOff>
    </xdr:to>
    <xdr:sp macro="" textlink="">
      <xdr:nvSpPr>
        <xdr:cNvPr id="145" name="Ellipse 144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/>
      </xdr:nvSpPr>
      <xdr:spPr>
        <a:xfrm>
          <a:off x="7461064" y="13992119"/>
          <a:ext cx="371826" cy="358866"/>
        </a:xfrm>
        <a:prstGeom prst="ellipse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299120</xdr:colOff>
      <xdr:row>15</xdr:row>
      <xdr:rowOff>379341</xdr:rowOff>
    </xdr:from>
    <xdr:to>
      <xdr:col>15</xdr:col>
      <xdr:colOff>11732</xdr:colOff>
      <xdr:row>27</xdr:row>
      <xdr:rowOff>126440</xdr:rowOff>
    </xdr:to>
    <xdr:cxnSp macro="">
      <xdr:nvCxnSpPr>
        <xdr:cNvPr id="148" name="Gerader Verbinder 147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CxnSpPr>
          <a:stCxn id="169" idx="4"/>
          <a:endCxn id="145" idx="0"/>
        </xdr:cNvCxnSpPr>
      </xdr:nvCxnSpPr>
      <xdr:spPr>
        <a:xfrm flipH="1">
          <a:off x="7646977" y="8040162"/>
          <a:ext cx="1467934" cy="5951957"/>
        </a:xfrm>
        <a:prstGeom prst="line">
          <a:avLst/>
        </a:prstGeom>
        <a:ln w="3810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107768</xdr:colOff>
      <xdr:row>27</xdr:row>
      <xdr:rowOff>124853</xdr:rowOff>
    </xdr:from>
    <xdr:to>
      <xdr:col>16</xdr:col>
      <xdr:colOff>485231</xdr:colOff>
      <xdr:row>27</xdr:row>
      <xdr:rowOff>486894</xdr:rowOff>
    </xdr:to>
    <xdr:sp macro="" textlink="">
      <xdr:nvSpPr>
        <xdr:cNvPr id="154" name="Ellipse 153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SpPr/>
      </xdr:nvSpPr>
      <xdr:spPr>
        <a:xfrm>
          <a:off x="9796054" y="13990532"/>
          <a:ext cx="377463" cy="362041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15</xdr:col>
      <xdr:colOff>11732</xdr:colOff>
      <xdr:row>15</xdr:row>
      <xdr:rowOff>379341</xdr:rowOff>
    </xdr:from>
    <xdr:to>
      <xdr:col>16</xdr:col>
      <xdr:colOff>296500</xdr:colOff>
      <xdr:row>27</xdr:row>
      <xdr:rowOff>124853</xdr:rowOff>
    </xdr:to>
    <xdr:cxnSp macro="">
      <xdr:nvCxnSpPr>
        <xdr:cNvPr id="157" name="Gerader Verbinder 156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CxnSpPr>
          <a:stCxn id="169" idx="4"/>
          <a:endCxn id="154" idx="0"/>
        </xdr:cNvCxnSpPr>
      </xdr:nvCxnSpPr>
      <xdr:spPr>
        <a:xfrm>
          <a:off x="9114911" y="8040162"/>
          <a:ext cx="869875" cy="5950370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39</xdr:col>
      <xdr:colOff>127569</xdr:colOff>
      <xdr:row>25</xdr:row>
      <xdr:rowOff>94570</xdr:rowOff>
    </xdr:from>
    <xdr:ext cx="2157861" cy="1416434"/>
    <xdr:pic>
      <xdr:nvPicPr>
        <xdr:cNvPr id="209" name="Grafik 208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11944" y="12572320"/>
          <a:ext cx="2157861" cy="1416434"/>
        </a:xfrm>
        <a:prstGeom prst="rect">
          <a:avLst/>
        </a:prstGeom>
      </xdr:spPr>
    </xdr:pic>
    <xdr:clientData/>
  </xdr:oneCellAnchor>
  <xdr:oneCellAnchor>
    <xdr:from>
      <xdr:col>42</xdr:col>
      <xdr:colOff>123825</xdr:colOff>
      <xdr:row>25</xdr:row>
      <xdr:rowOff>85725</xdr:rowOff>
    </xdr:from>
    <xdr:ext cx="2161036" cy="1419609"/>
    <xdr:pic>
      <xdr:nvPicPr>
        <xdr:cNvPr id="210" name="Grafik 209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12563475"/>
          <a:ext cx="2161036" cy="1419609"/>
        </a:xfrm>
        <a:prstGeom prst="rect">
          <a:avLst/>
        </a:prstGeom>
      </xdr:spPr>
    </xdr:pic>
    <xdr:clientData/>
  </xdr:oneCellAnchor>
  <xdr:oneCellAnchor>
    <xdr:from>
      <xdr:col>33</xdr:col>
      <xdr:colOff>124964</xdr:colOff>
      <xdr:row>1</xdr:row>
      <xdr:rowOff>104775</xdr:rowOff>
    </xdr:from>
    <xdr:ext cx="2161036" cy="1419609"/>
    <xdr:pic>
      <xdr:nvPicPr>
        <xdr:cNvPr id="211" name="Grafik 210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339" y="295275"/>
          <a:ext cx="2161036" cy="1419609"/>
        </a:xfrm>
        <a:prstGeom prst="rect">
          <a:avLst/>
        </a:prstGeom>
      </xdr:spPr>
    </xdr:pic>
    <xdr:clientData/>
  </xdr:oneCellAnchor>
  <xdr:oneCellAnchor>
    <xdr:from>
      <xdr:col>36</xdr:col>
      <xdr:colOff>124964</xdr:colOff>
      <xdr:row>1</xdr:row>
      <xdr:rowOff>104775</xdr:rowOff>
    </xdr:from>
    <xdr:ext cx="2161036" cy="1419609"/>
    <xdr:pic>
      <xdr:nvPicPr>
        <xdr:cNvPr id="212" name="Grafik 211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9339" y="295275"/>
          <a:ext cx="2161036" cy="1419609"/>
        </a:xfrm>
        <a:prstGeom prst="rect">
          <a:avLst/>
        </a:prstGeom>
      </xdr:spPr>
    </xdr:pic>
    <xdr:clientData/>
  </xdr:oneCellAnchor>
  <xdr:oneCellAnchor>
    <xdr:from>
      <xdr:col>39</xdr:col>
      <xdr:colOff>124964</xdr:colOff>
      <xdr:row>1</xdr:row>
      <xdr:rowOff>104775</xdr:rowOff>
    </xdr:from>
    <xdr:ext cx="2161036" cy="1419609"/>
    <xdr:pic>
      <xdr:nvPicPr>
        <xdr:cNvPr id="213" name="Grafik 212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5339" y="295275"/>
          <a:ext cx="2161036" cy="1419609"/>
        </a:xfrm>
        <a:prstGeom prst="rect">
          <a:avLst/>
        </a:prstGeom>
      </xdr:spPr>
    </xdr:pic>
    <xdr:clientData/>
  </xdr:oneCellAnchor>
  <xdr:oneCellAnchor>
    <xdr:from>
      <xdr:col>33</xdr:col>
      <xdr:colOff>124964</xdr:colOff>
      <xdr:row>13</xdr:row>
      <xdr:rowOff>66675</xdr:rowOff>
    </xdr:from>
    <xdr:ext cx="2161036" cy="1419609"/>
    <xdr:pic>
      <xdr:nvPicPr>
        <xdr:cNvPr id="214" name="Grafik 213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339" y="6400800"/>
          <a:ext cx="2161036" cy="1419609"/>
        </a:xfrm>
        <a:prstGeom prst="rect">
          <a:avLst/>
        </a:prstGeom>
      </xdr:spPr>
    </xdr:pic>
    <xdr:clientData/>
  </xdr:oneCellAnchor>
  <xdr:oneCellAnchor>
    <xdr:from>
      <xdr:col>36</xdr:col>
      <xdr:colOff>124964</xdr:colOff>
      <xdr:row>13</xdr:row>
      <xdr:rowOff>66675</xdr:rowOff>
    </xdr:from>
    <xdr:ext cx="2161036" cy="1419609"/>
    <xdr:pic>
      <xdr:nvPicPr>
        <xdr:cNvPr id="215" name="Grafik 214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9339" y="6400800"/>
          <a:ext cx="2161036" cy="1419609"/>
        </a:xfrm>
        <a:prstGeom prst="rect">
          <a:avLst/>
        </a:prstGeom>
      </xdr:spPr>
    </xdr:pic>
    <xdr:clientData/>
  </xdr:oneCellAnchor>
  <xdr:oneCellAnchor>
    <xdr:from>
      <xdr:col>39</xdr:col>
      <xdr:colOff>124964</xdr:colOff>
      <xdr:row>13</xdr:row>
      <xdr:rowOff>66675</xdr:rowOff>
    </xdr:from>
    <xdr:ext cx="2161036" cy="1419609"/>
    <xdr:pic>
      <xdr:nvPicPr>
        <xdr:cNvPr id="216" name="Grafik 215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5339" y="6400800"/>
          <a:ext cx="2161036" cy="1419609"/>
        </a:xfrm>
        <a:prstGeom prst="rect">
          <a:avLst/>
        </a:prstGeom>
      </xdr:spPr>
    </xdr:pic>
    <xdr:clientData/>
  </xdr:oneCellAnchor>
  <xdr:oneCellAnchor>
    <xdr:from>
      <xdr:col>42</xdr:col>
      <xdr:colOff>124964</xdr:colOff>
      <xdr:row>13</xdr:row>
      <xdr:rowOff>66675</xdr:rowOff>
    </xdr:from>
    <xdr:ext cx="2161036" cy="1419609"/>
    <xdr:pic>
      <xdr:nvPicPr>
        <xdr:cNvPr id="217" name="Grafik 216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1339" y="6400800"/>
          <a:ext cx="2161036" cy="1419609"/>
        </a:xfrm>
        <a:prstGeom prst="rect">
          <a:avLst/>
        </a:prstGeom>
      </xdr:spPr>
    </xdr:pic>
    <xdr:clientData/>
  </xdr:oneCellAnchor>
  <xdr:oneCellAnchor>
    <xdr:from>
      <xdr:col>45</xdr:col>
      <xdr:colOff>124964</xdr:colOff>
      <xdr:row>13</xdr:row>
      <xdr:rowOff>66675</xdr:rowOff>
    </xdr:from>
    <xdr:ext cx="2161036" cy="1419609"/>
    <xdr:pic>
      <xdr:nvPicPr>
        <xdr:cNvPr id="218" name="Grafik 217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7339" y="6400800"/>
          <a:ext cx="2161036" cy="1419609"/>
        </a:xfrm>
        <a:prstGeom prst="rect">
          <a:avLst/>
        </a:prstGeom>
      </xdr:spPr>
    </xdr:pic>
    <xdr:clientData/>
  </xdr:oneCellAnchor>
  <xdr:oneCellAnchor>
    <xdr:from>
      <xdr:col>33</xdr:col>
      <xdr:colOff>124964</xdr:colOff>
      <xdr:row>5</xdr:row>
      <xdr:rowOff>123825</xdr:rowOff>
    </xdr:from>
    <xdr:ext cx="2161036" cy="1419609"/>
    <xdr:pic>
      <xdr:nvPicPr>
        <xdr:cNvPr id="219" name="Grafik 218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339" y="2362200"/>
          <a:ext cx="2161036" cy="1419609"/>
        </a:xfrm>
        <a:prstGeom prst="rect">
          <a:avLst/>
        </a:prstGeom>
      </xdr:spPr>
    </xdr:pic>
    <xdr:clientData/>
  </xdr:oneCellAnchor>
  <xdr:oneCellAnchor>
    <xdr:from>
      <xdr:col>36</xdr:col>
      <xdr:colOff>124964</xdr:colOff>
      <xdr:row>5</xdr:row>
      <xdr:rowOff>123825</xdr:rowOff>
    </xdr:from>
    <xdr:ext cx="2161036" cy="1419609"/>
    <xdr:pic>
      <xdr:nvPicPr>
        <xdr:cNvPr id="220" name="Grafik 219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9339" y="2362200"/>
          <a:ext cx="2161036" cy="1419609"/>
        </a:xfrm>
        <a:prstGeom prst="rect">
          <a:avLst/>
        </a:prstGeom>
      </xdr:spPr>
    </xdr:pic>
    <xdr:clientData/>
  </xdr:oneCellAnchor>
  <xdr:oneCellAnchor>
    <xdr:from>
      <xdr:col>39</xdr:col>
      <xdr:colOff>124964</xdr:colOff>
      <xdr:row>5</xdr:row>
      <xdr:rowOff>123825</xdr:rowOff>
    </xdr:from>
    <xdr:ext cx="2161036" cy="1419609"/>
    <xdr:pic>
      <xdr:nvPicPr>
        <xdr:cNvPr id="221" name="Grafik 220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5339" y="2362200"/>
          <a:ext cx="2161036" cy="1419609"/>
        </a:xfrm>
        <a:prstGeom prst="rect">
          <a:avLst/>
        </a:prstGeom>
      </xdr:spPr>
    </xdr:pic>
    <xdr:clientData/>
  </xdr:oneCellAnchor>
  <xdr:oneCellAnchor>
    <xdr:from>
      <xdr:col>48</xdr:col>
      <xdr:colOff>124964</xdr:colOff>
      <xdr:row>5</xdr:row>
      <xdr:rowOff>123825</xdr:rowOff>
    </xdr:from>
    <xdr:ext cx="2161036" cy="1419609"/>
    <xdr:pic>
      <xdr:nvPicPr>
        <xdr:cNvPr id="222" name="Grafik 221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93339" y="2362200"/>
          <a:ext cx="2161036" cy="1419609"/>
        </a:xfrm>
        <a:prstGeom prst="rect">
          <a:avLst/>
        </a:prstGeom>
      </xdr:spPr>
    </xdr:pic>
    <xdr:clientData/>
  </xdr:oneCellAnchor>
  <xdr:oneCellAnchor>
    <xdr:from>
      <xdr:col>42</xdr:col>
      <xdr:colOff>124964</xdr:colOff>
      <xdr:row>5</xdr:row>
      <xdr:rowOff>123825</xdr:rowOff>
    </xdr:from>
    <xdr:ext cx="2161036" cy="1419609"/>
    <xdr:pic>
      <xdr:nvPicPr>
        <xdr:cNvPr id="223" name="Grafik 222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1339" y="2362200"/>
          <a:ext cx="2161036" cy="1419609"/>
        </a:xfrm>
        <a:prstGeom prst="rect">
          <a:avLst/>
        </a:prstGeom>
      </xdr:spPr>
    </xdr:pic>
    <xdr:clientData/>
  </xdr:oneCellAnchor>
  <xdr:oneCellAnchor>
    <xdr:from>
      <xdr:col>45</xdr:col>
      <xdr:colOff>124964</xdr:colOff>
      <xdr:row>5</xdr:row>
      <xdr:rowOff>123825</xdr:rowOff>
    </xdr:from>
    <xdr:ext cx="2161036" cy="1419609"/>
    <xdr:pic>
      <xdr:nvPicPr>
        <xdr:cNvPr id="224" name="Grafik 223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7339" y="2362200"/>
          <a:ext cx="2161036" cy="1419609"/>
        </a:xfrm>
        <a:prstGeom prst="rect">
          <a:avLst/>
        </a:prstGeom>
      </xdr:spPr>
    </xdr:pic>
    <xdr:clientData/>
  </xdr:oneCellAnchor>
  <xdr:oneCellAnchor>
    <xdr:from>
      <xdr:col>51</xdr:col>
      <xdr:colOff>124964</xdr:colOff>
      <xdr:row>9</xdr:row>
      <xdr:rowOff>180591</xdr:rowOff>
    </xdr:from>
    <xdr:ext cx="2161036" cy="1419609"/>
    <xdr:pic>
      <xdr:nvPicPr>
        <xdr:cNvPr id="225" name="Grafik 224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9339" y="4466841"/>
          <a:ext cx="2161036" cy="1419609"/>
        </a:xfrm>
        <a:prstGeom prst="rect">
          <a:avLst/>
        </a:prstGeom>
      </xdr:spPr>
    </xdr:pic>
    <xdr:clientData/>
  </xdr:oneCellAnchor>
  <xdr:oneCellAnchor>
    <xdr:from>
      <xdr:col>42</xdr:col>
      <xdr:colOff>124964</xdr:colOff>
      <xdr:row>9</xdr:row>
      <xdr:rowOff>180591</xdr:rowOff>
    </xdr:from>
    <xdr:ext cx="2161036" cy="1419609"/>
    <xdr:pic>
      <xdr:nvPicPr>
        <xdr:cNvPr id="226" name="Grafik 225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1339" y="4466841"/>
          <a:ext cx="2161036" cy="1419609"/>
        </a:xfrm>
        <a:prstGeom prst="rect">
          <a:avLst/>
        </a:prstGeom>
      </xdr:spPr>
    </xdr:pic>
    <xdr:clientData/>
  </xdr:oneCellAnchor>
  <xdr:oneCellAnchor>
    <xdr:from>
      <xdr:col>45</xdr:col>
      <xdr:colOff>124964</xdr:colOff>
      <xdr:row>9</xdr:row>
      <xdr:rowOff>180591</xdr:rowOff>
    </xdr:from>
    <xdr:ext cx="2161036" cy="1419609"/>
    <xdr:pic>
      <xdr:nvPicPr>
        <xdr:cNvPr id="227" name="Grafik 226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7339" y="4466841"/>
          <a:ext cx="2161036" cy="1419609"/>
        </a:xfrm>
        <a:prstGeom prst="rect">
          <a:avLst/>
        </a:prstGeom>
      </xdr:spPr>
    </xdr:pic>
    <xdr:clientData/>
  </xdr:oneCellAnchor>
  <xdr:oneCellAnchor>
    <xdr:from>
      <xdr:col>33</xdr:col>
      <xdr:colOff>124964</xdr:colOff>
      <xdr:row>9</xdr:row>
      <xdr:rowOff>180591</xdr:rowOff>
    </xdr:from>
    <xdr:ext cx="2161036" cy="1419609"/>
    <xdr:pic>
      <xdr:nvPicPr>
        <xdr:cNvPr id="228" name="Grafik 227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339" y="4466841"/>
          <a:ext cx="2161036" cy="1419609"/>
        </a:xfrm>
        <a:prstGeom prst="rect">
          <a:avLst/>
        </a:prstGeom>
      </xdr:spPr>
    </xdr:pic>
    <xdr:clientData/>
  </xdr:oneCellAnchor>
  <xdr:oneCellAnchor>
    <xdr:from>
      <xdr:col>36</xdr:col>
      <xdr:colOff>124964</xdr:colOff>
      <xdr:row>9</xdr:row>
      <xdr:rowOff>180591</xdr:rowOff>
    </xdr:from>
    <xdr:ext cx="2161036" cy="1419609"/>
    <xdr:pic>
      <xdr:nvPicPr>
        <xdr:cNvPr id="229" name="Grafik 228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9339" y="4466841"/>
          <a:ext cx="2161036" cy="1419609"/>
        </a:xfrm>
        <a:prstGeom prst="rect">
          <a:avLst/>
        </a:prstGeom>
      </xdr:spPr>
    </xdr:pic>
    <xdr:clientData/>
  </xdr:oneCellAnchor>
  <xdr:oneCellAnchor>
    <xdr:from>
      <xdr:col>39</xdr:col>
      <xdr:colOff>124964</xdr:colOff>
      <xdr:row>9</xdr:row>
      <xdr:rowOff>180591</xdr:rowOff>
    </xdr:from>
    <xdr:ext cx="2161036" cy="1419609"/>
    <xdr:pic>
      <xdr:nvPicPr>
        <xdr:cNvPr id="230" name="Grafik 229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5339" y="4466841"/>
          <a:ext cx="2161036" cy="1419609"/>
        </a:xfrm>
        <a:prstGeom prst="rect">
          <a:avLst/>
        </a:prstGeom>
      </xdr:spPr>
    </xdr:pic>
    <xdr:clientData/>
  </xdr:oneCellAnchor>
  <xdr:oneCellAnchor>
    <xdr:from>
      <xdr:col>48</xdr:col>
      <xdr:colOff>124964</xdr:colOff>
      <xdr:row>9</xdr:row>
      <xdr:rowOff>180591</xdr:rowOff>
    </xdr:from>
    <xdr:ext cx="2161036" cy="1419609"/>
    <xdr:pic>
      <xdr:nvPicPr>
        <xdr:cNvPr id="231" name="Grafik 230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93339" y="4466841"/>
          <a:ext cx="2161036" cy="1419609"/>
        </a:xfrm>
        <a:prstGeom prst="rect">
          <a:avLst/>
        </a:prstGeom>
      </xdr:spPr>
    </xdr:pic>
    <xdr:clientData/>
  </xdr:oneCellAnchor>
  <xdr:oneCellAnchor>
    <xdr:from>
      <xdr:col>33</xdr:col>
      <xdr:colOff>124964</xdr:colOff>
      <xdr:row>17</xdr:row>
      <xdr:rowOff>123825</xdr:rowOff>
    </xdr:from>
    <xdr:ext cx="2161036" cy="1438659"/>
    <xdr:pic>
      <xdr:nvPicPr>
        <xdr:cNvPr id="232" name="Grafik 231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339" y="8505825"/>
          <a:ext cx="2161036" cy="1438659"/>
        </a:xfrm>
        <a:prstGeom prst="rect">
          <a:avLst/>
        </a:prstGeom>
      </xdr:spPr>
    </xdr:pic>
    <xdr:clientData/>
  </xdr:oneCellAnchor>
  <xdr:oneCellAnchor>
    <xdr:from>
      <xdr:col>36</xdr:col>
      <xdr:colOff>124964</xdr:colOff>
      <xdr:row>17</xdr:row>
      <xdr:rowOff>123825</xdr:rowOff>
    </xdr:from>
    <xdr:ext cx="2161036" cy="1438659"/>
    <xdr:pic>
      <xdr:nvPicPr>
        <xdr:cNvPr id="233" name="Grafik 232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9339" y="8505825"/>
          <a:ext cx="2161036" cy="1438659"/>
        </a:xfrm>
        <a:prstGeom prst="rect">
          <a:avLst/>
        </a:prstGeom>
      </xdr:spPr>
    </xdr:pic>
    <xdr:clientData/>
  </xdr:oneCellAnchor>
  <xdr:oneCellAnchor>
    <xdr:from>
      <xdr:col>39</xdr:col>
      <xdr:colOff>124964</xdr:colOff>
      <xdr:row>17</xdr:row>
      <xdr:rowOff>123825</xdr:rowOff>
    </xdr:from>
    <xdr:ext cx="2161036" cy="1438659"/>
    <xdr:pic>
      <xdr:nvPicPr>
        <xdr:cNvPr id="234" name="Grafik 233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5339" y="8505825"/>
          <a:ext cx="2161036" cy="1438659"/>
        </a:xfrm>
        <a:prstGeom prst="rect">
          <a:avLst/>
        </a:prstGeom>
      </xdr:spPr>
    </xdr:pic>
    <xdr:clientData/>
  </xdr:oneCellAnchor>
  <xdr:oneCellAnchor>
    <xdr:from>
      <xdr:col>33</xdr:col>
      <xdr:colOff>124964</xdr:colOff>
      <xdr:row>21</xdr:row>
      <xdr:rowOff>161541</xdr:rowOff>
    </xdr:from>
    <xdr:ext cx="2161036" cy="1438659"/>
    <xdr:pic>
      <xdr:nvPicPr>
        <xdr:cNvPr id="235" name="Grafik 234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339" y="10591416"/>
          <a:ext cx="2161036" cy="1438659"/>
        </a:xfrm>
        <a:prstGeom prst="rect">
          <a:avLst/>
        </a:prstGeom>
      </xdr:spPr>
    </xdr:pic>
    <xdr:clientData/>
  </xdr:oneCellAnchor>
  <xdr:oneCellAnchor>
    <xdr:from>
      <xdr:col>36</xdr:col>
      <xdr:colOff>124964</xdr:colOff>
      <xdr:row>21</xdr:row>
      <xdr:rowOff>161541</xdr:rowOff>
    </xdr:from>
    <xdr:ext cx="2161036" cy="1438659"/>
    <xdr:pic>
      <xdr:nvPicPr>
        <xdr:cNvPr id="236" name="Grafik 235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9339" y="10591416"/>
          <a:ext cx="2161036" cy="1438659"/>
        </a:xfrm>
        <a:prstGeom prst="rect">
          <a:avLst/>
        </a:prstGeom>
      </xdr:spPr>
    </xdr:pic>
    <xdr:clientData/>
  </xdr:oneCellAnchor>
  <xdr:oneCellAnchor>
    <xdr:from>
      <xdr:col>39</xdr:col>
      <xdr:colOff>124964</xdr:colOff>
      <xdr:row>21</xdr:row>
      <xdr:rowOff>161541</xdr:rowOff>
    </xdr:from>
    <xdr:ext cx="2161036" cy="1438659"/>
    <xdr:pic>
      <xdr:nvPicPr>
        <xdr:cNvPr id="237" name="Grafik 236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5339" y="10591416"/>
          <a:ext cx="2161036" cy="1438659"/>
        </a:xfrm>
        <a:prstGeom prst="rect">
          <a:avLst/>
        </a:prstGeom>
      </xdr:spPr>
    </xdr:pic>
    <xdr:clientData/>
  </xdr:oneCellAnchor>
  <xdr:oneCellAnchor>
    <xdr:from>
      <xdr:col>33</xdr:col>
      <xdr:colOff>124964</xdr:colOff>
      <xdr:row>17</xdr:row>
      <xdr:rowOff>123825</xdr:rowOff>
    </xdr:from>
    <xdr:ext cx="2161036" cy="1438659"/>
    <xdr:pic>
      <xdr:nvPicPr>
        <xdr:cNvPr id="238" name="Grafik 237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339" y="8505825"/>
          <a:ext cx="2161036" cy="1438659"/>
        </a:xfrm>
        <a:prstGeom prst="rect">
          <a:avLst/>
        </a:prstGeom>
      </xdr:spPr>
    </xdr:pic>
    <xdr:clientData/>
  </xdr:oneCellAnchor>
  <xdr:oneCellAnchor>
    <xdr:from>
      <xdr:col>36</xdr:col>
      <xdr:colOff>124964</xdr:colOff>
      <xdr:row>17</xdr:row>
      <xdr:rowOff>123825</xdr:rowOff>
    </xdr:from>
    <xdr:ext cx="2161036" cy="1438659"/>
    <xdr:pic>
      <xdr:nvPicPr>
        <xdr:cNvPr id="239" name="Grafik 238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9339" y="8505825"/>
          <a:ext cx="2161036" cy="1438659"/>
        </a:xfrm>
        <a:prstGeom prst="rect">
          <a:avLst/>
        </a:prstGeom>
      </xdr:spPr>
    </xdr:pic>
    <xdr:clientData/>
  </xdr:oneCellAnchor>
  <xdr:oneCellAnchor>
    <xdr:from>
      <xdr:col>39</xdr:col>
      <xdr:colOff>124964</xdr:colOff>
      <xdr:row>17</xdr:row>
      <xdr:rowOff>123825</xdr:rowOff>
    </xdr:from>
    <xdr:ext cx="2161036" cy="1438659"/>
    <xdr:pic>
      <xdr:nvPicPr>
        <xdr:cNvPr id="240" name="Grafik 239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5339" y="8505825"/>
          <a:ext cx="2161036" cy="1438659"/>
        </a:xfrm>
        <a:prstGeom prst="rect">
          <a:avLst/>
        </a:prstGeom>
      </xdr:spPr>
    </xdr:pic>
    <xdr:clientData/>
  </xdr:oneCellAnchor>
  <xdr:oneCellAnchor>
    <xdr:from>
      <xdr:col>48</xdr:col>
      <xdr:colOff>124964</xdr:colOff>
      <xdr:row>17</xdr:row>
      <xdr:rowOff>123825</xdr:rowOff>
    </xdr:from>
    <xdr:ext cx="2161036" cy="1438659"/>
    <xdr:pic>
      <xdr:nvPicPr>
        <xdr:cNvPr id="241" name="Grafik 240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93339" y="8505825"/>
          <a:ext cx="2161036" cy="1438659"/>
        </a:xfrm>
        <a:prstGeom prst="rect">
          <a:avLst/>
        </a:prstGeom>
      </xdr:spPr>
    </xdr:pic>
    <xdr:clientData/>
  </xdr:oneCellAnchor>
  <xdr:oneCellAnchor>
    <xdr:from>
      <xdr:col>42</xdr:col>
      <xdr:colOff>124964</xdr:colOff>
      <xdr:row>17</xdr:row>
      <xdr:rowOff>123825</xdr:rowOff>
    </xdr:from>
    <xdr:ext cx="2161036" cy="1438659"/>
    <xdr:pic>
      <xdr:nvPicPr>
        <xdr:cNvPr id="242" name="Grafik 241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1339" y="8505825"/>
          <a:ext cx="2161036" cy="1438659"/>
        </a:xfrm>
        <a:prstGeom prst="rect">
          <a:avLst/>
        </a:prstGeom>
      </xdr:spPr>
    </xdr:pic>
    <xdr:clientData/>
  </xdr:oneCellAnchor>
  <xdr:oneCellAnchor>
    <xdr:from>
      <xdr:col>45</xdr:col>
      <xdr:colOff>124964</xdr:colOff>
      <xdr:row>17</xdr:row>
      <xdr:rowOff>123825</xdr:rowOff>
    </xdr:from>
    <xdr:ext cx="2161036" cy="1438659"/>
    <xdr:pic>
      <xdr:nvPicPr>
        <xdr:cNvPr id="243" name="Grafik 242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7339" y="8505825"/>
          <a:ext cx="2161036" cy="1438659"/>
        </a:xfrm>
        <a:prstGeom prst="rect">
          <a:avLst/>
        </a:prstGeom>
      </xdr:spPr>
    </xdr:pic>
    <xdr:clientData/>
  </xdr:oneCellAnchor>
  <xdr:oneCellAnchor>
    <xdr:from>
      <xdr:col>51</xdr:col>
      <xdr:colOff>124964</xdr:colOff>
      <xdr:row>21</xdr:row>
      <xdr:rowOff>161541</xdr:rowOff>
    </xdr:from>
    <xdr:ext cx="2161036" cy="1438659"/>
    <xdr:pic>
      <xdr:nvPicPr>
        <xdr:cNvPr id="244" name="Grafik 243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9339" y="10591416"/>
          <a:ext cx="2161036" cy="1438659"/>
        </a:xfrm>
        <a:prstGeom prst="rect">
          <a:avLst/>
        </a:prstGeom>
      </xdr:spPr>
    </xdr:pic>
    <xdr:clientData/>
  </xdr:oneCellAnchor>
  <xdr:oneCellAnchor>
    <xdr:from>
      <xdr:col>42</xdr:col>
      <xdr:colOff>124964</xdr:colOff>
      <xdr:row>21</xdr:row>
      <xdr:rowOff>161541</xdr:rowOff>
    </xdr:from>
    <xdr:ext cx="2161036" cy="1438659"/>
    <xdr:pic>
      <xdr:nvPicPr>
        <xdr:cNvPr id="245" name="Grafik 244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1339" y="10591416"/>
          <a:ext cx="2161036" cy="1438659"/>
        </a:xfrm>
        <a:prstGeom prst="rect">
          <a:avLst/>
        </a:prstGeom>
      </xdr:spPr>
    </xdr:pic>
    <xdr:clientData/>
  </xdr:oneCellAnchor>
  <xdr:oneCellAnchor>
    <xdr:from>
      <xdr:col>45</xdr:col>
      <xdr:colOff>124964</xdr:colOff>
      <xdr:row>21</xdr:row>
      <xdr:rowOff>161541</xdr:rowOff>
    </xdr:from>
    <xdr:ext cx="2161036" cy="1438659"/>
    <xdr:pic>
      <xdr:nvPicPr>
        <xdr:cNvPr id="246" name="Grafik 245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07339" y="10591416"/>
          <a:ext cx="2161036" cy="1438659"/>
        </a:xfrm>
        <a:prstGeom prst="rect">
          <a:avLst/>
        </a:prstGeom>
      </xdr:spPr>
    </xdr:pic>
    <xdr:clientData/>
  </xdr:oneCellAnchor>
  <xdr:oneCellAnchor>
    <xdr:from>
      <xdr:col>48</xdr:col>
      <xdr:colOff>124964</xdr:colOff>
      <xdr:row>21</xdr:row>
      <xdr:rowOff>161541</xdr:rowOff>
    </xdr:from>
    <xdr:ext cx="2161036" cy="1438659"/>
    <xdr:pic>
      <xdr:nvPicPr>
        <xdr:cNvPr id="247" name="Grafik 246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93339" y="10591416"/>
          <a:ext cx="2161036" cy="1438659"/>
        </a:xfrm>
        <a:prstGeom prst="rect">
          <a:avLst/>
        </a:prstGeom>
      </xdr:spPr>
    </xdr:pic>
    <xdr:clientData/>
  </xdr:oneCellAnchor>
  <xdr:oneCellAnchor>
    <xdr:from>
      <xdr:col>45</xdr:col>
      <xdr:colOff>170321</xdr:colOff>
      <xdr:row>25</xdr:row>
      <xdr:rowOff>63500</xdr:rowOff>
    </xdr:from>
    <xdr:ext cx="2161036" cy="1438659"/>
    <xdr:pic>
      <xdr:nvPicPr>
        <xdr:cNvPr id="248" name="Grafik 247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40607" y="12672786"/>
          <a:ext cx="2161036" cy="1438659"/>
        </a:xfrm>
        <a:prstGeom prst="rect">
          <a:avLst/>
        </a:prstGeom>
      </xdr:spPr>
    </xdr:pic>
    <xdr:clientData/>
  </xdr:oneCellAnchor>
  <xdr:oneCellAnchor>
    <xdr:from>
      <xdr:col>36</xdr:col>
      <xdr:colOff>124964</xdr:colOff>
      <xdr:row>25</xdr:row>
      <xdr:rowOff>85725</xdr:rowOff>
    </xdr:from>
    <xdr:ext cx="2161036" cy="1438659"/>
    <xdr:pic>
      <xdr:nvPicPr>
        <xdr:cNvPr id="249" name="Grafik 248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9339" y="12563475"/>
          <a:ext cx="2161036" cy="1438659"/>
        </a:xfrm>
        <a:prstGeom prst="rect">
          <a:avLst/>
        </a:prstGeom>
      </xdr:spPr>
    </xdr:pic>
    <xdr:clientData/>
  </xdr:oneCellAnchor>
  <xdr:twoCellAnchor>
    <xdr:from>
      <xdr:col>33</xdr:col>
      <xdr:colOff>19049</xdr:colOff>
      <xdr:row>3</xdr:row>
      <xdr:rowOff>533400</xdr:rowOff>
    </xdr:from>
    <xdr:to>
      <xdr:col>36</xdr:col>
      <xdr:colOff>42862</xdr:colOff>
      <xdr:row>9</xdr:row>
      <xdr:rowOff>104775</xdr:rowOff>
    </xdr:to>
    <xdr:sp macro="" textlink="">
      <xdr:nvSpPr>
        <xdr:cNvPr id="301" name="Multiplikationszeichen 300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SpPr/>
      </xdr:nvSpPr>
      <xdr:spPr>
        <a:xfrm>
          <a:off x="22831424" y="1962150"/>
          <a:ext cx="2309813" cy="2428875"/>
        </a:xfrm>
        <a:prstGeom prst="mathMultiply">
          <a:avLst>
            <a:gd name="adj1" fmla="val 2901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35</xdr:col>
      <xdr:colOff>742949</xdr:colOff>
      <xdr:row>2</xdr:row>
      <xdr:rowOff>357187</xdr:rowOff>
    </xdr:from>
    <xdr:to>
      <xdr:col>39</xdr:col>
      <xdr:colOff>4762</xdr:colOff>
      <xdr:row>14</xdr:row>
      <xdr:rowOff>357187</xdr:rowOff>
    </xdr:to>
    <xdr:sp macro="" textlink="">
      <xdr:nvSpPr>
        <xdr:cNvPr id="302" name="Multiplikationszeichen 301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SpPr/>
      </xdr:nvSpPr>
      <xdr:spPr>
        <a:xfrm>
          <a:off x="25079324" y="1166812"/>
          <a:ext cx="2309813" cy="6143625"/>
        </a:xfrm>
        <a:prstGeom prst="mathMultiply">
          <a:avLst>
            <a:gd name="adj1" fmla="val 2901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41</xdr:col>
      <xdr:colOff>523875</xdr:colOff>
      <xdr:row>2</xdr:row>
      <xdr:rowOff>595312</xdr:rowOff>
    </xdr:from>
    <xdr:to>
      <xdr:col>48</xdr:col>
      <xdr:colOff>261937</xdr:colOff>
      <xdr:row>14</xdr:row>
      <xdr:rowOff>238125</xdr:rowOff>
    </xdr:to>
    <xdr:sp macro="" textlink="">
      <xdr:nvSpPr>
        <xdr:cNvPr id="303" name="Multiplikationszeichen 302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SpPr/>
      </xdr:nvSpPr>
      <xdr:spPr>
        <a:xfrm>
          <a:off x="29432250" y="1404937"/>
          <a:ext cx="5072062" cy="5786438"/>
        </a:xfrm>
        <a:prstGeom prst="mathMultiply">
          <a:avLst>
            <a:gd name="adj1" fmla="val 1962"/>
          </a:avLst>
        </a:prstGeom>
        <a:solidFill>
          <a:srgbClr val="FF0000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48</xdr:col>
      <xdr:colOff>71437</xdr:colOff>
      <xdr:row>2</xdr:row>
      <xdr:rowOff>523875</xdr:rowOff>
    </xdr:from>
    <xdr:to>
      <xdr:col>51</xdr:col>
      <xdr:colOff>95250</xdr:colOff>
      <xdr:row>14</xdr:row>
      <xdr:rowOff>357187</xdr:rowOff>
    </xdr:to>
    <xdr:sp macro="" textlink="">
      <xdr:nvSpPr>
        <xdr:cNvPr id="304" name="Multiplikationszeichen 303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SpPr/>
      </xdr:nvSpPr>
      <xdr:spPr>
        <a:xfrm>
          <a:off x="34313812" y="1333500"/>
          <a:ext cx="2309813" cy="5976937"/>
        </a:xfrm>
        <a:prstGeom prst="mathMultiply">
          <a:avLst>
            <a:gd name="adj1" fmla="val 2901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51</xdr:col>
      <xdr:colOff>9524</xdr:colOff>
      <xdr:row>8</xdr:row>
      <xdr:rowOff>1</xdr:rowOff>
    </xdr:from>
    <xdr:to>
      <xdr:col>54</xdr:col>
      <xdr:colOff>33337</xdr:colOff>
      <xdr:row>13</xdr:row>
      <xdr:rowOff>190501</xdr:rowOff>
    </xdr:to>
    <xdr:sp macro="" textlink="">
      <xdr:nvSpPr>
        <xdr:cNvPr id="305" name="Multiplikationszeichen 304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SpPr/>
      </xdr:nvSpPr>
      <xdr:spPr>
        <a:xfrm>
          <a:off x="36537899" y="4095751"/>
          <a:ext cx="2309813" cy="2428875"/>
        </a:xfrm>
        <a:prstGeom prst="mathMultiply">
          <a:avLst>
            <a:gd name="adj1" fmla="val 2901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44</xdr:col>
      <xdr:colOff>714375</xdr:colOff>
      <xdr:row>11</xdr:row>
      <xdr:rowOff>547687</xdr:rowOff>
    </xdr:from>
    <xdr:to>
      <xdr:col>47</xdr:col>
      <xdr:colOff>738188</xdr:colOff>
      <xdr:row>17</xdr:row>
      <xdr:rowOff>119062</xdr:rowOff>
    </xdr:to>
    <xdr:sp macro="" textlink="">
      <xdr:nvSpPr>
        <xdr:cNvPr id="306" name="Multiplikationszeichen 305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SpPr/>
      </xdr:nvSpPr>
      <xdr:spPr>
        <a:xfrm>
          <a:off x="31908750" y="6072187"/>
          <a:ext cx="2309813" cy="2428875"/>
        </a:xfrm>
        <a:prstGeom prst="mathMultiply">
          <a:avLst>
            <a:gd name="adj1" fmla="val 2901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39</xdr:col>
      <xdr:colOff>0</xdr:colOff>
      <xdr:row>0</xdr:row>
      <xdr:rowOff>0</xdr:rowOff>
    </xdr:from>
    <xdr:to>
      <xdr:col>42</xdr:col>
      <xdr:colOff>23813</xdr:colOff>
      <xdr:row>5</xdr:row>
      <xdr:rowOff>190500</xdr:rowOff>
    </xdr:to>
    <xdr:sp macro="" textlink="">
      <xdr:nvSpPr>
        <xdr:cNvPr id="308" name="Multiplikationszeichen 307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SpPr/>
      </xdr:nvSpPr>
      <xdr:spPr>
        <a:xfrm>
          <a:off x="27384375" y="0"/>
          <a:ext cx="2309813" cy="2428875"/>
        </a:xfrm>
        <a:prstGeom prst="mathMultiply">
          <a:avLst>
            <a:gd name="adj1" fmla="val 2901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32</xdr:col>
      <xdr:colOff>747712</xdr:colOff>
      <xdr:row>0</xdr:row>
      <xdr:rowOff>0</xdr:rowOff>
    </xdr:from>
    <xdr:to>
      <xdr:col>36</xdr:col>
      <xdr:colOff>9525</xdr:colOff>
      <xdr:row>5</xdr:row>
      <xdr:rowOff>190500</xdr:rowOff>
    </xdr:to>
    <xdr:sp macro="" textlink="">
      <xdr:nvSpPr>
        <xdr:cNvPr id="309" name="Multiplikationszeichen 308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SpPr/>
      </xdr:nvSpPr>
      <xdr:spPr>
        <a:xfrm>
          <a:off x="22798087" y="0"/>
          <a:ext cx="2309813" cy="2428875"/>
        </a:xfrm>
        <a:prstGeom prst="mathMultiply">
          <a:avLst>
            <a:gd name="adj1" fmla="val 2901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48</xdr:col>
      <xdr:colOff>9524</xdr:colOff>
      <xdr:row>14</xdr:row>
      <xdr:rowOff>390525</xdr:rowOff>
    </xdr:from>
    <xdr:to>
      <xdr:col>51</xdr:col>
      <xdr:colOff>33337</xdr:colOff>
      <xdr:row>26</xdr:row>
      <xdr:rowOff>223837</xdr:rowOff>
    </xdr:to>
    <xdr:sp macro="" textlink="">
      <xdr:nvSpPr>
        <xdr:cNvPr id="310" name="Multiplikationszeichen 309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SpPr/>
      </xdr:nvSpPr>
      <xdr:spPr>
        <a:xfrm>
          <a:off x="34251899" y="7343775"/>
          <a:ext cx="2309813" cy="5976937"/>
        </a:xfrm>
        <a:prstGeom prst="mathMultiply">
          <a:avLst>
            <a:gd name="adj1" fmla="val 2901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1</xdr:col>
      <xdr:colOff>85044</xdr:colOff>
      <xdr:row>25</xdr:row>
      <xdr:rowOff>119062</xdr:rowOff>
    </xdr:from>
    <xdr:to>
      <xdr:col>4</xdr:col>
      <xdr:colOff>490759</xdr:colOff>
      <xdr:row>27</xdr:row>
      <xdr:rowOff>319471</xdr:rowOff>
    </xdr:to>
    <xdr:pic>
      <xdr:nvPicPr>
        <xdr:cNvPr id="312" name="Grafik 311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723" y="12732883"/>
          <a:ext cx="2161036" cy="1452267"/>
        </a:xfrm>
        <a:prstGeom prst="rect">
          <a:avLst/>
        </a:prstGeom>
      </xdr:spPr>
    </xdr:pic>
    <xdr:clientData/>
  </xdr:twoCellAnchor>
  <xdr:twoCellAnchor editAs="oneCell">
    <xdr:from>
      <xdr:col>33</xdr:col>
      <xdr:colOff>118614</xdr:colOff>
      <xdr:row>25</xdr:row>
      <xdr:rowOff>63500</xdr:rowOff>
    </xdr:from>
    <xdr:to>
      <xdr:col>36</xdr:col>
      <xdr:colOff>0</xdr:colOff>
      <xdr:row>27</xdr:row>
      <xdr:rowOff>267084</xdr:rowOff>
    </xdr:to>
    <xdr:pic>
      <xdr:nvPicPr>
        <xdr:cNvPr id="313" name="Grafik 312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44900" y="12672786"/>
          <a:ext cx="2167386" cy="1455441"/>
        </a:xfrm>
        <a:prstGeom prst="rect">
          <a:avLst/>
        </a:prstGeom>
      </xdr:spPr>
    </xdr:pic>
    <xdr:clientData/>
  </xdr:twoCellAnchor>
  <xdr:twoCellAnchor>
    <xdr:from>
      <xdr:col>44</xdr:col>
      <xdr:colOff>733424</xdr:colOff>
      <xdr:row>14</xdr:row>
      <xdr:rowOff>328612</xdr:rowOff>
    </xdr:from>
    <xdr:to>
      <xdr:col>47</xdr:col>
      <xdr:colOff>757237</xdr:colOff>
      <xdr:row>26</xdr:row>
      <xdr:rowOff>161924</xdr:rowOff>
    </xdr:to>
    <xdr:sp macro="" textlink="">
      <xdr:nvSpPr>
        <xdr:cNvPr id="314" name="Multiplikationszeichen 313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SpPr/>
      </xdr:nvSpPr>
      <xdr:spPr>
        <a:xfrm>
          <a:off x="31927799" y="7281862"/>
          <a:ext cx="2309813" cy="5976937"/>
        </a:xfrm>
        <a:prstGeom prst="mathMultiply">
          <a:avLst>
            <a:gd name="adj1" fmla="val 2901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42</xdr:col>
      <xdr:colOff>66674</xdr:colOff>
      <xdr:row>15</xdr:row>
      <xdr:rowOff>581026</xdr:rowOff>
    </xdr:from>
    <xdr:to>
      <xdr:col>45</xdr:col>
      <xdr:colOff>90487</xdr:colOff>
      <xdr:row>21</xdr:row>
      <xdr:rowOff>152401</xdr:rowOff>
    </xdr:to>
    <xdr:sp macro="" textlink="">
      <xdr:nvSpPr>
        <xdr:cNvPr id="315" name="Multiplikationszeichen 314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SpPr/>
      </xdr:nvSpPr>
      <xdr:spPr>
        <a:xfrm>
          <a:off x="29737049" y="8153401"/>
          <a:ext cx="2309813" cy="2428875"/>
        </a:xfrm>
        <a:prstGeom prst="mathMultiply">
          <a:avLst>
            <a:gd name="adj1" fmla="val 2901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10</xdr:col>
      <xdr:colOff>127569</xdr:colOff>
      <xdr:row>130</xdr:row>
      <xdr:rowOff>94569</xdr:rowOff>
    </xdr:from>
    <xdr:ext cx="2157861" cy="1435484"/>
    <xdr:pic>
      <xdr:nvPicPr>
        <xdr:cNvPr id="403" name="Grafik 402">
          <a:extLst>
            <a:ext uri="{FF2B5EF4-FFF2-40B4-BE49-F238E27FC236}">
              <a16:creationId xmlns:a16="http://schemas.microsoft.com/office/drawing/2014/main" id="{00000000-0008-0000-05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7469" y="12762819"/>
          <a:ext cx="2157861" cy="1435484"/>
        </a:xfrm>
        <a:prstGeom prst="rect">
          <a:avLst/>
        </a:prstGeom>
      </xdr:spPr>
    </xdr:pic>
    <xdr:clientData/>
  </xdr:oneCellAnchor>
  <xdr:oneCellAnchor>
    <xdr:from>
      <xdr:col>14</xdr:col>
      <xdr:colOff>123825</xdr:colOff>
      <xdr:row>130</xdr:row>
      <xdr:rowOff>85725</xdr:rowOff>
    </xdr:from>
    <xdr:ext cx="2161036" cy="1438659"/>
    <xdr:pic>
      <xdr:nvPicPr>
        <xdr:cNvPr id="404" name="Grafik 403">
          <a:extLst>
            <a:ext uri="{FF2B5EF4-FFF2-40B4-BE49-F238E27FC236}">
              <a16:creationId xmlns:a16="http://schemas.microsoft.com/office/drawing/2014/main" id="{00000000-0008-0000-05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9725" y="12753975"/>
          <a:ext cx="2161036" cy="1438659"/>
        </a:xfrm>
        <a:prstGeom prst="rect">
          <a:avLst/>
        </a:prstGeom>
      </xdr:spPr>
    </xdr:pic>
    <xdr:clientData/>
  </xdr:oneCellAnchor>
  <xdr:oneCellAnchor>
    <xdr:from>
      <xdr:col>2</xdr:col>
      <xdr:colOff>124964</xdr:colOff>
      <xdr:row>106</xdr:row>
      <xdr:rowOff>104775</xdr:rowOff>
    </xdr:from>
    <xdr:ext cx="2161036" cy="1438659"/>
    <xdr:pic>
      <xdr:nvPicPr>
        <xdr:cNvPr id="405" name="Grafik 404">
          <a:extLst>
            <a:ext uri="{FF2B5EF4-FFF2-40B4-BE49-F238E27FC236}">
              <a16:creationId xmlns:a16="http://schemas.microsoft.com/office/drawing/2014/main" id="{00000000-0008-0000-05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2864" y="314325"/>
          <a:ext cx="2161036" cy="1438659"/>
        </a:xfrm>
        <a:prstGeom prst="rect">
          <a:avLst/>
        </a:prstGeom>
      </xdr:spPr>
    </xdr:pic>
    <xdr:clientData/>
  </xdr:oneCellAnchor>
  <xdr:oneCellAnchor>
    <xdr:from>
      <xdr:col>6</xdr:col>
      <xdr:colOff>124964</xdr:colOff>
      <xdr:row>106</xdr:row>
      <xdr:rowOff>104775</xdr:rowOff>
    </xdr:from>
    <xdr:ext cx="2161036" cy="1438659"/>
    <xdr:pic>
      <xdr:nvPicPr>
        <xdr:cNvPr id="406" name="Grafik 405">
          <a:extLst>
            <a:ext uri="{FF2B5EF4-FFF2-40B4-BE49-F238E27FC236}">
              <a16:creationId xmlns:a16="http://schemas.microsoft.com/office/drawing/2014/main" id="{00000000-0008-0000-05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8864" y="314325"/>
          <a:ext cx="2161036" cy="1438659"/>
        </a:xfrm>
        <a:prstGeom prst="rect">
          <a:avLst/>
        </a:prstGeom>
      </xdr:spPr>
    </xdr:pic>
    <xdr:clientData/>
  </xdr:oneCellAnchor>
  <xdr:oneCellAnchor>
    <xdr:from>
      <xdr:col>10</xdr:col>
      <xdr:colOff>124964</xdr:colOff>
      <xdr:row>106</xdr:row>
      <xdr:rowOff>104775</xdr:rowOff>
    </xdr:from>
    <xdr:ext cx="2161036" cy="1438659"/>
    <xdr:pic>
      <xdr:nvPicPr>
        <xdr:cNvPr id="407" name="Grafik 406">
          <a:extLst>
            <a:ext uri="{FF2B5EF4-FFF2-40B4-BE49-F238E27FC236}">
              <a16:creationId xmlns:a16="http://schemas.microsoft.com/office/drawing/2014/main" id="{00000000-0008-0000-05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4864" y="314325"/>
          <a:ext cx="2161036" cy="1438659"/>
        </a:xfrm>
        <a:prstGeom prst="rect">
          <a:avLst/>
        </a:prstGeom>
      </xdr:spPr>
    </xdr:pic>
    <xdr:clientData/>
  </xdr:oneCellAnchor>
  <xdr:oneCellAnchor>
    <xdr:from>
      <xdr:col>2</xdr:col>
      <xdr:colOff>124964</xdr:colOff>
      <xdr:row>118</xdr:row>
      <xdr:rowOff>66675</xdr:rowOff>
    </xdr:from>
    <xdr:ext cx="2161036" cy="1438659"/>
    <xdr:pic>
      <xdr:nvPicPr>
        <xdr:cNvPr id="408" name="Grafik 407">
          <a:extLst>
            <a:ext uri="{FF2B5EF4-FFF2-40B4-BE49-F238E27FC236}">
              <a16:creationId xmlns:a16="http://schemas.microsoft.com/office/drawing/2014/main" id="{00000000-0008-0000-05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2864" y="6505575"/>
          <a:ext cx="2161036" cy="1438659"/>
        </a:xfrm>
        <a:prstGeom prst="rect">
          <a:avLst/>
        </a:prstGeom>
      </xdr:spPr>
    </xdr:pic>
    <xdr:clientData/>
  </xdr:oneCellAnchor>
  <xdr:oneCellAnchor>
    <xdr:from>
      <xdr:col>6</xdr:col>
      <xdr:colOff>124964</xdr:colOff>
      <xdr:row>118</xdr:row>
      <xdr:rowOff>66675</xdr:rowOff>
    </xdr:from>
    <xdr:ext cx="2161036" cy="1438659"/>
    <xdr:pic>
      <xdr:nvPicPr>
        <xdr:cNvPr id="409" name="Grafik 408">
          <a:extLst>
            <a:ext uri="{FF2B5EF4-FFF2-40B4-BE49-F238E27FC236}">
              <a16:creationId xmlns:a16="http://schemas.microsoft.com/office/drawing/2014/main" id="{00000000-0008-0000-05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8864" y="6505575"/>
          <a:ext cx="2161036" cy="1438659"/>
        </a:xfrm>
        <a:prstGeom prst="rect">
          <a:avLst/>
        </a:prstGeom>
      </xdr:spPr>
    </xdr:pic>
    <xdr:clientData/>
  </xdr:oneCellAnchor>
  <xdr:oneCellAnchor>
    <xdr:from>
      <xdr:col>10</xdr:col>
      <xdr:colOff>124964</xdr:colOff>
      <xdr:row>118</xdr:row>
      <xdr:rowOff>66675</xdr:rowOff>
    </xdr:from>
    <xdr:ext cx="2161036" cy="1438659"/>
    <xdr:pic>
      <xdr:nvPicPr>
        <xdr:cNvPr id="410" name="Grafik 409">
          <a:extLst>
            <a:ext uri="{FF2B5EF4-FFF2-40B4-BE49-F238E27FC236}">
              <a16:creationId xmlns:a16="http://schemas.microsoft.com/office/drawing/2014/main" id="{00000000-0008-0000-05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4864" y="6505575"/>
          <a:ext cx="2161036" cy="1438659"/>
        </a:xfrm>
        <a:prstGeom prst="rect">
          <a:avLst/>
        </a:prstGeom>
      </xdr:spPr>
    </xdr:pic>
    <xdr:clientData/>
  </xdr:oneCellAnchor>
  <xdr:oneCellAnchor>
    <xdr:from>
      <xdr:col>14</xdr:col>
      <xdr:colOff>124964</xdr:colOff>
      <xdr:row>118</xdr:row>
      <xdr:rowOff>66675</xdr:rowOff>
    </xdr:from>
    <xdr:ext cx="2161036" cy="1438659"/>
    <xdr:pic>
      <xdr:nvPicPr>
        <xdr:cNvPr id="411" name="Grafik 410">
          <a:extLst>
            <a:ext uri="{FF2B5EF4-FFF2-40B4-BE49-F238E27FC236}">
              <a16:creationId xmlns:a16="http://schemas.microsoft.com/office/drawing/2014/main" id="{00000000-0008-0000-05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0864" y="6505575"/>
          <a:ext cx="2161036" cy="1438659"/>
        </a:xfrm>
        <a:prstGeom prst="rect">
          <a:avLst/>
        </a:prstGeom>
      </xdr:spPr>
    </xdr:pic>
    <xdr:clientData/>
  </xdr:oneCellAnchor>
  <xdr:oneCellAnchor>
    <xdr:from>
      <xdr:col>18</xdr:col>
      <xdr:colOff>124964</xdr:colOff>
      <xdr:row>118</xdr:row>
      <xdr:rowOff>66675</xdr:rowOff>
    </xdr:from>
    <xdr:ext cx="2161036" cy="1438659"/>
    <xdr:pic>
      <xdr:nvPicPr>
        <xdr:cNvPr id="412" name="Grafik 411">
          <a:extLst>
            <a:ext uri="{FF2B5EF4-FFF2-40B4-BE49-F238E27FC236}">
              <a16:creationId xmlns:a16="http://schemas.microsoft.com/office/drawing/2014/main" id="{00000000-0008-0000-05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6864" y="6505575"/>
          <a:ext cx="2161036" cy="1438659"/>
        </a:xfrm>
        <a:prstGeom prst="rect">
          <a:avLst/>
        </a:prstGeom>
      </xdr:spPr>
    </xdr:pic>
    <xdr:clientData/>
  </xdr:oneCellAnchor>
  <xdr:oneCellAnchor>
    <xdr:from>
      <xdr:col>2</xdr:col>
      <xdr:colOff>124964</xdr:colOff>
      <xdr:row>110</xdr:row>
      <xdr:rowOff>123825</xdr:rowOff>
    </xdr:from>
    <xdr:ext cx="2161036" cy="1438659"/>
    <xdr:pic>
      <xdr:nvPicPr>
        <xdr:cNvPr id="413" name="Grafik 412">
          <a:extLst>
            <a:ext uri="{FF2B5EF4-FFF2-40B4-BE49-F238E27FC236}">
              <a16:creationId xmlns:a16="http://schemas.microsoft.com/office/drawing/2014/main" id="{00000000-0008-0000-05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2864" y="2409825"/>
          <a:ext cx="2161036" cy="1438659"/>
        </a:xfrm>
        <a:prstGeom prst="rect">
          <a:avLst/>
        </a:prstGeom>
      </xdr:spPr>
    </xdr:pic>
    <xdr:clientData/>
  </xdr:oneCellAnchor>
  <xdr:oneCellAnchor>
    <xdr:from>
      <xdr:col>6</xdr:col>
      <xdr:colOff>124964</xdr:colOff>
      <xdr:row>110</xdr:row>
      <xdr:rowOff>123825</xdr:rowOff>
    </xdr:from>
    <xdr:ext cx="2161036" cy="1438659"/>
    <xdr:pic>
      <xdr:nvPicPr>
        <xdr:cNvPr id="414" name="Grafik 413">
          <a:extLst>
            <a:ext uri="{FF2B5EF4-FFF2-40B4-BE49-F238E27FC236}">
              <a16:creationId xmlns:a16="http://schemas.microsoft.com/office/drawing/2014/main" id="{00000000-0008-0000-05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8864" y="2409825"/>
          <a:ext cx="2161036" cy="1438659"/>
        </a:xfrm>
        <a:prstGeom prst="rect">
          <a:avLst/>
        </a:prstGeom>
      </xdr:spPr>
    </xdr:pic>
    <xdr:clientData/>
  </xdr:oneCellAnchor>
  <xdr:oneCellAnchor>
    <xdr:from>
      <xdr:col>10</xdr:col>
      <xdr:colOff>124964</xdr:colOff>
      <xdr:row>110</xdr:row>
      <xdr:rowOff>123825</xdr:rowOff>
    </xdr:from>
    <xdr:ext cx="2161036" cy="1438659"/>
    <xdr:pic>
      <xdr:nvPicPr>
        <xdr:cNvPr id="415" name="Grafik 414">
          <a:extLst>
            <a:ext uri="{FF2B5EF4-FFF2-40B4-BE49-F238E27FC236}">
              <a16:creationId xmlns:a16="http://schemas.microsoft.com/office/drawing/2014/main" id="{00000000-0008-0000-05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4864" y="2409825"/>
          <a:ext cx="2161036" cy="1438659"/>
        </a:xfrm>
        <a:prstGeom prst="rect">
          <a:avLst/>
        </a:prstGeom>
      </xdr:spPr>
    </xdr:pic>
    <xdr:clientData/>
  </xdr:oneCellAnchor>
  <xdr:oneCellAnchor>
    <xdr:from>
      <xdr:col>21</xdr:col>
      <xdr:colOff>124964</xdr:colOff>
      <xdr:row>110</xdr:row>
      <xdr:rowOff>123825</xdr:rowOff>
    </xdr:from>
    <xdr:ext cx="2161036" cy="1438659"/>
    <xdr:pic>
      <xdr:nvPicPr>
        <xdr:cNvPr id="416" name="Grafik 415">
          <a:extLst>
            <a:ext uri="{FF2B5EF4-FFF2-40B4-BE49-F238E27FC236}">
              <a16:creationId xmlns:a16="http://schemas.microsoft.com/office/drawing/2014/main" id="{00000000-0008-0000-05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02864" y="2409825"/>
          <a:ext cx="2161036" cy="1438659"/>
        </a:xfrm>
        <a:prstGeom prst="rect">
          <a:avLst/>
        </a:prstGeom>
      </xdr:spPr>
    </xdr:pic>
    <xdr:clientData/>
  </xdr:oneCellAnchor>
  <xdr:oneCellAnchor>
    <xdr:from>
      <xdr:col>14</xdr:col>
      <xdr:colOff>124964</xdr:colOff>
      <xdr:row>110</xdr:row>
      <xdr:rowOff>123825</xdr:rowOff>
    </xdr:from>
    <xdr:ext cx="2161036" cy="1438659"/>
    <xdr:pic>
      <xdr:nvPicPr>
        <xdr:cNvPr id="417" name="Grafik 416">
          <a:extLst>
            <a:ext uri="{FF2B5EF4-FFF2-40B4-BE49-F238E27FC236}">
              <a16:creationId xmlns:a16="http://schemas.microsoft.com/office/drawing/2014/main" id="{00000000-0008-0000-05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0864" y="2409825"/>
          <a:ext cx="2161036" cy="1438659"/>
        </a:xfrm>
        <a:prstGeom prst="rect">
          <a:avLst/>
        </a:prstGeom>
      </xdr:spPr>
    </xdr:pic>
    <xdr:clientData/>
  </xdr:oneCellAnchor>
  <xdr:oneCellAnchor>
    <xdr:from>
      <xdr:col>18</xdr:col>
      <xdr:colOff>124964</xdr:colOff>
      <xdr:row>110</xdr:row>
      <xdr:rowOff>123825</xdr:rowOff>
    </xdr:from>
    <xdr:ext cx="2161036" cy="1438659"/>
    <xdr:pic>
      <xdr:nvPicPr>
        <xdr:cNvPr id="418" name="Grafik 417">
          <a:extLst>
            <a:ext uri="{FF2B5EF4-FFF2-40B4-BE49-F238E27FC236}">
              <a16:creationId xmlns:a16="http://schemas.microsoft.com/office/drawing/2014/main" id="{00000000-0008-0000-05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6864" y="2409825"/>
          <a:ext cx="2161036" cy="1438659"/>
        </a:xfrm>
        <a:prstGeom prst="rect">
          <a:avLst/>
        </a:prstGeom>
      </xdr:spPr>
    </xdr:pic>
    <xdr:clientData/>
  </xdr:oneCellAnchor>
  <xdr:oneCellAnchor>
    <xdr:from>
      <xdr:col>24</xdr:col>
      <xdr:colOff>124964</xdr:colOff>
      <xdr:row>114</xdr:row>
      <xdr:rowOff>180591</xdr:rowOff>
    </xdr:from>
    <xdr:ext cx="2161036" cy="1438659"/>
    <xdr:pic>
      <xdr:nvPicPr>
        <xdr:cNvPr id="419" name="Grafik 418">
          <a:extLst>
            <a:ext uri="{FF2B5EF4-FFF2-40B4-BE49-F238E27FC236}">
              <a16:creationId xmlns:a16="http://schemas.microsoft.com/office/drawing/2014/main" id="{00000000-0008-0000-05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88864" y="4543041"/>
          <a:ext cx="2161036" cy="1438659"/>
        </a:xfrm>
        <a:prstGeom prst="rect">
          <a:avLst/>
        </a:prstGeom>
      </xdr:spPr>
    </xdr:pic>
    <xdr:clientData/>
  </xdr:oneCellAnchor>
  <xdr:oneCellAnchor>
    <xdr:from>
      <xdr:col>14</xdr:col>
      <xdr:colOff>124964</xdr:colOff>
      <xdr:row>114</xdr:row>
      <xdr:rowOff>180591</xdr:rowOff>
    </xdr:from>
    <xdr:ext cx="2161036" cy="1438659"/>
    <xdr:pic>
      <xdr:nvPicPr>
        <xdr:cNvPr id="420" name="Grafik 419">
          <a:extLst>
            <a:ext uri="{FF2B5EF4-FFF2-40B4-BE49-F238E27FC236}">
              <a16:creationId xmlns:a16="http://schemas.microsoft.com/office/drawing/2014/main" id="{00000000-0008-0000-05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0864" y="4543041"/>
          <a:ext cx="2161036" cy="1438659"/>
        </a:xfrm>
        <a:prstGeom prst="rect">
          <a:avLst/>
        </a:prstGeom>
      </xdr:spPr>
    </xdr:pic>
    <xdr:clientData/>
  </xdr:oneCellAnchor>
  <xdr:oneCellAnchor>
    <xdr:from>
      <xdr:col>18</xdr:col>
      <xdr:colOff>124964</xdr:colOff>
      <xdr:row>114</xdr:row>
      <xdr:rowOff>180591</xdr:rowOff>
    </xdr:from>
    <xdr:ext cx="2161036" cy="1438659"/>
    <xdr:pic>
      <xdr:nvPicPr>
        <xdr:cNvPr id="421" name="Grafik 420">
          <a:extLst>
            <a:ext uri="{FF2B5EF4-FFF2-40B4-BE49-F238E27FC236}">
              <a16:creationId xmlns:a16="http://schemas.microsoft.com/office/drawing/2014/main" id="{00000000-0008-0000-05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6864" y="4543041"/>
          <a:ext cx="2161036" cy="1438659"/>
        </a:xfrm>
        <a:prstGeom prst="rect">
          <a:avLst/>
        </a:prstGeom>
      </xdr:spPr>
    </xdr:pic>
    <xdr:clientData/>
  </xdr:oneCellAnchor>
  <xdr:oneCellAnchor>
    <xdr:from>
      <xdr:col>2</xdr:col>
      <xdr:colOff>124964</xdr:colOff>
      <xdr:row>114</xdr:row>
      <xdr:rowOff>180591</xdr:rowOff>
    </xdr:from>
    <xdr:ext cx="2161036" cy="1438659"/>
    <xdr:pic>
      <xdr:nvPicPr>
        <xdr:cNvPr id="422" name="Grafik 421">
          <a:extLst>
            <a:ext uri="{FF2B5EF4-FFF2-40B4-BE49-F238E27FC236}">
              <a16:creationId xmlns:a16="http://schemas.microsoft.com/office/drawing/2014/main" id="{00000000-0008-0000-05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2864" y="4543041"/>
          <a:ext cx="2161036" cy="1438659"/>
        </a:xfrm>
        <a:prstGeom prst="rect">
          <a:avLst/>
        </a:prstGeom>
      </xdr:spPr>
    </xdr:pic>
    <xdr:clientData/>
  </xdr:oneCellAnchor>
  <xdr:oneCellAnchor>
    <xdr:from>
      <xdr:col>6</xdr:col>
      <xdr:colOff>124964</xdr:colOff>
      <xdr:row>114</xdr:row>
      <xdr:rowOff>180591</xdr:rowOff>
    </xdr:from>
    <xdr:ext cx="2161036" cy="1438659"/>
    <xdr:pic>
      <xdr:nvPicPr>
        <xdr:cNvPr id="423" name="Grafik 422">
          <a:extLst>
            <a:ext uri="{FF2B5EF4-FFF2-40B4-BE49-F238E27FC236}">
              <a16:creationId xmlns:a16="http://schemas.microsoft.com/office/drawing/2014/main" id="{00000000-0008-0000-05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8864" y="4543041"/>
          <a:ext cx="2161036" cy="1438659"/>
        </a:xfrm>
        <a:prstGeom prst="rect">
          <a:avLst/>
        </a:prstGeom>
      </xdr:spPr>
    </xdr:pic>
    <xdr:clientData/>
  </xdr:oneCellAnchor>
  <xdr:oneCellAnchor>
    <xdr:from>
      <xdr:col>10</xdr:col>
      <xdr:colOff>124964</xdr:colOff>
      <xdr:row>114</xdr:row>
      <xdr:rowOff>180591</xdr:rowOff>
    </xdr:from>
    <xdr:ext cx="2161036" cy="1438659"/>
    <xdr:pic>
      <xdr:nvPicPr>
        <xdr:cNvPr id="424" name="Grafik 423">
          <a:extLst>
            <a:ext uri="{FF2B5EF4-FFF2-40B4-BE49-F238E27FC236}">
              <a16:creationId xmlns:a16="http://schemas.microsoft.com/office/drawing/2014/main" id="{00000000-0008-0000-05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4864" y="4543041"/>
          <a:ext cx="2161036" cy="1438659"/>
        </a:xfrm>
        <a:prstGeom prst="rect">
          <a:avLst/>
        </a:prstGeom>
      </xdr:spPr>
    </xdr:pic>
    <xdr:clientData/>
  </xdr:oneCellAnchor>
  <xdr:oneCellAnchor>
    <xdr:from>
      <xdr:col>21</xdr:col>
      <xdr:colOff>124964</xdr:colOff>
      <xdr:row>114</xdr:row>
      <xdr:rowOff>180591</xdr:rowOff>
    </xdr:from>
    <xdr:ext cx="2161036" cy="1438659"/>
    <xdr:pic>
      <xdr:nvPicPr>
        <xdr:cNvPr id="425" name="Grafik 424">
          <a:extLst>
            <a:ext uri="{FF2B5EF4-FFF2-40B4-BE49-F238E27FC236}">
              <a16:creationId xmlns:a16="http://schemas.microsoft.com/office/drawing/2014/main" id="{00000000-0008-0000-05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02864" y="4543041"/>
          <a:ext cx="2161036" cy="1438659"/>
        </a:xfrm>
        <a:prstGeom prst="rect">
          <a:avLst/>
        </a:prstGeom>
      </xdr:spPr>
    </xdr:pic>
    <xdr:clientData/>
  </xdr:oneCellAnchor>
  <xdr:oneCellAnchor>
    <xdr:from>
      <xdr:col>2</xdr:col>
      <xdr:colOff>124964</xdr:colOff>
      <xdr:row>122</xdr:row>
      <xdr:rowOff>123825</xdr:rowOff>
    </xdr:from>
    <xdr:ext cx="2161036" cy="1438659"/>
    <xdr:pic>
      <xdr:nvPicPr>
        <xdr:cNvPr id="426" name="Grafik 425">
          <a:extLst>
            <a:ext uri="{FF2B5EF4-FFF2-40B4-BE49-F238E27FC236}">
              <a16:creationId xmlns:a16="http://schemas.microsoft.com/office/drawing/2014/main" id="{00000000-0008-0000-05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2864" y="8639175"/>
          <a:ext cx="2161036" cy="1438659"/>
        </a:xfrm>
        <a:prstGeom prst="rect">
          <a:avLst/>
        </a:prstGeom>
      </xdr:spPr>
    </xdr:pic>
    <xdr:clientData/>
  </xdr:oneCellAnchor>
  <xdr:oneCellAnchor>
    <xdr:from>
      <xdr:col>6</xdr:col>
      <xdr:colOff>124964</xdr:colOff>
      <xdr:row>122</xdr:row>
      <xdr:rowOff>123825</xdr:rowOff>
    </xdr:from>
    <xdr:ext cx="2161036" cy="1438659"/>
    <xdr:pic>
      <xdr:nvPicPr>
        <xdr:cNvPr id="427" name="Grafik 426">
          <a:extLst>
            <a:ext uri="{FF2B5EF4-FFF2-40B4-BE49-F238E27FC236}">
              <a16:creationId xmlns:a16="http://schemas.microsoft.com/office/drawing/2014/main" id="{00000000-0008-0000-05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8864" y="8639175"/>
          <a:ext cx="2161036" cy="1438659"/>
        </a:xfrm>
        <a:prstGeom prst="rect">
          <a:avLst/>
        </a:prstGeom>
      </xdr:spPr>
    </xdr:pic>
    <xdr:clientData/>
  </xdr:oneCellAnchor>
  <xdr:oneCellAnchor>
    <xdr:from>
      <xdr:col>10</xdr:col>
      <xdr:colOff>124964</xdr:colOff>
      <xdr:row>122</xdr:row>
      <xdr:rowOff>123825</xdr:rowOff>
    </xdr:from>
    <xdr:ext cx="2161036" cy="1438659"/>
    <xdr:pic>
      <xdr:nvPicPr>
        <xdr:cNvPr id="428" name="Grafik 427">
          <a:extLst>
            <a:ext uri="{FF2B5EF4-FFF2-40B4-BE49-F238E27FC236}">
              <a16:creationId xmlns:a16="http://schemas.microsoft.com/office/drawing/2014/main" id="{00000000-0008-0000-05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4864" y="8639175"/>
          <a:ext cx="2161036" cy="1438659"/>
        </a:xfrm>
        <a:prstGeom prst="rect">
          <a:avLst/>
        </a:prstGeom>
      </xdr:spPr>
    </xdr:pic>
    <xdr:clientData/>
  </xdr:oneCellAnchor>
  <xdr:oneCellAnchor>
    <xdr:from>
      <xdr:col>2</xdr:col>
      <xdr:colOff>124964</xdr:colOff>
      <xdr:row>126</xdr:row>
      <xdr:rowOff>161541</xdr:rowOff>
    </xdr:from>
    <xdr:ext cx="2161036" cy="1438659"/>
    <xdr:pic>
      <xdr:nvPicPr>
        <xdr:cNvPr id="429" name="Grafik 428">
          <a:extLst>
            <a:ext uri="{FF2B5EF4-FFF2-40B4-BE49-F238E27FC236}">
              <a16:creationId xmlns:a16="http://schemas.microsoft.com/office/drawing/2014/main" id="{00000000-0008-0000-05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2864" y="10753341"/>
          <a:ext cx="2161036" cy="1438659"/>
        </a:xfrm>
        <a:prstGeom prst="rect">
          <a:avLst/>
        </a:prstGeom>
      </xdr:spPr>
    </xdr:pic>
    <xdr:clientData/>
  </xdr:oneCellAnchor>
  <xdr:oneCellAnchor>
    <xdr:from>
      <xdr:col>6</xdr:col>
      <xdr:colOff>124964</xdr:colOff>
      <xdr:row>126</xdr:row>
      <xdr:rowOff>161541</xdr:rowOff>
    </xdr:from>
    <xdr:ext cx="2161036" cy="1438659"/>
    <xdr:pic>
      <xdr:nvPicPr>
        <xdr:cNvPr id="430" name="Grafik 429">
          <a:extLst>
            <a:ext uri="{FF2B5EF4-FFF2-40B4-BE49-F238E27FC236}">
              <a16:creationId xmlns:a16="http://schemas.microsoft.com/office/drawing/2014/main" id="{00000000-0008-0000-05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8864" y="10753341"/>
          <a:ext cx="2161036" cy="1438659"/>
        </a:xfrm>
        <a:prstGeom prst="rect">
          <a:avLst/>
        </a:prstGeom>
      </xdr:spPr>
    </xdr:pic>
    <xdr:clientData/>
  </xdr:oneCellAnchor>
  <xdr:oneCellAnchor>
    <xdr:from>
      <xdr:col>10</xdr:col>
      <xdr:colOff>124964</xdr:colOff>
      <xdr:row>126</xdr:row>
      <xdr:rowOff>161541</xdr:rowOff>
    </xdr:from>
    <xdr:ext cx="2161036" cy="1438659"/>
    <xdr:pic>
      <xdr:nvPicPr>
        <xdr:cNvPr id="431" name="Grafik 430">
          <a:extLst>
            <a:ext uri="{FF2B5EF4-FFF2-40B4-BE49-F238E27FC236}">
              <a16:creationId xmlns:a16="http://schemas.microsoft.com/office/drawing/2014/main" id="{00000000-0008-0000-05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4864" y="10753341"/>
          <a:ext cx="2161036" cy="1438659"/>
        </a:xfrm>
        <a:prstGeom prst="rect">
          <a:avLst/>
        </a:prstGeom>
      </xdr:spPr>
    </xdr:pic>
    <xdr:clientData/>
  </xdr:oneCellAnchor>
  <xdr:oneCellAnchor>
    <xdr:from>
      <xdr:col>2</xdr:col>
      <xdr:colOff>124964</xdr:colOff>
      <xdr:row>122</xdr:row>
      <xdr:rowOff>123825</xdr:rowOff>
    </xdr:from>
    <xdr:ext cx="2161036" cy="1438659"/>
    <xdr:pic>
      <xdr:nvPicPr>
        <xdr:cNvPr id="432" name="Grafik 431">
          <a:extLst>
            <a:ext uri="{FF2B5EF4-FFF2-40B4-BE49-F238E27FC236}">
              <a16:creationId xmlns:a16="http://schemas.microsoft.com/office/drawing/2014/main" id="{00000000-0008-0000-05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2864" y="8639175"/>
          <a:ext cx="2161036" cy="1438659"/>
        </a:xfrm>
        <a:prstGeom prst="rect">
          <a:avLst/>
        </a:prstGeom>
      </xdr:spPr>
    </xdr:pic>
    <xdr:clientData/>
  </xdr:oneCellAnchor>
  <xdr:oneCellAnchor>
    <xdr:from>
      <xdr:col>6</xdr:col>
      <xdr:colOff>124964</xdr:colOff>
      <xdr:row>122</xdr:row>
      <xdr:rowOff>123825</xdr:rowOff>
    </xdr:from>
    <xdr:ext cx="2161036" cy="1438659"/>
    <xdr:pic>
      <xdr:nvPicPr>
        <xdr:cNvPr id="433" name="Grafik 432">
          <a:extLst>
            <a:ext uri="{FF2B5EF4-FFF2-40B4-BE49-F238E27FC236}">
              <a16:creationId xmlns:a16="http://schemas.microsoft.com/office/drawing/2014/main" id="{00000000-0008-0000-05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8864" y="8639175"/>
          <a:ext cx="2161036" cy="1438659"/>
        </a:xfrm>
        <a:prstGeom prst="rect">
          <a:avLst/>
        </a:prstGeom>
      </xdr:spPr>
    </xdr:pic>
    <xdr:clientData/>
  </xdr:oneCellAnchor>
  <xdr:oneCellAnchor>
    <xdr:from>
      <xdr:col>10</xdr:col>
      <xdr:colOff>124964</xdr:colOff>
      <xdr:row>122</xdr:row>
      <xdr:rowOff>123825</xdr:rowOff>
    </xdr:from>
    <xdr:ext cx="2161036" cy="1438659"/>
    <xdr:pic>
      <xdr:nvPicPr>
        <xdr:cNvPr id="434" name="Grafik 433">
          <a:extLst>
            <a:ext uri="{FF2B5EF4-FFF2-40B4-BE49-F238E27FC236}">
              <a16:creationId xmlns:a16="http://schemas.microsoft.com/office/drawing/2014/main" id="{00000000-0008-0000-05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4864" y="8639175"/>
          <a:ext cx="2161036" cy="1438659"/>
        </a:xfrm>
        <a:prstGeom prst="rect">
          <a:avLst/>
        </a:prstGeom>
      </xdr:spPr>
    </xdr:pic>
    <xdr:clientData/>
  </xdr:oneCellAnchor>
  <xdr:oneCellAnchor>
    <xdr:from>
      <xdr:col>21</xdr:col>
      <xdr:colOff>124964</xdr:colOff>
      <xdr:row>122</xdr:row>
      <xdr:rowOff>123825</xdr:rowOff>
    </xdr:from>
    <xdr:ext cx="2161036" cy="1438659"/>
    <xdr:pic>
      <xdr:nvPicPr>
        <xdr:cNvPr id="435" name="Grafik 434">
          <a:extLst>
            <a:ext uri="{FF2B5EF4-FFF2-40B4-BE49-F238E27FC236}">
              <a16:creationId xmlns:a16="http://schemas.microsoft.com/office/drawing/2014/main" id="{00000000-0008-0000-05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02864" y="8639175"/>
          <a:ext cx="2161036" cy="1438659"/>
        </a:xfrm>
        <a:prstGeom prst="rect">
          <a:avLst/>
        </a:prstGeom>
      </xdr:spPr>
    </xdr:pic>
    <xdr:clientData/>
  </xdr:oneCellAnchor>
  <xdr:oneCellAnchor>
    <xdr:from>
      <xdr:col>14</xdr:col>
      <xdr:colOff>124964</xdr:colOff>
      <xdr:row>122</xdr:row>
      <xdr:rowOff>123825</xdr:rowOff>
    </xdr:from>
    <xdr:ext cx="2161036" cy="1438659"/>
    <xdr:pic>
      <xdr:nvPicPr>
        <xdr:cNvPr id="436" name="Grafik 435">
          <a:extLst>
            <a:ext uri="{FF2B5EF4-FFF2-40B4-BE49-F238E27FC236}">
              <a16:creationId xmlns:a16="http://schemas.microsoft.com/office/drawing/2014/main" id="{00000000-0008-0000-05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0864" y="8639175"/>
          <a:ext cx="2161036" cy="1438659"/>
        </a:xfrm>
        <a:prstGeom prst="rect">
          <a:avLst/>
        </a:prstGeom>
      </xdr:spPr>
    </xdr:pic>
    <xdr:clientData/>
  </xdr:oneCellAnchor>
  <xdr:oneCellAnchor>
    <xdr:from>
      <xdr:col>18</xdr:col>
      <xdr:colOff>124964</xdr:colOff>
      <xdr:row>122</xdr:row>
      <xdr:rowOff>123825</xdr:rowOff>
    </xdr:from>
    <xdr:ext cx="2161036" cy="1438659"/>
    <xdr:pic>
      <xdr:nvPicPr>
        <xdr:cNvPr id="437" name="Grafik 436">
          <a:extLst>
            <a:ext uri="{FF2B5EF4-FFF2-40B4-BE49-F238E27FC236}">
              <a16:creationId xmlns:a16="http://schemas.microsoft.com/office/drawing/2014/main" id="{00000000-0008-0000-05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6864" y="8639175"/>
          <a:ext cx="2161036" cy="1438659"/>
        </a:xfrm>
        <a:prstGeom prst="rect">
          <a:avLst/>
        </a:prstGeom>
      </xdr:spPr>
    </xdr:pic>
    <xdr:clientData/>
  </xdr:oneCellAnchor>
  <xdr:oneCellAnchor>
    <xdr:from>
      <xdr:col>24</xdr:col>
      <xdr:colOff>124964</xdr:colOff>
      <xdr:row>126</xdr:row>
      <xdr:rowOff>161541</xdr:rowOff>
    </xdr:from>
    <xdr:ext cx="2161036" cy="1438659"/>
    <xdr:pic>
      <xdr:nvPicPr>
        <xdr:cNvPr id="438" name="Grafik 437">
          <a:extLst>
            <a:ext uri="{FF2B5EF4-FFF2-40B4-BE49-F238E27FC236}">
              <a16:creationId xmlns:a16="http://schemas.microsoft.com/office/drawing/2014/main" id="{00000000-0008-0000-05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88864" y="10753341"/>
          <a:ext cx="2161036" cy="1438659"/>
        </a:xfrm>
        <a:prstGeom prst="rect">
          <a:avLst/>
        </a:prstGeom>
      </xdr:spPr>
    </xdr:pic>
    <xdr:clientData/>
  </xdr:oneCellAnchor>
  <xdr:oneCellAnchor>
    <xdr:from>
      <xdr:col>14</xdr:col>
      <xdr:colOff>124964</xdr:colOff>
      <xdr:row>126</xdr:row>
      <xdr:rowOff>161541</xdr:rowOff>
    </xdr:from>
    <xdr:ext cx="2161036" cy="1438659"/>
    <xdr:pic>
      <xdr:nvPicPr>
        <xdr:cNvPr id="439" name="Grafik 438">
          <a:extLst>
            <a:ext uri="{FF2B5EF4-FFF2-40B4-BE49-F238E27FC236}">
              <a16:creationId xmlns:a16="http://schemas.microsoft.com/office/drawing/2014/main" id="{00000000-0008-0000-05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0864" y="10753341"/>
          <a:ext cx="2161036" cy="1438659"/>
        </a:xfrm>
        <a:prstGeom prst="rect">
          <a:avLst/>
        </a:prstGeom>
      </xdr:spPr>
    </xdr:pic>
    <xdr:clientData/>
  </xdr:oneCellAnchor>
  <xdr:oneCellAnchor>
    <xdr:from>
      <xdr:col>18</xdr:col>
      <xdr:colOff>124964</xdr:colOff>
      <xdr:row>126</xdr:row>
      <xdr:rowOff>161541</xdr:rowOff>
    </xdr:from>
    <xdr:ext cx="2161036" cy="1438659"/>
    <xdr:pic>
      <xdr:nvPicPr>
        <xdr:cNvPr id="440" name="Grafik 439">
          <a:extLst>
            <a:ext uri="{FF2B5EF4-FFF2-40B4-BE49-F238E27FC236}">
              <a16:creationId xmlns:a16="http://schemas.microsoft.com/office/drawing/2014/main" id="{00000000-0008-0000-05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6864" y="10753341"/>
          <a:ext cx="2161036" cy="1438659"/>
        </a:xfrm>
        <a:prstGeom prst="rect">
          <a:avLst/>
        </a:prstGeom>
      </xdr:spPr>
    </xdr:pic>
    <xdr:clientData/>
  </xdr:oneCellAnchor>
  <xdr:oneCellAnchor>
    <xdr:from>
      <xdr:col>21</xdr:col>
      <xdr:colOff>124964</xdr:colOff>
      <xdr:row>126</xdr:row>
      <xdr:rowOff>161541</xdr:rowOff>
    </xdr:from>
    <xdr:ext cx="2161036" cy="1438659"/>
    <xdr:pic>
      <xdr:nvPicPr>
        <xdr:cNvPr id="441" name="Grafik 440">
          <a:extLst>
            <a:ext uri="{FF2B5EF4-FFF2-40B4-BE49-F238E27FC236}">
              <a16:creationId xmlns:a16="http://schemas.microsoft.com/office/drawing/2014/main" id="{00000000-0008-0000-05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02864" y="10753341"/>
          <a:ext cx="2161036" cy="1438659"/>
        </a:xfrm>
        <a:prstGeom prst="rect">
          <a:avLst/>
        </a:prstGeom>
      </xdr:spPr>
    </xdr:pic>
    <xdr:clientData/>
  </xdr:oneCellAnchor>
  <xdr:oneCellAnchor>
    <xdr:from>
      <xdr:col>2</xdr:col>
      <xdr:colOff>124964</xdr:colOff>
      <xdr:row>130</xdr:row>
      <xdr:rowOff>104775</xdr:rowOff>
    </xdr:from>
    <xdr:ext cx="2161036" cy="1438659"/>
    <xdr:pic>
      <xdr:nvPicPr>
        <xdr:cNvPr id="442" name="Grafik 441">
          <a:extLst>
            <a:ext uri="{FF2B5EF4-FFF2-40B4-BE49-F238E27FC236}">
              <a16:creationId xmlns:a16="http://schemas.microsoft.com/office/drawing/2014/main" id="{00000000-0008-0000-05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2864" y="12773025"/>
          <a:ext cx="2161036" cy="1438659"/>
        </a:xfrm>
        <a:prstGeom prst="rect">
          <a:avLst/>
        </a:prstGeom>
      </xdr:spPr>
    </xdr:pic>
    <xdr:clientData/>
  </xdr:oneCellAnchor>
  <xdr:oneCellAnchor>
    <xdr:from>
      <xdr:col>6</xdr:col>
      <xdr:colOff>124964</xdr:colOff>
      <xdr:row>130</xdr:row>
      <xdr:rowOff>85725</xdr:rowOff>
    </xdr:from>
    <xdr:ext cx="2161036" cy="1438659"/>
    <xdr:pic>
      <xdr:nvPicPr>
        <xdr:cNvPr id="443" name="Grafik 442">
          <a:extLst>
            <a:ext uri="{FF2B5EF4-FFF2-40B4-BE49-F238E27FC236}">
              <a16:creationId xmlns:a16="http://schemas.microsoft.com/office/drawing/2014/main" id="{00000000-0008-0000-05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8864" y="12753975"/>
          <a:ext cx="2161036" cy="1438659"/>
        </a:xfrm>
        <a:prstGeom prst="rect">
          <a:avLst/>
        </a:prstGeom>
      </xdr:spPr>
    </xdr:pic>
    <xdr:clientData/>
  </xdr:oneCellAnchor>
  <xdr:oneCellAnchor>
    <xdr:from>
      <xdr:col>6</xdr:col>
      <xdr:colOff>608479</xdr:colOff>
      <xdr:row>107</xdr:row>
      <xdr:rowOff>552824</xdr:rowOff>
    </xdr:from>
    <xdr:ext cx="371113" cy="361120"/>
    <xdr:sp macro="" textlink="">
      <xdr:nvSpPr>
        <xdr:cNvPr id="444" name="Ellipse 443">
          <a:extLst>
            <a:ext uri="{FF2B5EF4-FFF2-40B4-BE49-F238E27FC236}">
              <a16:creationId xmlns:a16="http://schemas.microsoft.com/office/drawing/2014/main" id="{00000000-0008-0000-0500-0000BC010000}"/>
            </a:ext>
          </a:extLst>
        </xdr:cNvPr>
        <xdr:cNvSpPr/>
      </xdr:nvSpPr>
      <xdr:spPr>
        <a:xfrm>
          <a:off x="5142379" y="1391024"/>
          <a:ext cx="371113" cy="361120"/>
        </a:xfrm>
        <a:prstGeom prst="ellips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6</xdr:col>
      <xdr:colOff>516165</xdr:colOff>
      <xdr:row>119</xdr:row>
      <xdr:rowOff>453572</xdr:rowOff>
    </xdr:from>
    <xdr:ext cx="360000" cy="359546"/>
    <xdr:sp macro="" textlink="">
      <xdr:nvSpPr>
        <xdr:cNvPr id="445" name="Ellipse 444">
          <a:extLst>
            <a:ext uri="{FF2B5EF4-FFF2-40B4-BE49-F238E27FC236}">
              <a16:creationId xmlns:a16="http://schemas.microsoft.com/office/drawing/2014/main" id="{00000000-0008-0000-0500-0000BD010000}"/>
            </a:ext>
          </a:extLst>
        </xdr:cNvPr>
        <xdr:cNvSpPr/>
      </xdr:nvSpPr>
      <xdr:spPr>
        <a:xfrm>
          <a:off x="5050065" y="7521122"/>
          <a:ext cx="360000" cy="359546"/>
        </a:xfrm>
        <a:prstGeom prst="ellips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6</xdr:col>
      <xdr:colOff>603612</xdr:colOff>
      <xdr:row>132</xdr:row>
      <xdr:rowOff>0</xdr:rowOff>
    </xdr:from>
    <xdr:ext cx="367938" cy="353650"/>
    <xdr:sp macro="" textlink="">
      <xdr:nvSpPr>
        <xdr:cNvPr id="446" name="Ellipse 445">
          <a:extLst>
            <a:ext uri="{FF2B5EF4-FFF2-40B4-BE49-F238E27FC236}">
              <a16:creationId xmlns:a16="http://schemas.microsoft.com/office/drawing/2014/main" id="{00000000-0008-0000-0500-0000BE010000}"/>
            </a:ext>
          </a:extLst>
        </xdr:cNvPr>
        <xdr:cNvSpPr/>
      </xdr:nvSpPr>
      <xdr:spPr>
        <a:xfrm>
          <a:off x="5137512" y="13925550"/>
          <a:ext cx="367938" cy="353650"/>
        </a:xfrm>
        <a:prstGeom prst="ellips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8</xdr:col>
      <xdr:colOff>12753</xdr:colOff>
      <xdr:row>107</xdr:row>
      <xdr:rowOff>528414</xdr:rowOff>
    </xdr:from>
    <xdr:ext cx="367938" cy="360000"/>
    <xdr:sp macro="" textlink="">
      <xdr:nvSpPr>
        <xdr:cNvPr id="447" name="Ellipse 446">
          <a:extLst>
            <a:ext uri="{FF2B5EF4-FFF2-40B4-BE49-F238E27FC236}">
              <a16:creationId xmlns:a16="http://schemas.microsoft.com/office/drawing/2014/main" id="{00000000-0008-0000-0500-0000BF010000}"/>
            </a:ext>
          </a:extLst>
        </xdr:cNvPr>
        <xdr:cNvSpPr/>
      </xdr:nvSpPr>
      <xdr:spPr>
        <a:xfrm>
          <a:off x="6070653" y="1366614"/>
          <a:ext cx="367938" cy="360000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3</xdr:col>
      <xdr:colOff>579732</xdr:colOff>
      <xdr:row>115</xdr:row>
      <xdr:rowOff>436017</xdr:rowOff>
    </xdr:from>
    <xdr:ext cx="367938" cy="351609"/>
    <xdr:sp macro="" textlink="">
      <xdr:nvSpPr>
        <xdr:cNvPr id="448" name="Ellipse 447">
          <a:extLst>
            <a:ext uri="{FF2B5EF4-FFF2-40B4-BE49-F238E27FC236}">
              <a16:creationId xmlns:a16="http://schemas.microsoft.com/office/drawing/2014/main" id="{00000000-0008-0000-0500-0000C0010000}"/>
            </a:ext>
          </a:extLst>
        </xdr:cNvPr>
        <xdr:cNvSpPr/>
      </xdr:nvSpPr>
      <xdr:spPr>
        <a:xfrm>
          <a:off x="3589632" y="5427117"/>
          <a:ext cx="367938" cy="351609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7</xdr:col>
      <xdr:colOff>219276</xdr:colOff>
      <xdr:row>119</xdr:row>
      <xdr:rowOff>470425</xdr:rowOff>
    </xdr:from>
    <xdr:ext cx="359287" cy="349762"/>
    <xdr:sp macro="" textlink="">
      <xdr:nvSpPr>
        <xdr:cNvPr id="449" name="Ellipse 448">
          <a:extLst>
            <a:ext uri="{FF2B5EF4-FFF2-40B4-BE49-F238E27FC236}">
              <a16:creationId xmlns:a16="http://schemas.microsoft.com/office/drawing/2014/main" id="{00000000-0008-0000-0500-0000C1010000}"/>
            </a:ext>
          </a:extLst>
        </xdr:cNvPr>
        <xdr:cNvSpPr/>
      </xdr:nvSpPr>
      <xdr:spPr>
        <a:xfrm>
          <a:off x="5515176" y="7537975"/>
          <a:ext cx="359287" cy="349762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10</xdr:col>
      <xdr:colOff>476288</xdr:colOff>
      <xdr:row>131</xdr:row>
      <xdr:rowOff>327290</xdr:rowOff>
    </xdr:from>
    <xdr:ext cx="364051" cy="355238"/>
    <xdr:sp macro="" textlink="">
      <xdr:nvSpPr>
        <xdr:cNvPr id="450" name="Ellipse 449">
          <a:extLst>
            <a:ext uri="{FF2B5EF4-FFF2-40B4-BE49-F238E27FC236}">
              <a16:creationId xmlns:a16="http://schemas.microsoft.com/office/drawing/2014/main" id="{00000000-0008-0000-0500-0000C2010000}"/>
            </a:ext>
          </a:extLst>
        </xdr:cNvPr>
        <xdr:cNvSpPr/>
      </xdr:nvSpPr>
      <xdr:spPr>
        <a:xfrm>
          <a:off x="7296188" y="13624190"/>
          <a:ext cx="364051" cy="355238"/>
        </a:xfrm>
        <a:prstGeom prst="ellipse">
          <a:avLst/>
        </a:prstGeom>
        <a:solidFill>
          <a:schemeClr val="accent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twoCellAnchor>
    <xdr:from>
      <xdr:col>7</xdr:col>
      <xdr:colOff>398920</xdr:colOff>
      <xdr:row>120</xdr:row>
      <xdr:rowOff>191537</xdr:rowOff>
    </xdr:from>
    <xdr:to>
      <xdr:col>11</xdr:col>
      <xdr:colOff>25025</xdr:colOff>
      <xdr:row>131</xdr:row>
      <xdr:rowOff>377918</xdr:rowOff>
    </xdr:to>
    <xdr:cxnSp macro="">
      <xdr:nvCxnSpPr>
        <xdr:cNvPr id="451" name="Gerader Verbinder 450">
          <a:extLst>
            <a:ext uri="{FF2B5EF4-FFF2-40B4-BE49-F238E27FC236}">
              <a16:creationId xmlns:a16="http://schemas.microsoft.com/office/drawing/2014/main" id="{00000000-0008-0000-0500-0000C3010000}"/>
            </a:ext>
          </a:extLst>
        </xdr:cNvPr>
        <xdr:cNvCxnSpPr>
          <a:stCxn id="449" idx="4"/>
          <a:endCxn id="450" idx="7"/>
        </xdr:cNvCxnSpPr>
      </xdr:nvCxnSpPr>
      <xdr:spPr>
        <a:xfrm>
          <a:off x="5694820" y="7887737"/>
          <a:ext cx="1912105" cy="5787081"/>
        </a:xfrm>
        <a:prstGeom prst="line">
          <a:avLst/>
        </a:prstGeom>
        <a:ln w="38100">
          <a:solidFill>
            <a:schemeClr val="accent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131787</xdr:colOff>
      <xdr:row>116</xdr:row>
      <xdr:rowOff>108245</xdr:rowOff>
    </xdr:from>
    <xdr:to>
      <xdr:col>7</xdr:col>
      <xdr:colOff>525947</xdr:colOff>
      <xdr:row>119</xdr:row>
      <xdr:rowOff>520886</xdr:rowOff>
    </xdr:to>
    <xdr:cxnSp macro="">
      <xdr:nvCxnSpPr>
        <xdr:cNvPr id="452" name="Gerader Verbinder 451">
          <a:extLst>
            <a:ext uri="{FF2B5EF4-FFF2-40B4-BE49-F238E27FC236}">
              <a16:creationId xmlns:a16="http://schemas.microsoft.com/office/drawing/2014/main" id="{00000000-0008-0000-0500-0000C4010000}"/>
            </a:ext>
          </a:extLst>
        </xdr:cNvPr>
        <xdr:cNvCxnSpPr>
          <a:stCxn id="448" idx="5"/>
          <a:endCxn id="449" idx="7"/>
        </xdr:cNvCxnSpPr>
      </xdr:nvCxnSpPr>
      <xdr:spPr>
        <a:xfrm>
          <a:off x="3903687" y="5727995"/>
          <a:ext cx="1918160" cy="1860441"/>
        </a:xfrm>
        <a:prstGeom prst="line">
          <a:avLst/>
        </a:prstGeom>
        <a:ln w="38100">
          <a:solidFill>
            <a:schemeClr val="accent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131787</xdr:colOff>
      <xdr:row>108</xdr:row>
      <xdr:rowOff>207804</xdr:rowOff>
    </xdr:from>
    <xdr:to>
      <xdr:col>8</xdr:col>
      <xdr:colOff>326808</xdr:colOff>
      <xdr:row>115</xdr:row>
      <xdr:rowOff>486748</xdr:rowOff>
    </xdr:to>
    <xdr:cxnSp macro="">
      <xdr:nvCxnSpPr>
        <xdr:cNvPr id="453" name="Gerader Verbinder 452">
          <a:extLst>
            <a:ext uri="{FF2B5EF4-FFF2-40B4-BE49-F238E27FC236}">
              <a16:creationId xmlns:a16="http://schemas.microsoft.com/office/drawing/2014/main" id="{00000000-0008-0000-0500-0000C5010000}"/>
            </a:ext>
          </a:extLst>
        </xdr:cNvPr>
        <xdr:cNvCxnSpPr>
          <a:stCxn id="447" idx="5"/>
          <a:endCxn id="448" idx="7"/>
        </xdr:cNvCxnSpPr>
      </xdr:nvCxnSpPr>
      <xdr:spPr>
        <a:xfrm flipH="1">
          <a:off x="3903687" y="1674654"/>
          <a:ext cx="2481021" cy="3803194"/>
        </a:xfrm>
        <a:prstGeom prst="line">
          <a:avLst/>
        </a:prstGeom>
        <a:ln w="38100">
          <a:solidFill>
            <a:schemeClr val="accent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347931</xdr:colOff>
      <xdr:row>107</xdr:row>
      <xdr:rowOff>552824</xdr:rowOff>
    </xdr:from>
    <xdr:ext cx="364763" cy="361120"/>
    <xdr:sp macro="" textlink="">
      <xdr:nvSpPr>
        <xdr:cNvPr id="454" name="Ellipse 453">
          <a:extLst>
            <a:ext uri="{FF2B5EF4-FFF2-40B4-BE49-F238E27FC236}">
              <a16:creationId xmlns:a16="http://schemas.microsoft.com/office/drawing/2014/main" id="{00000000-0008-0000-0500-0000C6010000}"/>
            </a:ext>
          </a:extLst>
        </xdr:cNvPr>
        <xdr:cNvSpPr/>
      </xdr:nvSpPr>
      <xdr:spPr>
        <a:xfrm>
          <a:off x="5643831" y="1391024"/>
          <a:ext cx="364763" cy="361120"/>
        </a:xfrm>
        <a:prstGeom prst="ellips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2</xdr:col>
      <xdr:colOff>566964</xdr:colOff>
      <xdr:row>114</xdr:row>
      <xdr:rowOff>122238</xdr:rowOff>
    </xdr:from>
    <xdr:ext cx="374288" cy="342537"/>
    <xdr:sp macro="" textlink="">
      <xdr:nvSpPr>
        <xdr:cNvPr id="455" name="Ellipse 454">
          <a:extLst>
            <a:ext uri="{FF2B5EF4-FFF2-40B4-BE49-F238E27FC236}">
              <a16:creationId xmlns:a16="http://schemas.microsoft.com/office/drawing/2014/main" id="{00000000-0008-0000-0500-0000C7010000}"/>
            </a:ext>
          </a:extLst>
        </xdr:cNvPr>
        <xdr:cNvSpPr/>
      </xdr:nvSpPr>
      <xdr:spPr>
        <a:xfrm>
          <a:off x="2814864" y="4484688"/>
          <a:ext cx="374288" cy="342537"/>
        </a:xfrm>
        <a:prstGeom prst="ellips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14</xdr:col>
      <xdr:colOff>358458</xdr:colOff>
      <xdr:row>120</xdr:row>
      <xdr:rowOff>7776</xdr:rowOff>
    </xdr:from>
    <xdr:ext cx="356112" cy="347041"/>
    <xdr:sp macro="" textlink="">
      <xdr:nvSpPr>
        <xdr:cNvPr id="456" name="Ellipse 455">
          <a:extLst>
            <a:ext uri="{FF2B5EF4-FFF2-40B4-BE49-F238E27FC236}">
              <a16:creationId xmlns:a16="http://schemas.microsoft.com/office/drawing/2014/main" id="{00000000-0008-0000-0500-0000C8010000}"/>
            </a:ext>
          </a:extLst>
        </xdr:cNvPr>
        <xdr:cNvSpPr/>
      </xdr:nvSpPr>
      <xdr:spPr>
        <a:xfrm>
          <a:off x="9464358" y="7703976"/>
          <a:ext cx="356112" cy="347041"/>
        </a:xfrm>
        <a:prstGeom prst="ellips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3</xdr:col>
      <xdr:colOff>243341</xdr:colOff>
      <xdr:row>127</xdr:row>
      <xdr:rowOff>547785</xdr:rowOff>
    </xdr:from>
    <xdr:ext cx="360875" cy="361847"/>
    <xdr:sp macro="" textlink="">
      <xdr:nvSpPr>
        <xdr:cNvPr id="457" name="Ellipse 456">
          <a:extLst>
            <a:ext uri="{FF2B5EF4-FFF2-40B4-BE49-F238E27FC236}">
              <a16:creationId xmlns:a16="http://schemas.microsoft.com/office/drawing/2014/main" id="{00000000-0008-0000-0500-0000C9010000}"/>
            </a:ext>
          </a:extLst>
        </xdr:cNvPr>
        <xdr:cNvSpPr/>
      </xdr:nvSpPr>
      <xdr:spPr>
        <a:xfrm>
          <a:off x="3253241" y="11768235"/>
          <a:ext cx="360875" cy="361847"/>
        </a:xfrm>
        <a:prstGeom prst="ellips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7</xdr:col>
      <xdr:colOff>318407</xdr:colOff>
      <xdr:row>131</xdr:row>
      <xdr:rowOff>621076</xdr:rowOff>
    </xdr:from>
    <xdr:ext cx="371113" cy="353196"/>
    <xdr:sp macro="" textlink="">
      <xdr:nvSpPr>
        <xdr:cNvPr id="458" name="Ellipse 457">
          <a:extLst>
            <a:ext uri="{FF2B5EF4-FFF2-40B4-BE49-F238E27FC236}">
              <a16:creationId xmlns:a16="http://schemas.microsoft.com/office/drawing/2014/main" id="{00000000-0008-0000-0500-0000CA010000}"/>
            </a:ext>
          </a:extLst>
        </xdr:cNvPr>
        <xdr:cNvSpPr/>
      </xdr:nvSpPr>
      <xdr:spPr>
        <a:xfrm>
          <a:off x="5614307" y="13917976"/>
          <a:ext cx="371113" cy="353196"/>
        </a:xfrm>
        <a:prstGeom prst="ellipse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twoCellAnchor>
    <xdr:from>
      <xdr:col>3</xdr:col>
      <xdr:colOff>551367</xdr:colOff>
      <xdr:row>120</xdr:row>
      <xdr:rowOff>303994</xdr:rowOff>
    </xdr:from>
    <xdr:to>
      <xdr:col>14</xdr:col>
      <xdr:colOff>410609</xdr:colOff>
      <xdr:row>127</xdr:row>
      <xdr:rowOff>599381</xdr:rowOff>
    </xdr:to>
    <xdr:cxnSp macro="">
      <xdr:nvCxnSpPr>
        <xdr:cNvPr id="459" name="Gerader Verbinder 458">
          <a:extLst>
            <a:ext uri="{FF2B5EF4-FFF2-40B4-BE49-F238E27FC236}">
              <a16:creationId xmlns:a16="http://schemas.microsoft.com/office/drawing/2014/main" id="{00000000-0008-0000-0500-0000CB010000}"/>
            </a:ext>
          </a:extLst>
        </xdr:cNvPr>
        <xdr:cNvCxnSpPr>
          <a:stCxn id="456" idx="3"/>
          <a:endCxn id="457" idx="7"/>
        </xdr:cNvCxnSpPr>
      </xdr:nvCxnSpPr>
      <xdr:spPr>
        <a:xfrm flipH="1">
          <a:off x="3561267" y="8000194"/>
          <a:ext cx="5955242" cy="3819637"/>
        </a:xfrm>
        <a:prstGeom prst="line">
          <a:avLst/>
        </a:prstGeom>
        <a:ln w="381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423779</xdr:colOff>
      <xdr:row>128</xdr:row>
      <xdr:rowOff>280982</xdr:rowOff>
    </xdr:from>
    <xdr:to>
      <xdr:col>7</xdr:col>
      <xdr:colOff>503964</xdr:colOff>
      <xdr:row>132</xdr:row>
      <xdr:rowOff>1951</xdr:rowOff>
    </xdr:to>
    <xdr:cxnSp macro="">
      <xdr:nvCxnSpPr>
        <xdr:cNvPr id="460" name="Gerader Verbinder 459">
          <a:extLst>
            <a:ext uri="{FF2B5EF4-FFF2-40B4-BE49-F238E27FC236}">
              <a16:creationId xmlns:a16="http://schemas.microsoft.com/office/drawing/2014/main" id="{00000000-0008-0000-0500-0000CC010000}"/>
            </a:ext>
          </a:extLst>
        </xdr:cNvPr>
        <xdr:cNvCxnSpPr>
          <a:stCxn id="457" idx="4"/>
          <a:endCxn id="458" idx="0"/>
        </xdr:cNvCxnSpPr>
      </xdr:nvCxnSpPr>
      <xdr:spPr>
        <a:xfrm>
          <a:off x="3433679" y="12130082"/>
          <a:ext cx="2366185" cy="1797419"/>
        </a:xfrm>
        <a:prstGeom prst="line">
          <a:avLst/>
        </a:prstGeom>
        <a:ln w="381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124439</xdr:colOff>
      <xdr:row>114</xdr:row>
      <xdr:rowOff>414612</xdr:rowOff>
    </xdr:from>
    <xdr:to>
      <xdr:col>14</xdr:col>
      <xdr:colOff>410609</xdr:colOff>
      <xdr:row>120</xdr:row>
      <xdr:rowOff>58599</xdr:rowOff>
    </xdr:to>
    <xdr:cxnSp macro="">
      <xdr:nvCxnSpPr>
        <xdr:cNvPr id="461" name="Gerader Verbinder 460">
          <a:extLst>
            <a:ext uri="{FF2B5EF4-FFF2-40B4-BE49-F238E27FC236}">
              <a16:creationId xmlns:a16="http://schemas.microsoft.com/office/drawing/2014/main" id="{00000000-0008-0000-0500-0000CD010000}"/>
            </a:ext>
          </a:extLst>
        </xdr:cNvPr>
        <xdr:cNvCxnSpPr>
          <a:stCxn id="455" idx="5"/>
          <a:endCxn id="456" idx="1"/>
        </xdr:cNvCxnSpPr>
      </xdr:nvCxnSpPr>
      <xdr:spPr>
        <a:xfrm>
          <a:off x="3134339" y="4777062"/>
          <a:ext cx="6382170" cy="2977737"/>
        </a:xfrm>
        <a:prstGeom prst="line">
          <a:avLst/>
        </a:prstGeom>
        <a:ln w="381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124439</xdr:colOff>
      <xdr:row>108</xdr:row>
      <xdr:rowOff>233804</xdr:rowOff>
    </xdr:from>
    <xdr:to>
      <xdr:col>7</xdr:col>
      <xdr:colOff>401349</xdr:colOff>
      <xdr:row>114</xdr:row>
      <xdr:rowOff>172401</xdr:rowOff>
    </xdr:to>
    <xdr:cxnSp macro="">
      <xdr:nvCxnSpPr>
        <xdr:cNvPr id="462" name="Gerader Verbinder 461">
          <a:extLst>
            <a:ext uri="{FF2B5EF4-FFF2-40B4-BE49-F238E27FC236}">
              <a16:creationId xmlns:a16="http://schemas.microsoft.com/office/drawing/2014/main" id="{00000000-0008-0000-0500-0000CE010000}"/>
            </a:ext>
          </a:extLst>
        </xdr:cNvPr>
        <xdr:cNvCxnSpPr>
          <a:stCxn id="454" idx="3"/>
          <a:endCxn id="455" idx="7"/>
        </xdr:cNvCxnSpPr>
      </xdr:nvCxnSpPr>
      <xdr:spPr>
        <a:xfrm flipH="1">
          <a:off x="3134339" y="1700654"/>
          <a:ext cx="2562910" cy="2834197"/>
        </a:xfrm>
        <a:prstGeom prst="line">
          <a:avLst/>
        </a:prstGeom>
        <a:ln w="381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608479</xdr:colOff>
      <xdr:row>107</xdr:row>
      <xdr:rowOff>556559</xdr:rowOff>
    </xdr:from>
    <xdr:ext cx="374288" cy="361120"/>
    <xdr:sp macro="" textlink="">
      <xdr:nvSpPr>
        <xdr:cNvPr id="463" name="Ellipse 462">
          <a:extLst>
            <a:ext uri="{FF2B5EF4-FFF2-40B4-BE49-F238E27FC236}">
              <a16:creationId xmlns:a16="http://schemas.microsoft.com/office/drawing/2014/main" id="{00000000-0008-0000-0500-0000CF010000}"/>
            </a:ext>
          </a:extLst>
        </xdr:cNvPr>
        <xdr:cNvSpPr/>
      </xdr:nvSpPr>
      <xdr:spPr>
        <a:xfrm>
          <a:off x="5142379" y="1394759"/>
          <a:ext cx="374288" cy="361120"/>
        </a:xfrm>
        <a:prstGeom prst="ellips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2</xdr:col>
      <xdr:colOff>51487</xdr:colOff>
      <xdr:row>114</xdr:row>
      <xdr:rowOff>90432</xdr:rowOff>
    </xdr:from>
    <xdr:ext cx="367226" cy="332300"/>
    <xdr:sp macro="" textlink="">
      <xdr:nvSpPr>
        <xdr:cNvPr id="464" name="Ellipse 463">
          <a:extLst>
            <a:ext uri="{FF2B5EF4-FFF2-40B4-BE49-F238E27FC236}">
              <a16:creationId xmlns:a16="http://schemas.microsoft.com/office/drawing/2014/main" id="{00000000-0008-0000-0500-0000D0010000}"/>
            </a:ext>
          </a:extLst>
        </xdr:cNvPr>
        <xdr:cNvSpPr/>
      </xdr:nvSpPr>
      <xdr:spPr>
        <a:xfrm>
          <a:off x="2299387" y="4452882"/>
          <a:ext cx="367226" cy="332300"/>
        </a:xfrm>
        <a:prstGeom prst="ellips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6</xdr:col>
      <xdr:colOff>516165</xdr:colOff>
      <xdr:row>119</xdr:row>
      <xdr:rowOff>457307</xdr:rowOff>
    </xdr:from>
    <xdr:ext cx="360000" cy="362721"/>
    <xdr:sp macro="" textlink="">
      <xdr:nvSpPr>
        <xdr:cNvPr id="465" name="Ellipse 464">
          <a:extLst>
            <a:ext uri="{FF2B5EF4-FFF2-40B4-BE49-F238E27FC236}">
              <a16:creationId xmlns:a16="http://schemas.microsoft.com/office/drawing/2014/main" id="{00000000-0008-0000-0500-0000D1010000}"/>
            </a:ext>
          </a:extLst>
        </xdr:cNvPr>
        <xdr:cNvSpPr/>
      </xdr:nvSpPr>
      <xdr:spPr>
        <a:xfrm>
          <a:off x="5050065" y="7524857"/>
          <a:ext cx="360000" cy="362721"/>
        </a:xfrm>
        <a:prstGeom prst="ellips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2</xdr:col>
      <xdr:colOff>283844</xdr:colOff>
      <xdr:row>127</xdr:row>
      <xdr:rowOff>526930</xdr:rowOff>
    </xdr:from>
    <xdr:ext cx="367938" cy="358413"/>
    <xdr:sp macro="" textlink="">
      <xdr:nvSpPr>
        <xdr:cNvPr id="466" name="Ellipse 465">
          <a:extLst>
            <a:ext uri="{FF2B5EF4-FFF2-40B4-BE49-F238E27FC236}">
              <a16:creationId xmlns:a16="http://schemas.microsoft.com/office/drawing/2014/main" id="{00000000-0008-0000-0500-0000D2010000}"/>
            </a:ext>
          </a:extLst>
        </xdr:cNvPr>
        <xdr:cNvSpPr/>
      </xdr:nvSpPr>
      <xdr:spPr>
        <a:xfrm>
          <a:off x="2531744" y="11747380"/>
          <a:ext cx="367938" cy="358413"/>
        </a:xfrm>
        <a:prstGeom prst="ellips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6</xdr:col>
      <xdr:colOff>606787</xdr:colOff>
      <xdr:row>132</xdr:row>
      <xdr:rowOff>3735</xdr:rowOff>
    </xdr:from>
    <xdr:ext cx="364763" cy="356825"/>
    <xdr:sp macro="" textlink="">
      <xdr:nvSpPr>
        <xdr:cNvPr id="467" name="Ellipse 466">
          <a:extLst>
            <a:ext uri="{FF2B5EF4-FFF2-40B4-BE49-F238E27FC236}">
              <a16:creationId xmlns:a16="http://schemas.microsoft.com/office/drawing/2014/main" id="{00000000-0008-0000-0500-0000D3010000}"/>
            </a:ext>
          </a:extLst>
        </xdr:cNvPr>
        <xdr:cNvSpPr/>
      </xdr:nvSpPr>
      <xdr:spPr>
        <a:xfrm>
          <a:off x="5140687" y="13929285"/>
          <a:ext cx="364763" cy="356825"/>
        </a:xfrm>
        <a:prstGeom prst="ellipse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twoCellAnchor>
    <xdr:from>
      <xdr:col>2</xdr:col>
      <xdr:colOff>364934</xdr:colOff>
      <xdr:row>114</xdr:row>
      <xdr:rowOff>374068</xdr:rowOff>
    </xdr:from>
    <xdr:to>
      <xdr:col>6</xdr:col>
      <xdr:colOff>568886</xdr:colOff>
      <xdr:row>119</xdr:row>
      <xdr:rowOff>509031</xdr:rowOff>
    </xdr:to>
    <xdr:cxnSp macro="">
      <xdr:nvCxnSpPr>
        <xdr:cNvPr id="468" name="Gerader Verbinder 467">
          <a:extLst>
            <a:ext uri="{FF2B5EF4-FFF2-40B4-BE49-F238E27FC236}">
              <a16:creationId xmlns:a16="http://schemas.microsoft.com/office/drawing/2014/main" id="{00000000-0008-0000-0500-0000D4010000}"/>
            </a:ext>
          </a:extLst>
        </xdr:cNvPr>
        <xdr:cNvCxnSpPr>
          <a:stCxn id="464" idx="5"/>
          <a:endCxn id="465" idx="1"/>
        </xdr:cNvCxnSpPr>
      </xdr:nvCxnSpPr>
      <xdr:spPr>
        <a:xfrm>
          <a:off x="2612834" y="4736518"/>
          <a:ext cx="2489952" cy="2840063"/>
        </a:xfrm>
        <a:prstGeom prst="line">
          <a:avLst/>
        </a:prstGeom>
        <a:ln w="381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597899</xdr:colOff>
      <xdr:row>120</xdr:row>
      <xdr:rowOff>139654</xdr:rowOff>
    </xdr:from>
    <xdr:to>
      <xdr:col>6</xdr:col>
      <xdr:colOff>568886</xdr:colOff>
      <xdr:row>127</xdr:row>
      <xdr:rowOff>578023</xdr:rowOff>
    </xdr:to>
    <xdr:cxnSp macro="">
      <xdr:nvCxnSpPr>
        <xdr:cNvPr id="469" name="Gerader Verbinder 468">
          <a:extLst>
            <a:ext uri="{FF2B5EF4-FFF2-40B4-BE49-F238E27FC236}">
              <a16:creationId xmlns:a16="http://schemas.microsoft.com/office/drawing/2014/main" id="{00000000-0008-0000-0500-0000D5010000}"/>
            </a:ext>
          </a:extLst>
        </xdr:cNvPr>
        <xdr:cNvCxnSpPr>
          <a:stCxn id="465" idx="3"/>
          <a:endCxn id="466" idx="7"/>
        </xdr:cNvCxnSpPr>
      </xdr:nvCxnSpPr>
      <xdr:spPr>
        <a:xfrm flipH="1">
          <a:off x="2845799" y="7835854"/>
          <a:ext cx="2256987" cy="3962619"/>
        </a:xfrm>
        <a:prstGeom prst="line">
          <a:avLst/>
        </a:prstGeom>
        <a:ln w="381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597899</xdr:colOff>
      <xdr:row>128</xdr:row>
      <xdr:rowOff>205600</xdr:rowOff>
    </xdr:from>
    <xdr:to>
      <xdr:col>6</xdr:col>
      <xdr:colOff>660205</xdr:colOff>
      <xdr:row>132</xdr:row>
      <xdr:rowOff>55991</xdr:rowOff>
    </xdr:to>
    <xdr:cxnSp macro="">
      <xdr:nvCxnSpPr>
        <xdr:cNvPr id="470" name="Gerader Verbinder 469">
          <a:extLst>
            <a:ext uri="{FF2B5EF4-FFF2-40B4-BE49-F238E27FC236}">
              <a16:creationId xmlns:a16="http://schemas.microsoft.com/office/drawing/2014/main" id="{00000000-0008-0000-0500-0000D6010000}"/>
            </a:ext>
          </a:extLst>
        </xdr:cNvPr>
        <xdr:cNvCxnSpPr>
          <a:stCxn id="466" idx="5"/>
          <a:endCxn id="467" idx="1"/>
        </xdr:cNvCxnSpPr>
      </xdr:nvCxnSpPr>
      <xdr:spPr>
        <a:xfrm>
          <a:off x="2845799" y="12054700"/>
          <a:ext cx="2348306" cy="1926841"/>
        </a:xfrm>
        <a:prstGeom prst="line">
          <a:avLst/>
        </a:prstGeom>
        <a:ln w="381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364934</xdr:colOff>
      <xdr:row>108</xdr:row>
      <xdr:rowOff>237539</xdr:rowOff>
    </xdr:from>
    <xdr:to>
      <xdr:col>6</xdr:col>
      <xdr:colOff>663292</xdr:colOff>
      <xdr:row>114</xdr:row>
      <xdr:rowOff>139096</xdr:rowOff>
    </xdr:to>
    <xdr:cxnSp macro="">
      <xdr:nvCxnSpPr>
        <xdr:cNvPr id="471" name="Gerader Verbinder 470">
          <a:extLst>
            <a:ext uri="{FF2B5EF4-FFF2-40B4-BE49-F238E27FC236}">
              <a16:creationId xmlns:a16="http://schemas.microsoft.com/office/drawing/2014/main" id="{00000000-0008-0000-0500-0000D7010000}"/>
            </a:ext>
          </a:extLst>
        </xdr:cNvPr>
        <xdr:cNvCxnSpPr>
          <a:stCxn id="463" idx="3"/>
          <a:endCxn id="464" idx="7"/>
        </xdr:cNvCxnSpPr>
      </xdr:nvCxnSpPr>
      <xdr:spPr>
        <a:xfrm flipH="1">
          <a:off x="2612834" y="1704389"/>
          <a:ext cx="2584358" cy="2797157"/>
        </a:xfrm>
        <a:prstGeom prst="line">
          <a:avLst/>
        </a:prstGeom>
        <a:ln w="381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354932</xdr:colOff>
      <xdr:row>107</xdr:row>
      <xdr:rowOff>547941</xdr:rowOff>
    </xdr:from>
    <xdr:ext cx="367938" cy="357945"/>
    <xdr:sp macro="" textlink="">
      <xdr:nvSpPr>
        <xdr:cNvPr id="472" name="Ellipse 471">
          <a:extLst>
            <a:ext uri="{FF2B5EF4-FFF2-40B4-BE49-F238E27FC236}">
              <a16:creationId xmlns:a16="http://schemas.microsoft.com/office/drawing/2014/main" id="{00000000-0008-0000-0500-0000D8010000}"/>
            </a:ext>
          </a:extLst>
        </xdr:cNvPr>
        <xdr:cNvSpPr/>
      </xdr:nvSpPr>
      <xdr:spPr>
        <a:xfrm>
          <a:off x="6412832" y="1386141"/>
          <a:ext cx="367938" cy="357945"/>
        </a:xfrm>
        <a:prstGeom prst="ellipse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4</xdr:col>
      <xdr:colOff>278726</xdr:colOff>
      <xdr:row>115</xdr:row>
      <xdr:rowOff>364389</xdr:rowOff>
    </xdr:from>
    <xdr:ext cx="364051" cy="341825"/>
    <xdr:sp macro="" textlink="">
      <xdr:nvSpPr>
        <xdr:cNvPr id="473" name="Ellipse 472">
          <a:extLst>
            <a:ext uri="{FF2B5EF4-FFF2-40B4-BE49-F238E27FC236}">
              <a16:creationId xmlns:a16="http://schemas.microsoft.com/office/drawing/2014/main" id="{00000000-0008-0000-0500-0000D9010000}"/>
            </a:ext>
          </a:extLst>
        </xdr:cNvPr>
        <xdr:cNvSpPr/>
      </xdr:nvSpPr>
      <xdr:spPr>
        <a:xfrm>
          <a:off x="4050626" y="5355489"/>
          <a:ext cx="364051" cy="341825"/>
        </a:xfrm>
        <a:prstGeom prst="ellipse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7</xdr:col>
      <xdr:colOff>692150</xdr:colOff>
      <xdr:row>119</xdr:row>
      <xdr:rowOff>412403</xdr:rowOff>
    </xdr:from>
    <xdr:ext cx="360000" cy="365896"/>
    <xdr:sp macro="" textlink="">
      <xdr:nvSpPr>
        <xdr:cNvPr id="474" name="Ellipse 473">
          <a:extLst>
            <a:ext uri="{FF2B5EF4-FFF2-40B4-BE49-F238E27FC236}">
              <a16:creationId xmlns:a16="http://schemas.microsoft.com/office/drawing/2014/main" id="{00000000-0008-0000-0500-0000DA010000}"/>
            </a:ext>
          </a:extLst>
        </xdr:cNvPr>
        <xdr:cNvSpPr/>
      </xdr:nvSpPr>
      <xdr:spPr>
        <a:xfrm>
          <a:off x="5988050" y="7479953"/>
          <a:ext cx="360000" cy="365896"/>
        </a:xfrm>
        <a:prstGeom prst="ellipse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14</xdr:col>
      <xdr:colOff>406762</xdr:colOff>
      <xdr:row>131</xdr:row>
      <xdr:rowOff>220543</xdr:rowOff>
    </xdr:from>
    <xdr:ext cx="367938" cy="358866"/>
    <xdr:sp macro="" textlink="">
      <xdr:nvSpPr>
        <xdr:cNvPr id="475" name="Ellipse 474">
          <a:extLst>
            <a:ext uri="{FF2B5EF4-FFF2-40B4-BE49-F238E27FC236}">
              <a16:creationId xmlns:a16="http://schemas.microsoft.com/office/drawing/2014/main" id="{00000000-0008-0000-0500-0000DB010000}"/>
            </a:ext>
          </a:extLst>
        </xdr:cNvPr>
        <xdr:cNvSpPr/>
      </xdr:nvSpPr>
      <xdr:spPr>
        <a:xfrm>
          <a:off x="9512662" y="13517443"/>
          <a:ext cx="367938" cy="358866"/>
        </a:xfrm>
        <a:prstGeom prst="ellipse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twoCellAnchor>
    <xdr:from>
      <xdr:col>4</xdr:col>
      <xdr:colOff>589463</xdr:colOff>
      <xdr:row>116</xdr:row>
      <xdr:rowOff>28900</xdr:rowOff>
    </xdr:from>
    <xdr:to>
      <xdr:col>7</xdr:col>
      <xdr:colOff>744871</xdr:colOff>
      <xdr:row>119</xdr:row>
      <xdr:rowOff>464592</xdr:rowOff>
    </xdr:to>
    <xdr:cxnSp macro="">
      <xdr:nvCxnSpPr>
        <xdr:cNvPr id="476" name="Gerader Verbinder 475">
          <a:extLst>
            <a:ext uri="{FF2B5EF4-FFF2-40B4-BE49-F238E27FC236}">
              <a16:creationId xmlns:a16="http://schemas.microsoft.com/office/drawing/2014/main" id="{00000000-0008-0000-0500-0000DC010000}"/>
            </a:ext>
          </a:extLst>
        </xdr:cNvPr>
        <xdr:cNvCxnSpPr>
          <a:stCxn id="473" idx="5"/>
          <a:endCxn id="474" idx="1"/>
        </xdr:cNvCxnSpPr>
      </xdr:nvCxnSpPr>
      <xdr:spPr>
        <a:xfrm>
          <a:off x="4361363" y="5648650"/>
          <a:ext cx="1679408" cy="1883492"/>
        </a:xfrm>
        <a:prstGeom prst="line">
          <a:avLst/>
        </a:prstGeom>
        <a:ln w="38100">
          <a:solidFill>
            <a:schemeClr val="accent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166687</xdr:colOff>
      <xdr:row>120</xdr:row>
      <xdr:rowOff>0</xdr:rowOff>
    </xdr:from>
    <xdr:to>
      <xdr:col>14</xdr:col>
      <xdr:colOff>720817</xdr:colOff>
      <xdr:row>131</xdr:row>
      <xdr:rowOff>273098</xdr:rowOff>
    </xdr:to>
    <xdr:cxnSp macro="">
      <xdr:nvCxnSpPr>
        <xdr:cNvPr id="477" name="Gerader Verbinder 476">
          <a:extLst>
            <a:ext uri="{FF2B5EF4-FFF2-40B4-BE49-F238E27FC236}">
              <a16:creationId xmlns:a16="http://schemas.microsoft.com/office/drawing/2014/main" id="{00000000-0008-0000-0500-0000DD010000}"/>
            </a:ext>
          </a:extLst>
        </xdr:cNvPr>
        <xdr:cNvCxnSpPr>
          <a:endCxn id="475" idx="7"/>
        </xdr:cNvCxnSpPr>
      </xdr:nvCxnSpPr>
      <xdr:spPr>
        <a:xfrm>
          <a:off x="6224587" y="7696200"/>
          <a:ext cx="3602130" cy="5873798"/>
        </a:xfrm>
        <a:prstGeom prst="line">
          <a:avLst/>
        </a:prstGeom>
        <a:ln w="38100">
          <a:solidFill>
            <a:schemeClr val="accent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589463</xdr:colOff>
      <xdr:row>108</xdr:row>
      <xdr:rowOff>226211</xdr:rowOff>
    </xdr:from>
    <xdr:to>
      <xdr:col>8</xdr:col>
      <xdr:colOff>408815</xdr:colOff>
      <xdr:row>115</xdr:row>
      <xdr:rowOff>413053</xdr:rowOff>
    </xdr:to>
    <xdr:cxnSp macro="">
      <xdr:nvCxnSpPr>
        <xdr:cNvPr id="478" name="Gerader Verbinder 477">
          <a:extLst>
            <a:ext uri="{FF2B5EF4-FFF2-40B4-BE49-F238E27FC236}">
              <a16:creationId xmlns:a16="http://schemas.microsoft.com/office/drawing/2014/main" id="{00000000-0008-0000-0500-0000DE010000}"/>
            </a:ext>
          </a:extLst>
        </xdr:cNvPr>
        <xdr:cNvCxnSpPr>
          <a:stCxn id="472" idx="3"/>
          <a:endCxn id="473" idx="7"/>
        </xdr:cNvCxnSpPr>
      </xdr:nvCxnSpPr>
      <xdr:spPr>
        <a:xfrm flipH="1">
          <a:off x="4361363" y="1693061"/>
          <a:ext cx="2105352" cy="3711092"/>
        </a:xfrm>
        <a:prstGeom prst="line">
          <a:avLst/>
        </a:prstGeom>
        <a:ln w="38100">
          <a:solidFill>
            <a:schemeClr val="accent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191647</xdr:colOff>
      <xdr:row>108</xdr:row>
      <xdr:rowOff>290766</xdr:rowOff>
    </xdr:from>
    <xdr:ext cx="374288" cy="364296"/>
    <xdr:sp macro="" textlink="">
      <xdr:nvSpPr>
        <xdr:cNvPr id="479" name="Ellipse 478">
          <a:extLst>
            <a:ext uri="{FF2B5EF4-FFF2-40B4-BE49-F238E27FC236}">
              <a16:creationId xmlns:a16="http://schemas.microsoft.com/office/drawing/2014/main" id="{00000000-0008-0000-0500-0000DF010000}"/>
            </a:ext>
          </a:extLst>
        </xdr:cNvPr>
        <xdr:cNvSpPr/>
      </xdr:nvSpPr>
      <xdr:spPr>
        <a:xfrm>
          <a:off x="5487547" y="1757616"/>
          <a:ext cx="374288" cy="364296"/>
        </a:xfrm>
        <a:prstGeom prst="ellipse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4</xdr:col>
      <xdr:colOff>240172</xdr:colOff>
      <xdr:row>114</xdr:row>
      <xdr:rowOff>504996</xdr:rowOff>
    </xdr:from>
    <xdr:ext cx="364051" cy="351803"/>
    <xdr:sp macro="" textlink="">
      <xdr:nvSpPr>
        <xdr:cNvPr id="480" name="Ellipse 479">
          <a:extLst>
            <a:ext uri="{FF2B5EF4-FFF2-40B4-BE49-F238E27FC236}">
              <a16:creationId xmlns:a16="http://schemas.microsoft.com/office/drawing/2014/main" id="{00000000-0008-0000-0500-0000E0010000}"/>
            </a:ext>
          </a:extLst>
        </xdr:cNvPr>
        <xdr:cNvSpPr/>
      </xdr:nvSpPr>
      <xdr:spPr>
        <a:xfrm>
          <a:off x="4012072" y="4867446"/>
          <a:ext cx="364051" cy="351803"/>
        </a:xfrm>
        <a:prstGeom prst="ellipse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15</xdr:col>
      <xdr:colOff>117475</xdr:colOff>
      <xdr:row>119</xdr:row>
      <xdr:rowOff>599728</xdr:rowOff>
    </xdr:from>
    <xdr:ext cx="363175" cy="362721"/>
    <xdr:sp macro="" textlink="">
      <xdr:nvSpPr>
        <xdr:cNvPr id="481" name="Ellipse 480">
          <a:extLst>
            <a:ext uri="{FF2B5EF4-FFF2-40B4-BE49-F238E27FC236}">
              <a16:creationId xmlns:a16="http://schemas.microsoft.com/office/drawing/2014/main" id="{00000000-0008-0000-0500-0000E1010000}"/>
            </a:ext>
          </a:extLst>
        </xdr:cNvPr>
        <xdr:cNvSpPr/>
      </xdr:nvSpPr>
      <xdr:spPr>
        <a:xfrm>
          <a:off x="9985375" y="7667278"/>
          <a:ext cx="363175" cy="362721"/>
        </a:xfrm>
        <a:prstGeom prst="ellipse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11</xdr:col>
      <xdr:colOff>161833</xdr:colOff>
      <xdr:row>131</xdr:row>
      <xdr:rowOff>254106</xdr:rowOff>
    </xdr:from>
    <xdr:ext cx="367938" cy="352516"/>
    <xdr:sp macro="" textlink="">
      <xdr:nvSpPr>
        <xdr:cNvPr id="482" name="Ellipse 481">
          <a:extLst>
            <a:ext uri="{FF2B5EF4-FFF2-40B4-BE49-F238E27FC236}">
              <a16:creationId xmlns:a16="http://schemas.microsoft.com/office/drawing/2014/main" id="{00000000-0008-0000-0500-0000E2010000}"/>
            </a:ext>
          </a:extLst>
        </xdr:cNvPr>
        <xdr:cNvSpPr/>
      </xdr:nvSpPr>
      <xdr:spPr>
        <a:xfrm>
          <a:off x="7743733" y="13551006"/>
          <a:ext cx="367938" cy="352516"/>
        </a:xfrm>
        <a:prstGeom prst="ellipse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twoCellAnchor>
    <xdr:from>
      <xdr:col>4</xdr:col>
      <xdr:colOff>550909</xdr:colOff>
      <xdr:row>115</xdr:row>
      <xdr:rowOff>178024</xdr:rowOff>
    </xdr:from>
    <xdr:to>
      <xdr:col>15</xdr:col>
      <xdr:colOff>170661</xdr:colOff>
      <xdr:row>120</xdr:row>
      <xdr:rowOff>32327</xdr:rowOff>
    </xdr:to>
    <xdr:cxnSp macro="">
      <xdr:nvCxnSpPr>
        <xdr:cNvPr id="483" name="Gerader Verbinder 482">
          <a:extLst>
            <a:ext uri="{FF2B5EF4-FFF2-40B4-BE49-F238E27FC236}">
              <a16:creationId xmlns:a16="http://schemas.microsoft.com/office/drawing/2014/main" id="{00000000-0008-0000-0500-0000E3010000}"/>
            </a:ext>
          </a:extLst>
        </xdr:cNvPr>
        <xdr:cNvCxnSpPr>
          <a:stCxn id="480" idx="5"/>
          <a:endCxn id="481" idx="1"/>
        </xdr:cNvCxnSpPr>
      </xdr:nvCxnSpPr>
      <xdr:spPr>
        <a:xfrm>
          <a:off x="4322809" y="5169124"/>
          <a:ext cx="5715752" cy="2559403"/>
        </a:xfrm>
        <a:prstGeom prst="line">
          <a:avLst/>
        </a:prstGeom>
        <a:ln w="3810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476353</xdr:colOff>
      <xdr:row>120</xdr:row>
      <xdr:rowOff>284253</xdr:rowOff>
    </xdr:from>
    <xdr:to>
      <xdr:col>15</xdr:col>
      <xdr:colOff>170661</xdr:colOff>
      <xdr:row>131</xdr:row>
      <xdr:rowOff>308441</xdr:rowOff>
    </xdr:to>
    <xdr:cxnSp macro="">
      <xdr:nvCxnSpPr>
        <xdr:cNvPr id="484" name="Gerader Verbinder 483">
          <a:extLst>
            <a:ext uri="{FF2B5EF4-FFF2-40B4-BE49-F238E27FC236}">
              <a16:creationId xmlns:a16="http://schemas.microsoft.com/office/drawing/2014/main" id="{00000000-0008-0000-0500-0000E4010000}"/>
            </a:ext>
          </a:extLst>
        </xdr:cNvPr>
        <xdr:cNvCxnSpPr>
          <a:stCxn id="481" idx="3"/>
          <a:endCxn id="482" idx="7"/>
        </xdr:cNvCxnSpPr>
      </xdr:nvCxnSpPr>
      <xdr:spPr>
        <a:xfrm flipH="1">
          <a:off x="8058253" y="7980453"/>
          <a:ext cx="1980308" cy="5624888"/>
        </a:xfrm>
        <a:prstGeom prst="line">
          <a:avLst/>
        </a:prstGeom>
        <a:ln w="3810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550909</xdr:colOff>
      <xdr:row>108</xdr:row>
      <xdr:rowOff>593582</xdr:rowOff>
    </xdr:from>
    <xdr:to>
      <xdr:col>7</xdr:col>
      <xdr:colOff>246460</xdr:colOff>
      <xdr:row>114</xdr:row>
      <xdr:rowOff>555121</xdr:rowOff>
    </xdr:to>
    <xdr:cxnSp macro="">
      <xdr:nvCxnSpPr>
        <xdr:cNvPr id="485" name="Gerader Verbinder 484">
          <a:extLst>
            <a:ext uri="{FF2B5EF4-FFF2-40B4-BE49-F238E27FC236}">
              <a16:creationId xmlns:a16="http://schemas.microsoft.com/office/drawing/2014/main" id="{00000000-0008-0000-0500-0000E5010000}"/>
            </a:ext>
          </a:extLst>
        </xdr:cNvPr>
        <xdr:cNvCxnSpPr>
          <a:stCxn id="479" idx="3"/>
          <a:endCxn id="480" idx="7"/>
        </xdr:cNvCxnSpPr>
      </xdr:nvCxnSpPr>
      <xdr:spPr>
        <a:xfrm flipH="1">
          <a:off x="4322809" y="2060432"/>
          <a:ext cx="1219551" cy="2857139"/>
        </a:xfrm>
        <a:prstGeom prst="line">
          <a:avLst/>
        </a:prstGeom>
        <a:ln w="3810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76892</xdr:colOff>
      <xdr:row>108</xdr:row>
      <xdr:rowOff>293940</xdr:rowOff>
    </xdr:from>
    <xdr:ext cx="374288" cy="361121"/>
    <xdr:sp macro="" textlink="">
      <xdr:nvSpPr>
        <xdr:cNvPr id="486" name="Ellipse 485">
          <a:extLst>
            <a:ext uri="{FF2B5EF4-FFF2-40B4-BE49-F238E27FC236}">
              <a16:creationId xmlns:a16="http://schemas.microsoft.com/office/drawing/2014/main" id="{00000000-0008-0000-0500-0000E6010000}"/>
            </a:ext>
          </a:extLst>
        </xdr:cNvPr>
        <xdr:cNvSpPr/>
      </xdr:nvSpPr>
      <xdr:spPr>
        <a:xfrm>
          <a:off x="6134792" y="1760790"/>
          <a:ext cx="374288" cy="361121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4</xdr:col>
      <xdr:colOff>244254</xdr:colOff>
      <xdr:row>114</xdr:row>
      <xdr:rowOff>82947</xdr:rowOff>
    </xdr:from>
    <xdr:ext cx="364051" cy="332299"/>
    <xdr:sp macro="" textlink="">
      <xdr:nvSpPr>
        <xdr:cNvPr id="487" name="Ellipse 486">
          <a:extLst>
            <a:ext uri="{FF2B5EF4-FFF2-40B4-BE49-F238E27FC236}">
              <a16:creationId xmlns:a16="http://schemas.microsoft.com/office/drawing/2014/main" id="{00000000-0008-0000-0500-0000E7010000}"/>
            </a:ext>
          </a:extLst>
        </xdr:cNvPr>
        <xdr:cNvSpPr/>
      </xdr:nvSpPr>
      <xdr:spPr>
        <a:xfrm>
          <a:off x="4016154" y="4445397"/>
          <a:ext cx="364051" cy="332299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15</xdr:col>
      <xdr:colOff>583293</xdr:colOff>
      <xdr:row>119</xdr:row>
      <xdr:rowOff>597006</xdr:rowOff>
    </xdr:from>
    <xdr:ext cx="363175" cy="362721"/>
    <xdr:sp macro="" textlink="">
      <xdr:nvSpPr>
        <xdr:cNvPr id="488" name="Ellipse 487">
          <a:extLst>
            <a:ext uri="{FF2B5EF4-FFF2-40B4-BE49-F238E27FC236}">
              <a16:creationId xmlns:a16="http://schemas.microsoft.com/office/drawing/2014/main" id="{00000000-0008-0000-0500-0000E8010000}"/>
            </a:ext>
          </a:extLst>
        </xdr:cNvPr>
        <xdr:cNvSpPr/>
      </xdr:nvSpPr>
      <xdr:spPr>
        <a:xfrm>
          <a:off x="10451193" y="7664556"/>
          <a:ext cx="363175" cy="362721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oneCellAnchor>
    <xdr:from>
      <xdr:col>15</xdr:col>
      <xdr:colOff>119650</xdr:colOff>
      <xdr:row>131</xdr:row>
      <xdr:rowOff>263177</xdr:rowOff>
    </xdr:from>
    <xdr:ext cx="371113" cy="355691"/>
    <xdr:sp macro="" textlink="">
      <xdr:nvSpPr>
        <xdr:cNvPr id="489" name="Ellipse 488">
          <a:extLst>
            <a:ext uri="{FF2B5EF4-FFF2-40B4-BE49-F238E27FC236}">
              <a16:creationId xmlns:a16="http://schemas.microsoft.com/office/drawing/2014/main" id="{00000000-0008-0000-0500-0000E9010000}"/>
            </a:ext>
          </a:extLst>
        </xdr:cNvPr>
        <xdr:cNvSpPr/>
      </xdr:nvSpPr>
      <xdr:spPr>
        <a:xfrm>
          <a:off x="9987550" y="13560077"/>
          <a:ext cx="371113" cy="355691"/>
        </a:xfrm>
        <a:prstGeom prst="ellips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oneCellAnchor>
  <xdr:twoCellAnchor>
    <xdr:from>
      <xdr:col>4</xdr:col>
      <xdr:colOff>554991</xdr:colOff>
      <xdr:row>114</xdr:row>
      <xdr:rowOff>366582</xdr:rowOff>
    </xdr:from>
    <xdr:to>
      <xdr:col>15</xdr:col>
      <xdr:colOff>636479</xdr:colOff>
      <xdr:row>120</xdr:row>
      <xdr:rowOff>29605</xdr:rowOff>
    </xdr:to>
    <xdr:cxnSp macro="">
      <xdr:nvCxnSpPr>
        <xdr:cNvPr id="490" name="Gerader Verbinder 489">
          <a:extLst>
            <a:ext uri="{FF2B5EF4-FFF2-40B4-BE49-F238E27FC236}">
              <a16:creationId xmlns:a16="http://schemas.microsoft.com/office/drawing/2014/main" id="{00000000-0008-0000-0500-0000EA010000}"/>
            </a:ext>
          </a:extLst>
        </xdr:cNvPr>
        <xdr:cNvCxnSpPr>
          <a:stCxn id="487" idx="5"/>
          <a:endCxn id="488" idx="1"/>
        </xdr:cNvCxnSpPr>
      </xdr:nvCxnSpPr>
      <xdr:spPr>
        <a:xfrm>
          <a:off x="4326891" y="4729032"/>
          <a:ext cx="6177488" cy="2996773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436880</xdr:colOff>
      <xdr:row>120</xdr:row>
      <xdr:rowOff>281531</xdr:rowOff>
    </xdr:from>
    <xdr:to>
      <xdr:col>15</xdr:col>
      <xdr:colOff>639654</xdr:colOff>
      <xdr:row>131</xdr:row>
      <xdr:rowOff>315732</xdr:rowOff>
    </xdr:to>
    <xdr:cxnSp macro="">
      <xdr:nvCxnSpPr>
        <xdr:cNvPr id="491" name="Gerader Verbinder 490">
          <a:extLst>
            <a:ext uri="{FF2B5EF4-FFF2-40B4-BE49-F238E27FC236}">
              <a16:creationId xmlns:a16="http://schemas.microsoft.com/office/drawing/2014/main" id="{00000000-0008-0000-0500-0000EB010000}"/>
            </a:ext>
          </a:extLst>
        </xdr:cNvPr>
        <xdr:cNvCxnSpPr>
          <a:stCxn id="488" idx="3"/>
          <a:endCxn id="489" idx="7"/>
        </xdr:cNvCxnSpPr>
      </xdr:nvCxnSpPr>
      <xdr:spPr>
        <a:xfrm flipH="1">
          <a:off x="10304780" y="7977731"/>
          <a:ext cx="202774" cy="5634901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554991</xdr:colOff>
      <xdr:row>108</xdr:row>
      <xdr:rowOff>594046</xdr:rowOff>
    </xdr:from>
    <xdr:to>
      <xdr:col>8</xdr:col>
      <xdr:colOff>131705</xdr:colOff>
      <xdr:row>114</xdr:row>
      <xdr:rowOff>131611</xdr:rowOff>
    </xdr:to>
    <xdr:cxnSp macro="">
      <xdr:nvCxnSpPr>
        <xdr:cNvPr id="492" name="Gerader Verbinder 491">
          <a:extLst>
            <a:ext uri="{FF2B5EF4-FFF2-40B4-BE49-F238E27FC236}">
              <a16:creationId xmlns:a16="http://schemas.microsoft.com/office/drawing/2014/main" id="{00000000-0008-0000-0500-0000EC010000}"/>
            </a:ext>
          </a:extLst>
        </xdr:cNvPr>
        <xdr:cNvCxnSpPr>
          <a:stCxn id="486" idx="3"/>
          <a:endCxn id="487" idx="7"/>
        </xdr:cNvCxnSpPr>
      </xdr:nvCxnSpPr>
      <xdr:spPr>
        <a:xfrm flipH="1">
          <a:off x="4326891" y="2060896"/>
          <a:ext cx="1862714" cy="2433165"/>
        </a:xfrm>
        <a:prstGeom prst="line">
          <a:avLst/>
        </a:prstGeom>
        <a:ln w="381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39</xdr:col>
      <xdr:colOff>127569</xdr:colOff>
      <xdr:row>130</xdr:row>
      <xdr:rowOff>94570</xdr:rowOff>
    </xdr:from>
    <xdr:ext cx="2157861" cy="1416434"/>
    <xdr:pic>
      <xdr:nvPicPr>
        <xdr:cNvPr id="493" name="Grafik 492">
          <a:extLst>
            <a:ext uri="{FF2B5EF4-FFF2-40B4-BE49-F238E27FC236}">
              <a16:creationId xmlns:a16="http://schemas.microsoft.com/office/drawing/2014/main" id="{00000000-0008-0000-05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1469" y="12762820"/>
          <a:ext cx="2157861" cy="1416434"/>
        </a:xfrm>
        <a:prstGeom prst="rect">
          <a:avLst/>
        </a:prstGeom>
      </xdr:spPr>
    </xdr:pic>
    <xdr:clientData/>
  </xdr:oneCellAnchor>
  <xdr:oneCellAnchor>
    <xdr:from>
      <xdr:col>42</xdr:col>
      <xdr:colOff>123825</xdr:colOff>
      <xdr:row>130</xdr:row>
      <xdr:rowOff>85725</xdr:rowOff>
    </xdr:from>
    <xdr:ext cx="2161036" cy="1419609"/>
    <xdr:pic>
      <xdr:nvPicPr>
        <xdr:cNvPr id="494" name="Grafik 493">
          <a:extLst>
            <a:ext uri="{FF2B5EF4-FFF2-40B4-BE49-F238E27FC236}">
              <a16:creationId xmlns:a16="http://schemas.microsoft.com/office/drawing/2014/main" id="{00000000-0008-0000-05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03725" y="12753975"/>
          <a:ext cx="2161036" cy="1419609"/>
        </a:xfrm>
        <a:prstGeom prst="rect">
          <a:avLst/>
        </a:prstGeom>
      </xdr:spPr>
    </xdr:pic>
    <xdr:clientData/>
  </xdr:oneCellAnchor>
  <xdr:oneCellAnchor>
    <xdr:from>
      <xdr:col>33</xdr:col>
      <xdr:colOff>124964</xdr:colOff>
      <xdr:row>106</xdr:row>
      <xdr:rowOff>104775</xdr:rowOff>
    </xdr:from>
    <xdr:ext cx="2161036" cy="1419609"/>
    <xdr:pic>
      <xdr:nvPicPr>
        <xdr:cNvPr id="495" name="Grafik 494">
          <a:extLst>
            <a:ext uri="{FF2B5EF4-FFF2-40B4-BE49-F238E27FC236}">
              <a16:creationId xmlns:a16="http://schemas.microsoft.com/office/drawing/2014/main" id="{00000000-0008-0000-05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46864" y="314325"/>
          <a:ext cx="2161036" cy="1419609"/>
        </a:xfrm>
        <a:prstGeom prst="rect">
          <a:avLst/>
        </a:prstGeom>
      </xdr:spPr>
    </xdr:pic>
    <xdr:clientData/>
  </xdr:oneCellAnchor>
  <xdr:oneCellAnchor>
    <xdr:from>
      <xdr:col>36</xdr:col>
      <xdr:colOff>124964</xdr:colOff>
      <xdr:row>106</xdr:row>
      <xdr:rowOff>104775</xdr:rowOff>
    </xdr:from>
    <xdr:ext cx="2161036" cy="1419609"/>
    <xdr:pic>
      <xdr:nvPicPr>
        <xdr:cNvPr id="496" name="Grafik 495">
          <a:extLst>
            <a:ext uri="{FF2B5EF4-FFF2-40B4-BE49-F238E27FC236}">
              <a16:creationId xmlns:a16="http://schemas.microsoft.com/office/drawing/2014/main" id="{00000000-0008-0000-05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2864" y="314325"/>
          <a:ext cx="2161036" cy="1419609"/>
        </a:xfrm>
        <a:prstGeom prst="rect">
          <a:avLst/>
        </a:prstGeom>
      </xdr:spPr>
    </xdr:pic>
    <xdr:clientData/>
  </xdr:oneCellAnchor>
  <xdr:oneCellAnchor>
    <xdr:from>
      <xdr:col>39</xdr:col>
      <xdr:colOff>124964</xdr:colOff>
      <xdr:row>106</xdr:row>
      <xdr:rowOff>104775</xdr:rowOff>
    </xdr:from>
    <xdr:ext cx="2161036" cy="1419609"/>
    <xdr:pic>
      <xdr:nvPicPr>
        <xdr:cNvPr id="497" name="Grafik 496">
          <a:extLst>
            <a:ext uri="{FF2B5EF4-FFF2-40B4-BE49-F238E27FC236}">
              <a16:creationId xmlns:a16="http://schemas.microsoft.com/office/drawing/2014/main" id="{00000000-0008-0000-05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18864" y="314325"/>
          <a:ext cx="2161036" cy="1419609"/>
        </a:xfrm>
        <a:prstGeom prst="rect">
          <a:avLst/>
        </a:prstGeom>
      </xdr:spPr>
    </xdr:pic>
    <xdr:clientData/>
  </xdr:oneCellAnchor>
  <xdr:oneCellAnchor>
    <xdr:from>
      <xdr:col>33</xdr:col>
      <xdr:colOff>124964</xdr:colOff>
      <xdr:row>118</xdr:row>
      <xdr:rowOff>66675</xdr:rowOff>
    </xdr:from>
    <xdr:ext cx="2161036" cy="1419609"/>
    <xdr:pic>
      <xdr:nvPicPr>
        <xdr:cNvPr id="498" name="Grafik 497">
          <a:extLst>
            <a:ext uri="{FF2B5EF4-FFF2-40B4-BE49-F238E27FC236}">
              <a16:creationId xmlns:a16="http://schemas.microsoft.com/office/drawing/2014/main" id="{00000000-0008-0000-05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46864" y="6505575"/>
          <a:ext cx="2161036" cy="1419609"/>
        </a:xfrm>
        <a:prstGeom prst="rect">
          <a:avLst/>
        </a:prstGeom>
      </xdr:spPr>
    </xdr:pic>
    <xdr:clientData/>
  </xdr:oneCellAnchor>
  <xdr:oneCellAnchor>
    <xdr:from>
      <xdr:col>36</xdr:col>
      <xdr:colOff>124964</xdr:colOff>
      <xdr:row>118</xdr:row>
      <xdr:rowOff>66675</xdr:rowOff>
    </xdr:from>
    <xdr:ext cx="2161036" cy="1419609"/>
    <xdr:pic>
      <xdr:nvPicPr>
        <xdr:cNvPr id="499" name="Grafik 498">
          <a:extLst>
            <a:ext uri="{FF2B5EF4-FFF2-40B4-BE49-F238E27FC236}">
              <a16:creationId xmlns:a16="http://schemas.microsoft.com/office/drawing/2014/main" id="{00000000-0008-0000-05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2864" y="6505575"/>
          <a:ext cx="2161036" cy="1419609"/>
        </a:xfrm>
        <a:prstGeom prst="rect">
          <a:avLst/>
        </a:prstGeom>
      </xdr:spPr>
    </xdr:pic>
    <xdr:clientData/>
  </xdr:oneCellAnchor>
  <xdr:oneCellAnchor>
    <xdr:from>
      <xdr:col>39</xdr:col>
      <xdr:colOff>124964</xdr:colOff>
      <xdr:row>118</xdr:row>
      <xdr:rowOff>66675</xdr:rowOff>
    </xdr:from>
    <xdr:ext cx="2161036" cy="1419609"/>
    <xdr:pic>
      <xdr:nvPicPr>
        <xdr:cNvPr id="500" name="Grafik 499">
          <a:extLst>
            <a:ext uri="{FF2B5EF4-FFF2-40B4-BE49-F238E27FC236}">
              <a16:creationId xmlns:a16="http://schemas.microsoft.com/office/drawing/2014/main" id="{00000000-0008-0000-05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18864" y="6505575"/>
          <a:ext cx="2161036" cy="1419609"/>
        </a:xfrm>
        <a:prstGeom prst="rect">
          <a:avLst/>
        </a:prstGeom>
      </xdr:spPr>
    </xdr:pic>
    <xdr:clientData/>
  </xdr:oneCellAnchor>
  <xdr:oneCellAnchor>
    <xdr:from>
      <xdr:col>42</xdr:col>
      <xdr:colOff>124964</xdr:colOff>
      <xdr:row>118</xdr:row>
      <xdr:rowOff>66675</xdr:rowOff>
    </xdr:from>
    <xdr:ext cx="2161036" cy="1419609"/>
    <xdr:pic>
      <xdr:nvPicPr>
        <xdr:cNvPr id="501" name="Grafik 500">
          <a:extLst>
            <a:ext uri="{FF2B5EF4-FFF2-40B4-BE49-F238E27FC236}">
              <a16:creationId xmlns:a16="http://schemas.microsoft.com/office/drawing/2014/main" id="{00000000-0008-0000-05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04864" y="6505575"/>
          <a:ext cx="2161036" cy="1419609"/>
        </a:xfrm>
        <a:prstGeom prst="rect">
          <a:avLst/>
        </a:prstGeom>
      </xdr:spPr>
    </xdr:pic>
    <xdr:clientData/>
  </xdr:oneCellAnchor>
  <xdr:oneCellAnchor>
    <xdr:from>
      <xdr:col>45</xdr:col>
      <xdr:colOff>124964</xdr:colOff>
      <xdr:row>118</xdr:row>
      <xdr:rowOff>66675</xdr:rowOff>
    </xdr:from>
    <xdr:ext cx="2161036" cy="1419609"/>
    <xdr:pic>
      <xdr:nvPicPr>
        <xdr:cNvPr id="502" name="Grafik 501">
          <a:extLst>
            <a:ext uri="{FF2B5EF4-FFF2-40B4-BE49-F238E27FC236}">
              <a16:creationId xmlns:a16="http://schemas.microsoft.com/office/drawing/2014/main" id="{00000000-0008-0000-05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90864" y="6505575"/>
          <a:ext cx="2161036" cy="1419609"/>
        </a:xfrm>
        <a:prstGeom prst="rect">
          <a:avLst/>
        </a:prstGeom>
      </xdr:spPr>
    </xdr:pic>
    <xdr:clientData/>
  </xdr:oneCellAnchor>
  <xdr:oneCellAnchor>
    <xdr:from>
      <xdr:col>33</xdr:col>
      <xdr:colOff>124964</xdr:colOff>
      <xdr:row>110</xdr:row>
      <xdr:rowOff>123825</xdr:rowOff>
    </xdr:from>
    <xdr:ext cx="2161036" cy="1419609"/>
    <xdr:pic>
      <xdr:nvPicPr>
        <xdr:cNvPr id="503" name="Grafik 502">
          <a:extLst>
            <a:ext uri="{FF2B5EF4-FFF2-40B4-BE49-F238E27FC236}">
              <a16:creationId xmlns:a16="http://schemas.microsoft.com/office/drawing/2014/main" id="{00000000-0008-0000-05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46864" y="2409825"/>
          <a:ext cx="2161036" cy="1419609"/>
        </a:xfrm>
        <a:prstGeom prst="rect">
          <a:avLst/>
        </a:prstGeom>
      </xdr:spPr>
    </xdr:pic>
    <xdr:clientData/>
  </xdr:oneCellAnchor>
  <xdr:oneCellAnchor>
    <xdr:from>
      <xdr:col>36</xdr:col>
      <xdr:colOff>124964</xdr:colOff>
      <xdr:row>110</xdr:row>
      <xdr:rowOff>123825</xdr:rowOff>
    </xdr:from>
    <xdr:ext cx="2161036" cy="1419609"/>
    <xdr:pic>
      <xdr:nvPicPr>
        <xdr:cNvPr id="504" name="Grafik 503">
          <a:extLst>
            <a:ext uri="{FF2B5EF4-FFF2-40B4-BE49-F238E27FC236}">
              <a16:creationId xmlns:a16="http://schemas.microsoft.com/office/drawing/2014/main" id="{00000000-0008-0000-05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2864" y="2409825"/>
          <a:ext cx="2161036" cy="1419609"/>
        </a:xfrm>
        <a:prstGeom prst="rect">
          <a:avLst/>
        </a:prstGeom>
      </xdr:spPr>
    </xdr:pic>
    <xdr:clientData/>
  </xdr:oneCellAnchor>
  <xdr:oneCellAnchor>
    <xdr:from>
      <xdr:col>39</xdr:col>
      <xdr:colOff>124964</xdr:colOff>
      <xdr:row>110</xdr:row>
      <xdr:rowOff>123825</xdr:rowOff>
    </xdr:from>
    <xdr:ext cx="2161036" cy="1419609"/>
    <xdr:pic>
      <xdr:nvPicPr>
        <xdr:cNvPr id="505" name="Grafik 504">
          <a:extLst>
            <a:ext uri="{FF2B5EF4-FFF2-40B4-BE49-F238E27FC236}">
              <a16:creationId xmlns:a16="http://schemas.microsoft.com/office/drawing/2014/main" id="{00000000-0008-0000-05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18864" y="2409825"/>
          <a:ext cx="2161036" cy="1419609"/>
        </a:xfrm>
        <a:prstGeom prst="rect">
          <a:avLst/>
        </a:prstGeom>
      </xdr:spPr>
    </xdr:pic>
    <xdr:clientData/>
  </xdr:oneCellAnchor>
  <xdr:oneCellAnchor>
    <xdr:from>
      <xdr:col>48</xdr:col>
      <xdr:colOff>124964</xdr:colOff>
      <xdr:row>110</xdr:row>
      <xdr:rowOff>123825</xdr:rowOff>
    </xdr:from>
    <xdr:ext cx="2161036" cy="1419609"/>
    <xdr:pic>
      <xdr:nvPicPr>
        <xdr:cNvPr id="506" name="Grafik 505">
          <a:extLst>
            <a:ext uri="{FF2B5EF4-FFF2-40B4-BE49-F238E27FC236}">
              <a16:creationId xmlns:a16="http://schemas.microsoft.com/office/drawing/2014/main" id="{00000000-0008-0000-05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376864" y="2409825"/>
          <a:ext cx="2161036" cy="1419609"/>
        </a:xfrm>
        <a:prstGeom prst="rect">
          <a:avLst/>
        </a:prstGeom>
      </xdr:spPr>
    </xdr:pic>
    <xdr:clientData/>
  </xdr:oneCellAnchor>
  <xdr:oneCellAnchor>
    <xdr:from>
      <xdr:col>42</xdr:col>
      <xdr:colOff>124964</xdr:colOff>
      <xdr:row>110</xdr:row>
      <xdr:rowOff>123825</xdr:rowOff>
    </xdr:from>
    <xdr:ext cx="2161036" cy="1419609"/>
    <xdr:pic>
      <xdr:nvPicPr>
        <xdr:cNvPr id="507" name="Grafik 506">
          <a:extLst>
            <a:ext uri="{FF2B5EF4-FFF2-40B4-BE49-F238E27FC236}">
              <a16:creationId xmlns:a16="http://schemas.microsoft.com/office/drawing/2014/main" id="{00000000-0008-0000-05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04864" y="2409825"/>
          <a:ext cx="2161036" cy="1419609"/>
        </a:xfrm>
        <a:prstGeom prst="rect">
          <a:avLst/>
        </a:prstGeom>
      </xdr:spPr>
    </xdr:pic>
    <xdr:clientData/>
  </xdr:oneCellAnchor>
  <xdr:oneCellAnchor>
    <xdr:from>
      <xdr:col>45</xdr:col>
      <xdr:colOff>124964</xdr:colOff>
      <xdr:row>110</xdr:row>
      <xdr:rowOff>123825</xdr:rowOff>
    </xdr:from>
    <xdr:ext cx="2161036" cy="1419609"/>
    <xdr:pic>
      <xdr:nvPicPr>
        <xdr:cNvPr id="508" name="Grafik 507">
          <a:extLst>
            <a:ext uri="{FF2B5EF4-FFF2-40B4-BE49-F238E27FC236}">
              <a16:creationId xmlns:a16="http://schemas.microsoft.com/office/drawing/2014/main" id="{00000000-0008-0000-05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90864" y="2409825"/>
          <a:ext cx="2161036" cy="1419609"/>
        </a:xfrm>
        <a:prstGeom prst="rect">
          <a:avLst/>
        </a:prstGeom>
      </xdr:spPr>
    </xdr:pic>
    <xdr:clientData/>
  </xdr:oneCellAnchor>
  <xdr:oneCellAnchor>
    <xdr:from>
      <xdr:col>51</xdr:col>
      <xdr:colOff>124964</xdr:colOff>
      <xdr:row>114</xdr:row>
      <xdr:rowOff>180591</xdr:rowOff>
    </xdr:from>
    <xdr:ext cx="2161036" cy="1419609"/>
    <xdr:pic>
      <xdr:nvPicPr>
        <xdr:cNvPr id="509" name="Grafik 508">
          <a:extLst>
            <a:ext uri="{FF2B5EF4-FFF2-40B4-BE49-F238E27FC236}">
              <a16:creationId xmlns:a16="http://schemas.microsoft.com/office/drawing/2014/main" id="{00000000-0008-0000-05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62864" y="4543041"/>
          <a:ext cx="2161036" cy="1419609"/>
        </a:xfrm>
        <a:prstGeom prst="rect">
          <a:avLst/>
        </a:prstGeom>
      </xdr:spPr>
    </xdr:pic>
    <xdr:clientData/>
  </xdr:oneCellAnchor>
  <xdr:oneCellAnchor>
    <xdr:from>
      <xdr:col>42</xdr:col>
      <xdr:colOff>124964</xdr:colOff>
      <xdr:row>114</xdr:row>
      <xdr:rowOff>180591</xdr:rowOff>
    </xdr:from>
    <xdr:ext cx="2161036" cy="1419609"/>
    <xdr:pic>
      <xdr:nvPicPr>
        <xdr:cNvPr id="510" name="Grafik 509">
          <a:extLst>
            <a:ext uri="{FF2B5EF4-FFF2-40B4-BE49-F238E27FC236}">
              <a16:creationId xmlns:a16="http://schemas.microsoft.com/office/drawing/2014/main" id="{00000000-0008-0000-05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04864" y="4543041"/>
          <a:ext cx="2161036" cy="1419609"/>
        </a:xfrm>
        <a:prstGeom prst="rect">
          <a:avLst/>
        </a:prstGeom>
      </xdr:spPr>
    </xdr:pic>
    <xdr:clientData/>
  </xdr:oneCellAnchor>
  <xdr:oneCellAnchor>
    <xdr:from>
      <xdr:col>45</xdr:col>
      <xdr:colOff>124964</xdr:colOff>
      <xdr:row>114</xdr:row>
      <xdr:rowOff>180591</xdr:rowOff>
    </xdr:from>
    <xdr:ext cx="2161036" cy="1419609"/>
    <xdr:pic>
      <xdr:nvPicPr>
        <xdr:cNvPr id="511" name="Grafik 510">
          <a:extLst>
            <a:ext uri="{FF2B5EF4-FFF2-40B4-BE49-F238E27FC236}">
              <a16:creationId xmlns:a16="http://schemas.microsoft.com/office/drawing/2014/main" id="{00000000-0008-0000-05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90864" y="4543041"/>
          <a:ext cx="2161036" cy="1419609"/>
        </a:xfrm>
        <a:prstGeom prst="rect">
          <a:avLst/>
        </a:prstGeom>
      </xdr:spPr>
    </xdr:pic>
    <xdr:clientData/>
  </xdr:oneCellAnchor>
  <xdr:oneCellAnchor>
    <xdr:from>
      <xdr:col>33</xdr:col>
      <xdr:colOff>124964</xdr:colOff>
      <xdr:row>114</xdr:row>
      <xdr:rowOff>180591</xdr:rowOff>
    </xdr:from>
    <xdr:ext cx="2161036" cy="1419609"/>
    <xdr:pic>
      <xdr:nvPicPr>
        <xdr:cNvPr id="512" name="Grafik 511">
          <a:extLst>
            <a:ext uri="{FF2B5EF4-FFF2-40B4-BE49-F238E27FC236}">
              <a16:creationId xmlns:a16="http://schemas.microsoft.com/office/drawing/2014/main" id="{00000000-0008-0000-05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46864" y="4543041"/>
          <a:ext cx="2161036" cy="1419609"/>
        </a:xfrm>
        <a:prstGeom prst="rect">
          <a:avLst/>
        </a:prstGeom>
      </xdr:spPr>
    </xdr:pic>
    <xdr:clientData/>
  </xdr:oneCellAnchor>
  <xdr:oneCellAnchor>
    <xdr:from>
      <xdr:col>36</xdr:col>
      <xdr:colOff>124964</xdr:colOff>
      <xdr:row>114</xdr:row>
      <xdr:rowOff>180591</xdr:rowOff>
    </xdr:from>
    <xdr:ext cx="2161036" cy="1419609"/>
    <xdr:pic>
      <xdr:nvPicPr>
        <xdr:cNvPr id="513" name="Grafik 512">
          <a:extLst>
            <a:ext uri="{FF2B5EF4-FFF2-40B4-BE49-F238E27FC236}">
              <a16:creationId xmlns:a16="http://schemas.microsoft.com/office/drawing/2014/main" id="{00000000-0008-0000-05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2864" y="4543041"/>
          <a:ext cx="2161036" cy="1419609"/>
        </a:xfrm>
        <a:prstGeom prst="rect">
          <a:avLst/>
        </a:prstGeom>
      </xdr:spPr>
    </xdr:pic>
    <xdr:clientData/>
  </xdr:oneCellAnchor>
  <xdr:oneCellAnchor>
    <xdr:from>
      <xdr:col>39</xdr:col>
      <xdr:colOff>124964</xdr:colOff>
      <xdr:row>114</xdr:row>
      <xdr:rowOff>180591</xdr:rowOff>
    </xdr:from>
    <xdr:ext cx="2161036" cy="1419609"/>
    <xdr:pic>
      <xdr:nvPicPr>
        <xdr:cNvPr id="514" name="Grafik 513">
          <a:extLst>
            <a:ext uri="{FF2B5EF4-FFF2-40B4-BE49-F238E27FC236}">
              <a16:creationId xmlns:a16="http://schemas.microsoft.com/office/drawing/2014/main" id="{00000000-0008-0000-05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18864" y="4543041"/>
          <a:ext cx="2161036" cy="1419609"/>
        </a:xfrm>
        <a:prstGeom prst="rect">
          <a:avLst/>
        </a:prstGeom>
      </xdr:spPr>
    </xdr:pic>
    <xdr:clientData/>
  </xdr:oneCellAnchor>
  <xdr:oneCellAnchor>
    <xdr:from>
      <xdr:col>48</xdr:col>
      <xdr:colOff>124964</xdr:colOff>
      <xdr:row>114</xdr:row>
      <xdr:rowOff>180591</xdr:rowOff>
    </xdr:from>
    <xdr:ext cx="2161036" cy="1419609"/>
    <xdr:pic>
      <xdr:nvPicPr>
        <xdr:cNvPr id="515" name="Grafik 514">
          <a:extLst>
            <a:ext uri="{FF2B5EF4-FFF2-40B4-BE49-F238E27FC236}">
              <a16:creationId xmlns:a16="http://schemas.microsoft.com/office/drawing/2014/main" id="{00000000-0008-0000-05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376864" y="4543041"/>
          <a:ext cx="2161036" cy="1419609"/>
        </a:xfrm>
        <a:prstGeom prst="rect">
          <a:avLst/>
        </a:prstGeom>
      </xdr:spPr>
    </xdr:pic>
    <xdr:clientData/>
  </xdr:oneCellAnchor>
  <xdr:oneCellAnchor>
    <xdr:from>
      <xdr:col>33</xdr:col>
      <xdr:colOff>124964</xdr:colOff>
      <xdr:row>122</xdr:row>
      <xdr:rowOff>123825</xdr:rowOff>
    </xdr:from>
    <xdr:ext cx="2161036" cy="1438659"/>
    <xdr:pic>
      <xdr:nvPicPr>
        <xdr:cNvPr id="516" name="Grafik 515">
          <a:extLst>
            <a:ext uri="{FF2B5EF4-FFF2-40B4-BE49-F238E27FC236}">
              <a16:creationId xmlns:a16="http://schemas.microsoft.com/office/drawing/2014/main" id="{00000000-0008-0000-05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46864" y="8639175"/>
          <a:ext cx="2161036" cy="1438659"/>
        </a:xfrm>
        <a:prstGeom prst="rect">
          <a:avLst/>
        </a:prstGeom>
      </xdr:spPr>
    </xdr:pic>
    <xdr:clientData/>
  </xdr:oneCellAnchor>
  <xdr:oneCellAnchor>
    <xdr:from>
      <xdr:col>36</xdr:col>
      <xdr:colOff>124964</xdr:colOff>
      <xdr:row>122</xdr:row>
      <xdr:rowOff>123825</xdr:rowOff>
    </xdr:from>
    <xdr:ext cx="2161036" cy="1438659"/>
    <xdr:pic>
      <xdr:nvPicPr>
        <xdr:cNvPr id="517" name="Grafik 516">
          <a:extLst>
            <a:ext uri="{FF2B5EF4-FFF2-40B4-BE49-F238E27FC236}">
              <a16:creationId xmlns:a16="http://schemas.microsoft.com/office/drawing/2014/main" id="{00000000-0008-0000-05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2864" y="8639175"/>
          <a:ext cx="2161036" cy="1438659"/>
        </a:xfrm>
        <a:prstGeom prst="rect">
          <a:avLst/>
        </a:prstGeom>
      </xdr:spPr>
    </xdr:pic>
    <xdr:clientData/>
  </xdr:oneCellAnchor>
  <xdr:oneCellAnchor>
    <xdr:from>
      <xdr:col>39</xdr:col>
      <xdr:colOff>124964</xdr:colOff>
      <xdr:row>122</xdr:row>
      <xdr:rowOff>123825</xdr:rowOff>
    </xdr:from>
    <xdr:ext cx="2161036" cy="1438659"/>
    <xdr:pic>
      <xdr:nvPicPr>
        <xdr:cNvPr id="518" name="Grafik 517">
          <a:extLst>
            <a:ext uri="{FF2B5EF4-FFF2-40B4-BE49-F238E27FC236}">
              <a16:creationId xmlns:a16="http://schemas.microsoft.com/office/drawing/2014/main" id="{00000000-0008-0000-05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18864" y="8639175"/>
          <a:ext cx="2161036" cy="1438659"/>
        </a:xfrm>
        <a:prstGeom prst="rect">
          <a:avLst/>
        </a:prstGeom>
      </xdr:spPr>
    </xdr:pic>
    <xdr:clientData/>
  </xdr:oneCellAnchor>
  <xdr:oneCellAnchor>
    <xdr:from>
      <xdr:col>33</xdr:col>
      <xdr:colOff>124964</xdr:colOff>
      <xdr:row>126</xdr:row>
      <xdr:rowOff>161541</xdr:rowOff>
    </xdr:from>
    <xdr:ext cx="2161036" cy="1438659"/>
    <xdr:pic>
      <xdr:nvPicPr>
        <xdr:cNvPr id="519" name="Grafik 518">
          <a:extLst>
            <a:ext uri="{FF2B5EF4-FFF2-40B4-BE49-F238E27FC236}">
              <a16:creationId xmlns:a16="http://schemas.microsoft.com/office/drawing/2014/main" id="{00000000-0008-0000-05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46864" y="10753341"/>
          <a:ext cx="2161036" cy="1438659"/>
        </a:xfrm>
        <a:prstGeom prst="rect">
          <a:avLst/>
        </a:prstGeom>
      </xdr:spPr>
    </xdr:pic>
    <xdr:clientData/>
  </xdr:oneCellAnchor>
  <xdr:oneCellAnchor>
    <xdr:from>
      <xdr:col>36</xdr:col>
      <xdr:colOff>124964</xdr:colOff>
      <xdr:row>126</xdr:row>
      <xdr:rowOff>161541</xdr:rowOff>
    </xdr:from>
    <xdr:ext cx="2161036" cy="1438659"/>
    <xdr:pic>
      <xdr:nvPicPr>
        <xdr:cNvPr id="520" name="Grafik 519">
          <a:extLst>
            <a:ext uri="{FF2B5EF4-FFF2-40B4-BE49-F238E27FC236}">
              <a16:creationId xmlns:a16="http://schemas.microsoft.com/office/drawing/2014/main" id="{00000000-0008-0000-05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2864" y="10753341"/>
          <a:ext cx="2161036" cy="1438659"/>
        </a:xfrm>
        <a:prstGeom prst="rect">
          <a:avLst/>
        </a:prstGeom>
      </xdr:spPr>
    </xdr:pic>
    <xdr:clientData/>
  </xdr:oneCellAnchor>
  <xdr:oneCellAnchor>
    <xdr:from>
      <xdr:col>39</xdr:col>
      <xdr:colOff>124964</xdr:colOff>
      <xdr:row>126</xdr:row>
      <xdr:rowOff>161541</xdr:rowOff>
    </xdr:from>
    <xdr:ext cx="2161036" cy="1438659"/>
    <xdr:pic>
      <xdr:nvPicPr>
        <xdr:cNvPr id="521" name="Grafik 520">
          <a:extLst>
            <a:ext uri="{FF2B5EF4-FFF2-40B4-BE49-F238E27FC236}">
              <a16:creationId xmlns:a16="http://schemas.microsoft.com/office/drawing/2014/main" id="{00000000-0008-0000-05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18864" y="10753341"/>
          <a:ext cx="2161036" cy="1438659"/>
        </a:xfrm>
        <a:prstGeom prst="rect">
          <a:avLst/>
        </a:prstGeom>
      </xdr:spPr>
    </xdr:pic>
    <xdr:clientData/>
  </xdr:oneCellAnchor>
  <xdr:oneCellAnchor>
    <xdr:from>
      <xdr:col>33</xdr:col>
      <xdr:colOff>124964</xdr:colOff>
      <xdr:row>122</xdr:row>
      <xdr:rowOff>123825</xdr:rowOff>
    </xdr:from>
    <xdr:ext cx="2161036" cy="1438659"/>
    <xdr:pic>
      <xdr:nvPicPr>
        <xdr:cNvPr id="522" name="Grafik 521">
          <a:extLst>
            <a:ext uri="{FF2B5EF4-FFF2-40B4-BE49-F238E27FC236}">
              <a16:creationId xmlns:a16="http://schemas.microsoft.com/office/drawing/2014/main" id="{00000000-0008-0000-05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46864" y="8639175"/>
          <a:ext cx="2161036" cy="1438659"/>
        </a:xfrm>
        <a:prstGeom prst="rect">
          <a:avLst/>
        </a:prstGeom>
      </xdr:spPr>
    </xdr:pic>
    <xdr:clientData/>
  </xdr:oneCellAnchor>
  <xdr:oneCellAnchor>
    <xdr:from>
      <xdr:col>36</xdr:col>
      <xdr:colOff>124964</xdr:colOff>
      <xdr:row>122</xdr:row>
      <xdr:rowOff>123825</xdr:rowOff>
    </xdr:from>
    <xdr:ext cx="2161036" cy="1438659"/>
    <xdr:pic>
      <xdr:nvPicPr>
        <xdr:cNvPr id="523" name="Grafik 522">
          <a:extLst>
            <a:ext uri="{FF2B5EF4-FFF2-40B4-BE49-F238E27FC236}">
              <a16:creationId xmlns:a16="http://schemas.microsoft.com/office/drawing/2014/main" id="{00000000-0008-0000-05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2864" y="8639175"/>
          <a:ext cx="2161036" cy="1438659"/>
        </a:xfrm>
        <a:prstGeom prst="rect">
          <a:avLst/>
        </a:prstGeom>
      </xdr:spPr>
    </xdr:pic>
    <xdr:clientData/>
  </xdr:oneCellAnchor>
  <xdr:oneCellAnchor>
    <xdr:from>
      <xdr:col>39</xdr:col>
      <xdr:colOff>124964</xdr:colOff>
      <xdr:row>122</xdr:row>
      <xdr:rowOff>123825</xdr:rowOff>
    </xdr:from>
    <xdr:ext cx="2161036" cy="1438659"/>
    <xdr:pic>
      <xdr:nvPicPr>
        <xdr:cNvPr id="524" name="Grafik 523">
          <a:extLst>
            <a:ext uri="{FF2B5EF4-FFF2-40B4-BE49-F238E27FC236}">
              <a16:creationId xmlns:a16="http://schemas.microsoft.com/office/drawing/2014/main" id="{00000000-0008-0000-05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18864" y="8639175"/>
          <a:ext cx="2161036" cy="1438659"/>
        </a:xfrm>
        <a:prstGeom prst="rect">
          <a:avLst/>
        </a:prstGeom>
      </xdr:spPr>
    </xdr:pic>
    <xdr:clientData/>
  </xdr:oneCellAnchor>
  <xdr:oneCellAnchor>
    <xdr:from>
      <xdr:col>48</xdr:col>
      <xdr:colOff>124964</xdr:colOff>
      <xdr:row>122</xdr:row>
      <xdr:rowOff>123825</xdr:rowOff>
    </xdr:from>
    <xdr:ext cx="2161036" cy="1438659"/>
    <xdr:pic>
      <xdr:nvPicPr>
        <xdr:cNvPr id="525" name="Grafik 524">
          <a:extLst>
            <a:ext uri="{FF2B5EF4-FFF2-40B4-BE49-F238E27FC236}">
              <a16:creationId xmlns:a16="http://schemas.microsoft.com/office/drawing/2014/main" id="{00000000-0008-0000-05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376864" y="8639175"/>
          <a:ext cx="2161036" cy="1438659"/>
        </a:xfrm>
        <a:prstGeom prst="rect">
          <a:avLst/>
        </a:prstGeom>
      </xdr:spPr>
    </xdr:pic>
    <xdr:clientData/>
  </xdr:oneCellAnchor>
  <xdr:oneCellAnchor>
    <xdr:from>
      <xdr:col>42</xdr:col>
      <xdr:colOff>124964</xdr:colOff>
      <xdr:row>122</xdr:row>
      <xdr:rowOff>123825</xdr:rowOff>
    </xdr:from>
    <xdr:ext cx="2161036" cy="1438659"/>
    <xdr:pic>
      <xdr:nvPicPr>
        <xdr:cNvPr id="526" name="Grafik 525">
          <a:extLst>
            <a:ext uri="{FF2B5EF4-FFF2-40B4-BE49-F238E27FC236}">
              <a16:creationId xmlns:a16="http://schemas.microsoft.com/office/drawing/2014/main" id="{00000000-0008-0000-05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04864" y="8639175"/>
          <a:ext cx="2161036" cy="1438659"/>
        </a:xfrm>
        <a:prstGeom prst="rect">
          <a:avLst/>
        </a:prstGeom>
      </xdr:spPr>
    </xdr:pic>
    <xdr:clientData/>
  </xdr:oneCellAnchor>
  <xdr:oneCellAnchor>
    <xdr:from>
      <xdr:col>45</xdr:col>
      <xdr:colOff>124964</xdr:colOff>
      <xdr:row>122</xdr:row>
      <xdr:rowOff>123825</xdr:rowOff>
    </xdr:from>
    <xdr:ext cx="2161036" cy="1438659"/>
    <xdr:pic>
      <xdr:nvPicPr>
        <xdr:cNvPr id="527" name="Grafik 526">
          <a:extLst>
            <a:ext uri="{FF2B5EF4-FFF2-40B4-BE49-F238E27FC236}">
              <a16:creationId xmlns:a16="http://schemas.microsoft.com/office/drawing/2014/main" id="{00000000-0008-0000-05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90864" y="8639175"/>
          <a:ext cx="2161036" cy="1438659"/>
        </a:xfrm>
        <a:prstGeom prst="rect">
          <a:avLst/>
        </a:prstGeom>
      </xdr:spPr>
    </xdr:pic>
    <xdr:clientData/>
  </xdr:oneCellAnchor>
  <xdr:oneCellAnchor>
    <xdr:from>
      <xdr:col>51</xdr:col>
      <xdr:colOff>124964</xdr:colOff>
      <xdr:row>126</xdr:row>
      <xdr:rowOff>161541</xdr:rowOff>
    </xdr:from>
    <xdr:ext cx="2161036" cy="1438659"/>
    <xdr:pic>
      <xdr:nvPicPr>
        <xdr:cNvPr id="528" name="Grafik 527">
          <a:extLst>
            <a:ext uri="{FF2B5EF4-FFF2-40B4-BE49-F238E27FC236}">
              <a16:creationId xmlns:a16="http://schemas.microsoft.com/office/drawing/2014/main" id="{00000000-0008-0000-05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62864" y="10753341"/>
          <a:ext cx="2161036" cy="1438659"/>
        </a:xfrm>
        <a:prstGeom prst="rect">
          <a:avLst/>
        </a:prstGeom>
      </xdr:spPr>
    </xdr:pic>
    <xdr:clientData/>
  </xdr:oneCellAnchor>
  <xdr:oneCellAnchor>
    <xdr:from>
      <xdr:col>42</xdr:col>
      <xdr:colOff>124964</xdr:colOff>
      <xdr:row>126</xdr:row>
      <xdr:rowOff>161541</xdr:rowOff>
    </xdr:from>
    <xdr:ext cx="2161036" cy="1438659"/>
    <xdr:pic>
      <xdr:nvPicPr>
        <xdr:cNvPr id="529" name="Grafik 528">
          <a:extLst>
            <a:ext uri="{FF2B5EF4-FFF2-40B4-BE49-F238E27FC236}">
              <a16:creationId xmlns:a16="http://schemas.microsoft.com/office/drawing/2014/main" id="{00000000-0008-0000-05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804864" y="10753341"/>
          <a:ext cx="2161036" cy="1438659"/>
        </a:xfrm>
        <a:prstGeom prst="rect">
          <a:avLst/>
        </a:prstGeom>
      </xdr:spPr>
    </xdr:pic>
    <xdr:clientData/>
  </xdr:oneCellAnchor>
  <xdr:oneCellAnchor>
    <xdr:from>
      <xdr:col>45</xdr:col>
      <xdr:colOff>124964</xdr:colOff>
      <xdr:row>126</xdr:row>
      <xdr:rowOff>161541</xdr:rowOff>
    </xdr:from>
    <xdr:ext cx="2161036" cy="1438659"/>
    <xdr:pic>
      <xdr:nvPicPr>
        <xdr:cNvPr id="530" name="Grafik 529">
          <a:extLst>
            <a:ext uri="{FF2B5EF4-FFF2-40B4-BE49-F238E27FC236}">
              <a16:creationId xmlns:a16="http://schemas.microsoft.com/office/drawing/2014/main" id="{00000000-0008-0000-05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90864" y="10753341"/>
          <a:ext cx="2161036" cy="1438659"/>
        </a:xfrm>
        <a:prstGeom prst="rect">
          <a:avLst/>
        </a:prstGeom>
      </xdr:spPr>
    </xdr:pic>
    <xdr:clientData/>
  </xdr:oneCellAnchor>
  <xdr:oneCellAnchor>
    <xdr:from>
      <xdr:col>48</xdr:col>
      <xdr:colOff>124964</xdr:colOff>
      <xdr:row>126</xdr:row>
      <xdr:rowOff>161541</xdr:rowOff>
    </xdr:from>
    <xdr:ext cx="2161036" cy="1438659"/>
    <xdr:pic>
      <xdr:nvPicPr>
        <xdr:cNvPr id="531" name="Grafik 530">
          <a:extLst>
            <a:ext uri="{FF2B5EF4-FFF2-40B4-BE49-F238E27FC236}">
              <a16:creationId xmlns:a16="http://schemas.microsoft.com/office/drawing/2014/main" id="{00000000-0008-0000-05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376864" y="10753341"/>
          <a:ext cx="2161036" cy="1438659"/>
        </a:xfrm>
        <a:prstGeom prst="rect">
          <a:avLst/>
        </a:prstGeom>
      </xdr:spPr>
    </xdr:pic>
    <xdr:clientData/>
  </xdr:oneCellAnchor>
  <xdr:oneCellAnchor>
    <xdr:from>
      <xdr:col>33</xdr:col>
      <xdr:colOff>124964</xdr:colOff>
      <xdr:row>130</xdr:row>
      <xdr:rowOff>104775</xdr:rowOff>
    </xdr:from>
    <xdr:ext cx="2161036" cy="1438659"/>
    <xdr:pic>
      <xdr:nvPicPr>
        <xdr:cNvPr id="532" name="Grafik 531">
          <a:extLst>
            <a:ext uri="{FF2B5EF4-FFF2-40B4-BE49-F238E27FC236}">
              <a16:creationId xmlns:a16="http://schemas.microsoft.com/office/drawing/2014/main" id="{00000000-0008-0000-05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46864" y="12773025"/>
          <a:ext cx="2161036" cy="1438659"/>
        </a:xfrm>
        <a:prstGeom prst="rect">
          <a:avLst/>
        </a:prstGeom>
      </xdr:spPr>
    </xdr:pic>
    <xdr:clientData/>
  </xdr:oneCellAnchor>
  <xdr:oneCellAnchor>
    <xdr:from>
      <xdr:col>36</xdr:col>
      <xdr:colOff>124964</xdr:colOff>
      <xdr:row>130</xdr:row>
      <xdr:rowOff>85725</xdr:rowOff>
    </xdr:from>
    <xdr:ext cx="2161036" cy="1438659"/>
    <xdr:pic>
      <xdr:nvPicPr>
        <xdr:cNvPr id="533" name="Grafik 532">
          <a:extLst>
            <a:ext uri="{FF2B5EF4-FFF2-40B4-BE49-F238E27FC236}">
              <a16:creationId xmlns:a16="http://schemas.microsoft.com/office/drawing/2014/main" id="{00000000-0008-0000-05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2864" y="12753975"/>
          <a:ext cx="2161036" cy="1438659"/>
        </a:xfrm>
        <a:prstGeom prst="rect">
          <a:avLst/>
        </a:prstGeom>
      </xdr:spPr>
    </xdr:pic>
    <xdr:clientData/>
  </xdr:oneCellAnchor>
  <xdr:oneCellAnchor>
    <xdr:from>
      <xdr:col>18</xdr:col>
      <xdr:colOff>71437</xdr:colOff>
      <xdr:row>130</xdr:row>
      <xdr:rowOff>119062</xdr:rowOff>
    </xdr:from>
    <xdr:ext cx="2161036" cy="1457709"/>
    <xdr:pic>
      <xdr:nvPicPr>
        <xdr:cNvPr id="543" name="Grafik 542">
          <a:extLst>
            <a:ext uri="{FF2B5EF4-FFF2-40B4-BE49-F238E27FC236}">
              <a16:creationId xmlns:a16="http://schemas.microsoft.com/office/drawing/2014/main" id="{00000000-0008-0000-05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63337" y="12787312"/>
          <a:ext cx="2161036" cy="1457709"/>
        </a:xfrm>
        <a:prstGeom prst="rect">
          <a:avLst/>
        </a:prstGeom>
      </xdr:spPr>
    </xdr:pic>
    <xdr:clientData/>
  </xdr:oneCellAnchor>
  <xdr:oneCellAnchor>
    <xdr:from>
      <xdr:col>45</xdr:col>
      <xdr:colOff>152400</xdr:colOff>
      <xdr:row>130</xdr:row>
      <xdr:rowOff>80962</xdr:rowOff>
    </xdr:from>
    <xdr:ext cx="2161036" cy="1457709"/>
    <xdr:pic>
      <xdr:nvPicPr>
        <xdr:cNvPr id="544" name="Grafik 543">
          <a:extLst>
            <a:ext uri="{FF2B5EF4-FFF2-40B4-BE49-F238E27FC236}">
              <a16:creationId xmlns:a16="http://schemas.microsoft.com/office/drawing/2014/main" id="{00000000-0008-0000-05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18300" y="12749212"/>
          <a:ext cx="2161036" cy="1457709"/>
        </a:xfrm>
        <a:prstGeom prst="rect">
          <a:avLst/>
        </a:prstGeom>
      </xdr:spPr>
    </xdr:pic>
    <xdr:clientData/>
  </xdr:oneCellAnchor>
  <xdr:twoCellAnchor editAs="oneCell">
    <xdr:from>
      <xdr:col>4</xdr:col>
      <xdr:colOff>135747</xdr:colOff>
      <xdr:row>27</xdr:row>
      <xdr:rowOff>125313</xdr:rowOff>
    </xdr:from>
    <xdr:to>
      <xdr:col>4</xdr:col>
      <xdr:colOff>516385</xdr:colOff>
      <xdr:row>27</xdr:row>
      <xdr:rowOff>486433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500-00002E020000}"/>
            </a:ext>
          </a:extLst>
        </xdr:cNvPr>
        <xdr:cNvSpPr/>
      </xdr:nvSpPr>
      <xdr:spPr>
        <a:xfrm>
          <a:off x="2802747" y="13990992"/>
          <a:ext cx="380638" cy="361120"/>
        </a:xfrm>
        <a:prstGeom prst="ellipse">
          <a:avLst/>
        </a:prstGeom>
        <a:solidFill>
          <a:srgbClr val="EA00F0"/>
        </a:solidFill>
        <a:ln>
          <a:solidFill>
            <a:srgbClr val="EA0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3</xdr:col>
      <xdr:colOff>130141</xdr:colOff>
      <xdr:row>27</xdr:row>
      <xdr:rowOff>125313</xdr:rowOff>
    </xdr:from>
    <xdr:to>
      <xdr:col>3</xdr:col>
      <xdr:colOff>510779</xdr:colOff>
      <xdr:row>27</xdr:row>
      <xdr:rowOff>486433</xdr:rowOff>
    </xdr:to>
    <xdr:sp macro="" textlink="">
      <xdr:nvSpPr>
        <xdr:cNvPr id="559" name="Ellipse 558">
          <a:extLst>
            <a:ext uri="{FF2B5EF4-FFF2-40B4-BE49-F238E27FC236}">
              <a16:creationId xmlns:a16="http://schemas.microsoft.com/office/drawing/2014/main" id="{00000000-0008-0000-0500-00002F020000}"/>
            </a:ext>
          </a:extLst>
        </xdr:cNvPr>
        <xdr:cNvSpPr/>
      </xdr:nvSpPr>
      <xdr:spPr>
        <a:xfrm>
          <a:off x="2212034" y="13990992"/>
          <a:ext cx="380638" cy="361120"/>
        </a:xfrm>
        <a:prstGeom prst="ellipse">
          <a:avLst/>
        </a:prstGeom>
        <a:solidFill>
          <a:srgbClr val="00F00B"/>
        </a:solidFill>
        <a:ln>
          <a:solidFill>
            <a:srgbClr val="00F00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304686</xdr:colOff>
      <xdr:row>23</xdr:row>
      <xdr:rowOff>372687</xdr:rowOff>
    </xdr:from>
    <xdr:to>
      <xdr:col>3</xdr:col>
      <xdr:colOff>320460</xdr:colOff>
      <xdr:row>27</xdr:row>
      <xdr:rowOff>125313</xdr:rowOff>
    </xdr:to>
    <xdr:cxnSp macro="">
      <xdr:nvCxnSpPr>
        <xdr:cNvPr id="560" name="Gerader Verbinder 559">
          <a:extLst>
            <a:ext uri="{FF2B5EF4-FFF2-40B4-BE49-F238E27FC236}">
              <a16:creationId xmlns:a16="http://schemas.microsoft.com/office/drawing/2014/main" id="{00000000-0008-0000-0500-000030020000}"/>
            </a:ext>
          </a:extLst>
        </xdr:cNvPr>
        <xdr:cNvCxnSpPr>
          <a:stCxn id="108" idx="4"/>
          <a:endCxn id="559" idx="0"/>
        </xdr:cNvCxnSpPr>
      </xdr:nvCxnSpPr>
      <xdr:spPr>
        <a:xfrm>
          <a:off x="2386579" y="12170080"/>
          <a:ext cx="15774" cy="1820912"/>
        </a:xfrm>
        <a:prstGeom prst="line">
          <a:avLst/>
        </a:prstGeom>
        <a:ln w="38100">
          <a:solidFill>
            <a:srgbClr val="00F00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300180</xdr:colOff>
      <xdr:row>23</xdr:row>
      <xdr:rowOff>374404</xdr:rowOff>
    </xdr:from>
    <xdr:to>
      <xdr:col>4</xdr:col>
      <xdr:colOff>326066</xdr:colOff>
      <xdr:row>27</xdr:row>
      <xdr:rowOff>125313</xdr:rowOff>
    </xdr:to>
    <xdr:cxnSp macro="">
      <xdr:nvCxnSpPr>
        <xdr:cNvPr id="561" name="Gerader Verbinder 560">
          <a:extLst>
            <a:ext uri="{FF2B5EF4-FFF2-40B4-BE49-F238E27FC236}">
              <a16:creationId xmlns:a16="http://schemas.microsoft.com/office/drawing/2014/main" id="{00000000-0008-0000-0500-000031020000}"/>
            </a:ext>
          </a:extLst>
        </xdr:cNvPr>
        <xdr:cNvCxnSpPr>
          <a:stCxn id="170" idx="4"/>
          <a:endCxn id="558" idx="0"/>
        </xdr:cNvCxnSpPr>
      </xdr:nvCxnSpPr>
      <xdr:spPr>
        <a:xfrm>
          <a:off x="2967180" y="12171797"/>
          <a:ext cx="25886" cy="1819195"/>
        </a:xfrm>
        <a:prstGeom prst="line">
          <a:avLst/>
        </a:prstGeom>
        <a:ln w="38100">
          <a:solidFill>
            <a:srgbClr val="EA0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118847</xdr:colOff>
      <xdr:row>23</xdr:row>
      <xdr:rowOff>12344</xdr:rowOff>
    </xdr:from>
    <xdr:to>
      <xdr:col>16</xdr:col>
      <xdr:colOff>493135</xdr:colOff>
      <xdr:row>23</xdr:row>
      <xdr:rowOff>371443</xdr:rowOff>
    </xdr:to>
    <xdr:sp macro="" textlink="">
      <xdr:nvSpPr>
        <xdr:cNvPr id="581" name="Ellipse 580">
          <a:extLst>
            <a:ext uri="{FF2B5EF4-FFF2-40B4-BE49-F238E27FC236}">
              <a16:creationId xmlns:a16="http://schemas.microsoft.com/office/drawing/2014/main" id="{00000000-0008-0000-0500-000045020000}"/>
            </a:ext>
          </a:extLst>
        </xdr:cNvPr>
        <xdr:cNvSpPr/>
      </xdr:nvSpPr>
      <xdr:spPr>
        <a:xfrm>
          <a:off x="9807133" y="11809737"/>
          <a:ext cx="374288" cy="359099"/>
        </a:xfrm>
        <a:prstGeom prst="ellipse">
          <a:avLst/>
        </a:prstGeom>
        <a:solidFill>
          <a:schemeClr val="accent4">
            <a:lumMod val="50000"/>
          </a:schemeClr>
        </a:solidFill>
        <a:ln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14</xdr:col>
      <xdr:colOff>117035</xdr:colOff>
      <xdr:row>23</xdr:row>
      <xdr:rowOff>12344</xdr:rowOff>
    </xdr:from>
    <xdr:to>
      <xdr:col>14</xdr:col>
      <xdr:colOff>491323</xdr:colOff>
      <xdr:row>23</xdr:row>
      <xdr:rowOff>371443</xdr:rowOff>
    </xdr:to>
    <xdr:sp macro="" textlink="">
      <xdr:nvSpPr>
        <xdr:cNvPr id="582" name="Ellipse 581">
          <a:extLst>
            <a:ext uri="{FF2B5EF4-FFF2-40B4-BE49-F238E27FC236}">
              <a16:creationId xmlns:a16="http://schemas.microsoft.com/office/drawing/2014/main" id="{00000000-0008-0000-0500-000046020000}"/>
            </a:ext>
          </a:extLst>
        </xdr:cNvPr>
        <xdr:cNvSpPr/>
      </xdr:nvSpPr>
      <xdr:spPr>
        <a:xfrm>
          <a:off x="8635106" y="11809737"/>
          <a:ext cx="374288" cy="359099"/>
        </a:xfrm>
        <a:prstGeom prst="ellipse">
          <a:avLst/>
        </a:prstGeom>
        <a:solidFill>
          <a:schemeClr val="accent6">
            <a:lumMod val="5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20</xdr:col>
      <xdr:colOff>107961</xdr:colOff>
      <xdr:row>27</xdr:row>
      <xdr:rowOff>125313</xdr:rowOff>
    </xdr:from>
    <xdr:to>
      <xdr:col>20</xdr:col>
      <xdr:colOff>482249</xdr:colOff>
      <xdr:row>27</xdr:row>
      <xdr:rowOff>486433</xdr:rowOff>
    </xdr:to>
    <xdr:sp macro="" textlink="">
      <xdr:nvSpPr>
        <xdr:cNvPr id="628" name="Ellipse 627">
          <a:extLst>
            <a:ext uri="{FF2B5EF4-FFF2-40B4-BE49-F238E27FC236}">
              <a16:creationId xmlns:a16="http://schemas.microsoft.com/office/drawing/2014/main" id="{00000000-0008-0000-0500-000074020000}"/>
            </a:ext>
          </a:extLst>
        </xdr:cNvPr>
        <xdr:cNvSpPr/>
      </xdr:nvSpPr>
      <xdr:spPr>
        <a:xfrm>
          <a:off x="12136675" y="13990992"/>
          <a:ext cx="374288" cy="361120"/>
        </a:xfrm>
        <a:prstGeom prst="ellipse">
          <a:avLst/>
        </a:prstGeom>
        <a:solidFill>
          <a:schemeClr val="accent4">
            <a:lumMod val="50000"/>
          </a:schemeClr>
        </a:solidFill>
        <a:ln>
          <a:solidFill>
            <a:schemeClr val="accent4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18</xdr:col>
      <xdr:colOff>109455</xdr:colOff>
      <xdr:row>27</xdr:row>
      <xdr:rowOff>125313</xdr:rowOff>
    </xdr:from>
    <xdr:to>
      <xdr:col>18</xdr:col>
      <xdr:colOff>483743</xdr:colOff>
      <xdr:row>27</xdr:row>
      <xdr:rowOff>486433</xdr:rowOff>
    </xdr:to>
    <xdr:sp macro="" textlink="">
      <xdr:nvSpPr>
        <xdr:cNvPr id="629" name="Ellipse 628">
          <a:extLst>
            <a:ext uri="{FF2B5EF4-FFF2-40B4-BE49-F238E27FC236}">
              <a16:creationId xmlns:a16="http://schemas.microsoft.com/office/drawing/2014/main" id="{00000000-0008-0000-0500-000075020000}"/>
            </a:ext>
          </a:extLst>
        </xdr:cNvPr>
        <xdr:cNvSpPr/>
      </xdr:nvSpPr>
      <xdr:spPr>
        <a:xfrm>
          <a:off x="10967955" y="13990992"/>
          <a:ext cx="374288" cy="361120"/>
        </a:xfrm>
        <a:prstGeom prst="ellipse">
          <a:avLst/>
        </a:prstGeom>
        <a:solidFill>
          <a:schemeClr val="accent6">
            <a:lumMod val="5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15</xdr:col>
      <xdr:colOff>11732</xdr:colOff>
      <xdr:row>15</xdr:row>
      <xdr:rowOff>379341</xdr:rowOff>
    </xdr:from>
    <xdr:to>
      <xdr:col>16</xdr:col>
      <xdr:colOff>305991</xdr:colOff>
      <xdr:row>23</xdr:row>
      <xdr:rowOff>12344</xdr:rowOff>
    </xdr:to>
    <xdr:cxnSp macro="">
      <xdr:nvCxnSpPr>
        <xdr:cNvPr id="630" name="Gerader Verbinder 629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CxnSpPr>
          <a:stCxn id="169" idx="4"/>
          <a:endCxn id="581" idx="0"/>
        </xdr:cNvCxnSpPr>
      </xdr:nvCxnSpPr>
      <xdr:spPr>
        <a:xfrm>
          <a:off x="9114911" y="8040162"/>
          <a:ext cx="879366" cy="3769575"/>
        </a:xfrm>
        <a:prstGeom prst="line">
          <a:avLst/>
        </a:prstGeom>
        <a:ln w="38100">
          <a:solidFill>
            <a:schemeClr val="accent4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438322</xdr:colOff>
      <xdr:row>23</xdr:row>
      <xdr:rowOff>318854</xdr:rowOff>
    </xdr:from>
    <xdr:to>
      <xdr:col>20</xdr:col>
      <xdr:colOff>162774</xdr:colOff>
      <xdr:row>27</xdr:row>
      <xdr:rowOff>178198</xdr:rowOff>
    </xdr:to>
    <xdr:cxnSp macro="">
      <xdr:nvCxnSpPr>
        <xdr:cNvPr id="631" name="Gerader Verbinder 630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CxnSpPr>
          <a:stCxn id="581" idx="5"/>
          <a:endCxn id="628" idx="1"/>
        </xdr:cNvCxnSpPr>
      </xdr:nvCxnSpPr>
      <xdr:spPr>
        <a:xfrm>
          <a:off x="10126608" y="12116247"/>
          <a:ext cx="2064880" cy="1927630"/>
        </a:xfrm>
        <a:prstGeom prst="line">
          <a:avLst/>
        </a:prstGeom>
        <a:ln w="38100">
          <a:solidFill>
            <a:schemeClr val="accent4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436510</xdr:colOff>
      <xdr:row>23</xdr:row>
      <xdr:rowOff>318854</xdr:rowOff>
    </xdr:from>
    <xdr:to>
      <xdr:col>18</xdr:col>
      <xdr:colOff>164268</xdr:colOff>
      <xdr:row>27</xdr:row>
      <xdr:rowOff>178198</xdr:rowOff>
    </xdr:to>
    <xdr:cxnSp macro="">
      <xdr:nvCxnSpPr>
        <xdr:cNvPr id="632" name="Gerader Verbinder 631">
          <a:extLst>
            <a:ext uri="{FF2B5EF4-FFF2-40B4-BE49-F238E27FC236}">
              <a16:creationId xmlns:a16="http://schemas.microsoft.com/office/drawing/2014/main" id="{00000000-0008-0000-0500-000078020000}"/>
            </a:ext>
          </a:extLst>
        </xdr:cNvPr>
        <xdr:cNvCxnSpPr>
          <a:stCxn id="582" idx="5"/>
          <a:endCxn id="629" idx="1"/>
        </xdr:cNvCxnSpPr>
      </xdr:nvCxnSpPr>
      <xdr:spPr>
        <a:xfrm>
          <a:off x="8954581" y="12116247"/>
          <a:ext cx="2068187" cy="1927630"/>
        </a:xfrm>
        <a:prstGeom prst="line">
          <a:avLst/>
        </a:prstGeom>
        <a:ln w="38100">
          <a:solidFill>
            <a:schemeClr val="accent6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135203</xdr:colOff>
      <xdr:row>15</xdr:row>
      <xdr:rowOff>328687</xdr:rowOff>
    </xdr:from>
    <xdr:to>
      <xdr:col>14</xdr:col>
      <xdr:colOff>171848</xdr:colOff>
      <xdr:row>23</xdr:row>
      <xdr:rowOff>64933</xdr:rowOff>
    </xdr:to>
    <xdr:cxnSp macro="">
      <xdr:nvCxnSpPr>
        <xdr:cNvPr id="633" name="Gerader Verbinder 632">
          <a:extLst>
            <a:ext uri="{FF2B5EF4-FFF2-40B4-BE49-F238E27FC236}">
              <a16:creationId xmlns:a16="http://schemas.microsoft.com/office/drawing/2014/main" id="{00000000-0008-0000-0500-000079020000}"/>
            </a:ext>
          </a:extLst>
        </xdr:cNvPr>
        <xdr:cNvCxnSpPr>
          <a:stCxn id="107" idx="5"/>
          <a:endCxn id="582" idx="1"/>
        </xdr:cNvCxnSpPr>
      </xdr:nvCxnSpPr>
      <xdr:spPr>
        <a:xfrm>
          <a:off x="4557524" y="7989508"/>
          <a:ext cx="4132395" cy="3872818"/>
        </a:xfrm>
        <a:prstGeom prst="line">
          <a:avLst/>
        </a:prstGeom>
        <a:ln w="38100">
          <a:solidFill>
            <a:schemeClr val="accent6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108512</xdr:colOff>
      <xdr:row>27</xdr:row>
      <xdr:rowOff>125313</xdr:rowOff>
    </xdr:from>
    <xdr:to>
      <xdr:col>15</xdr:col>
      <xdr:colOff>482800</xdr:colOff>
      <xdr:row>27</xdr:row>
      <xdr:rowOff>486433</xdr:rowOff>
    </xdr:to>
    <xdr:sp macro="" textlink="">
      <xdr:nvSpPr>
        <xdr:cNvPr id="703" name="Ellipse 702">
          <a:extLst>
            <a:ext uri="{FF2B5EF4-FFF2-40B4-BE49-F238E27FC236}">
              <a16:creationId xmlns:a16="http://schemas.microsoft.com/office/drawing/2014/main" id="{00000000-0008-0000-0500-0000BF020000}"/>
            </a:ext>
          </a:extLst>
        </xdr:cNvPr>
        <xdr:cNvSpPr/>
      </xdr:nvSpPr>
      <xdr:spPr>
        <a:xfrm>
          <a:off x="9211691" y="13990992"/>
          <a:ext cx="374288" cy="361120"/>
        </a:xfrm>
        <a:prstGeom prst="ellipse">
          <a:avLst/>
        </a:prstGeom>
        <a:solidFill>
          <a:srgbClr val="AF4141"/>
        </a:solidFill>
        <a:ln>
          <a:solidFill>
            <a:srgbClr val="AF4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10</xdr:col>
      <xdr:colOff>407175</xdr:colOff>
      <xdr:row>15</xdr:row>
      <xdr:rowOff>22786</xdr:rowOff>
    </xdr:from>
    <xdr:to>
      <xdr:col>11</xdr:col>
      <xdr:colOff>196356</xdr:colOff>
      <xdr:row>15</xdr:row>
      <xdr:rowOff>380030</xdr:rowOff>
    </xdr:to>
    <xdr:sp macro="" textlink="">
      <xdr:nvSpPr>
        <xdr:cNvPr id="704" name="Ellipse 703">
          <a:extLst>
            <a:ext uri="{FF2B5EF4-FFF2-40B4-BE49-F238E27FC236}">
              <a16:creationId xmlns:a16="http://schemas.microsoft.com/office/drawing/2014/main" id="{00000000-0008-0000-0500-0000C0020000}"/>
            </a:ext>
          </a:extLst>
        </xdr:cNvPr>
        <xdr:cNvSpPr/>
      </xdr:nvSpPr>
      <xdr:spPr>
        <a:xfrm>
          <a:off x="6584818" y="7683607"/>
          <a:ext cx="374288" cy="357244"/>
        </a:xfrm>
        <a:prstGeom prst="ellipse">
          <a:avLst/>
        </a:prstGeom>
        <a:solidFill>
          <a:srgbClr val="AF4141"/>
        </a:solidFill>
        <a:ln>
          <a:solidFill>
            <a:srgbClr val="AF414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9212</xdr:colOff>
      <xdr:row>15</xdr:row>
      <xdr:rowOff>380030</xdr:rowOff>
    </xdr:from>
    <xdr:to>
      <xdr:col>15</xdr:col>
      <xdr:colOff>295656</xdr:colOff>
      <xdr:row>27</xdr:row>
      <xdr:rowOff>125313</xdr:rowOff>
    </xdr:to>
    <xdr:cxnSp macro="">
      <xdr:nvCxnSpPr>
        <xdr:cNvPr id="705" name="Gerader Verbinder 704">
          <a:extLst>
            <a:ext uri="{FF2B5EF4-FFF2-40B4-BE49-F238E27FC236}">
              <a16:creationId xmlns:a16="http://schemas.microsoft.com/office/drawing/2014/main" id="{00000000-0008-0000-0500-0000C1020000}"/>
            </a:ext>
          </a:extLst>
        </xdr:cNvPr>
        <xdr:cNvCxnSpPr>
          <a:stCxn id="703" idx="0"/>
          <a:endCxn id="704" idx="4"/>
        </xdr:cNvCxnSpPr>
      </xdr:nvCxnSpPr>
      <xdr:spPr>
        <a:xfrm flipH="1" flipV="1">
          <a:off x="6771962" y="8040851"/>
          <a:ext cx="2626873" cy="5950141"/>
        </a:xfrm>
        <a:prstGeom prst="line">
          <a:avLst/>
        </a:prstGeom>
        <a:ln w="38100">
          <a:solidFill>
            <a:srgbClr val="AF414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401763</xdr:colOff>
      <xdr:row>11</xdr:row>
      <xdr:rowOff>400311</xdr:rowOff>
    </xdr:from>
    <xdr:to>
      <xdr:col>10</xdr:col>
      <xdr:colOff>461988</xdr:colOff>
      <xdr:row>15</xdr:row>
      <xdr:rowOff>75103</xdr:rowOff>
    </xdr:to>
    <xdr:cxnSp macro="">
      <xdr:nvCxnSpPr>
        <xdr:cNvPr id="708" name="Gerader Verbinder 707">
          <a:extLst>
            <a:ext uri="{FF2B5EF4-FFF2-40B4-BE49-F238E27FC236}">
              <a16:creationId xmlns:a16="http://schemas.microsoft.com/office/drawing/2014/main" id="{00000000-0008-0000-0500-0000C4020000}"/>
            </a:ext>
          </a:extLst>
        </xdr:cNvPr>
        <xdr:cNvCxnSpPr>
          <a:stCxn id="106" idx="5"/>
          <a:endCxn id="704" idx="1"/>
        </xdr:cNvCxnSpPr>
      </xdr:nvCxnSpPr>
      <xdr:spPr>
        <a:xfrm>
          <a:off x="3068763" y="5992847"/>
          <a:ext cx="3570868" cy="1743077"/>
        </a:xfrm>
        <a:prstGeom prst="line">
          <a:avLst/>
        </a:prstGeom>
        <a:ln w="38100">
          <a:solidFill>
            <a:srgbClr val="AF414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113951</xdr:colOff>
      <xdr:row>27</xdr:row>
      <xdr:rowOff>125313</xdr:rowOff>
    </xdr:from>
    <xdr:to>
      <xdr:col>11</xdr:col>
      <xdr:colOff>488239</xdr:colOff>
      <xdr:row>27</xdr:row>
      <xdr:rowOff>486433</xdr:rowOff>
    </xdr:to>
    <xdr:sp macro="" textlink="">
      <xdr:nvSpPr>
        <xdr:cNvPr id="711" name="Ellipse 710">
          <a:extLst>
            <a:ext uri="{FF2B5EF4-FFF2-40B4-BE49-F238E27FC236}">
              <a16:creationId xmlns:a16="http://schemas.microsoft.com/office/drawing/2014/main" id="{00000000-0008-0000-0500-0000C7020000}"/>
            </a:ext>
          </a:extLst>
        </xdr:cNvPr>
        <xdr:cNvSpPr/>
      </xdr:nvSpPr>
      <xdr:spPr>
        <a:xfrm>
          <a:off x="6876701" y="13990992"/>
          <a:ext cx="374288" cy="361120"/>
        </a:xfrm>
        <a:prstGeom prst="ellipse">
          <a:avLst/>
        </a:prstGeom>
        <a:solidFill>
          <a:srgbClr val="49A78E"/>
        </a:solidFill>
        <a:ln>
          <a:solidFill>
            <a:srgbClr val="49A78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9212</xdr:colOff>
      <xdr:row>15</xdr:row>
      <xdr:rowOff>380030</xdr:rowOff>
    </xdr:from>
    <xdr:to>
      <xdr:col>11</xdr:col>
      <xdr:colOff>301095</xdr:colOff>
      <xdr:row>27</xdr:row>
      <xdr:rowOff>125313</xdr:rowOff>
    </xdr:to>
    <xdr:cxnSp macro="">
      <xdr:nvCxnSpPr>
        <xdr:cNvPr id="717" name="Gerader Verbinder 716">
          <a:extLst>
            <a:ext uri="{FF2B5EF4-FFF2-40B4-BE49-F238E27FC236}">
              <a16:creationId xmlns:a16="http://schemas.microsoft.com/office/drawing/2014/main" id="{00000000-0008-0000-0500-0000CD020000}"/>
            </a:ext>
          </a:extLst>
        </xdr:cNvPr>
        <xdr:cNvCxnSpPr>
          <a:cxnSpLocks/>
          <a:stCxn id="704" idx="4"/>
          <a:endCxn id="711" idx="0"/>
        </xdr:cNvCxnSpPr>
      </xdr:nvCxnSpPr>
      <xdr:spPr>
        <a:xfrm>
          <a:off x="6771962" y="8040851"/>
          <a:ext cx="291883" cy="5950141"/>
        </a:xfrm>
        <a:prstGeom prst="line">
          <a:avLst/>
        </a:prstGeom>
        <a:ln w="38100">
          <a:solidFill>
            <a:srgbClr val="49A78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150143</xdr:colOff>
      <xdr:row>19</xdr:row>
      <xdr:rowOff>146530</xdr:rowOff>
    </xdr:from>
    <xdr:to>
      <xdr:col>1</xdr:col>
      <xdr:colOff>524431</xdr:colOff>
      <xdr:row>19</xdr:row>
      <xdr:rowOff>508103</xdr:rowOff>
    </xdr:to>
    <xdr:sp macro="" textlink="">
      <xdr:nvSpPr>
        <xdr:cNvPr id="723" name="Ellipse 722">
          <a:extLst>
            <a:ext uri="{FF2B5EF4-FFF2-40B4-BE49-F238E27FC236}">
              <a16:creationId xmlns:a16="http://schemas.microsoft.com/office/drawing/2014/main" id="{00000000-0008-0000-0500-0000D3020000}"/>
            </a:ext>
          </a:extLst>
        </xdr:cNvPr>
        <xdr:cNvSpPr/>
      </xdr:nvSpPr>
      <xdr:spPr>
        <a:xfrm>
          <a:off x="1061822" y="9875637"/>
          <a:ext cx="374288" cy="361573"/>
        </a:xfrm>
        <a:prstGeom prst="ellipse">
          <a:avLst/>
        </a:prstGeom>
        <a:solidFill>
          <a:srgbClr val="DFDF11"/>
        </a:solidFill>
        <a:ln>
          <a:solidFill>
            <a:srgbClr val="DFDF1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1</xdr:col>
      <xdr:colOff>125279</xdr:colOff>
      <xdr:row>27</xdr:row>
      <xdr:rowOff>125313</xdr:rowOff>
    </xdr:from>
    <xdr:to>
      <xdr:col>1</xdr:col>
      <xdr:colOff>499567</xdr:colOff>
      <xdr:row>27</xdr:row>
      <xdr:rowOff>486433</xdr:rowOff>
    </xdr:to>
    <xdr:sp macro="" textlink="">
      <xdr:nvSpPr>
        <xdr:cNvPr id="724" name="Ellipse 723">
          <a:extLst>
            <a:ext uri="{FF2B5EF4-FFF2-40B4-BE49-F238E27FC236}">
              <a16:creationId xmlns:a16="http://schemas.microsoft.com/office/drawing/2014/main" id="{00000000-0008-0000-0500-0000D4020000}"/>
            </a:ext>
          </a:extLst>
        </xdr:cNvPr>
        <xdr:cNvSpPr/>
      </xdr:nvSpPr>
      <xdr:spPr>
        <a:xfrm>
          <a:off x="1036958" y="13990992"/>
          <a:ext cx="374288" cy="361120"/>
        </a:xfrm>
        <a:prstGeom prst="ellipse">
          <a:avLst/>
        </a:prstGeom>
        <a:solidFill>
          <a:srgbClr val="DFDF11"/>
        </a:solidFill>
        <a:ln>
          <a:solidFill>
            <a:srgbClr val="DFDF1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312423</xdr:colOff>
      <xdr:row>19</xdr:row>
      <xdr:rowOff>508103</xdr:rowOff>
    </xdr:from>
    <xdr:to>
      <xdr:col>1</xdr:col>
      <xdr:colOff>337287</xdr:colOff>
      <xdr:row>27</xdr:row>
      <xdr:rowOff>125313</xdr:rowOff>
    </xdr:to>
    <xdr:cxnSp macro="">
      <xdr:nvCxnSpPr>
        <xdr:cNvPr id="725" name="Gerader Verbinder 724">
          <a:extLst>
            <a:ext uri="{FF2B5EF4-FFF2-40B4-BE49-F238E27FC236}">
              <a16:creationId xmlns:a16="http://schemas.microsoft.com/office/drawing/2014/main" id="{00000000-0008-0000-0500-0000D5020000}"/>
            </a:ext>
          </a:extLst>
        </xdr:cNvPr>
        <xdr:cNvCxnSpPr>
          <a:stCxn id="724" idx="0"/>
          <a:endCxn id="723" idx="4"/>
        </xdr:cNvCxnSpPr>
      </xdr:nvCxnSpPr>
      <xdr:spPr>
        <a:xfrm flipV="1">
          <a:off x="1224102" y="10237210"/>
          <a:ext cx="24864" cy="3753782"/>
        </a:xfrm>
        <a:prstGeom prst="line">
          <a:avLst/>
        </a:prstGeom>
        <a:ln w="38100">
          <a:solidFill>
            <a:srgbClr val="DFDF1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469618</xdr:colOff>
      <xdr:row>15</xdr:row>
      <xdr:rowOff>327713</xdr:rowOff>
    </xdr:from>
    <xdr:to>
      <xdr:col>10</xdr:col>
      <xdr:colOff>461988</xdr:colOff>
      <xdr:row>19</xdr:row>
      <xdr:rowOff>199481</xdr:rowOff>
    </xdr:to>
    <xdr:cxnSp macro="">
      <xdr:nvCxnSpPr>
        <xdr:cNvPr id="728" name="Gerader Verbinder 727">
          <a:extLst>
            <a:ext uri="{FF2B5EF4-FFF2-40B4-BE49-F238E27FC236}">
              <a16:creationId xmlns:a16="http://schemas.microsoft.com/office/drawing/2014/main" id="{00000000-0008-0000-0500-0000D8020000}"/>
            </a:ext>
          </a:extLst>
        </xdr:cNvPr>
        <xdr:cNvCxnSpPr>
          <a:cxnSpLocks/>
          <a:stCxn id="723" idx="7"/>
          <a:endCxn id="704" idx="3"/>
        </xdr:cNvCxnSpPr>
      </xdr:nvCxnSpPr>
      <xdr:spPr>
        <a:xfrm flipV="1">
          <a:off x="1381297" y="7988534"/>
          <a:ext cx="5258334" cy="1940054"/>
        </a:xfrm>
        <a:prstGeom prst="line">
          <a:avLst/>
        </a:prstGeom>
        <a:ln w="38100">
          <a:solidFill>
            <a:srgbClr val="DFDF1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108711</xdr:colOff>
      <xdr:row>27</xdr:row>
      <xdr:rowOff>125313</xdr:rowOff>
    </xdr:from>
    <xdr:to>
      <xdr:col>19</xdr:col>
      <xdr:colOff>482999</xdr:colOff>
      <xdr:row>27</xdr:row>
      <xdr:rowOff>486433</xdr:rowOff>
    </xdr:to>
    <xdr:sp macro="" textlink="">
      <xdr:nvSpPr>
        <xdr:cNvPr id="756" name="Ellipse 755">
          <a:extLst>
            <a:ext uri="{FF2B5EF4-FFF2-40B4-BE49-F238E27FC236}">
              <a16:creationId xmlns:a16="http://schemas.microsoft.com/office/drawing/2014/main" id="{00000000-0008-0000-0500-0000F4020000}"/>
            </a:ext>
          </a:extLst>
        </xdr:cNvPr>
        <xdr:cNvSpPr/>
      </xdr:nvSpPr>
      <xdr:spPr>
        <a:xfrm>
          <a:off x="11552318" y="13990992"/>
          <a:ext cx="374288" cy="361120"/>
        </a:xfrm>
        <a:prstGeom prst="ellipse">
          <a:avLst/>
        </a:prstGeom>
        <a:solidFill>
          <a:srgbClr val="0000EE"/>
        </a:solidFill>
        <a:ln>
          <a:solidFill>
            <a:srgbClr val="0000E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15</xdr:col>
      <xdr:colOff>117941</xdr:colOff>
      <xdr:row>23</xdr:row>
      <xdr:rowOff>12344</xdr:rowOff>
    </xdr:from>
    <xdr:to>
      <xdr:col>15</xdr:col>
      <xdr:colOff>492229</xdr:colOff>
      <xdr:row>23</xdr:row>
      <xdr:rowOff>371443</xdr:rowOff>
    </xdr:to>
    <xdr:sp macro="" textlink="">
      <xdr:nvSpPr>
        <xdr:cNvPr id="758" name="Ellipse 757">
          <a:extLst>
            <a:ext uri="{FF2B5EF4-FFF2-40B4-BE49-F238E27FC236}">
              <a16:creationId xmlns:a16="http://schemas.microsoft.com/office/drawing/2014/main" id="{00000000-0008-0000-0500-0000F6020000}"/>
            </a:ext>
          </a:extLst>
        </xdr:cNvPr>
        <xdr:cNvSpPr/>
      </xdr:nvSpPr>
      <xdr:spPr>
        <a:xfrm>
          <a:off x="9221120" y="11809737"/>
          <a:ext cx="374288" cy="359099"/>
        </a:xfrm>
        <a:prstGeom prst="ellipse">
          <a:avLst/>
        </a:prstGeom>
        <a:solidFill>
          <a:srgbClr val="0000EE"/>
        </a:solidFill>
        <a:ln>
          <a:solidFill>
            <a:srgbClr val="0000E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15</xdr:col>
      <xdr:colOff>437416</xdr:colOff>
      <xdr:row>23</xdr:row>
      <xdr:rowOff>318854</xdr:rowOff>
    </xdr:from>
    <xdr:to>
      <xdr:col>19</xdr:col>
      <xdr:colOff>163524</xdr:colOff>
      <xdr:row>27</xdr:row>
      <xdr:rowOff>178198</xdr:rowOff>
    </xdr:to>
    <xdr:cxnSp macro="">
      <xdr:nvCxnSpPr>
        <xdr:cNvPr id="759" name="Gerader Verbinder 758">
          <a:extLst>
            <a:ext uri="{FF2B5EF4-FFF2-40B4-BE49-F238E27FC236}">
              <a16:creationId xmlns:a16="http://schemas.microsoft.com/office/drawing/2014/main" id="{00000000-0008-0000-0500-0000F7020000}"/>
            </a:ext>
          </a:extLst>
        </xdr:cNvPr>
        <xdr:cNvCxnSpPr>
          <a:stCxn id="758" idx="5"/>
          <a:endCxn id="756" idx="1"/>
        </xdr:cNvCxnSpPr>
      </xdr:nvCxnSpPr>
      <xdr:spPr>
        <a:xfrm>
          <a:off x="9540595" y="12116247"/>
          <a:ext cx="2066536" cy="1927630"/>
        </a:xfrm>
        <a:prstGeom prst="line">
          <a:avLst/>
        </a:prstGeom>
        <a:ln w="38100">
          <a:solidFill>
            <a:srgbClr val="0000E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141543</xdr:colOff>
      <xdr:row>15</xdr:row>
      <xdr:rowOff>327713</xdr:rowOff>
    </xdr:from>
    <xdr:to>
      <xdr:col>15</xdr:col>
      <xdr:colOff>172754</xdr:colOff>
      <xdr:row>23</xdr:row>
      <xdr:rowOff>64933</xdr:rowOff>
    </xdr:to>
    <xdr:cxnSp macro="">
      <xdr:nvCxnSpPr>
        <xdr:cNvPr id="762" name="Gerader Verbinder 761">
          <a:extLst>
            <a:ext uri="{FF2B5EF4-FFF2-40B4-BE49-F238E27FC236}">
              <a16:creationId xmlns:a16="http://schemas.microsoft.com/office/drawing/2014/main" id="{00000000-0008-0000-0500-0000FA020000}"/>
            </a:ext>
          </a:extLst>
        </xdr:cNvPr>
        <xdr:cNvCxnSpPr>
          <a:stCxn id="758" idx="1"/>
          <a:endCxn id="704" idx="5"/>
        </xdr:cNvCxnSpPr>
      </xdr:nvCxnSpPr>
      <xdr:spPr>
        <a:xfrm flipH="1" flipV="1">
          <a:off x="6904293" y="7988534"/>
          <a:ext cx="2371640" cy="3873792"/>
        </a:xfrm>
        <a:prstGeom prst="line">
          <a:avLst/>
        </a:prstGeom>
        <a:ln w="38100">
          <a:solidFill>
            <a:srgbClr val="0000EE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116895</xdr:colOff>
      <xdr:row>27</xdr:row>
      <xdr:rowOff>125313</xdr:rowOff>
    </xdr:from>
    <xdr:to>
      <xdr:col>8</xdr:col>
      <xdr:colOff>491183</xdr:colOff>
      <xdr:row>27</xdr:row>
      <xdr:rowOff>486433</xdr:rowOff>
    </xdr:to>
    <xdr:sp macro="" textlink="">
      <xdr:nvSpPr>
        <xdr:cNvPr id="771" name="Ellipse 770">
          <a:extLst>
            <a:ext uri="{FF2B5EF4-FFF2-40B4-BE49-F238E27FC236}">
              <a16:creationId xmlns:a16="http://schemas.microsoft.com/office/drawing/2014/main" id="{00000000-0008-0000-0500-000003030000}"/>
            </a:ext>
          </a:extLst>
        </xdr:cNvPr>
        <xdr:cNvSpPr/>
      </xdr:nvSpPr>
      <xdr:spPr>
        <a:xfrm>
          <a:off x="5124324" y="13990992"/>
          <a:ext cx="374288" cy="361120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469618</xdr:colOff>
      <xdr:row>19</xdr:row>
      <xdr:rowOff>455152</xdr:rowOff>
    </xdr:from>
    <xdr:to>
      <xdr:col>8</xdr:col>
      <xdr:colOff>171708</xdr:colOff>
      <xdr:row>27</xdr:row>
      <xdr:rowOff>178198</xdr:rowOff>
    </xdr:to>
    <xdr:cxnSp macro="">
      <xdr:nvCxnSpPr>
        <xdr:cNvPr id="777" name="Gerader Verbinder 776">
          <a:extLst>
            <a:ext uri="{FF2B5EF4-FFF2-40B4-BE49-F238E27FC236}">
              <a16:creationId xmlns:a16="http://schemas.microsoft.com/office/drawing/2014/main" id="{00000000-0008-0000-0500-000009030000}"/>
            </a:ext>
          </a:extLst>
        </xdr:cNvPr>
        <xdr:cNvCxnSpPr>
          <a:stCxn id="723" idx="5"/>
          <a:endCxn id="771" idx="1"/>
        </xdr:cNvCxnSpPr>
      </xdr:nvCxnSpPr>
      <xdr:spPr>
        <a:xfrm>
          <a:off x="1381297" y="10184259"/>
          <a:ext cx="3797840" cy="3859618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45027</xdr:colOff>
      <xdr:row>14</xdr:row>
      <xdr:rowOff>302635</xdr:rowOff>
    </xdr:from>
    <xdr:to>
      <xdr:col>39</xdr:col>
      <xdr:colOff>68840</xdr:colOff>
      <xdr:row>26</xdr:row>
      <xdr:rowOff>135947</xdr:rowOff>
    </xdr:to>
    <xdr:sp macro="" textlink="">
      <xdr:nvSpPr>
        <xdr:cNvPr id="323" name="Multiplikationszeichen 322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SpPr/>
      </xdr:nvSpPr>
      <xdr:spPr>
        <a:xfrm>
          <a:off x="25139072" y="7316499"/>
          <a:ext cx="2309813" cy="6015903"/>
        </a:xfrm>
        <a:prstGeom prst="mathMultiply">
          <a:avLst>
            <a:gd name="adj1" fmla="val 2901"/>
          </a:avLst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17</xdr:col>
      <xdr:colOff>110199</xdr:colOff>
      <xdr:row>27</xdr:row>
      <xdr:rowOff>125313</xdr:rowOff>
    </xdr:from>
    <xdr:to>
      <xdr:col>17</xdr:col>
      <xdr:colOff>484487</xdr:colOff>
      <xdr:row>27</xdr:row>
      <xdr:rowOff>486433</xdr:rowOff>
    </xdr:to>
    <xdr:sp macro="" textlink="">
      <xdr:nvSpPr>
        <xdr:cNvPr id="336" name="Ellipse 335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SpPr/>
      </xdr:nvSpPr>
      <xdr:spPr>
        <a:xfrm>
          <a:off x="10383592" y="13990992"/>
          <a:ext cx="374288" cy="361120"/>
        </a:xfrm>
        <a:prstGeom prst="ellipse">
          <a:avLst/>
        </a:prstGeom>
        <a:solidFill>
          <a:srgbClr val="787878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13</xdr:col>
      <xdr:colOff>435603</xdr:colOff>
      <xdr:row>23</xdr:row>
      <xdr:rowOff>319568</xdr:rowOff>
    </xdr:from>
    <xdr:to>
      <xdr:col>17</xdr:col>
      <xdr:colOff>165012</xdr:colOff>
      <xdr:row>27</xdr:row>
      <xdr:rowOff>178198</xdr:rowOff>
    </xdr:to>
    <xdr:cxnSp macro="">
      <xdr:nvCxnSpPr>
        <xdr:cNvPr id="338" name="Gerader Verbinder 337">
          <a:extLst>
            <a:ext uri="{FF2B5EF4-FFF2-40B4-BE49-F238E27FC236}">
              <a16:creationId xmlns:a16="http://schemas.microsoft.com/office/drawing/2014/main" id="{00000000-0008-0000-0500-000052010000}"/>
            </a:ext>
          </a:extLst>
        </xdr:cNvPr>
        <xdr:cNvCxnSpPr>
          <a:stCxn id="341" idx="5"/>
          <a:endCxn id="336" idx="1"/>
        </xdr:cNvCxnSpPr>
      </xdr:nvCxnSpPr>
      <xdr:spPr>
        <a:xfrm>
          <a:off x="8368567" y="12116961"/>
          <a:ext cx="2069838" cy="1926916"/>
        </a:xfrm>
        <a:prstGeom prst="line">
          <a:avLst/>
        </a:prstGeom>
        <a:ln w="38100">
          <a:solidFill>
            <a:srgbClr val="78787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116128</xdr:colOff>
      <xdr:row>23</xdr:row>
      <xdr:rowOff>11333</xdr:rowOff>
    </xdr:from>
    <xdr:to>
      <xdr:col>13</xdr:col>
      <xdr:colOff>490416</xdr:colOff>
      <xdr:row>23</xdr:row>
      <xdr:rowOff>372453</xdr:rowOff>
    </xdr:to>
    <xdr:sp macro="" textlink="">
      <xdr:nvSpPr>
        <xdr:cNvPr id="341" name="Ellipse 340">
          <a:extLst>
            <a:ext uri="{FF2B5EF4-FFF2-40B4-BE49-F238E27FC236}">
              <a16:creationId xmlns:a16="http://schemas.microsoft.com/office/drawing/2014/main" id="{00000000-0008-0000-0500-000055010000}"/>
            </a:ext>
          </a:extLst>
        </xdr:cNvPr>
        <xdr:cNvSpPr/>
      </xdr:nvSpPr>
      <xdr:spPr>
        <a:xfrm>
          <a:off x="8049092" y="11808726"/>
          <a:ext cx="374288" cy="361120"/>
        </a:xfrm>
        <a:prstGeom prst="ellipse">
          <a:avLst/>
        </a:prstGeom>
        <a:solidFill>
          <a:srgbClr val="787878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138966</xdr:colOff>
      <xdr:row>15</xdr:row>
      <xdr:rowOff>329083</xdr:rowOff>
    </xdr:from>
    <xdr:to>
      <xdr:col>13</xdr:col>
      <xdr:colOff>170941</xdr:colOff>
      <xdr:row>23</xdr:row>
      <xdr:rowOff>64218</xdr:rowOff>
    </xdr:to>
    <xdr:cxnSp macro="">
      <xdr:nvCxnSpPr>
        <xdr:cNvPr id="342" name="Gerader Verbinder 341">
          <a:extLst>
            <a:ext uri="{FF2B5EF4-FFF2-40B4-BE49-F238E27FC236}">
              <a16:creationId xmlns:a16="http://schemas.microsoft.com/office/drawing/2014/main" id="{00000000-0008-0000-0500-000056010000}"/>
            </a:ext>
          </a:extLst>
        </xdr:cNvPr>
        <xdr:cNvCxnSpPr>
          <a:stCxn id="343" idx="5"/>
          <a:endCxn id="341" idx="1"/>
        </xdr:cNvCxnSpPr>
      </xdr:nvCxnSpPr>
      <xdr:spPr>
        <a:xfrm>
          <a:off x="2220859" y="7989904"/>
          <a:ext cx="5883046" cy="3871707"/>
        </a:xfrm>
        <a:prstGeom prst="line">
          <a:avLst/>
        </a:prstGeom>
        <a:ln w="38100">
          <a:solidFill>
            <a:srgbClr val="78787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404598</xdr:colOff>
      <xdr:row>15</xdr:row>
      <xdr:rowOff>20848</xdr:rowOff>
    </xdr:from>
    <xdr:to>
      <xdr:col>3</xdr:col>
      <xdr:colOff>193779</xdr:colOff>
      <xdr:row>15</xdr:row>
      <xdr:rowOff>381968</xdr:rowOff>
    </xdr:to>
    <xdr:sp macro="" textlink="">
      <xdr:nvSpPr>
        <xdr:cNvPr id="343" name="Ellipse 342">
          <a:extLst>
            <a:ext uri="{FF2B5EF4-FFF2-40B4-BE49-F238E27FC236}">
              <a16:creationId xmlns:a16="http://schemas.microsoft.com/office/drawing/2014/main" id="{00000000-0008-0000-0500-000057010000}"/>
            </a:ext>
          </a:extLst>
        </xdr:cNvPr>
        <xdr:cNvSpPr/>
      </xdr:nvSpPr>
      <xdr:spPr>
        <a:xfrm>
          <a:off x="1901384" y="7681669"/>
          <a:ext cx="374288" cy="361120"/>
        </a:xfrm>
        <a:prstGeom prst="ellipse">
          <a:avLst/>
        </a:prstGeom>
        <a:solidFill>
          <a:srgbClr val="787878"/>
        </a:solidFill>
        <a:ln>
          <a:solidFill>
            <a:srgbClr val="7878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6635</xdr:colOff>
      <xdr:row>11</xdr:row>
      <xdr:rowOff>448214</xdr:rowOff>
    </xdr:from>
    <xdr:to>
      <xdr:col>4</xdr:col>
      <xdr:colOff>268562</xdr:colOff>
      <xdr:row>15</xdr:row>
      <xdr:rowOff>20848</xdr:rowOff>
    </xdr:to>
    <xdr:cxnSp macro="">
      <xdr:nvCxnSpPr>
        <xdr:cNvPr id="344" name="Gerader Verbinder 343">
          <a:extLst>
            <a:ext uri="{FF2B5EF4-FFF2-40B4-BE49-F238E27FC236}">
              <a16:creationId xmlns:a16="http://schemas.microsoft.com/office/drawing/2014/main" id="{00000000-0008-0000-0500-000058010000}"/>
            </a:ext>
          </a:extLst>
        </xdr:cNvPr>
        <xdr:cNvCxnSpPr>
          <a:stCxn id="106" idx="4"/>
          <a:endCxn id="343" idx="0"/>
        </xdr:cNvCxnSpPr>
      </xdr:nvCxnSpPr>
      <xdr:spPr>
        <a:xfrm flipH="1">
          <a:off x="2088528" y="6040750"/>
          <a:ext cx="847034" cy="1640919"/>
        </a:xfrm>
        <a:prstGeom prst="line">
          <a:avLst/>
        </a:prstGeom>
        <a:ln w="38100">
          <a:solidFill>
            <a:srgbClr val="78787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110001</xdr:colOff>
      <xdr:row>27</xdr:row>
      <xdr:rowOff>125313</xdr:rowOff>
    </xdr:from>
    <xdr:to>
      <xdr:col>13</xdr:col>
      <xdr:colOff>484289</xdr:colOff>
      <xdr:row>27</xdr:row>
      <xdr:rowOff>486433</xdr:rowOff>
    </xdr:to>
    <xdr:sp macro="" textlink="">
      <xdr:nvSpPr>
        <xdr:cNvPr id="357" name="Ellipse 356">
          <a:extLst>
            <a:ext uri="{FF2B5EF4-FFF2-40B4-BE49-F238E27FC236}">
              <a16:creationId xmlns:a16="http://schemas.microsoft.com/office/drawing/2014/main" id="{00000000-0008-0000-0500-000065010000}"/>
            </a:ext>
          </a:extLst>
        </xdr:cNvPr>
        <xdr:cNvSpPr/>
      </xdr:nvSpPr>
      <xdr:spPr>
        <a:xfrm>
          <a:off x="8042965" y="13990992"/>
          <a:ext cx="374288" cy="361120"/>
        </a:xfrm>
        <a:prstGeom prst="ellipse">
          <a:avLst/>
        </a:prstGeom>
        <a:solidFill>
          <a:srgbClr val="28C637"/>
        </a:solidFill>
        <a:ln>
          <a:solidFill>
            <a:srgbClr val="28C63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138966</xdr:colOff>
      <xdr:row>15</xdr:row>
      <xdr:rowOff>329083</xdr:rowOff>
    </xdr:from>
    <xdr:to>
      <xdr:col>13</xdr:col>
      <xdr:colOff>164814</xdr:colOff>
      <xdr:row>27</xdr:row>
      <xdr:rowOff>178198</xdr:rowOff>
    </xdr:to>
    <xdr:cxnSp macro="">
      <xdr:nvCxnSpPr>
        <xdr:cNvPr id="358" name="Gerader Verbinder 357">
          <a:extLst>
            <a:ext uri="{FF2B5EF4-FFF2-40B4-BE49-F238E27FC236}">
              <a16:creationId xmlns:a16="http://schemas.microsoft.com/office/drawing/2014/main" id="{00000000-0008-0000-0500-000066010000}"/>
            </a:ext>
          </a:extLst>
        </xdr:cNvPr>
        <xdr:cNvCxnSpPr>
          <a:cxnSpLocks/>
          <a:stCxn id="343" idx="5"/>
          <a:endCxn id="357" idx="1"/>
        </xdr:cNvCxnSpPr>
      </xdr:nvCxnSpPr>
      <xdr:spPr>
        <a:xfrm>
          <a:off x="2220859" y="7989904"/>
          <a:ext cx="5876919" cy="6053973"/>
        </a:xfrm>
        <a:prstGeom prst="line">
          <a:avLst/>
        </a:prstGeom>
        <a:ln w="38100">
          <a:solidFill>
            <a:srgbClr val="28C63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116151</xdr:colOff>
      <xdr:row>27</xdr:row>
      <xdr:rowOff>125313</xdr:rowOff>
    </xdr:from>
    <xdr:to>
      <xdr:col>9</xdr:col>
      <xdr:colOff>490439</xdr:colOff>
      <xdr:row>27</xdr:row>
      <xdr:rowOff>486433</xdr:rowOff>
    </xdr:to>
    <xdr:sp macro="" textlink="">
      <xdr:nvSpPr>
        <xdr:cNvPr id="366" name="Ellipse 365">
          <a:extLst>
            <a:ext uri="{FF2B5EF4-FFF2-40B4-BE49-F238E27FC236}">
              <a16:creationId xmlns:a16="http://schemas.microsoft.com/office/drawing/2014/main" id="{00000000-0008-0000-0500-00006E010000}"/>
            </a:ext>
          </a:extLst>
        </xdr:cNvPr>
        <xdr:cNvSpPr/>
      </xdr:nvSpPr>
      <xdr:spPr>
        <a:xfrm>
          <a:off x="5708687" y="13990992"/>
          <a:ext cx="374288" cy="361120"/>
        </a:xfrm>
        <a:prstGeom prst="ellipse">
          <a:avLst/>
        </a:prstGeom>
        <a:solidFill>
          <a:schemeClr val="bg2">
            <a:lumMod val="75000"/>
          </a:schemeClr>
        </a:solidFill>
        <a:ln>
          <a:solidFill>
            <a:schemeClr val="bg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6635</xdr:colOff>
      <xdr:row>15</xdr:row>
      <xdr:rowOff>381968</xdr:rowOff>
    </xdr:from>
    <xdr:to>
      <xdr:col>9</xdr:col>
      <xdr:colOff>170964</xdr:colOff>
      <xdr:row>27</xdr:row>
      <xdr:rowOff>178198</xdr:rowOff>
    </xdr:to>
    <xdr:cxnSp macro="">
      <xdr:nvCxnSpPr>
        <xdr:cNvPr id="367" name="Gerader Verbinder 366">
          <a:extLst>
            <a:ext uri="{FF2B5EF4-FFF2-40B4-BE49-F238E27FC236}">
              <a16:creationId xmlns:a16="http://schemas.microsoft.com/office/drawing/2014/main" id="{00000000-0008-0000-0500-00006F010000}"/>
            </a:ext>
          </a:extLst>
        </xdr:cNvPr>
        <xdr:cNvCxnSpPr>
          <a:cxnSpLocks/>
          <a:stCxn id="343" idx="4"/>
          <a:endCxn id="366" idx="1"/>
        </xdr:cNvCxnSpPr>
      </xdr:nvCxnSpPr>
      <xdr:spPr>
        <a:xfrm>
          <a:off x="2088528" y="8042789"/>
          <a:ext cx="3674972" cy="6001088"/>
        </a:xfrm>
        <a:prstGeom prst="line">
          <a:avLst/>
        </a:prstGeom>
        <a:ln w="38100">
          <a:solidFill>
            <a:schemeClr val="bg2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123280</xdr:colOff>
      <xdr:row>23</xdr:row>
      <xdr:rowOff>11099</xdr:rowOff>
    </xdr:from>
    <xdr:to>
      <xdr:col>2</xdr:col>
      <xdr:colOff>491218</xdr:colOff>
      <xdr:row>23</xdr:row>
      <xdr:rowOff>372687</xdr:rowOff>
    </xdr:to>
    <xdr:sp macro="" textlink="">
      <xdr:nvSpPr>
        <xdr:cNvPr id="380" name="Ellipse 379">
          <a:extLst>
            <a:ext uri="{FF2B5EF4-FFF2-40B4-BE49-F238E27FC236}">
              <a16:creationId xmlns:a16="http://schemas.microsoft.com/office/drawing/2014/main" id="{00000000-0008-0000-0500-00007C010000}"/>
            </a:ext>
          </a:extLst>
        </xdr:cNvPr>
        <xdr:cNvSpPr/>
      </xdr:nvSpPr>
      <xdr:spPr>
        <a:xfrm>
          <a:off x="1620066" y="11808492"/>
          <a:ext cx="367938" cy="361588"/>
        </a:xfrm>
        <a:prstGeom prst="ellipse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</xdr:col>
      <xdr:colOff>307249</xdr:colOff>
      <xdr:row>15</xdr:row>
      <xdr:rowOff>381968</xdr:rowOff>
    </xdr:from>
    <xdr:to>
      <xdr:col>3</xdr:col>
      <xdr:colOff>6635</xdr:colOff>
      <xdr:row>23</xdr:row>
      <xdr:rowOff>11099</xdr:rowOff>
    </xdr:to>
    <xdr:cxnSp macro="">
      <xdr:nvCxnSpPr>
        <xdr:cNvPr id="381" name="Gerader Verbinder 380">
          <a:extLst>
            <a:ext uri="{FF2B5EF4-FFF2-40B4-BE49-F238E27FC236}">
              <a16:creationId xmlns:a16="http://schemas.microsoft.com/office/drawing/2014/main" id="{00000000-0008-0000-0500-00007D010000}"/>
            </a:ext>
          </a:extLst>
        </xdr:cNvPr>
        <xdr:cNvCxnSpPr>
          <a:stCxn id="343" idx="4"/>
          <a:endCxn id="380" idx="0"/>
        </xdr:cNvCxnSpPr>
      </xdr:nvCxnSpPr>
      <xdr:spPr>
        <a:xfrm flipH="1">
          <a:off x="1804035" y="8042789"/>
          <a:ext cx="284493" cy="3765703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124535</xdr:colOff>
      <xdr:row>27</xdr:row>
      <xdr:rowOff>125313</xdr:rowOff>
    </xdr:from>
    <xdr:to>
      <xdr:col>2</xdr:col>
      <xdr:colOff>505173</xdr:colOff>
      <xdr:row>27</xdr:row>
      <xdr:rowOff>486433</xdr:rowOff>
    </xdr:to>
    <xdr:sp macro="" textlink="">
      <xdr:nvSpPr>
        <xdr:cNvPr id="382" name="Ellipse 381">
          <a:extLst>
            <a:ext uri="{FF2B5EF4-FFF2-40B4-BE49-F238E27FC236}">
              <a16:creationId xmlns:a16="http://schemas.microsoft.com/office/drawing/2014/main" id="{00000000-0008-0000-0500-00007E010000}"/>
            </a:ext>
          </a:extLst>
        </xdr:cNvPr>
        <xdr:cNvSpPr/>
      </xdr:nvSpPr>
      <xdr:spPr>
        <a:xfrm>
          <a:off x="1621321" y="13990992"/>
          <a:ext cx="380638" cy="361120"/>
        </a:xfrm>
        <a:prstGeom prst="ellipse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</xdr:col>
      <xdr:colOff>307249</xdr:colOff>
      <xdr:row>23</xdr:row>
      <xdr:rowOff>372687</xdr:rowOff>
    </xdr:from>
    <xdr:to>
      <xdr:col>2</xdr:col>
      <xdr:colOff>314854</xdr:colOff>
      <xdr:row>27</xdr:row>
      <xdr:rowOff>125313</xdr:rowOff>
    </xdr:to>
    <xdr:cxnSp macro="">
      <xdr:nvCxnSpPr>
        <xdr:cNvPr id="383" name="Gerader Verbinder 382">
          <a:extLst>
            <a:ext uri="{FF2B5EF4-FFF2-40B4-BE49-F238E27FC236}">
              <a16:creationId xmlns:a16="http://schemas.microsoft.com/office/drawing/2014/main" id="{00000000-0008-0000-0500-00007F010000}"/>
            </a:ext>
          </a:extLst>
        </xdr:cNvPr>
        <xdr:cNvCxnSpPr>
          <a:stCxn id="380" idx="4"/>
          <a:endCxn id="382" idx="0"/>
        </xdr:cNvCxnSpPr>
      </xdr:nvCxnSpPr>
      <xdr:spPr>
        <a:xfrm>
          <a:off x="1804035" y="12170080"/>
          <a:ext cx="7605" cy="1820912"/>
        </a:xfrm>
        <a:prstGeom prst="line">
          <a:avLst/>
        </a:prstGeom>
        <a:ln w="38100"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141353</xdr:colOff>
      <xdr:row>27</xdr:row>
      <xdr:rowOff>125873</xdr:rowOff>
    </xdr:from>
    <xdr:to>
      <xdr:col>5</xdr:col>
      <xdr:colOff>506116</xdr:colOff>
      <xdr:row>27</xdr:row>
      <xdr:rowOff>485873</xdr:rowOff>
    </xdr:to>
    <xdr:sp macro="" textlink="">
      <xdr:nvSpPr>
        <xdr:cNvPr id="397" name="Ellipse 396">
          <a:extLst>
            <a:ext uri="{FF2B5EF4-FFF2-40B4-BE49-F238E27FC236}">
              <a16:creationId xmlns:a16="http://schemas.microsoft.com/office/drawing/2014/main" id="{00000000-0008-0000-0500-00008D010000}"/>
            </a:ext>
          </a:extLst>
        </xdr:cNvPr>
        <xdr:cNvSpPr/>
      </xdr:nvSpPr>
      <xdr:spPr>
        <a:xfrm>
          <a:off x="3393460" y="13991552"/>
          <a:ext cx="364763" cy="360000"/>
        </a:xfrm>
        <a:prstGeom prst="ellipse">
          <a:avLst/>
        </a:prstGeom>
        <a:solidFill>
          <a:srgbClr val="BD1919"/>
        </a:solidFill>
        <a:ln>
          <a:solidFill>
            <a:srgbClr val="BD191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</xdr:col>
      <xdr:colOff>437335</xdr:colOff>
      <xdr:row>23</xdr:row>
      <xdr:rowOff>319734</xdr:rowOff>
    </xdr:from>
    <xdr:to>
      <xdr:col>5</xdr:col>
      <xdr:colOff>194771</xdr:colOff>
      <xdr:row>27</xdr:row>
      <xdr:rowOff>178594</xdr:rowOff>
    </xdr:to>
    <xdr:cxnSp macro="">
      <xdr:nvCxnSpPr>
        <xdr:cNvPr id="398" name="Gerader Verbinder 397">
          <a:extLst>
            <a:ext uri="{FF2B5EF4-FFF2-40B4-BE49-F238E27FC236}">
              <a16:creationId xmlns:a16="http://schemas.microsoft.com/office/drawing/2014/main" id="{00000000-0008-0000-0500-00008E010000}"/>
            </a:ext>
          </a:extLst>
        </xdr:cNvPr>
        <xdr:cNvCxnSpPr>
          <a:stCxn id="380" idx="5"/>
          <a:endCxn id="397" idx="1"/>
        </xdr:cNvCxnSpPr>
      </xdr:nvCxnSpPr>
      <xdr:spPr>
        <a:xfrm>
          <a:off x="1934121" y="12117127"/>
          <a:ext cx="1512757" cy="1927146"/>
        </a:xfrm>
        <a:prstGeom prst="line">
          <a:avLst/>
        </a:prstGeom>
        <a:ln w="38100">
          <a:solidFill>
            <a:srgbClr val="BD191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36</xdr:row>
          <xdr:rowOff>190500</xdr:rowOff>
        </xdr:from>
        <xdr:to>
          <xdr:col>3</xdr:col>
          <xdr:colOff>447675</xdr:colOff>
          <xdr:row>39</xdr:row>
          <xdr:rowOff>104775</xdr:rowOff>
        </xdr:to>
        <xdr:sp macro="" textlink="">
          <xdr:nvSpPr>
            <xdr:cNvPr id="4921" name="Button 825" hidden="1">
              <a:extLst>
                <a:ext uri="{63B3BB69-23CF-44E3-9099-C40C66FF867C}">
                  <a14:compatExt spid="_x0000_s4921"/>
                </a:ext>
                <a:ext uri="{FF2B5EF4-FFF2-40B4-BE49-F238E27FC236}">
                  <a16:creationId xmlns:a16="http://schemas.microsoft.com/office/drawing/2014/main" id="{00000000-0008-0000-0800-00003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Wandstärke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247650</xdr:colOff>
          <xdr:row>36</xdr:row>
          <xdr:rowOff>123825</xdr:rowOff>
        </xdr:from>
        <xdr:to>
          <xdr:col>28</xdr:col>
          <xdr:colOff>457200</xdr:colOff>
          <xdr:row>38</xdr:row>
          <xdr:rowOff>152400</xdr:rowOff>
        </xdr:to>
        <xdr:sp macro="" textlink="">
          <xdr:nvSpPr>
            <xdr:cNvPr id="4922" name="Button 826" hidden="1">
              <a:extLst>
                <a:ext uri="{63B3BB69-23CF-44E3-9099-C40C66FF867C}">
                  <a14:compatExt spid="_x0000_s4922"/>
                </a:ext>
                <a:ext uri="{FF2B5EF4-FFF2-40B4-BE49-F238E27FC236}">
                  <a16:creationId xmlns:a16="http://schemas.microsoft.com/office/drawing/2014/main" id="{00000000-0008-0000-0800-00003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Wandstärke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266700</xdr:colOff>
          <xdr:row>36</xdr:row>
          <xdr:rowOff>142875</xdr:rowOff>
        </xdr:from>
        <xdr:to>
          <xdr:col>48</xdr:col>
          <xdr:colOff>476250</xdr:colOff>
          <xdr:row>38</xdr:row>
          <xdr:rowOff>180975</xdr:rowOff>
        </xdr:to>
        <xdr:sp macro="" textlink="">
          <xdr:nvSpPr>
            <xdr:cNvPr id="4923" name="Button 827" hidden="1">
              <a:extLst>
                <a:ext uri="{63B3BB69-23CF-44E3-9099-C40C66FF867C}">
                  <a14:compatExt spid="_x0000_s4923"/>
                </a:ext>
                <a:ext uri="{FF2B5EF4-FFF2-40B4-BE49-F238E27FC236}">
                  <a16:creationId xmlns:a16="http://schemas.microsoft.com/office/drawing/2014/main" id="{00000000-0008-0000-0800-00003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Wandstärke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266700</xdr:colOff>
          <xdr:row>36</xdr:row>
          <xdr:rowOff>133350</xdr:rowOff>
        </xdr:from>
        <xdr:to>
          <xdr:col>68</xdr:col>
          <xdr:colOff>552450</xdr:colOff>
          <xdr:row>38</xdr:row>
          <xdr:rowOff>152400</xdr:rowOff>
        </xdr:to>
        <xdr:sp macro="" textlink="">
          <xdr:nvSpPr>
            <xdr:cNvPr id="4924" name="Button 828" hidden="1">
              <a:extLst>
                <a:ext uri="{63B3BB69-23CF-44E3-9099-C40C66FF867C}">
                  <a14:compatExt spid="_x0000_s4924"/>
                </a:ext>
                <a:ext uri="{FF2B5EF4-FFF2-40B4-BE49-F238E27FC236}">
                  <a16:creationId xmlns:a16="http://schemas.microsoft.com/office/drawing/2014/main" id="{00000000-0008-0000-0800-00003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Wandstärke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228600</xdr:colOff>
          <xdr:row>37</xdr:row>
          <xdr:rowOff>47625</xdr:rowOff>
        </xdr:from>
        <xdr:to>
          <xdr:col>89</xdr:col>
          <xdr:colOff>514350</xdr:colOff>
          <xdr:row>39</xdr:row>
          <xdr:rowOff>66675</xdr:rowOff>
        </xdr:to>
        <xdr:sp macro="" textlink="">
          <xdr:nvSpPr>
            <xdr:cNvPr id="4925" name="Button 829" hidden="1">
              <a:extLst>
                <a:ext uri="{63B3BB69-23CF-44E3-9099-C40C66FF867C}">
                  <a14:compatExt spid="_x0000_s4925"/>
                </a:ext>
                <a:ext uri="{FF2B5EF4-FFF2-40B4-BE49-F238E27FC236}">
                  <a16:creationId xmlns:a16="http://schemas.microsoft.com/office/drawing/2014/main" id="{00000000-0008-0000-0800-00003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Wandstärke berechnen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88</xdr:col>
          <xdr:colOff>190500</xdr:colOff>
          <xdr:row>34</xdr:row>
          <xdr:rowOff>66675</xdr:rowOff>
        </xdr:from>
        <xdr:to>
          <xdr:col>89</xdr:col>
          <xdr:colOff>552450</xdr:colOff>
          <xdr:row>36</xdr:row>
          <xdr:rowOff>142875</xdr:rowOff>
        </xdr:to>
        <xdr:sp macro="" textlink="">
          <xdr:nvSpPr>
            <xdr:cNvPr id="4926" name="Button 830" hidden="1">
              <a:extLst>
                <a:ext uri="{63B3BB69-23CF-44E3-9099-C40C66FF867C}">
                  <a14:compatExt spid="_x0000_s4926"/>
                </a:ext>
                <a:ext uri="{FF2B5EF4-FFF2-40B4-BE49-F238E27FC236}">
                  <a16:creationId xmlns:a16="http://schemas.microsoft.com/office/drawing/2014/main" id="{00000000-0008-0000-0800-00003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Innenkontur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34</xdr:row>
          <xdr:rowOff>85725</xdr:rowOff>
        </xdr:from>
        <xdr:to>
          <xdr:col>3</xdr:col>
          <xdr:colOff>485775</xdr:colOff>
          <xdr:row>36</xdr:row>
          <xdr:rowOff>123825</xdr:rowOff>
        </xdr:to>
        <xdr:sp macro="" textlink="">
          <xdr:nvSpPr>
            <xdr:cNvPr id="4927" name="Button 831" hidden="1">
              <a:extLst>
                <a:ext uri="{63B3BB69-23CF-44E3-9099-C40C66FF867C}">
                  <a14:compatExt spid="_x0000_s4927"/>
                </a:ext>
                <a:ext uri="{FF2B5EF4-FFF2-40B4-BE49-F238E27FC236}">
                  <a16:creationId xmlns:a16="http://schemas.microsoft.com/office/drawing/2014/main" id="{00000000-0008-0000-0800-00003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Innenkontur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247650</xdr:colOff>
          <xdr:row>34</xdr:row>
          <xdr:rowOff>19050</xdr:rowOff>
        </xdr:from>
        <xdr:to>
          <xdr:col>68</xdr:col>
          <xdr:colOff>609600</xdr:colOff>
          <xdr:row>36</xdr:row>
          <xdr:rowOff>66675</xdr:rowOff>
        </xdr:to>
        <xdr:sp macro="" textlink="">
          <xdr:nvSpPr>
            <xdr:cNvPr id="4928" name="Button 832" hidden="1">
              <a:extLst>
                <a:ext uri="{63B3BB69-23CF-44E3-9099-C40C66FF867C}">
                  <a14:compatExt spid="_x0000_s4928"/>
                </a:ext>
                <a:ext uri="{FF2B5EF4-FFF2-40B4-BE49-F238E27FC236}">
                  <a16:creationId xmlns:a16="http://schemas.microsoft.com/office/drawing/2014/main" id="{00000000-0008-0000-0800-00004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Innenkontur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257175</xdr:colOff>
          <xdr:row>34</xdr:row>
          <xdr:rowOff>47625</xdr:rowOff>
        </xdr:from>
        <xdr:to>
          <xdr:col>48</xdr:col>
          <xdr:colOff>552450</xdr:colOff>
          <xdr:row>36</xdr:row>
          <xdr:rowOff>85725</xdr:rowOff>
        </xdr:to>
        <xdr:sp macro="" textlink="">
          <xdr:nvSpPr>
            <xdr:cNvPr id="4929" name="Button 833" hidden="1">
              <a:extLst>
                <a:ext uri="{63B3BB69-23CF-44E3-9099-C40C66FF867C}">
                  <a14:compatExt spid="_x0000_s4929"/>
                </a:ext>
                <a:ext uri="{FF2B5EF4-FFF2-40B4-BE49-F238E27FC236}">
                  <a16:creationId xmlns:a16="http://schemas.microsoft.com/office/drawing/2014/main" id="{00000000-0008-0000-0800-00004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Innenkontur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228600</xdr:colOff>
          <xdr:row>34</xdr:row>
          <xdr:rowOff>38100</xdr:rowOff>
        </xdr:from>
        <xdr:to>
          <xdr:col>28</xdr:col>
          <xdr:colOff>523875</xdr:colOff>
          <xdr:row>36</xdr:row>
          <xdr:rowOff>104775</xdr:rowOff>
        </xdr:to>
        <xdr:sp macro="" textlink="">
          <xdr:nvSpPr>
            <xdr:cNvPr id="4930" name="Button 834" hidden="1">
              <a:extLst>
                <a:ext uri="{63B3BB69-23CF-44E3-9099-C40C66FF867C}">
                  <a14:compatExt spid="_x0000_s4930"/>
                </a:ext>
                <a:ext uri="{FF2B5EF4-FFF2-40B4-BE49-F238E27FC236}">
                  <a16:creationId xmlns:a16="http://schemas.microsoft.com/office/drawing/2014/main" id="{00000000-0008-0000-0800-00004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Innenkontur erstellen</a:t>
              </a:r>
            </a:p>
          </xdr:txBody>
        </xdr:sp>
        <xdr:clientData fPrintsWithSheet="0"/>
      </xdr:twoCellAnchor>
    </mc:Choice>
    <mc:Fallback/>
  </mc:AlternateContent>
  <xdr:twoCellAnchor>
    <xdr:from>
      <xdr:col>91</xdr:col>
      <xdr:colOff>214313</xdr:colOff>
      <xdr:row>19</xdr:row>
      <xdr:rowOff>130969</xdr:rowOff>
    </xdr:from>
    <xdr:to>
      <xdr:col>104</xdr:col>
      <xdr:colOff>697367</xdr:colOff>
      <xdr:row>41</xdr:row>
      <xdr:rowOff>49846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inus\AppData\Local\Temp\ToKoKo-SunShaft_Ueberschlagsrechnungen_v09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ni\Berechnung%20Faserverbund\ABD-Rechne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ToKoKo-SunShaft_Ueberschlagsrechnungen_v18_HTS40_Static-ultimate_Bereich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rphologischer Kasten"/>
      <sheetName val="Gegebene Werte"/>
      <sheetName val="Verbindungsberechnungen"/>
      <sheetName val="Massenabschätzung"/>
      <sheetName val="Bewertungsmatrix"/>
      <sheetName val="Lösungsmatrix"/>
      <sheetName val="Berechnung freier Bereich"/>
      <sheetName val="Beurteilung"/>
    </sheetNames>
    <sheetDataSet>
      <sheetData sheetId="0" refreshError="1"/>
      <sheetData sheetId="1" refreshError="1"/>
      <sheetData sheetId="2" refreshError="1">
        <row r="5">
          <cell r="B5">
            <v>171</v>
          </cell>
        </row>
        <row r="90">
          <cell r="B90">
            <v>6</v>
          </cell>
          <cell r="C90">
            <v>8</v>
          </cell>
        </row>
      </sheetData>
      <sheetData sheetId="3" refreshError="1">
        <row r="5">
          <cell r="B5">
            <v>85.5</v>
          </cell>
          <cell r="D5">
            <v>142</v>
          </cell>
        </row>
        <row r="9">
          <cell r="E9">
            <v>398</v>
          </cell>
        </row>
        <row r="10">
          <cell r="E10">
            <v>5.8257903222248206</v>
          </cell>
        </row>
        <row r="17">
          <cell r="B17">
            <v>1.5149999999999999</v>
          </cell>
        </row>
        <row r="25">
          <cell r="A25" t="str">
            <v>Klebung</v>
          </cell>
        </row>
        <row r="39">
          <cell r="A39" t="str">
            <v>Bolzenverbindung</v>
          </cell>
        </row>
        <row r="40">
          <cell r="B40">
            <v>112</v>
          </cell>
        </row>
        <row r="46">
          <cell r="B46">
            <v>12.958118093367355</v>
          </cell>
        </row>
        <row r="52">
          <cell r="A52" t="str">
            <v>Bolzenverbindung mit Titanblechen</v>
          </cell>
        </row>
        <row r="53">
          <cell r="B53">
            <v>80</v>
          </cell>
        </row>
        <row r="59">
          <cell r="B59">
            <v>12.502662568621972</v>
          </cell>
        </row>
        <row r="65">
          <cell r="A65" t="str">
            <v>Pressverband</v>
          </cell>
        </row>
        <row r="66">
          <cell r="B66">
            <v>140</v>
          </cell>
        </row>
        <row r="72">
          <cell r="B72">
            <v>13.901105533866655</v>
          </cell>
        </row>
        <row r="78">
          <cell r="A78" t="str">
            <v>Anflanschung an curvic coupling</v>
          </cell>
        </row>
        <row r="91">
          <cell r="A91" t="str">
            <v>Anflanschung an stubshaft</v>
          </cell>
        </row>
        <row r="98">
          <cell r="E98">
            <v>4.8620836472735274</v>
          </cell>
        </row>
        <row r="104">
          <cell r="A104" t="str">
            <v>Profilverbindung</v>
          </cell>
        </row>
        <row r="105">
          <cell r="B105">
            <v>116</v>
          </cell>
        </row>
        <row r="111">
          <cell r="B111">
            <v>13.979261923272066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lfsrechnungen"/>
      <sheetName val="Mat.-Datenbank"/>
      <sheetName val="ABD-Rechner"/>
      <sheetName val="Matrizenrechnung"/>
      <sheetName val="TSAI-WU-Rechner"/>
      <sheetName val="Puck"/>
      <sheetName val="Cuntze"/>
      <sheetName val="Tabelle2"/>
    </sheetNames>
    <sheetDataSet>
      <sheetData sheetId="0">
        <row r="18">
          <cell r="Q18">
            <v>0</v>
          </cell>
        </row>
      </sheetData>
      <sheetData sheetId="1"/>
      <sheetData sheetId="2">
        <row r="3">
          <cell r="AO3">
            <v>0</v>
          </cell>
          <cell r="AS3"/>
        </row>
        <row r="4">
          <cell r="AO4">
            <v>0</v>
          </cell>
          <cell r="AS4"/>
        </row>
        <row r="5">
          <cell r="AO5">
            <v>11355.904357755167</v>
          </cell>
          <cell r="AS5"/>
        </row>
        <row r="10">
          <cell r="E10"/>
          <cell r="F10">
            <v>1</v>
          </cell>
        </row>
        <row r="11">
          <cell r="E11">
            <v>0</v>
          </cell>
        </row>
        <row r="12">
          <cell r="E12"/>
          <cell r="F12">
            <v>1</v>
          </cell>
        </row>
        <row r="13">
          <cell r="E13"/>
          <cell r="F13">
            <v>1</v>
          </cell>
        </row>
        <row r="14">
          <cell r="E14">
            <v>0</v>
          </cell>
        </row>
        <row r="15">
          <cell r="E15"/>
          <cell r="F15">
            <v>1</v>
          </cell>
        </row>
        <row r="16">
          <cell r="E16"/>
          <cell r="F16">
            <v>1</v>
          </cell>
        </row>
        <row r="17">
          <cell r="E17">
            <v>0</v>
          </cell>
        </row>
        <row r="18">
          <cell r="E18"/>
          <cell r="F18">
            <v>1</v>
          </cell>
        </row>
        <row r="19">
          <cell r="E19"/>
          <cell r="F19">
            <v>1</v>
          </cell>
        </row>
        <row r="20">
          <cell r="E20">
            <v>0</v>
          </cell>
        </row>
        <row r="21">
          <cell r="E21"/>
          <cell r="F21">
            <v>1</v>
          </cell>
        </row>
        <row r="22">
          <cell r="E22"/>
          <cell r="F22">
            <v>1</v>
          </cell>
        </row>
        <row r="23">
          <cell r="E23">
            <v>1</v>
          </cell>
        </row>
        <row r="24">
          <cell r="E24"/>
          <cell r="F24">
            <v>0</v>
          </cell>
        </row>
        <row r="25">
          <cell r="E25"/>
          <cell r="F25">
            <v>0</v>
          </cell>
        </row>
        <row r="26">
          <cell r="E26">
            <v>1</v>
          </cell>
        </row>
        <row r="27">
          <cell r="E27"/>
          <cell r="F27">
            <v>-1</v>
          </cell>
        </row>
        <row r="28">
          <cell r="E28"/>
          <cell r="F28">
            <v>-1</v>
          </cell>
        </row>
        <row r="29">
          <cell r="E29">
            <v>0</v>
          </cell>
        </row>
        <row r="30">
          <cell r="E30"/>
          <cell r="F30">
            <v>-1</v>
          </cell>
        </row>
        <row r="31">
          <cell r="E31"/>
          <cell r="F31">
            <v>-1</v>
          </cell>
        </row>
        <row r="32">
          <cell r="E32">
            <v>0</v>
          </cell>
        </row>
        <row r="33">
          <cell r="E33"/>
          <cell r="F33">
            <v>-1</v>
          </cell>
        </row>
        <row r="34">
          <cell r="E34"/>
          <cell r="F34">
            <v>-1</v>
          </cell>
        </row>
        <row r="35">
          <cell r="E35">
            <v>0</v>
          </cell>
        </row>
        <row r="36">
          <cell r="E36"/>
          <cell r="F36">
            <v>-1</v>
          </cell>
        </row>
        <row r="37">
          <cell r="E37"/>
          <cell r="F37">
            <v>-1</v>
          </cell>
        </row>
        <row r="38">
          <cell r="E38">
            <v>0</v>
          </cell>
        </row>
        <row r="39">
          <cell r="E39"/>
          <cell r="F39">
            <v>-1</v>
          </cell>
        </row>
        <row r="40">
          <cell r="E40"/>
          <cell r="F40">
            <v>-1</v>
          </cell>
        </row>
        <row r="41">
          <cell r="E41">
            <v>0</v>
          </cell>
        </row>
        <row r="42">
          <cell r="E42"/>
          <cell r="F42">
            <v>-1</v>
          </cell>
        </row>
        <row r="45">
          <cell r="S45">
            <v>-9.4040051020407179E-5</v>
          </cell>
        </row>
        <row r="46">
          <cell r="S46">
            <v>3.1014956632653056E-3</v>
          </cell>
        </row>
        <row r="47">
          <cell r="S47">
            <v>-2.0679681122448973E-3</v>
          </cell>
        </row>
        <row r="48">
          <cell r="S48">
            <v>0</v>
          </cell>
        </row>
        <row r="49">
          <cell r="S49">
            <v>0</v>
          </cell>
        </row>
        <row r="50">
          <cell r="S50">
            <v>0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rphologischer Kasten"/>
      <sheetName val="Gegebene Werte"/>
      <sheetName val="Verbindungsberechnungen"/>
      <sheetName val="Massenabschätzung"/>
      <sheetName val="Bewertungsmatrix"/>
      <sheetName val="Lösungsmatrix"/>
      <sheetName val="Hilfsrechnungen"/>
      <sheetName val="BerechnungenCLT"/>
      <sheetName val="Berechnung freier Bereich"/>
      <sheetName val="Beurteilung"/>
      <sheetName val="ToKoKo-SunShaft_Ueberschlagsrec"/>
    </sheetNames>
    <definedNames>
      <definedName name="XAchse" refersTo="#BEZUG!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3">
          <cell r="CK23">
            <v>0</v>
          </cell>
          <cell r="CL23">
            <v>85.5</v>
          </cell>
        </row>
        <row r="24">
          <cell r="CK24">
            <v>43.333333333333336</v>
          </cell>
          <cell r="CL24">
            <v>85.5</v>
          </cell>
        </row>
        <row r="25">
          <cell r="CK25">
            <v>86.666666666666671</v>
          </cell>
          <cell r="CL25">
            <v>85.5</v>
          </cell>
        </row>
        <row r="26">
          <cell r="CK26">
            <v>130</v>
          </cell>
          <cell r="CL26">
            <v>85.5</v>
          </cell>
        </row>
        <row r="27">
          <cell r="CK27">
            <v>150</v>
          </cell>
          <cell r="CL27">
            <v>90</v>
          </cell>
        </row>
        <row r="28">
          <cell r="CK28">
            <v>190</v>
          </cell>
          <cell r="CL28">
            <v>120</v>
          </cell>
        </row>
        <row r="29">
          <cell r="CK29">
            <v>225</v>
          </cell>
          <cell r="CL29">
            <v>85.5</v>
          </cell>
        </row>
        <row r="30">
          <cell r="CK30">
            <v>265</v>
          </cell>
          <cell r="CL30">
            <v>110</v>
          </cell>
        </row>
        <row r="31">
          <cell r="CK31">
            <v>288</v>
          </cell>
          <cell r="CL31">
            <v>138</v>
          </cell>
        </row>
        <row r="32">
          <cell r="CK32">
            <v>310</v>
          </cell>
          <cell r="CL32">
            <v>141.5</v>
          </cell>
        </row>
        <row r="33">
          <cell r="CK33">
            <v>350</v>
          </cell>
          <cell r="CL33">
            <v>141.5</v>
          </cell>
        </row>
        <row r="34">
          <cell r="CK34">
            <v>390.3</v>
          </cell>
          <cell r="CL34">
            <v>141.5</v>
          </cell>
        </row>
        <row r="44">
          <cell r="CQ44"/>
        </row>
        <row r="51">
          <cell r="B51">
            <v>0</v>
          </cell>
          <cell r="BX51">
            <v>-4.7892329720364186E-5</v>
          </cell>
          <cell r="CQ51"/>
        </row>
        <row r="52">
          <cell r="B52">
            <v>1</v>
          </cell>
          <cell r="BX52">
            <v>-1.9156947934002811E-4</v>
          </cell>
          <cell r="CQ52"/>
        </row>
        <row r="53">
          <cell r="B53">
            <v>2</v>
          </cell>
          <cell r="BX53">
            <v>-4.3103176549524511E-4</v>
          </cell>
          <cell r="CQ53"/>
        </row>
        <row r="54">
          <cell r="B54">
            <v>3</v>
          </cell>
          <cell r="BX54">
            <v>-7.6627949196002635E-4</v>
          </cell>
          <cell r="CQ54"/>
        </row>
        <row r="55">
          <cell r="B55">
            <v>4</v>
          </cell>
          <cell r="BX55">
            <v>-1.1973129410437326E-3</v>
          </cell>
          <cell r="CQ55"/>
        </row>
        <row r="56">
          <cell r="B56">
            <v>5</v>
          </cell>
          <cell r="BX56">
            <v>-1.7241323649857172E-3</v>
          </cell>
          <cell r="CQ56"/>
        </row>
        <row r="57">
          <cell r="B57">
            <v>6</v>
          </cell>
          <cell r="BX57">
            <v>-2.3467379773470512E-3</v>
          </cell>
          <cell r="CQ57"/>
        </row>
        <row r="58">
          <cell r="B58">
            <v>7</v>
          </cell>
          <cell r="BX58">
            <v>-3.0651299443993727E-3</v>
          </cell>
          <cell r="CQ58"/>
        </row>
        <row r="59">
          <cell r="B59">
            <v>8</v>
          </cell>
          <cell r="BX59">
            <v>-3.8793083765109094E-3</v>
          </cell>
          <cell r="CQ59"/>
        </row>
        <row r="60">
          <cell r="B60">
            <v>9</v>
          </cell>
          <cell r="BX60">
            <v>-4.7892733195297379E-3</v>
          </cell>
          <cell r="CQ60"/>
        </row>
        <row r="61">
          <cell r="B61">
            <v>10</v>
          </cell>
          <cell r="BX61">
            <v>-5.7950247461643501E-3</v>
          </cell>
          <cell r="CQ61"/>
        </row>
        <row r="62">
          <cell r="B62">
            <v>11</v>
          </cell>
          <cell r="BX62">
            <v>-6.8965625473616154E-3</v>
          </cell>
          <cell r="CQ62"/>
        </row>
        <row r="63">
          <cell r="B63">
            <v>12</v>
          </cell>
          <cell r="BX63">
            <v>-8.0938865236822189E-3</v>
          </cell>
          <cell r="CQ63"/>
        </row>
        <row r="64">
          <cell r="B64">
            <v>13</v>
          </cell>
          <cell r="BX64">
            <v>-9.3869963766736939E-3</v>
          </cell>
          <cell r="CQ64"/>
        </row>
        <row r="65">
          <cell r="B65">
            <v>14</v>
          </cell>
          <cell r="BX65">
            <v>-1.0775891700241151E-2</v>
          </cell>
          <cell r="CQ65"/>
        </row>
        <row r="66">
          <cell r="B66">
            <v>15</v>
          </cell>
          <cell r="BX66">
            <v>-1.2260571972054574E-2</v>
          </cell>
          <cell r="CQ66"/>
        </row>
        <row r="67">
          <cell r="B67">
            <v>16</v>
          </cell>
          <cell r="BX67">
            <v>-1.3841036549449477E-2</v>
          </cell>
          <cell r="CQ67"/>
        </row>
        <row r="68">
          <cell r="B68">
            <v>17</v>
          </cell>
          <cell r="BX68">
            <v>-1.5517284686898945E-2</v>
          </cell>
          <cell r="CQ68"/>
        </row>
        <row r="69">
          <cell r="B69">
            <v>18</v>
          </cell>
          <cell r="BX69">
            <v>-1.7289315574831231E-2</v>
          </cell>
          <cell r="CQ69"/>
        </row>
        <row r="70">
          <cell r="B70">
            <v>19</v>
          </cell>
          <cell r="BX70">
            <v>-1.9157128382640838E-2</v>
          </cell>
          <cell r="CQ70"/>
        </row>
        <row r="71">
          <cell r="B71">
            <v>20</v>
          </cell>
          <cell r="BX71">
            <v>-2.1120722301626992E-2</v>
          </cell>
          <cell r="CQ71"/>
        </row>
        <row r="72">
          <cell r="B72">
            <v>21</v>
          </cell>
          <cell r="BX72">
            <v>-2.3180096587859456E-2</v>
          </cell>
          <cell r="CQ72"/>
        </row>
        <row r="73">
          <cell r="B73">
            <v>22</v>
          </cell>
          <cell r="BX73">
            <v>-2.5335250604972E-2</v>
          </cell>
          <cell r="CQ73"/>
        </row>
        <row r="74">
          <cell r="B74">
            <v>23</v>
          </cell>
          <cell r="BX74">
            <v>-2.758618386688402E-2</v>
          </cell>
          <cell r="CQ74"/>
        </row>
        <row r="75">
          <cell r="B75">
            <v>24</v>
          </cell>
          <cell r="BX75">
            <v>-2.9932896080451056E-2</v>
          </cell>
          <cell r="CQ75"/>
        </row>
        <row r="76">
          <cell r="B76">
            <v>25</v>
          </cell>
          <cell r="BX76">
            <v>-3.2375387188045279E-2</v>
          </cell>
          <cell r="CQ76"/>
        </row>
        <row r="77">
          <cell r="B77">
            <v>26</v>
          </cell>
          <cell r="BX77">
            <v>-3.4913657410067148E-2</v>
          </cell>
          <cell r="CQ77"/>
        </row>
        <row r="78">
          <cell r="B78">
            <v>27</v>
          </cell>
          <cell r="BX78">
            <v>-3.7547707287389855E-2</v>
          </cell>
          <cell r="CQ78"/>
        </row>
        <row r="79">
          <cell r="B79">
            <v>28</v>
          </cell>
          <cell r="BX79">
            <v>-4.0277537723738231E-2</v>
          </cell>
          <cell r="CQ79"/>
        </row>
        <row r="80">
          <cell r="B80">
            <v>29</v>
          </cell>
          <cell r="BX80">
            <v>-4.3103150028004182E-2</v>
          </cell>
          <cell r="CQ80"/>
        </row>
        <row r="81">
          <cell r="B81">
            <v>30</v>
          </cell>
          <cell r="BX81">
            <v>-4.6024545957050494E-2</v>
          </cell>
          <cell r="CQ81"/>
        </row>
        <row r="82">
          <cell r="B82">
            <v>31</v>
          </cell>
          <cell r="BX82">
            <v>-4.9041727744163419E-2</v>
          </cell>
          <cell r="CQ82"/>
        </row>
        <row r="83">
          <cell r="B83">
            <v>32</v>
          </cell>
          <cell r="BX83">
            <v>-5.2154698042939443E-2</v>
          </cell>
          <cell r="CQ83"/>
        </row>
        <row r="84">
          <cell r="B84">
            <v>33</v>
          </cell>
          <cell r="BX84">
            <v>-5.5363459783331209E-2</v>
          </cell>
          <cell r="CQ84"/>
        </row>
        <row r="85">
          <cell r="B85">
            <v>34</v>
          </cell>
          <cell r="BX85">
            <v>-5.8668016009024521E-2</v>
          </cell>
          <cell r="CQ85"/>
        </row>
        <row r="86">
          <cell r="B86">
            <v>35</v>
          </cell>
          <cell r="BX86">
            <v>-6.2068369713767883E-2</v>
          </cell>
          <cell r="CQ86"/>
        </row>
        <row r="87">
          <cell r="B87">
            <v>36</v>
          </cell>
          <cell r="BX87">
            <v>-6.5564523676653746E-2</v>
          </cell>
          <cell r="CQ87"/>
        </row>
        <row r="88">
          <cell r="B88">
            <v>37</v>
          </cell>
          <cell r="BX88">
            <v>-6.9156480296354253E-2</v>
          </cell>
          <cell r="CQ88"/>
        </row>
        <row r="89">
          <cell r="B89">
            <v>38</v>
          </cell>
          <cell r="BX89">
            <v>-7.2844241424318307E-2</v>
          </cell>
          <cell r="CQ89"/>
        </row>
        <row r="90">
          <cell r="B90">
            <v>39</v>
          </cell>
          <cell r="BX90">
            <v>-7.6627808196940497E-2</v>
          </cell>
          <cell r="CQ90"/>
        </row>
        <row r="91">
          <cell r="B91">
            <v>40</v>
          </cell>
          <cell r="BX91">
            <v>-8.0507180866716405E-2</v>
          </cell>
          <cell r="CQ91"/>
        </row>
        <row r="92">
          <cell r="B92">
            <v>41</v>
          </cell>
          <cell r="BX92">
            <v>-8.4482358632402846E-2</v>
          </cell>
          <cell r="CQ92"/>
        </row>
        <row r="93">
          <cell r="B93">
            <v>42</v>
          </cell>
          <cell r="BX93">
            <v>-8.8553339468205816E-2</v>
          </cell>
          <cell r="CQ93"/>
        </row>
        <row r="94">
          <cell r="B94">
            <v>43</v>
          </cell>
          <cell r="BX94">
            <v>-9.2720119952022756E-2</v>
          </cell>
          <cell r="CQ94"/>
        </row>
        <row r="95">
          <cell r="B95">
            <v>44</v>
          </cell>
          <cell r="BX95">
            <v>-9.6982695092770355E-2</v>
          </cell>
          <cell r="CQ95"/>
        </row>
        <row r="96">
          <cell r="B96">
            <v>45</v>
          </cell>
          <cell r="BX96">
            <v>-0.10134105815907449</v>
          </cell>
          <cell r="CQ96"/>
        </row>
        <row r="97">
          <cell r="B97">
            <v>46</v>
          </cell>
          <cell r="BX97">
            <v>-0.1057952005381754</v>
          </cell>
          <cell r="CQ97"/>
        </row>
        <row r="98">
          <cell r="B98">
            <v>47</v>
          </cell>
          <cell r="BX98">
            <v>-0.11034511169613322</v>
          </cell>
          <cell r="CQ98"/>
        </row>
        <row r="99">
          <cell r="B99">
            <v>48</v>
          </cell>
          <cell r="BX99">
            <v>-0.11499077922790182</v>
          </cell>
          <cell r="CQ99"/>
        </row>
        <row r="100">
          <cell r="B100">
            <v>49</v>
          </cell>
          <cell r="BX100">
            <v>-0.11973218892434895</v>
          </cell>
          <cell r="CQ100"/>
        </row>
        <row r="101">
          <cell r="B101">
            <v>50</v>
          </cell>
          <cell r="BX101">
            <v>-0.12456932483921651</v>
          </cell>
          <cell r="CQ101"/>
        </row>
        <row r="102">
          <cell r="B102">
            <v>51</v>
          </cell>
          <cell r="BX102">
            <v>-0.12950216935600531</v>
          </cell>
          <cell r="CQ102"/>
        </row>
        <row r="103">
          <cell r="B103">
            <v>52</v>
          </cell>
          <cell r="BX103">
            <v>-0.13453070325476843</v>
          </cell>
          <cell r="CQ103"/>
        </row>
        <row r="104">
          <cell r="B104">
            <v>53</v>
          </cell>
          <cell r="BX104">
            <v>-0.13965490577879894</v>
          </cell>
          <cell r="CQ104"/>
        </row>
        <row r="105">
          <cell r="B105">
            <v>54</v>
          </cell>
          <cell r="BX105">
            <v>-0.14487475470119729</v>
          </cell>
          <cell r="CQ105"/>
        </row>
        <row r="106">
          <cell r="B106">
            <v>55</v>
          </cell>
          <cell r="BX106">
            <v>-0.15019022639130547</v>
          </cell>
          <cell r="CQ106"/>
        </row>
        <row r="107">
          <cell r="B107">
            <v>56</v>
          </cell>
          <cell r="BX107">
            <v>-0.15560129588099461</v>
          </cell>
          <cell r="CQ107"/>
        </row>
        <row r="108">
          <cell r="B108">
            <v>57</v>
          </cell>
          <cell r="BX108">
            <v>-0.16110793693079403</v>
          </cell>
          <cell r="CQ108"/>
        </row>
        <row r="109">
          <cell r="B109">
            <v>58</v>
          </cell>
          <cell r="BX109">
            <v>-0.16671012209585015</v>
          </cell>
          <cell r="CQ109"/>
        </row>
        <row r="110">
          <cell r="B110">
            <v>59</v>
          </cell>
          <cell r="BX110">
            <v>-0.17240782279170427</v>
          </cell>
          <cell r="CQ110"/>
        </row>
        <row r="111">
          <cell r="B111">
            <v>60</v>
          </cell>
          <cell r="BX111">
            <v>-0.17820100935987879</v>
          </cell>
          <cell r="CQ111"/>
        </row>
        <row r="112">
          <cell r="B112">
            <v>61</v>
          </cell>
          <cell r="BX112">
            <v>-0.18408965113326234</v>
          </cell>
          <cell r="CQ112"/>
        </row>
        <row r="113">
          <cell r="B113">
            <v>62</v>
          </cell>
          <cell r="BX113">
            <v>-0.1900737165012846</v>
          </cell>
          <cell r="CQ113"/>
        </row>
        <row r="114">
          <cell r="B114">
            <v>63</v>
          </cell>
          <cell r="BX114">
            <v>-0.19615317297487236</v>
          </cell>
          <cell r="CQ114"/>
        </row>
        <row r="115">
          <cell r="B115">
            <v>64</v>
          </cell>
          <cell r="BX115">
            <v>-0.20232798725117887</v>
          </cell>
          <cell r="CQ115"/>
        </row>
        <row r="116">
          <cell r="B116">
            <v>65</v>
          </cell>
          <cell r="BX116">
            <v>-0.20859837189805563</v>
          </cell>
          <cell r="CQ116"/>
        </row>
        <row r="117">
          <cell r="B117">
            <v>66</v>
          </cell>
          <cell r="BX117">
            <v>-0.21496453870127666</v>
          </cell>
          <cell r="CQ117"/>
        </row>
        <row r="118">
          <cell r="B118">
            <v>67</v>
          </cell>
          <cell r="BX118">
            <v>-0.22142645210692641</v>
          </cell>
          <cell r="CQ118"/>
        </row>
        <row r="119">
          <cell r="B119">
            <v>68</v>
          </cell>
          <cell r="BX119">
            <v>-0.22798407600071854</v>
          </cell>
          <cell r="CQ119"/>
        </row>
        <row r="120">
          <cell r="B120">
            <v>69</v>
          </cell>
          <cell r="BX120">
            <v>-0.23463737377184588</v>
          </cell>
          <cell r="CQ120"/>
        </row>
        <row r="121">
          <cell r="B121">
            <v>70</v>
          </cell>
          <cell r="BX121">
            <v>-0.24138630837656769</v>
          </cell>
          <cell r="CQ121"/>
        </row>
        <row r="122">
          <cell r="B122">
            <v>71</v>
          </cell>
          <cell r="BX122">
            <v>-0.24823084240153045</v>
          </cell>
          <cell r="CQ122"/>
        </row>
        <row r="123">
          <cell r="B123">
            <v>72</v>
          </cell>
          <cell r="BX123">
            <v>-0.25517093812681896</v>
          </cell>
          <cell r="CQ123"/>
        </row>
        <row r="124">
          <cell r="B124">
            <v>73</v>
          </cell>
          <cell r="BX124">
            <v>-0.26220655758873501</v>
          </cell>
          <cell r="CQ124"/>
        </row>
        <row r="125">
          <cell r="B125">
            <v>74</v>
          </cell>
          <cell r="BX125">
            <v>-0.2693376626423018</v>
          </cell>
          <cell r="CQ125"/>
        </row>
        <row r="126">
          <cell r="B126">
            <v>75</v>
          </cell>
          <cell r="BX126">
            <v>-0.27656421502349204</v>
          </cell>
          <cell r="CQ126"/>
        </row>
        <row r="127">
          <cell r="B127">
            <v>76</v>
          </cell>
          <cell r="BX127">
            <v>-0.28388617641117958</v>
          </cell>
          <cell r="CQ127"/>
        </row>
        <row r="128">
          <cell r="B128">
            <v>77</v>
          </cell>
          <cell r="BX128">
            <v>-0.29130350848881303</v>
          </cell>
          <cell r="CQ128"/>
        </row>
        <row r="129">
          <cell r="B129">
            <v>78</v>
          </cell>
          <cell r="BX129">
            <v>-0.29881617300581254</v>
          </cell>
          <cell r="CQ129"/>
        </row>
        <row r="130">
          <cell r="B130">
            <v>79</v>
          </cell>
          <cell r="BX130">
            <v>-0.30642413183868955</v>
          </cell>
          <cell r="CQ130"/>
        </row>
        <row r="131">
          <cell r="B131">
            <v>80</v>
          </cell>
          <cell r="BX131">
            <v>-0.3141273470518911</v>
          </cell>
          <cell r="CQ131"/>
        </row>
        <row r="132">
          <cell r="B132">
            <v>81</v>
          </cell>
          <cell r="BX132">
            <v>-0.32192578095836993</v>
          </cell>
          <cell r="CQ132"/>
        </row>
        <row r="133">
          <cell r="B133">
            <v>82</v>
          </cell>
          <cell r="BX133">
            <v>-0.32981939617988315</v>
          </cell>
          <cell r="CQ133"/>
        </row>
        <row r="134">
          <cell r="B134">
            <v>83</v>
          </cell>
          <cell r="BX134">
            <v>-0.33780840255440181</v>
          </cell>
          <cell r="CQ134"/>
        </row>
        <row r="135">
          <cell r="B135">
            <v>84</v>
          </cell>
          <cell r="BX135">
            <v>-0.34589301024732094</v>
          </cell>
          <cell r="CQ135"/>
        </row>
        <row r="136">
          <cell r="B136">
            <v>85</v>
          </cell>
          <cell r="BX136">
            <v>-0.354073182965008</v>
          </cell>
          <cell r="CQ136"/>
        </row>
        <row r="137">
          <cell r="B137">
            <v>86</v>
          </cell>
          <cell r="BX137">
            <v>-0.36234888496419176</v>
          </cell>
          <cell r="CQ137"/>
        </row>
        <row r="138">
          <cell r="B138">
            <v>87</v>
          </cell>
          <cell r="BX138">
            <v>-0.37072008111128085</v>
          </cell>
          <cell r="CQ138"/>
        </row>
        <row r="139">
          <cell r="B139">
            <v>88</v>
          </cell>
          <cell r="BX139">
            <v>-0.37918673694143229</v>
          </cell>
          <cell r="CQ139"/>
        </row>
        <row r="140">
          <cell r="B140">
            <v>89</v>
          </cell>
          <cell r="BX140">
            <v>-0.3877488187173761</v>
          </cell>
          <cell r="CQ140"/>
        </row>
        <row r="141">
          <cell r="B141">
            <v>90</v>
          </cell>
          <cell r="BX141">
            <v>-0.39640629348800155</v>
          </cell>
          <cell r="CQ141"/>
        </row>
        <row r="142">
          <cell r="B142">
            <v>91</v>
          </cell>
          <cell r="BX142">
            <v>-0.4051591291467122</v>
          </cell>
          <cell r="CQ142"/>
        </row>
        <row r="143">
          <cell r="B143">
            <v>92</v>
          </cell>
          <cell r="BX143">
            <v>-0.41400729448955631</v>
          </cell>
          <cell r="CQ143"/>
        </row>
        <row r="144">
          <cell r="B144">
            <v>93</v>
          </cell>
          <cell r="BX144">
            <v>-0.42295075927313985</v>
          </cell>
          <cell r="CQ144"/>
        </row>
        <row r="145">
          <cell r="B145">
            <v>94</v>
          </cell>
          <cell r="BX145">
            <v>-0.43198949427199324</v>
          </cell>
          <cell r="CQ145"/>
        </row>
        <row r="146">
          <cell r="B146">
            <v>95</v>
          </cell>
          <cell r="BX146">
            <v>-0.44112347132224705</v>
          </cell>
          <cell r="CQ146"/>
        </row>
        <row r="147">
          <cell r="B147">
            <v>96</v>
          </cell>
          <cell r="BX147">
            <v>-0.45035266331416324</v>
          </cell>
          <cell r="CQ147"/>
        </row>
        <row r="148">
          <cell r="B148">
            <v>97</v>
          </cell>
          <cell r="BX148">
            <v>-0.45967704411624505</v>
          </cell>
          <cell r="CQ148"/>
        </row>
        <row r="149">
          <cell r="B149">
            <v>98</v>
          </cell>
          <cell r="BX149">
            <v>-0.46909658846665919</v>
          </cell>
          <cell r="CQ149"/>
        </row>
        <row r="150">
          <cell r="B150">
            <v>99</v>
          </cell>
          <cell r="BX150">
            <v>-0.47861127186234131</v>
          </cell>
          <cell r="CQ150"/>
        </row>
        <row r="151">
          <cell r="B151">
            <v>100</v>
          </cell>
          <cell r="BX151">
            <v>-0.48822107044778151</v>
          </cell>
          <cell r="CQ151"/>
        </row>
        <row r="152">
          <cell r="B152">
            <v>101</v>
          </cell>
          <cell r="BX152">
            <v>-0.49792596090347946</v>
          </cell>
          <cell r="CQ152"/>
        </row>
        <row r="153">
          <cell r="B153">
            <v>102</v>
          </cell>
          <cell r="BX153">
            <v>-0.50772592033406005</v>
          </cell>
          <cell r="CQ153"/>
        </row>
        <row r="154">
          <cell r="B154">
            <v>103</v>
          </cell>
          <cell r="BX154">
            <v>-0.51762092615604338</v>
          </cell>
          <cell r="CQ154"/>
        </row>
        <row r="155">
          <cell r="B155">
            <v>104</v>
          </cell>
          <cell r="BX155">
            <v>-0.52761095598526253</v>
          </cell>
          <cell r="CQ155"/>
        </row>
        <row r="156">
          <cell r="B156">
            <v>105</v>
          </cell>
          <cell r="BX156">
            <v>-0.53769598752392678</v>
          </cell>
          <cell r="CQ156"/>
        </row>
        <row r="157">
          <cell r="B157">
            <v>106</v>
          </cell>
          <cell r="BX157">
            <v>-0.54787599844732759</v>
          </cell>
          <cell r="CQ157"/>
        </row>
        <row r="158">
          <cell r="B158">
            <v>107</v>
          </cell>
          <cell r="BX158">
            <v>-0.55815121336642626</v>
          </cell>
          <cell r="CQ158"/>
        </row>
        <row r="159">
          <cell r="B159">
            <v>108</v>
          </cell>
          <cell r="BX159">
            <v>-0.56852185657393761</v>
          </cell>
          <cell r="CQ159"/>
        </row>
        <row r="160">
          <cell r="B160">
            <v>109</v>
          </cell>
          <cell r="BX160">
            <v>-0.57898790485257079</v>
          </cell>
          <cell r="CQ160"/>
        </row>
        <row r="161">
          <cell r="B161">
            <v>110</v>
          </cell>
          <cell r="BX161">
            <v>-0.58954933449875335</v>
          </cell>
          <cell r="CQ161"/>
        </row>
        <row r="162">
          <cell r="B162">
            <v>111</v>
          </cell>
          <cell r="BX162">
            <v>-0.6002061212069526</v>
          </cell>
          <cell r="CQ162"/>
        </row>
        <row r="163">
          <cell r="B163">
            <v>112</v>
          </cell>
          <cell r="BX163">
            <v>-0.61095823995366572</v>
          </cell>
          <cell r="CQ163"/>
        </row>
        <row r="164">
          <cell r="B164">
            <v>113</v>
          </cell>
          <cell r="BX164">
            <v>-0.62180566488109135</v>
          </cell>
          <cell r="CQ164"/>
        </row>
        <row r="165">
          <cell r="B165">
            <v>114</v>
          </cell>
          <cell r="BX165">
            <v>-0.63274836918049493</v>
          </cell>
          <cell r="CQ165"/>
        </row>
        <row r="166">
          <cell r="B166">
            <v>115</v>
          </cell>
          <cell r="BX166">
            <v>-0.64378632497528321</v>
          </cell>
          <cell r="CQ166"/>
        </row>
        <row r="167">
          <cell r="B167">
            <v>116</v>
          </cell>
          <cell r="BX167">
            <v>-0.65491950320380454</v>
          </cell>
          <cell r="CQ167"/>
        </row>
        <row r="168">
          <cell r="B168">
            <v>117</v>
          </cell>
          <cell r="BX168">
            <v>-0.66614787350189475</v>
          </cell>
          <cell r="CQ168"/>
        </row>
        <row r="169">
          <cell r="B169">
            <v>118</v>
          </cell>
          <cell r="BX169">
            <v>-0.67747140408518858</v>
          </cell>
          <cell r="CQ169"/>
        </row>
        <row r="170">
          <cell r="B170">
            <v>119</v>
          </cell>
          <cell r="BX170">
            <v>-0.6888900616312208</v>
          </cell>
          <cell r="CQ170"/>
        </row>
        <row r="171">
          <cell r="B171">
            <v>120</v>
          </cell>
          <cell r="BX171">
            <v>-0.70040381116134087</v>
          </cell>
          <cell r="CQ171"/>
        </row>
        <row r="172">
          <cell r="B172">
            <v>121</v>
          </cell>
          <cell r="BX172">
            <v>-0.71201261592246867</v>
          </cell>
          <cell r="CQ172"/>
        </row>
        <row r="173">
          <cell r="B173">
            <v>122</v>
          </cell>
          <cell r="BX173">
            <v>-0.72371643726872081</v>
          </cell>
          <cell r="CQ173"/>
        </row>
        <row r="174">
          <cell r="B174">
            <v>123</v>
          </cell>
          <cell r="BX174">
            <v>-0.73551523454293799</v>
          </cell>
          <cell r="CQ174"/>
        </row>
        <row r="175">
          <cell r="B175">
            <v>124</v>
          </cell>
          <cell r="BX175">
            <v>-0.74740896495814624</v>
          </cell>
          <cell r="CQ175"/>
        </row>
        <row r="176">
          <cell r="B176">
            <v>125</v>
          </cell>
          <cell r="BX176">
            <v>-0.75939758347898845</v>
          </cell>
          <cell r="CQ176"/>
        </row>
        <row r="177">
          <cell r="B177">
            <v>126</v>
          </cell>
          <cell r="BX177">
            <v>-0.7714810427031622</v>
          </cell>
          <cell r="CQ177"/>
        </row>
        <row r="178">
          <cell r="B178">
            <v>127</v>
          </cell>
          <cell r="BX178">
            <v>-0.78365929274290369</v>
          </cell>
          <cell r="CQ178"/>
        </row>
        <row r="179">
          <cell r="B179">
            <v>128</v>
          </cell>
          <cell r="BX179">
            <v>-0.79593252827753036</v>
          </cell>
          <cell r="CQ179"/>
        </row>
        <row r="180">
          <cell r="B180">
            <v>129</v>
          </cell>
          <cell r="BX180">
            <v>-0.80830094110723705</v>
          </cell>
          <cell r="CQ180"/>
        </row>
        <row r="181">
          <cell r="B181">
            <v>130</v>
          </cell>
          <cell r="BX181">
            <v>-0.82076447285602117</v>
          </cell>
          <cell r="CQ181"/>
        </row>
        <row r="182">
          <cell r="B182">
            <v>131</v>
          </cell>
          <cell r="BX182">
            <v>-0.8333230621733887</v>
          </cell>
          <cell r="CQ182"/>
        </row>
        <row r="183">
          <cell r="B183">
            <v>132</v>
          </cell>
          <cell r="BX183">
            <v>-0.84597664461608968</v>
          </cell>
          <cell r="CQ183"/>
        </row>
        <row r="184">
          <cell r="B184">
            <v>133</v>
          </cell>
          <cell r="BX184">
            <v>-0.85872515253018056</v>
          </cell>
          <cell r="CQ184"/>
        </row>
        <row r="185">
          <cell r="B185">
            <v>134</v>
          </cell>
          <cell r="BX185">
            <v>-0.87156851493346799</v>
          </cell>
          <cell r="CQ185"/>
        </row>
        <row r="186">
          <cell r="B186">
            <v>135</v>
          </cell>
          <cell r="BX186">
            <v>-0.88450665739838918</v>
          </cell>
          <cell r="CQ186"/>
        </row>
        <row r="187">
          <cell r="B187">
            <v>136</v>
          </cell>
          <cell r="BX187">
            <v>-0.89753950193538712</v>
          </cell>
          <cell r="CQ187"/>
        </row>
        <row r="188">
          <cell r="B188">
            <v>137</v>
          </cell>
          <cell r="BX188">
            <v>-0.9106669668768399</v>
          </cell>
          <cell r="CQ188"/>
        </row>
        <row r="189">
          <cell r="B189">
            <v>138</v>
          </cell>
          <cell r="BX189">
            <v>-0.92388921407819968</v>
          </cell>
          <cell r="CQ189"/>
        </row>
        <row r="190">
          <cell r="B190">
            <v>139</v>
          </cell>
          <cell r="BX190">
            <v>-0.93720640123342858</v>
          </cell>
          <cell r="CQ190"/>
        </row>
        <row r="191">
          <cell r="B191">
            <v>140</v>
          </cell>
          <cell r="BX191">
            <v>-0.95061843443316318</v>
          </cell>
          <cell r="CQ191"/>
        </row>
        <row r="192">
          <cell r="B192">
            <v>141</v>
          </cell>
          <cell r="BX192">
            <v>-0.96412521560977005</v>
          </cell>
          <cell r="CQ192"/>
        </row>
        <row r="193">
          <cell r="B193">
            <v>142</v>
          </cell>
          <cell r="BX193">
            <v>-0.97772664242440332</v>
          </cell>
          <cell r="CQ193"/>
        </row>
        <row r="194">
          <cell r="B194">
            <v>143</v>
          </cell>
          <cell r="BX194">
            <v>-0.99142260815502004</v>
          </cell>
          <cell r="CQ194"/>
        </row>
        <row r="195">
          <cell r="B195">
            <v>144</v>
          </cell>
          <cell r="BX195">
            <v>-1.0052130015854253</v>
          </cell>
          <cell r="CQ195"/>
        </row>
        <row r="196">
          <cell r="B196">
            <v>145</v>
          </cell>
          <cell r="BX196">
            <v>-1.0190979543150096</v>
          </cell>
          <cell r="CQ196"/>
        </row>
        <row r="197">
          <cell r="B197">
            <v>146</v>
          </cell>
          <cell r="BX197">
            <v>-1.033077592889585</v>
          </cell>
          <cell r="CQ197"/>
        </row>
        <row r="198">
          <cell r="B198">
            <v>147</v>
          </cell>
          <cell r="BX198">
            <v>-1.0471517912609998</v>
          </cell>
          <cell r="CQ198"/>
        </row>
        <row r="199">
          <cell r="B199">
            <v>148</v>
          </cell>
          <cell r="BX199">
            <v>-1.0613204184278924</v>
          </cell>
          <cell r="CQ199"/>
        </row>
        <row r="200">
          <cell r="B200">
            <v>149</v>
          </cell>
          <cell r="BX200">
            <v>-1.075583338330474</v>
          </cell>
          <cell r="CQ200"/>
        </row>
        <row r="201">
          <cell r="B201">
            <v>150</v>
          </cell>
          <cell r="BX201">
            <v>-1.0899406574618387</v>
          </cell>
          <cell r="CQ201"/>
        </row>
        <row r="202">
          <cell r="B202">
            <v>151</v>
          </cell>
          <cell r="BX202">
            <v>-1.104392476667525</v>
          </cell>
          <cell r="CQ202"/>
        </row>
        <row r="203">
          <cell r="B203">
            <v>152</v>
          </cell>
          <cell r="BX203">
            <v>-1.1189386433611248</v>
          </cell>
          <cell r="CQ203"/>
        </row>
        <row r="204">
          <cell r="B204">
            <v>153</v>
          </cell>
          <cell r="BX204">
            <v>-1.1335789995723451</v>
          </cell>
          <cell r="CQ204"/>
        </row>
        <row r="205">
          <cell r="B205">
            <v>154</v>
          </cell>
          <cell r="BX205">
            <v>-1.1483133818848146</v>
          </cell>
          <cell r="CQ205"/>
        </row>
        <row r="206">
          <cell r="B206">
            <v>155</v>
          </cell>
          <cell r="BX206">
            <v>-1.1631418690073283</v>
          </cell>
          <cell r="CQ206"/>
        </row>
        <row r="207">
          <cell r="B207">
            <v>156</v>
          </cell>
          <cell r="BX207">
            <v>-1.1780645335904099</v>
          </cell>
          <cell r="CQ207"/>
        </row>
        <row r="208">
          <cell r="B208">
            <v>157</v>
          </cell>
          <cell r="BX208">
            <v>-1.1930811945224495</v>
          </cell>
          <cell r="CQ208"/>
        </row>
        <row r="209">
          <cell r="B209">
            <v>158</v>
          </cell>
          <cell r="BX209">
            <v>-1.2081916649841919</v>
          </cell>
          <cell r="CQ209"/>
        </row>
        <row r="210">
          <cell r="B210">
            <v>159</v>
          </cell>
          <cell r="BX210">
            <v>-1.2233960001093778</v>
          </cell>
          <cell r="CQ210"/>
        </row>
        <row r="211">
          <cell r="B211">
            <v>160</v>
          </cell>
          <cell r="BX211">
            <v>-1.2386942486591181</v>
          </cell>
          <cell r="CQ211"/>
        </row>
        <row r="212">
          <cell r="B212">
            <v>161</v>
          </cell>
          <cell r="BX212">
            <v>-1.2540862052433646</v>
          </cell>
          <cell r="CQ212"/>
        </row>
        <row r="213">
          <cell r="B213">
            <v>162</v>
          </cell>
          <cell r="BX213">
            <v>-1.2695719066750948</v>
          </cell>
          <cell r="CQ213"/>
        </row>
        <row r="214">
          <cell r="B214">
            <v>163</v>
          </cell>
          <cell r="BX214">
            <v>-1.2851513831679804</v>
          </cell>
          <cell r="CQ214"/>
        </row>
        <row r="215">
          <cell r="B215">
            <v>164</v>
          </cell>
          <cell r="BX215">
            <v>-1.3008244101352391</v>
          </cell>
          <cell r="CQ215"/>
        </row>
        <row r="216">
          <cell r="B216">
            <v>165</v>
          </cell>
          <cell r="BX216">
            <v>-1.3165907568908748</v>
          </cell>
          <cell r="CQ216"/>
        </row>
        <row r="217">
          <cell r="B217">
            <v>166</v>
          </cell>
          <cell r="BX217">
            <v>-1.3324504343577352</v>
          </cell>
          <cell r="CQ217"/>
        </row>
        <row r="218">
          <cell r="B218">
            <v>167</v>
          </cell>
          <cell r="BX218">
            <v>-1.348403446597924</v>
          </cell>
          <cell r="CQ218"/>
        </row>
        <row r="219">
          <cell r="B219">
            <v>168</v>
          </cell>
          <cell r="BX219">
            <v>-1.3644495430174575</v>
          </cell>
          <cell r="CQ219"/>
        </row>
        <row r="220">
          <cell r="B220">
            <v>169</v>
          </cell>
          <cell r="BX220">
            <v>-1.3805887145561082</v>
          </cell>
          <cell r="CQ220"/>
        </row>
        <row r="221">
          <cell r="B221">
            <v>170</v>
          </cell>
          <cell r="BX221">
            <v>-1.396820945110272</v>
          </cell>
          <cell r="CQ221"/>
        </row>
        <row r="222">
          <cell r="B222">
            <v>171</v>
          </cell>
          <cell r="BX222">
            <v>-1.4131462121686742</v>
          </cell>
          <cell r="CQ222"/>
        </row>
        <row r="223">
          <cell r="B223">
            <v>172</v>
          </cell>
          <cell r="BX223">
            <v>-1.4295644860528558</v>
          </cell>
          <cell r="CQ223"/>
        </row>
        <row r="224">
          <cell r="B224">
            <v>173</v>
          </cell>
          <cell r="BX224">
            <v>-1.4460754813996974</v>
          </cell>
          <cell r="CQ224"/>
        </row>
        <row r="225">
          <cell r="B225">
            <v>174</v>
          </cell>
          <cell r="BX225">
            <v>-1.4626791546530988</v>
          </cell>
          <cell r="CQ225"/>
        </row>
        <row r="226">
          <cell r="B226">
            <v>175</v>
          </cell>
          <cell r="BX226">
            <v>-1.4793754549441578</v>
          </cell>
          <cell r="CQ226"/>
        </row>
        <row r="227">
          <cell r="B227">
            <v>176</v>
          </cell>
          <cell r="BX227">
            <v>-1.4961643245543874</v>
          </cell>
          <cell r="CQ227"/>
        </row>
        <row r="228">
          <cell r="B228">
            <v>177</v>
          </cell>
          <cell r="BX228">
            <v>-1.5130456983544325</v>
          </cell>
          <cell r="CQ228"/>
        </row>
        <row r="229">
          <cell r="B229">
            <v>178</v>
          </cell>
          <cell r="BX229">
            <v>-1.5300192550333469</v>
          </cell>
          <cell r="CQ229"/>
        </row>
        <row r="230">
          <cell r="B230">
            <v>179</v>
          </cell>
          <cell r="BX230">
            <v>-1.5470849149469248</v>
          </cell>
          <cell r="CQ230"/>
        </row>
        <row r="231">
          <cell r="B231">
            <v>180</v>
          </cell>
          <cell r="BX231">
            <v>-1.5642425909364925</v>
          </cell>
          <cell r="CQ231"/>
        </row>
        <row r="232">
          <cell r="B232">
            <v>181</v>
          </cell>
          <cell r="BX232">
            <v>-1.5814921886095643</v>
          </cell>
          <cell r="CQ232"/>
        </row>
        <row r="233">
          <cell r="B233">
            <v>182</v>
          </cell>
          <cell r="BX233">
            <v>-1.5988336059901691</v>
          </cell>
          <cell r="CQ233"/>
        </row>
        <row r="234">
          <cell r="B234">
            <v>183</v>
          </cell>
          <cell r="BX234">
            <v>-1.6162667337262073</v>
          </cell>
          <cell r="CQ234"/>
        </row>
        <row r="235">
          <cell r="B235">
            <v>184</v>
          </cell>
          <cell r="BX235">
            <v>-1.633791454825428</v>
          </cell>
          <cell r="CQ235"/>
        </row>
        <row r="236">
          <cell r="B236">
            <v>185</v>
          </cell>
          <cell r="BX236">
            <v>-1.6514076447879613</v>
          </cell>
          <cell r="CQ236"/>
        </row>
        <row r="237">
          <cell r="B237">
            <v>186</v>
          </cell>
          <cell r="BX237">
            <v>-1.6691151714299393</v>
          </cell>
          <cell r="CQ237"/>
        </row>
        <row r="238">
          <cell r="B238">
            <v>187</v>
          </cell>
          <cell r="BX238">
            <v>-1.6869138949397748</v>
          </cell>
          <cell r="CQ238"/>
        </row>
        <row r="239">
          <cell r="B239">
            <v>188</v>
          </cell>
          <cell r="BX239">
            <v>-1.7048036677912901</v>
          </cell>
          <cell r="CQ239"/>
        </row>
        <row r="240">
          <cell r="B240">
            <v>189</v>
          </cell>
          <cell r="BX240">
            <v>-1.7227843347224174</v>
          </cell>
          <cell r="CQ240"/>
        </row>
        <row r="241">
          <cell r="B241">
            <v>190</v>
          </cell>
          <cell r="BX241">
            <v>-1.7408557327395613</v>
          </cell>
          <cell r="CQ241"/>
        </row>
        <row r="242">
          <cell r="B242">
            <v>191</v>
          </cell>
          <cell r="BX242">
            <v>-1.7590176910175017</v>
          </cell>
          <cell r="CQ242"/>
        </row>
        <row r="243">
          <cell r="B243">
            <v>192</v>
          </cell>
          <cell r="BX243">
            <v>-1.7772700309965725</v>
          </cell>
          <cell r="CQ243"/>
        </row>
        <row r="244">
          <cell r="B244">
            <v>193</v>
          </cell>
          <cell r="BX244">
            <v>-1.7956128170702306</v>
          </cell>
          <cell r="CQ244"/>
        </row>
        <row r="245">
          <cell r="B245">
            <v>194</v>
          </cell>
          <cell r="BX245">
            <v>-1.8140461046132752</v>
          </cell>
          <cell r="CQ245"/>
        </row>
        <row r="246">
          <cell r="B246">
            <v>195</v>
          </cell>
          <cell r="BX246">
            <v>-1.8325694405770796</v>
          </cell>
          <cell r="CQ246"/>
        </row>
        <row r="247">
          <cell r="B247">
            <v>196</v>
          </cell>
          <cell r="BX247">
            <v>-1.8511826147464576</v>
          </cell>
          <cell r="CQ247"/>
        </row>
        <row r="248">
          <cell r="B248">
            <v>197</v>
          </cell>
          <cell r="BX248">
            <v>-1.869885409203726</v>
          </cell>
          <cell r="CQ248"/>
        </row>
        <row r="249">
          <cell r="B249">
            <v>198</v>
          </cell>
          <cell r="BX249">
            <v>-1.8886778491012928</v>
          </cell>
          <cell r="CQ249"/>
        </row>
        <row r="250">
          <cell r="B250">
            <v>199</v>
          </cell>
          <cell r="BX250">
            <v>-1.9075599505143577</v>
          </cell>
          <cell r="CQ250"/>
        </row>
        <row r="251">
          <cell r="B251">
            <v>200</v>
          </cell>
          <cell r="BX251">
            <v>-1.9265312200174589</v>
          </cell>
          <cell r="CQ251"/>
        </row>
        <row r="252">
          <cell r="B252">
            <v>201</v>
          </cell>
          <cell r="BX252">
            <v>-1.9455916555769348</v>
          </cell>
          <cell r="CQ252"/>
        </row>
        <row r="253">
          <cell r="B253">
            <v>202</v>
          </cell>
          <cell r="BX253">
            <v>-1.9647412397977131</v>
          </cell>
          <cell r="CQ253"/>
        </row>
        <row r="254">
          <cell r="B254">
            <v>203</v>
          </cell>
          <cell r="BX254">
            <v>-1.983979437703014</v>
          </cell>
          <cell r="CQ254"/>
        </row>
        <row r="255">
          <cell r="B255">
            <v>204</v>
          </cell>
          <cell r="BX255">
            <v>-2.0033062000314747</v>
          </cell>
          <cell r="CQ255"/>
        </row>
        <row r="256">
          <cell r="B256">
            <v>205</v>
          </cell>
          <cell r="BX256">
            <v>-2.0227214581306128</v>
          </cell>
          <cell r="CQ256"/>
        </row>
        <row r="257">
          <cell r="B257">
            <v>206</v>
          </cell>
          <cell r="BX257">
            <v>-2.0422248726424153</v>
          </cell>
          <cell r="CQ257"/>
        </row>
        <row r="258">
          <cell r="B258">
            <v>207</v>
          </cell>
          <cell r="BX258">
            <v>-2.0618160841513804</v>
          </cell>
          <cell r="CQ258"/>
        </row>
        <row r="259">
          <cell r="B259">
            <v>208</v>
          </cell>
          <cell r="BX259">
            <v>-2.0814949625075503</v>
          </cell>
          <cell r="CQ259"/>
        </row>
        <row r="260">
          <cell r="B260">
            <v>209</v>
          </cell>
          <cell r="BX260">
            <v>-2.1012613533657483</v>
          </cell>
          <cell r="CQ260"/>
        </row>
        <row r="261">
          <cell r="B261">
            <v>210</v>
          </cell>
          <cell r="BX261">
            <v>-2.1211148263707207</v>
          </cell>
          <cell r="CQ261"/>
        </row>
        <row r="262">
          <cell r="B262">
            <v>211</v>
          </cell>
          <cell r="BX262">
            <v>-2.1410551771501365</v>
          </cell>
          <cell r="CQ262"/>
        </row>
        <row r="263">
          <cell r="B263">
            <v>212</v>
          </cell>
          <cell r="BX263">
            <v>-2.1610819237067482</v>
          </cell>
          <cell r="CQ263"/>
        </row>
        <row r="264">
          <cell r="B264">
            <v>213</v>
          </cell>
          <cell r="BX264">
            <v>-2.1811948065537967</v>
          </cell>
          <cell r="CQ264"/>
        </row>
        <row r="265">
          <cell r="B265">
            <v>214</v>
          </cell>
          <cell r="BX265">
            <v>-2.2013935365318371</v>
          </cell>
          <cell r="CQ265"/>
        </row>
        <row r="266">
          <cell r="B266">
            <v>215</v>
          </cell>
          <cell r="BX266">
            <v>-2.2216777942235781</v>
          </cell>
          <cell r="CQ266"/>
        </row>
        <row r="267">
          <cell r="B267">
            <v>216</v>
          </cell>
          <cell r="BX267">
            <v>-2.2420472286130604</v>
          </cell>
          <cell r="CQ267"/>
        </row>
        <row r="268">
          <cell r="B268">
            <v>217</v>
          </cell>
          <cell r="BX268">
            <v>-2.2625012051723803</v>
          </cell>
          <cell r="CQ268"/>
        </row>
        <row r="269">
          <cell r="B269">
            <v>218</v>
          </cell>
          <cell r="BX269">
            <v>-2.2830393068804247</v>
          </cell>
          <cell r="CQ269"/>
        </row>
        <row r="270">
          <cell r="B270">
            <v>219</v>
          </cell>
          <cell r="BX270">
            <v>-2.3036613324605648</v>
          </cell>
          <cell r="CQ270"/>
        </row>
        <row r="271">
          <cell r="B271">
            <v>220</v>
          </cell>
          <cell r="BX271">
            <v>-2.3243667953192411</v>
          </cell>
          <cell r="CQ271"/>
        </row>
        <row r="272">
          <cell r="B272">
            <v>221</v>
          </cell>
          <cell r="BX272">
            <v>-2.3451551719067476</v>
          </cell>
          <cell r="CQ272"/>
        </row>
        <row r="273">
          <cell r="B273">
            <v>222</v>
          </cell>
          <cell r="BX273">
            <v>-2.3660261515866852</v>
          </cell>
          <cell r="CQ273"/>
        </row>
        <row r="274">
          <cell r="B274">
            <v>223</v>
          </cell>
          <cell r="BX274">
            <v>-2.3869791368106328</v>
          </cell>
          <cell r="CQ274"/>
        </row>
        <row r="275">
          <cell r="B275">
            <v>224</v>
          </cell>
          <cell r="BX275">
            <v>-2.4080134923755807</v>
          </cell>
          <cell r="CQ275"/>
        </row>
        <row r="276">
          <cell r="B276">
            <v>225</v>
          </cell>
          <cell r="BX276">
            <v>-2.4291287933630681</v>
          </cell>
          <cell r="CQ276"/>
        </row>
        <row r="277">
          <cell r="B277">
            <v>226</v>
          </cell>
          <cell r="BX277">
            <v>-2.4503243285603902</v>
          </cell>
          <cell r="CQ277"/>
        </row>
        <row r="278">
          <cell r="B278">
            <v>227</v>
          </cell>
          <cell r="BX278">
            <v>-2.4715993462209047</v>
          </cell>
          <cell r="CQ278"/>
        </row>
        <row r="279">
          <cell r="B279">
            <v>228</v>
          </cell>
          <cell r="BX279">
            <v>-2.4929533034369196</v>
          </cell>
          <cell r="CQ279"/>
        </row>
        <row r="280">
          <cell r="B280">
            <v>229</v>
          </cell>
          <cell r="BX280">
            <v>-2.5143856177547734</v>
          </cell>
          <cell r="CQ280"/>
        </row>
        <row r="281">
          <cell r="B281">
            <v>230</v>
          </cell>
          <cell r="BX281">
            <v>-2.5358956675132398</v>
          </cell>
          <cell r="CQ281"/>
        </row>
        <row r="282">
          <cell r="B282">
            <v>231</v>
          </cell>
          <cell r="BX282">
            <v>-2.5574827914837357</v>
          </cell>
          <cell r="CQ282"/>
        </row>
        <row r="283">
          <cell r="B283">
            <v>232</v>
          </cell>
          <cell r="BX283">
            <v>-2.5791462899743722</v>
          </cell>
          <cell r="CQ283"/>
        </row>
        <row r="284">
          <cell r="B284">
            <v>233</v>
          </cell>
          <cell r="BX284">
            <v>-2.6008854242743533</v>
          </cell>
          <cell r="CQ284"/>
        </row>
        <row r="285">
          <cell r="B285">
            <v>234</v>
          </cell>
          <cell r="BX285">
            <v>-2.6226994185421613</v>
          </cell>
          <cell r="CQ285"/>
        </row>
        <row r="286">
          <cell r="B286">
            <v>235</v>
          </cell>
          <cell r="BX286">
            <v>-2.6445874590457383</v>
          </cell>
          <cell r="CQ286"/>
        </row>
        <row r="287">
          <cell r="B287">
            <v>236</v>
          </cell>
          <cell r="BX287">
            <v>-2.6665486968377539</v>
          </cell>
          <cell r="CQ287"/>
        </row>
        <row r="288">
          <cell r="B288">
            <v>237</v>
          </cell>
          <cell r="BX288">
            <v>-2.688582246780181</v>
          </cell>
          <cell r="CQ288"/>
        </row>
        <row r="289">
          <cell r="B289">
            <v>238</v>
          </cell>
          <cell r="BX289">
            <v>-2.7106874304065998</v>
          </cell>
          <cell r="CQ289"/>
        </row>
        <row r="290">
          <cell r="B290">
            <v>239</v>
          </cell>
          <cell r="BX290">
            <v>-2.7328632958904002</v>
          </cell>
          <cell r="CQ290"/>
        </row>
        <row r="291">
          <cell r="B291">
            <v>240</v>
          </cell>
          <cell r="BX291">
            <v>-2.7551088625102014</v>
          </cell>
          <cell r="CQ291"/>
        </row>
        <row r="292">
          <cell r="B292">
            <v>241</v>
          </cell>
          <cell r="BX292">
            <v>-2.7774233808579374</v>
          </cell>
          <cell r="CQ292"/>
        </row>
        <row r="293">
          <cell r="B293">
            <v>242</v>
          </cell>
          <cell r="BX293">
            <v>-2.7998061152060796</v>
          </cell>
          <cell r="CQ293"/>
        </row>
        <row r="294">
          <cell r="B294">
            <v>243</v>
          </cell>
          <cell r="BX294">
            <v>-2.8222561143905507</v>
          </cell>
          <cell r="CQ294"/>
        </row>
        <row r="295">
          <cell r="B295">
            <v>244</v>
          </cell>
          <cell r="BX295">
            <v>-2.844772451043506</v>
          </cell>
          <cell r="CQ295"/>
        </row>
        <row r="296">
          <cell r="B296">
            <v>245</v>
          </cell>
          <cell r="BX296">
            <v>-2.8673544604578689</v>
          </cell>
          <cell r="CQ296"/>
        </row>
        <row r="297">
          <cell r="B297">
            <v>246</v>
          </cell>
          <cell r="BX297">
            <v>-2.8900015067423479</v>
          </cell>
          <cell r="CQ297"/>
        </row>
        <row r="298">
          <cell r="B298">
            <v>247</v>
          </cell>
          <cell r="BX298">
            <v>-2.9127127508140815</v>
          </cell>
          <cell r="CQ298"/>
        </row>
        <row r="299">
          <cell r="B299">
            <v>248</v>
          </cell>
          <cell r="BX299">
            <v>-2.9354873859560713</v>
          </cell>
          <cell r="CQ299"/>
        </row>
        <row r="300">
          <cell r="B300">
            <v>249</v>
          </cell>
          <cell r="BX300">
            <v>-2.9583248735269314</v>
          </cell>
          <cell r="CQ300"/>
        </row>
        <row r="301">
          <cell r="B301">
            <v>250</v>
          </cell>
          <cell r="BX301">
            <v>-2.9812247107090859</v>
          </cell>
          <cell r="CQ301"/>
        </row>
        <row r="302">
          <cell r="B302">
            <v>251</v>
          </cell>
          <cell r="BX302">
            <v>-3.0041864319084337</v>
          </cell>
          <cell r="CQ302"/>
        </row>
        <row r="303">
          <cell r="B303">
            <v>252</v>
          </cell>
          <cell r="BX303">
            <v>-3.0272093752122879</v>
          </cell>
          <cell r="CQ303"/>
        </row>
        <row r="304">
          <cell r="B304">
            <v>253</v>
          </cell>
          <cell r="BX304">
            <v>-3.0502929172143354</v>
          </cell>
          <cell r="CQ304"/>
        </row>
        <row r="305">
          <cell r="B305">
            <v>254</v>
          </cell>
          <cell r="BX305">
            <v>-3.0734367088197097</v>
          </cell>
          <cell r="CQ305"/>
        </row>
        <row r="306">
          <cell r="B306">
            <v>255</v>
          </cell>
          <cell r="BX306">
            <v>-3.0966402067699135</v>
          </cell>
          <cell r="CQ306"/>
        </row>
        <row r="307">
          <cell r="B307">
            <v>256</v>
          </cell>
          <cell r="BX307">
            <v>-3.1199029087348413</v>
          </cell>
          <cell r="CQ307"/>
        </row>
        <row r="308">
          <cell r="B308">
            <v>257</v>
          </cell>
          <cell r="BX308">
            <v>-3.1432245899510529</v>
          </cell>
          <cell r="CQ308"/>
        </row>
        <row r="309">
          <cell r="B309">
            <v>258</v>
          </cell>
          <cell r="BX309">
            <v>-3.1666048317548836</v>
          </cell>
          <cell r="CQ309"/>
        </row>
        <row r="310">
          <cell r="B310">
            <v>259</v>
          </cell>
          <cell r="BX310">
            <v>-3.1900432585811864</v>
          </cell>
          <cell r="CQ310"/>
        </row>
        <row r="311">
          <cell r="B311">
            <v>260</v>
          </cell>
          <cell r="BX311">
            <v>-3.2135395373435989</v>
          </cell>
          <cell r="CQ311"/>
        </row>
        <row r="312">
          <cell r="B312">
            <v>261</v>
          </cell>
          <cell r="BX312">
            <v>-3.2370933793991381</v>
          </cell>
          <cell r="CQ312"/>
        </row>
        <row r="313">
          <cell r="B313">
            <v>262</v>
          </cell>
          <cell r="BX313">
            <v>-3.26070453918615</v>
          </cell>
          <cell r="CQ313"/>
        </row>
        <row r="314">
          <cell r="B314">
            <v>263</v>
          </cell>
          <cell r="BX314">
            <v>-3.2843728170425397</v>
          </cell>
          <cell r="CQ314"/>
        </row>
        <row r="315">
          <cell r="B315">
            <v>264</v>
          </cell>
          <cell r="BX315">
            <v>-3.3080980570677516</v>
          </cell>
          <cell r="CQ315"/>
        </row>
        <row r="316">
          <cell r="B316">
            <v>265</v>
          </cell>
          <cell r="BX316">
            <v>-3.3318799055703101</v>
          </cell>
          <cell r="CQ316"/>
        </row>
        <row r="317">
          <cell r="B317">
            <v>266</v>
          </cell>
          <cell r="BX317">
            <v>-3.3557182987568788</v>
          </cell>
          <cell r="CQ317"/>
        </row>
        <row r="318">
          <cell r="B318">
            <v>267</v>
          </cell>
          <cell r="BX318">
            <v>-3.3796132176579046</v>
          </cell>
          <cell r="CQ318"/>
        </row>
        <row r="319">
          <cell r="B319">
            <v>268</v>
          </cell>
          <cell r="BX319">
            <v>-3.4035644428591687</v>
          </cell>
          <cell r="CQ319"/>
        </row>
        <row r="320">
          <cell r="B320">
            <v>269</v>
          </cell>
          <cell r="BX320">
            <v>-3.4275720513986569</v>
          </cell>
          <cell r="CQ320"/>
        </row>
        <row r="321">
          <cell r="B321">
            <v>270</v>
          </cell>
          <cell r="BX321">
            <v>-3.4516361665480528</v>
          </cell>
          <cell r="CQ321"/>
        </row>
        <row r="322">
          <cell r="B322">
            <v>271</v>
          </cell>
          <cell r="BX322">
            <v>-3.4757567067393045</v>
          </cell>
          <cell r="CQ322"/>
        </row>
        <row r="323">
          <cell r="B323">
            <v>272</v>
          </cell>
          <cell r="BX323">
            <v>-3.4999336363313951</v>
          </cell>
          <cell r="CQ323"/>
        </row>
        <row r="324">
          <cell r="B324">
            <v>273</v>
          </cell>
          <cell r="BX324">
            <v>-3.524166965816161</v>
          </cell>
          <cell r="CQ324"/>
        </row>
        <row r="325">
          <cell r="B325">
            <v>274</v>
          </cell>
          <cell r="BX325">
            <v>-3.5484567515793417</v>
          </cell>
          <cell r="CQ325"/>
        </row>
        <row r="326">
          <cell r="B326">
            <v>275</v>
          </cell>
          <cell r="BX326">
            <v>-3.5728030938618045</v>
          </cell>
          <cell r="CQ326"/>
        </row>
        <row r="327">
          <cell r="B327">
            <v>276</v>
          </cell>
          <cell r="BX327">
            <v>-3.5972061346804876</v>
          </cell>
          <cell r="CQ327"/>
        </row>
        <row r="328">
          <cell r="B328">
            <v>277</v>
          </cell>
          <cell r="BX328">
            <v>-3.6216660574841604</v>
          </cell>
          <cell r="CQ328"/>
        </row>
        <row r="329">
          <cell r="B329">
            <v>278</v>
          </cell>
          <cell r="BX329">
            <v>-3.6461830872185064</v>
          </cell>
          <cell r="CQ329"/>
        </row>
        <row r="330">
          <cell r="B330">
            <v>279</v>
          </cell>
          <cell r="BX330">
            <v>-3.6707574903511704</v>
          </cell>
          <cell r="CQ330"/>
        </row>
        <row r="331">
          <cell r="B331">
            <v>280</v>
          </cell>
          <cell r="BX331">
            <v>-3.69538957484066</v>
          </cell>
          <cell r="CQ331"/>
        </row>
        <row r="332">
          <cell r="B332">
            <v>281</v>
          </cell>
          <cell r="BX332">
            <v>-3.720079549267449</v>
          </cell>
          <cell r="CQ332"/>
        </row>
        <row r="333">
          <cell r="B333">
            <v>282</v>
          </cell>
          <cell r="BX333">
            <v>-3.7448276613680562</v>
          </cell>
          <cell r="CQ333"/>
        </row>
        <row r="334">
          <cell r="B334">
            <v>283</v>
          </cell>
          <cell r="BX334">
            <v>-3.7696341946943646</v>
          </cell>
          <cell r="CQ334"/>
        </row>
        <row r="335">
          <cell r="B335">
            <v>284</v>
          </cell>
          <cell r="BX335">
            <v>-3.7944994706465764</v>
          </cell>
          <cell r="CQ335"/>
        </row>
        <row r="336">
          <cell r="B336">
            <v>285</v>
          </cell>
          <cell r="BX336">
            <v>-3.8194236987311085</v>
          </cell>
          <cell r="CQ336"/>
        </row>
        <row r="337">
          <cell r="B337">
            <v>286</v>
          </cell>
          <cell r="BX337">
            <v>-3.8444071218031577</v>
          </cell>
          <cell r="CQ337"/>
        </row>
        <row r="338">
          <cell r="B338">
            <v>287</v>
          </cell>
          <cell r="BX338">
            <v>-3.869450157964589</v>
          </cell>
          <cell r="CQ338"/>
        </row>
        <row r="339">
          <cell r="B339">
            <v>288</v>
          </cell>
          <cell r="BX339">
            <v>-3.8945532579525284</v>
          </cell>
          <cell r="CQ339"/>
        </row>
        <row r="340">
          <cell r="B340">
            <v>289</v>
          </cell>
          <cell r="BX340">
            <v>-3.919716747176909</v>
          </cell>
          <cell r="CQ340"/>
        </row>
        <row r="341">
          <cell r="B341">
            <v>290</v>
          </cell>
          <cell r="BX341">
            <v>-3.9449408231327681</v>
          </cell>
          <cell r="CQ341"/>
        </row>
        <row r="342">
          <cell r="B342">
            <v>291</v>
          </cell>
          <cell r="BX342">
            <v>-3.9702258537990915</v>
          </cell>
          <cell r="CQ342"/>
        </row>
        <row r="343">
          <cell r="B343">
            <v>292</v>
          </cell>
          <cell r="BX343">
            <v>-3.9955720685909819</v>
          </cell>
          <cell r="CQ343"/>
        </row>
        <row r="344">
          <cell r="B344">
            <v>293</v>
          </cell>
          <cell r="BX344">
            <v>-4.0209798619224753</v>
          </cell>
          <cell r="CQ344"/>
        </row>
        <row r="345">
          <cell r="B345">
            <v>294</v>
          </cell>
          <cell r="BX345">
            <v>-4.0464496172796904</v>
          </cell>
          <cell r="CQ345"/>
        </row>
        <row r="346">
          <cell r="B346">
            <v>295</v>
          </cell>
          <cell r="BX346">
            <v>-4.0719813814667072</v>
          </cell>
          <cell r="CQ346"/>
        </row>
        <row r="347">
          <cell r="B347">
            <v>296</v>
          </cell>
          <cell r="BX347">
            <v>-4.0975753355393794</v>
          </cell>
          <cell r="CQ347"/>
        </row>
        <row r="348">
          <cell r="B348">
            <v>297</v>
          </cell>
          <cell r="BX348">
            <v>-4.1232316405176084</v>
          </cell>
          <cell r="CQ348"/>
        </row>
        <row r="349">
          <cell r="B349">
            <v>298</v>
          </cell>
          <cell r="BX349">
            <v>-4.1489504426999835</v>
          </cell>
          <cell r="CQ349"/>
        </row>
        <row r="350">
          <cell r="B350">
            <v>299</v>
          </cell>
          <cell r="BX350">
            <v>-4.1747318759874856</v>
          </cell>
          <cell r="CQ350"/>
        </row>
        <row r="351">
          <cell r="B351">
            <v>300</v>
          </cell>
          <cell r="BX351">
            <v>-4.200575905660016</v>
          </cell>
          <cell r="CQ351"/>
        </row>
        <row r="352">
          <cell r="B352">
            <v>301</v>
          </cell>
          <cell r="BX352">
            <v>-4.226482652048035</v>
          </cell>
          <cell r="CQ352"/>
        </row>
        <row r="353">
          <cell r="B353">
            <v>302</v>
          </cell>
          <cell r="BX353">
            <v>-4.2524522321677791</v>
          </cell>
          <cell r="CQ353"/>
        </row>
        <row r="354">
          <cell r="B354">
            <v>303</v>
          </cell>
          <cell r="BX354">
            <v>-4.2784846009805539</v>
          </cell>
          <cell r="CQ354"/>
        </row>
        <row r="355">
          <cell r="B355">
            <v>304</v>
          </cell>
          <cell r="BX355">
            <v>-4.3045797139287041</v>
          </cell>
          <cell r="CQ355"/>
        </row>
        <row r="356">
          <cell r="B356">
            <v>305</v>
          </cell>
          <cell r="BX356">
            <v>-4.3307375279309559</v>
          </cell>
          <cell r="CQ356"/>
        </row>
        <row r="357">
          <cell r="B357">
            <v>306</v>
          </cell>
          <cell r="BX357">
            <v>-4.3569580017944709</v>
          </cell>
          <cell r="CQ357"/>
        </row>
        <row r="358">
          <cell r="B358">
            <v>307</v>
          </cell>
          <cell r="BX358">
            <v>-4.3832410960342143</v>
          </cell>
          <cell r="CQ358"/>
        </row>
        <row r="359">
          <cell r="B359">
            <v>308</v>
          </cell>
          <cell r="BX359">
            <v>-4.4095869336826388</v>
          </cell>
          <cell r="CQ359"/>
        </row>
        <row r="360">
          <cell r="B360">
            <v>309</v>
          </cell>
          <cell r="BX360">
            <v>-4.4359956372174967</v>
          </cell>
          <cell r="CQ360"/>
        </row>
        <row r="361">
          <cell r="B361">
            <v>310</v>
          </cell>
          <cell r="BX361">
            <v>-4.4624671652983698</v>
          </cell>
          <cell r="CQ361"/>
        </row>
        <row r="362">
          <cell r="B362">
            <v>311</v>
          </cell>
          <cell r="BX362">
            <v>-4.4890014738027757</v>
          </cell>
          <cell r="CQ362"/>
        </row>
        <row r="363">
          <cell r="B363">
            <v>312</v>
          </cell>
          <cell r="BX363">
            <v>-4.5155985161286516</v>
          </cell>
          <cell r="CQ363"/>
        </row>
        <row r="364">
          <cell r="B364">
            <v>313</v>
          </cell>
          <cell r="BX364">
            <v>-4.5422582433398775</v>
          </cell>
          <cell r="CQ364"/>
        </row>
        <row r="365">
          <cell r="B365">
            <v>314</v>
          </cell>
          <cell r="BX365">
            <v>-4.5689806042090897</v>
          </cell>
          <cell r="CQ365"/>
        </row>
        <row r="366">
          <cell r="B366">
            <v>315</v>
          </cell>
          <cell r="BX366">
            <v>-4.5957655452605763</v>
          </cell>
          <cell r="CQ366"/>
        </row>
        <row r="367">
          <cell r="B367">
            <v>316</v>
          </cell>
          <cell r="BX367">
            <v>-4.6226130108132466</v>
          </cell>
          <cell r="CQ367"/>
        </row>
        <row r="368">
          <cell r="B368">
            <v>317</v>
          </cell>
          <cell r="BX368">
            <v>-4.6495229430236407</v>
          </cell>
          <cell r="CQ368"/>
        </row>
        <row r="369">
          <cell r="B369">
            <v>318</v>
          </cell>
          <cell r="BX369">
            <v>-4.6764954437467949</v>
          </cell>
          <cell r="CQ369"/>
        </row>
        <row r="370">
          <cell r="B370">
            <v>319</v>
          </cell>
          <cell r="BX370">
            <v>-4.7035306125953005</v>
          </cell>
          <cell r="CQ370"/>
        </row>
        <row r="371">
          <cell r="B371">
            <v>320</v>
          </cell>
          <cell r="BX371">
            <v>-4.7306283851592363</v>
          </cell>
          <cell r="CQ371"/>
        </row>
        <row r="372">
          <cell r="B372">
            <v>321</v>
          </cell>
          <cell r="BX372">
            <v>-4.7577886950280108</v>
          </cell>
          <cell r="CQ372"/>
        </row>
        <row r="373">
          <cell r="B373">
            <v>322</v>
          </cell>
          <cell r="BX373">
            <v>-4.7850114738335954</v>
          </cell>
          <cell r="CQ373"/>
        </row>
        <row r="374">
          <cell r="B374">
            <v>323</v>
          </cell>
          <cell r="BX374">
            <v>-4.8122966512937078</v>
          </cell>
          <cell r="CQ374"/>
        </row>
        <row r="375">
          <cell r="B375">
            <v>324</v>
          </cell>
          <cell r="BX375">
            <v>-4.8396441552549323</v>
          </cell>
          <cell r="CQ375"/>
        </row>
        <row r="376">
          <cell r="B376">
            <v>325</v>
          </cell>
          <cell r="BX376">
            <v>-4.8670540738528869</v>
          </cell>
          <cell r="CQ376"/>
        </row>
        <row r="377">
          <cell r="B377">
            <v>326</v>
          </cell>
          <cell r="BX377">
            <v>-4.8945264932350758</v>
          </cell>
          <cell r="CQ377"/>
        </row>
        <row r="378">
          <cell r="B378">
            <v>327</v>
          </cell>
          <cell r="BX378">
            <v>-4.92206133548203</v>
          </cell>
          <cell r="CQ378"/>
        </row>
        <row r="379">
          <cell r="B379">
            <v>328</v>
          </cell>
          <cell r="BX379">
            <v>-4.9496585209656603</v>
          </cell>
          <cell r="CQ379"/>
        </row>
        <row r="380">
          <cell r="B380">
            <v>329</v>
          </cell>
          <cell r="BX380">
            <v>-4.9773179683920645</v>
          </cell>
          <cell r="CQ380"/>
        </row>
        <row r="381">
          <cell r="B381">
            <v>330</v>
          </cell>
          <cell r="BX381">
            <v>-5.0050395948441837</v>
          </cell>
          <cell r="CQ381"/>
        </row>
        <row r="382">
          <cell r="B382">
            <v>331</v>
          </cell>
          <cell r="BX382">
            <v>-5.0328233158243005</v>
          </cell>
          <cell r="CQ382"/>
        </row>
        <row r="383">
          <cell r="B383">
            <v>332</v>
          </cell>
          <cell r="BX383">
            <v>-5.0606692074791431</v>
          </cell>
          <cell r="CQ383"/>
        </row>
        <row r="384">
          <cell r="B384">
            <v>333</v>
          </cell>
          <cell r="BX384">
            <v>-5.0885773442243663</v>
          </cell>
          <cell r="CQ384"/>
        </row>
        <row r="385">
          <cell r="B385">
            <v>334</v>
          </cell>
          <cell r="BX385">
            <v>-5.1165476365998908</v>
          </cell>
          <cell r="CQ385"/>
        </row>
        <row r="386">
          <cell r="B386">
            <v>335</v>
          </cell>
          <cell r="BX386">
            <v>-5.1445799937255821</v>
          </cell>
          <cell r="CQ386"/>
        </row>
        <row r="387">
          <cell r="B387">
            <v>336</v>
          </cell>
          <cell r="BX387">
            <v>-5.1726743233429895</v>
          </cell>
          <cell r="CQ387"/>
        </row>
        <row r="388">
          <cell r="B388">
            <v>337</v>
          </cell>
          <cell r="BX388">
            <v>-5.2008306944178431</v>
          </cell>
          <cell r="CQ388"/>
        </row>
        <row r="389">
          <cell r="B389">
            <v>338</v>
          </cell>
          <cell r="BX389">
            <v>-5.229049174364933</v>
          </cell>
          <cell r="CQ389"/>
        </row>
        <row r="390">
          <cell r="B390">
            <v>339</v>
          </cell>
          <cell r="BX390">
            <v>-5.2573296665248375</v>
          </cell>
          <cell r="CQ390"/>
        </row>
        <row r="391">
          <cell r="B391">
            <v>340</v>
          </cell>
          <cell r="BX391">
            <v>-5.2856720730178761</v>
          </cell>
          <cell r="CQ391"/>
        </row>
        <row r="392">
          <cell r="B392">
            <v>341</v>
          </cell>
          <cell r="BX392">
            <v>-5.3140762947848277</v>
          </cell>
          <cell r="CQ392"/>
        </row>
        <row r="393">
          <cell r="B393">
            <v>342</v>
          </cell>
          <cell r="BX393">
            <v>-5.3425423944796488</v>
          </cell>
          <cell r="CQ393"/>
        </row>
        <row r="394">
          <cell r="B394">
            <v>343</v>
          </cell>
          <cell r="BX394">
            <v>-5.3710704333837773</v>
          </cell>
          <cell r="CQ394"/>
        </row>
        <row r="395">
          <cell r="B395">
            <v>344</v>
          </cell>
          <cell r="BX395">
            <v>-5.3996603085909145</v>
          </cell>
          <cell r="CQ395"/>
        </row>
        <row r="396">
          <cell r="B396">
            <v>345</v>
          </cell>
          <cell r="BX396">
            <v>-5.4283119161697488</v>
          </cell>
          <cell r="CQ396"/>
        </row>
        <row r="397">
          <cell r="B397">
            <v>346</v>
          </cell>
          <cell r="BX397">
            <v>-5.4570251512034247</v>
          </cell>
          <cell r="CQ397"/>
        </row>
        <row r="398">
          <cell r="B398">
            <v>347</v>
          </cell>
          <cell r="BX398">
            <v>-5.4858000708964312</v>
          </cell>
          <cell r="CQ398"/>
        </row>
        <row r="399">
          <cell r="B399">
            <v>348</v>
          </cell>
          <cell r="BX399">
            <v>-5.5146367312563047</v>
          </cell>
          <cell r="CQ399"/>
        </row>
        <row r="400">
          <cell r="B400">
            <v>349</v>
          </cell>
          <cell r="BX400">
            <v>-5.5435350240620975</v>
          </cell>
          <cell r="CQ400"/>
        </row>
        <row r="401">
          <cell r="B401">
            <v>350</v>
          </cell>
          <cell r="BX401">
            <v>-5.5724948402574892</v>
          </cell>
          <cell r="CQ401"/>
        </row>
        <row r="402">
          <cell r="B402">
            <v>351</v>
          </cell>
          <cell r="BX402">
            <v>-5.6015160699888318</v>
          </cell>
          <cell r="CQ402"/>
        </row>
        <row r="403">
          <cell r="B403">
            <v>352</v>
          </cell>
          <cell r="BX403">
            <v>-5.6305987658612517</v>
          </cell>
          <cell r="CQ403"/>
        </row>
        <row r="404">
          <cell r="B404">
            <v>353</v>
          </cell>
          <cell r="BX404">
            <v>-5.6597429794546752</v>
          </cell>
          <cell r="CQ404"/>
        </row>
        <row r="405">
          <cell r="B405">
            <v>354</v>
          </cell>
          <cell r="BX405">
            <v>-5.6889485981405983</v>
          </cell>
          <cell r="CQ405"/>
        </row>
        <row r="406">
          <cell r="B406">
            <v>355</v>
          </cell>
          <cell r="BX406">
            <v>-5.7182155086383393</v>
          </cell>
          <cell r="CQ406"/>
        </row>
        <row r="407">
          <cell r="B407">
            <v>356</v>
          </cell>
          <cell r="BX407">
            <v>-5.7475437606795046</v>
          </cell>
          <cell r="CQ407"/>
        </row>
        <row r="408">
          <cell r="B408">
            <v>357</v>
          </cell>
          <cell r="BX408">
            <v>-5.7769334031033708</v>
          </cell>
          <cell r="CQ408"/>
        </row>
        <row r="409">
          <cell r="B409">
            <v>358</v>
          </cell>
          <cell r="BX409">
            <v>-5.8063843202631817</v>
          </cell>
          <cell r="CQ409"/>
        </row>
        <row r="410">
          <cell r="B410">
            <v>359</v>
          </cell>
          <cell r="BX410">
            <v>-5.8358963960009005</v>
          </cell>
          <cell r="CQ410"/>
        </row>
        <row r="411">
          <cell r="B411">
            <v>360</v>
          </cell>
          <cell r="BX411">
            <v>-5.865469677694926</v>
          </cell>
          <cell r="CQ411"/>
        </row>
        <row r="412">
          <cell r="B412">
            <v>361</v>
          </cell>
          <cell r="BX412">
            <v>-5.8951042119611961</v>
          </cell>
          <cell r="CQ412"/>
        </row>
        <row r="413">
          <cell r="B413">
            <v>362</v>
          </cell>
          <cell r="BX413">
            <v>-5.9247998806739961</v>
          </cell>
          <cell r="CQ413"/>
        </row>
        <row r="414">
          <cell r="B414">
            <v>363</v>
          </cell>
          <cell r="BX414">
            <v>-5.9545565653327168</v>
          </cell>
          <cell r="CQ414"/>
        </row>
        <row r="415">
          <cell r="B415">
            <v>364</v>
          </cell>
          <cell r="BX415">
            <v>-5.9843743114731094</v>
          </cell>
          <cell r="CQ415"/>
        </row>
        <row r="416">
          <cell r="B416">
            <v>365</v>
          </cell>
          <cell r="BX416">
            <v>-6.0142531639950807</v>
          </cell>
          <cell r="CQ416"/>
        </row>
        <row r="417">
          <cell r="B417">
            <v>366</v>
          </cell>
          <cell r="BX417">
            <v>-6.044193002817611</v>
          </cell>
          <cell r="CQ417"/>
        </row>
        <row r="418">
          <cell r="B418">
            <v>367</v>
          </cell>
          <cell r="BX418">
            <v>-6.0741937076164536</v>
          </cell>
          <cell r="CQ418"/>
        </row>
        <row r="419">
          <cell r="B419">
            <v>368</v>
          </cell>
          <cell r="BX419">
            <v>-6.1042551578565929</v>
          </cell>
          <cell r="CQ419"/>
        </row>
        <row r="420">
          <cell r="B420">
            <v>369</v>
          </cell>
          <cell r="BX420">
            <v>-6.134377397218346</v>
          </cell>
          <cell r="CQ420"/>
        </row>
        <row r="421">
          <cell r="B421">
            <v>370</v>
          </cell>
          <cell r="BX421">
            <v>-6.1645604689006506</v>
          </cell>
          <cell r="CQ421"/>
        </row>
        <row r="422">
          <cell r="B422">
            <v>371</v>
          </cell>
          <cell r="BX422">
            <v>-6.1948042512580228</v>
          </cell>
          <cell r="CQ422"/>
        </row>
        <row r="423">
          <cell r="B423">
            <v>372</v>
          </cell>
          <cell r="BX423">
            <v>-6.2251086225596239</v>
          </cell>
          <cell r="CQ423"/>
        </row>
        <row r="424">
          <cell r="B424">
            <v>373</v>
          </cell>
          <cell r="BX424">
            <v>-6.2554736257511347</v>
          </cell>
          <cell r="CQ424"/>
        </row>
        <row r="425">
          <cell r="B425">
            <v>374</v>
          </cell>
          <cell r="BX425">
            <v>-6.2858993034153752</v>
          </cell>
          <cell r="CQ425"/>
        </row>
        <row r="426">
          <cell r="B426">
            <v>375</v>
          </cell>
          <cell r="BX426">
            <v>-6.3163855330710224</v>
          </cell>
          <cell r="CQ426"/>
        </row>
        <row r="427">
          <cell r="B427">
            <v>376</v>
          </cell>
          <cell r="BX427">
            <v>-6.3469321922718747</v>
          </cell>
          <cell r="CQ427"/>
        </row>
        <row r="428">
          <cell r="B428">
            <v>377</v>
          </cell>
          <cell r="BX428">
            <v>-6.3775393237020284</v>
          </cell>
          <cell r="CQ428"/>
        </row>
        <row r="429">
          <cell r="B429">
            <v>378</v>
          </cell>
          <cell r="BX429">
            <v>-6.4082069697975621</v>
          </cell>
          <cell r="CQ429"/>
        </row>
        <row r="430">
          <cell r="B430">
            <v>379</v>
          </cell>
          <cell r="BX430">
            <v>-6.4389350077094702</v>
          </cell>
          <cell r="CQ430"/>
        </row>
        <row r="431">
          <cell r="B431">
            <v>380</v>
          </cell>
          <cell r="BX431">
            <v>-6.4697233147393893</v>
          </cell>
          <cell r="CQ431"/>
        </row>
        <row r="432">
          <cell r="B432">
            <v>381</v>
          </cell>
          <cell r="BX432">
            <v>-6.5005719337707779</v>
          </cell>
          <cell r="CQ432"/>
        </row>
        <row r="433">
          <cell r="B433">
            <v>382</v>
          </cell>
          <cell r="BX433">
            <v>-6.5314809075502236</v>
          </cell>
          <cell r="CQ433"/>
        </row>
        <row r="434">
          <cell r="B434">
            <v>383</v>
          </cell>
          <cell r="BX434">
            <v>-6.5624501133119058</v>
          </cell>
          <cell r="CQ434"/>
        </row>
        <row r="435">
          <cell r="B435">
            <v>384</v>
          </cell>
          <cell r="BX435">
            <v>-6.593479428551241</v>
          </cell>
          <cell r="CQ435"/>
        </row>
        <row r="436">
          <cell r="B436">
            <v>385</v>
          </cell>
          <cell r="BX436">
            <v>-6.6245688967998761</v>
          </cell>
          <cell r="CQ436"/>
        </row>
        <row r="437">
          <cell r="B437">
            <v>386</v>
          </cell>
          <cell r="BX437">
            <v>-6.6557185615600618</v>
          </cell>
          <cell r="CQ437"/>
        </row>
        <row r="438">
          <cell r="B438">
            <v>387</v>
          </cell>
          <cell r="BX438">
            <v>-6.6869283005828732</v>
          </cell>
          <cell r="CQ438"/>
        </row>
        <row r="439">
          <cell r="B439">
            <v>388</v>
          </cell>
          <cell r="BX439">
            <v>-6.7181979919863748</v>
          </cell>
          <cell r="CQ439"/>
        </row>
        <row r="440">
          <cell r="B440">
            <v>389</v>
          </cell>
          <cell r="BX440">
            <v>-6.7495276803817807</v>
          </cell>
          <cell r="CQ440"/>
        </row>
        <row r="441">
          <cell r="B441">
            <v>390.3</v>
          </cell>
          <cell r="BX441" t="e">
            <v>#NAME?</v>
          </cell>
          <cell r="CQ441"/>
        </row>
      </sheetData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O43"/>
  <sheetViews>
    <sheetView workbookViewId="0">
      <selection activeCell="A5" sqref="A5:A16"/>
    </sheetView>
  </sheetViews>
  <sheetFormatPr baseColWidth="10" defaultColWidth="11.42578125" defaultRowHeight="15" x14ac:dyDescent="0.25"/>
  <cols>
    <col min="1" max="1" width="21.42578125" bestFit="1" customWidth="1"/>
    <col min="2" max="2" width="14.7109375" style="1" bestFit="1" customWidth="1"/>
    <col min="3" max="3" width="26.7109375" style="1" bestFit="1" customWidth="1"/>
    <col min="4" max="4" width="23" bestFit="1" customWidth="1"/>
    <col min="15" max="15" width="53.42578125" bestFit="1" customWidth="1"/>
  </cols>
  <sheetData>
    <row r="1" spans="1:15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/>
      <c r="I1" s="7"/>
      <c r="J1" s="7"/>
      <c r="K1" s="7"/>
      <c r="L1" s="7"/>
      <c r="M1" s="7"/>
      <c r="N1" s="7" t="s">
        <v>7</v>
      </c>
      <c r="O1" s="7" t="s">
        <v>8</v>
      </c>
    </row>
    <row r="2" spans="1:15" x14ac:dyDescent="0.25">
      <c r="A2" s="239" t="s">
        <v>386</v>
      </c>
      <c r="B2" s="3" t="s">
        <v>10</v>
      </c>
      <c r="C2" s="3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t="s">
        <v>11</v>
      </c>
    </row>
    <row r="3" spans="1:15" x14ac:dyDescent="0.25">
      <c r="A3" s="239"/>
      <c r="B3" s="241" t="s">
        <v>12</v>
      </c>
      <c r="C3" s="11" t="s">
        <v>13</v>
      </c>
      <c r="D3" s="1"/>
      <c r="E3" s="1" t="s">
        <v>14</v>
      </c>
      <c r="F3" s="1"/>
      <c r="G3" s="1"/>
      <c r="H3" s="1"/>
      <c r="I3" s="1"/>
      <c r="J3" s="1"/>
      <c r="K3" s="1"/>
      <c r="L3" s="1"/>
      <c r="M3" s="1"/>
      <c r="N3" s="1"/>
      <c r="O3" t="s">
        <v>15</v>
      </c>
    </row>
    <row r="4" spans="1:15" x14ac:dyDescent="0.25">
      <c r="A4" s="240"/>
      <c r="B4" s="242"/>
      <c r="C4" s="1" t="s">
        <v>16</v>
      </c>
      <c r="D4" s="1" t="s">
        <v>14</v>
      </c>
      <c r="E4" s="1"/>
      <c r="F4" s="1"/>
      <c r="G4" s="1"/>
      <c r="H4" s="1"/>
      <c r="I4" s="1"/>
      <c r="J4" s="1"/>
      <c r="K4" s="1"/>
      <c r="L4" s="1"/>
      <c r="M4" s="1"/>
      <c r="N4" s="1"/>
      <c r="O4" t="s">
        <v>17</v>
      </c>
    </row>
    <row r="5" spans="1:15" x14ac:dyDescent="0.25">
      <c r="A5" s="238" t="s">
        <v>387</v>
      </c>
      <c r="B5" s="241" t="s">
        <v>18</v>
      </c>
      <c r="C5" s="2" t="s">
        <v>19</v>
      </c>
      <c r="D5" s="2"/>
      <c r="E5" s="2" t="s">
        <v>14</v>
      </c>
      <c r="F5" s="2"/>
      <c r="G5" s="2"/>
      <c r="H5" s="2"/>
      <c r="I5" s="2"/>
      <c r="J5" s="2"/>
      <c r="K5" s="2"/>
      <c r="L5" s="2"/>
      <c r="M5" s="2"/>
      <c r="N5" s="2"/>
    </row>
    <row r="6" spans="1:15" x14ac:dyDescent="0.25">
      <c r="A6" s="239"/>
      <c r="B6" s="243"/>
      <c r="C6" s="11" t="s">
        <v>20</v>
      </c>
      <c r="D6" s="1"/>
      <c r="E6" s="1"/>
      <c r="F6" s="1" t="s">
        <v>14</v>
      </c>
      <c r="G6" s="1"/>
      <c r="H6" s="1"/>
      <c r="I6" s="1"/>
      <c r="J6" s="1"/>
      <c r="K6" s="1"/>
      <c r="L6" s="1"/>
      <c r="M6" s="1"/>
      <c r="N6" s="1"/>
    </row>
    <row r="7" spans="1:15" x14ac:dyDescent="0.25">
      <c r="A7" s="239"/>
      <c r="B7" s="239" t="s">
        <v>21</v>
      </c>
      <c r="C7" s="1" t="s">
        <v>22</v>
      </c>
      <c r="D7" s="1"/>
      <c r="E7" s="1"/>
      <c r="F7" s="1"/>
      <c r="G7" s="1" t="s">
        <v>14</v>
      </c>
      <c r="H7" s="1"/>
      <c r="I7" s="1"/>
      <c r="J7" s="1"/>
      <c r="K7" s="1"/>
      <c r="L7" s="1"/>
      <c r="M7" s="1"/>
      <c r="N7" s="1"/>
    </row>
    <row r="8" spans="1:15" x14ac:dyDescent="0.25">
      <c r="A8" s="239"/>
      <c r="B8" s="239"/>
      <c r="C8" s="1" t="s">
        <v>23</v>
      </c>
      <c r="D8" s="1"/>
      <c r="E8" s="1"/>
      <c r="F8" s="1"/>
      <c r="G8" s="1"/>
      <c r="H8" s="1" t="s">
        <v>14</v>
      </c>
      <c r="I8" s="1"/>
      <c r="J8" s="1"/>
      <c r="K8" s="1"/>
      <c r="L8" s="1"/>
      <c r="M8" s="1"/>
      <c r="N8" s="1"/>
    </row>
    <row r="9" spans="1:15" x14ac:dyDescent="0.25">
      <c r="A9" s="239"/>
      <c r="B9" s="239"/>
      <c r="C9" s="1" t="s">
        <v>24</v>
      </c>
      <c r="D9" s="1" t="s">
        <v>14</v>
      </c>
      <c r="E9" s="1"/>
      <c r="F9" s="1"/>
      <c r="G9" s="1"/>
      <c r="H9" s="1"/>
      <c r="I9" s="1" t="s">
        <v>14</v>
      </c>
      <c r="J9" s="1"/>
      <c r="K9" s="1"/>
      <c r="L9" s="1"/>
      <c r="M9" s="1"/>
      <c r="N9" s="1"/>
      <c r="O9" t="s">
        <v>25</v>
      </c>
    </row>
    <row r="10" spans="1:15" x14ac:dyDescent="0.25">
      <c r="A10" s="239"/>
      <c r="B10" s="239"/>
      <c r="C10" s="1" t="s">
        <v>26</v>
      </c>
      <c r="D10" s="1"/>
      <c r="E10" s="1"/>
      <c r="F10" s="1"/>
      <c r="G10" s="1"/>
      <c r="H10" s="1"/>
      <c r="I10" s="1"/>
      <c r="J10" s="1" t="s">
        <v>14</v>
      </c>
      <c r="K10" s="1"/>
      <c r="L10" s="1"/>
      <c r="M10" s="1"/>
      <c r="N10" s="1"/>
    </row>
    <row r="11" spans="1:15" x14ac:dyDescent="0.25">
      <c r="A11" s="239"/>
      <c r="B11" s="1" t="s">
        <v>27</v>
      </c>
      <c r="C11" s="11" t="s">
        <v>28</v>
      </c>
      <c r="D11" s="1"/>
      <c r="E11" s="1"/>
      <c r="F11" s="1"/>
      <c r="G11" s="1"/>
      <c r="H11" s="1"/>
      <c r="I11" s="1"/>
      <c r="J11" s="1"/>
      <c r="K11" s="1" t="s">
        <v>14</v>
      </c>
      <c r="L11" s="1"/>
      <c r="M11" s="1"/>
      <c r="N11" s="1"/>
    </row>
    <row r="12" spans="1:15" x14ac:dyDescent="0.25">
      <c r="A12" s="239"/>
      <c r="B12" s="239" t="s">
        <v>29</v>
      </c>
      <c r="C12" s="1" t="s">
        <v>30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5" x14ac:dyDescent="0.25">
      <c r="A13" s="239"/>
      <c r="B13" s="239"/>
      <c r="C13" s="1" t="s">
        <v>31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5" x14ac:dyDescent="0.25">
      <c r="A14" s="239"/>
      <c r="B14" s="239"/>
      <c r="C14" s="1" t="s">
        <v>32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5" x14ac:dyDescent="0.25">
      <c r="A15" s="239"/>
      <c r="B15" s="4" t="s">
        <v>33</v>
      </c>
      <c r="D15" s="1" t="s">
        <v>14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t="s">
        <v>34</v>
      </c>
    </row>
    <row r="16" spans="1:15" x14ac:dyDescent="0.25">
      <c r="A16" s="240"/>
      <c r="B16" s="1" t="s">
        <v>35</v>
      </c>
      <c r="D16" s="3"/>
      <c r="E16" s="3"/>
      <c r="F16" s="3"/>
      <c r="G16" s="1"/>
      <c r="H16" s="1"/>
      <c r="I16" s="1"/>
      <c r="J16" s="1"/>
      <c r="K16" s="1"/>
      <c r="L16" s="1"/>
      <c r="M16" s="1"/>
      <c r="N16" s="3"/>
    </row>
    <row r="17" spans="1:15" x14ac:dyDescent="0.25">
      <c r="A17" s="238" t="s">
        <v>36</v>
      </c>
      <c r="B17" s="2" t="s">
        <v>35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t="s">
        <v>37</v>
      </c>
    </row>
    <row r="18" spans="1:15" x14ac:dyDescent="0.25">
      <c r="A18" s="239"/>
      <c r="B18" s="1" t="s">
        <v>33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t="s">
        <v>38</v>
      </c>
    </row>
    <row r="19" spans="1:15" x14ac:dyDescent="0.25">
      <c r="A19" s="239"/>
      <c r="B19" s="1" t="s">
        <v>13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t="s">
        <v>39</v>
      </c>
    </row>
    <row r="20" spans="1:15" x14ac:dyDescent="0.25">
      <c r="A20" s="239"/>
      <c r="B20" s="1" t="s">
        <v>40</v>
      </c>
      <c r="D20" s="1" t="s">
        <v>14</v>
      </c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5" x14ac:dyDescent="0.25">
      <c r="A21" s="240"/>
      <c r="B21" s="3" t="s">
        <v>41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5" ht="15" customHeight="1" x14ac:dyDescent="0.25">
      <c r="A22" s="238" t="s">
        <v>42</v>
      </c>
      <c r="B22" s="241" t="s">
        <v>18</v>
      </c>
      <c r="C22" s="2" t="s">
        <v>19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5" x14ac:dyDescent="0.25">
      <c r="A23" s="239"/>
      <c r="B23" s="243"/>
      <c r="C23" s="1" t="s">
        <v>20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5" x14ac:dyDescent="0.25">
      <c r="A24" s="239"/>
      <c r="B24" s="239" t="s">
        <v>21</v>
      </c>
      <c r="C24" s="1" t="s">
        <v>22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5" x14ac:dyDescent="0.25">
      <c r="A25" s="239"/>
      <c r="B25" s="239"/>
      <c r="C25" s="1" t="s">
        <v>23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5" x14ac:dyDescent="0.25">
      <c r="A26" s="239"/>
      <c r="B26" s="239"/>
      <c r="C26" s="1" t="s">
        <v>24</v>
      </c>
      <c r="D26" s="1" t="s">
        <v>14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t="s">
        <v>25</v>
      </c>
    </row>
    <row r="27" spans="1:15" x14ac:dyDescent="0.25">
      <c r="A27" s="239"/>
      <c r="B27" s="239"/>
      <c r="C27" s="1" t="s">
        <v>26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5" x14ac:dyDescent="0.25">
      <c r="A28" s="239"/>
      <c r="B28" s="1" t="s">
        <v>27</v>
      </c>
      <c r="C28" s="1" t="s">
        <v>28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5" x14ac:dyDescent="0.25">
      <c r="A29" s="239"/>
      <c r="B29" s="239" t="s">
        <v>29</v>
      </c>
      <c r="C29" s="1" t="s">
        <v>30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5" x14ac:dyDescent="0.25">
      <c r="A30" s="239"/>
      <c r="B30" s="239"/>
      <c r="C30" s="1" t="s">
        <v>43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5" x14ac:dyDescent="0.25">
      <c r="A31" s="239"/>
      <c r="B31" s="239"/>
      <c r="C31" s="1" t="s">
        <v>43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5" x14ac:dyDescent="0.25">
      <c r="A32" s="239"/>
      <c r="B32" s="4" t="s">
        <v>33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t="s">
        <v>34</v>
      </c>
    </row>
    <row r="33" spans="1:15" x14ac:dyDescent="0.25">
      <c r="A33" s="240"/>
      <c r="B33" s="3" t="s">
        <v>35</v>
      </c>
      <c r="C33" s="3"/>
      <c r="D33" s="3" t="s">
        <v>14</v>
      </c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5" x14ac:dyDescent="0.25">
      <c r="A34" s="238" t="s">
        <v>44</v>
      </c>
      <c r="B34" s="5" t="s">
        <v>10</v>
      </c>
      <c r="C34" s="5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t="s">
        <v>11</v>
      </c>
    </row>
    <row r="35" spans="1:15" x14ac:dyDescent="0.25">
      <c r="A35" s="239"/>
      <c r="B35" s="241" t="s">
        <v>12</v>
      </c>
      <c r="C35" s="1" t="s">
        <v>13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t="s">
        <v>15</v>
      </c>
    </row>
    <row r="36" spans="1:15" x14ac:dyDescent="0.25">
      <c r="A36" s="240"/>
      <c r="B36" s="242"/>
      <c r="C36" s="3" t="s">
        <v>16</v>
      </c>
      <c r="D36" s="3" t="s">
        <v>14</v>
      </c>
      <c r="E36" s="3"/>
      <c r="F36" s="3"/>
      <c r="G36" s="3"/>
      <c r="H36" s="3"/>
      <c r="I36" s="3"/>
      <c r="J36" s="3"/>
      <c r="K36" s="3"/>
      <c r="L36" s="3"/>
      <c r="M36" s="3"/>
      <c r="N36" s="3"/>
      <c r="O36" t="s">
        <v>17</v>
      </c>
    </row>
    <row r="40" spans="1:15" x14ac:dyDescent="0.25">
      <c r="A40" t="s">
        <v>45</v>
      </c>
    </row>
    <row r="41" spans="1:15" x14ac:dyDescent="0.25">
      <c r="A41" t="s">
        <v>46</v>
      </c>
      <c r="B41" s="1" t="s">
        <v>1</v>
      </c>
    </row>
    <row r="42" spans="1:15" x14ac:dyDescent="0.25">
      <c r="A42" t="s">
        <v>47</v>
      </c>
      <c r="B42" s="1" t="s">
        <v>48</v>
      </c>
    </row>
    <row r="43" spans="1:15" x14ac:dyDescent="0.25">
      <c r="A43" t="s">
        <v>49</v>
      </c>
    </row>
  </sheetData>
  <mergeCells count="13">
    <mergeCell ref="A34:A36"/>
    <mergeCell ref="B35:B36"/>
    <mergeCell ref="B12:B14"/>
    <mergeCell ref="B29:B31"/>
    <mergeCell ref="B3:B4"/>
    <mergeCell ref="B5:B6"/>
    <mergeCell ref="B7:B10"/>
    <mergeCell ref="B22:B23"/>
    <mergeCell ref="B24:B27"/>
    <mergeCell ref="A22:A33"/>
    <mergeCell ref="A2:A4"/>
    <mergeCell ref="A17:A21"/>
    <mergeCell ref="A5:A16"/>
  </mergeCells>
  <phoneticPr fontId="2" type="noConversion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zoomScale="70" zoomScaleNormal="70" workbookViewId="0">
      <selection activeCell="D42" sqref="D42"/>
    </sheetView>
  </sheetViews>
  <sheetFormatPr baseColWidth="10" defaultColWidth="11.42578125" defaultRowHeight="15" x14ac:dyDescent="0.25"/>
  <sheetData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S279"/>
  <sheetViews>
    <sheetView zoomScaleNormal="100" workbookViewId="0">
      <selection activeCell="O20" sqref="O20"/>
    </sheetView>
  </sheetViews>
  <sheetFormatPr baseColWidth="10" defaultColWidth="11.42578125" defaultRowHeight="15" x14ac:dyDescent="0.25"/>
  <cols>
    <col min="1" max="1" width="25.140625" customWidth="1"/>
    <col min="2" max="2" width="12.7109375" customWidth="1"/>
    <col min="3" max="3" width="11.140625" customWidth="1"/>
    <col min="4" max="4" width="10.5703125" customWidth="1"/>
    <col min="5" max="5" width="5.140625" customWidth="1"/>
    <col min="6" max="6" width="16.85546875" customWidth="1"/>
    <col min="7" max="7" width="6.42578125" customWidth="1"/>
    <col min="12" max="12" width="14.28515625" customWidth="1"/>
    <col min="13" max="13" width="6.5703125" customWidth="1"/>
    <col min="17" max="17" width="11.42578125" customWidth="1"/>
    <col min="18" max="18" width="14.85546875" customWidth="1"/>
    <col min="19" max="19" width="12" bestFit="1" customWidth="1"/>
  </cols>
  <sheetData>
    <row r="1" spans="1:13" x14ac:dyDescent="0.25">
      <c r="A1" s="26" t="s">
        <v>50</v>
      </c>
    </row>
    <row r="2" spans="1:13" x14ac:dyDescent="0.25">
      <c r="A2" s="150" t="s">
        <v>51</v>
      </c>
      <c r="B2" s="29">
        <v>168960</v>
      </c>
      <c r="C2" t="s">
        <v>52</v>
      </c>
    </row>
    <row r="4" spans="1:13" x14ac:dyDescent="0.25">
      <c r="A4" s="150"/>
      <c r="B4" s="149" t="s">
        <v>47</v>
      </c>
      <c r="C4" s="149" t="s">
        <v>54</v>
      </c>
      <c r="D4" s="149" t="s">
        <v>53</v>
      </c>
    </row>
    <row r="5" spans="1:13" x14ac:dyDescent="0.25">
      <c r="A5" t="s">
        <v>55</v>
      </c>
      <c r="B5" s="29">
        <f>85.5*2</f>
        <v>171</v>
      </c>
      <c r="C5" s="29">
        <v>260</v>
      </c>
      <c r="D5" s="29">
        <f>146*2</f>
        <v>292</v>
      </c>
    </row>
    <row r="6" spans="1:13" x14ac:dyDescent="0.25">
      <c r="A6" t="s">
        <v>56</v>
      </c>
      <c r="B6" s="38">
        <v>12</v>
      </c>
      <c r="C6" s="38">
        <v>5</v>
      </c>
      <c r="D6" s="38">
        <v>7</v>
      </c>
    </row>
    <row r="7" spans="1:13" x14ac:dyDescent="0.25">
      <c r="A7" t="s">
        <v>57</v>
      </c>
      <c r="B7" s="18">
        <v>6.2</v>
      </c>
      <c r="C7" s="18">
        <v>54.8</v>
      </c>
      <c r="D7" s="18">
        <v>5.7</v>
      </c>
    </row>
    <row r="8" spans="1:13" x14ac:dyDescent="0.25">
      <c r="A8" t="s">
        <v>58</v>
      </c>
      <c r="B8" s="18">
        <f>(B5+2*B6)/B6</f>
        <v>16.25</v>
      </c>
      <c r="C8" s="18">
        <f>(C5+2*C6)/C6</f>
        <v>54</v>
      </c>
      <c r="D8" s="18">
        <f t="shared" ref="D8" si="0">(D5+2*D6)/D6</f>
        <v>43.714285714285715</v>
      </c>
    </row>
    <row r="9" spans="1:13" x14ac:dyDescent="0.25">
      <c r="A9" t="s">
        <v>59</v>
      </c>
      <c r="B9" s="148">
        <f>2*B2*1000/B5</f>
        <v>1976140.350877193</v>
      </c>
      <c r="C9" s="148">
        <f>2*B$2*1000/C5</f>
        <v>1299692.3076923077</v>
      </c>
      <c r="D9" s="148">
        <f>2*B$2*1000/D5</f>
        <v>1157260.2739726028</v>
      </c>
    </row>
    <row r="10" spans="1:13" x14ac:dyDescent="0.25">
      <c r="A10" t="s">
        <v>60</v>
      </c>
      <c r="B10" s="29">
        <v>120</v>
      </c>
      <c r="C10" s="29">
        <v>69</v>
      </c>
      <c r="D10" s="29">
        <v>113</v>
      </c>
    </row>
    <row r="11" spans="1:13" x14ac:dyDescent="0.25">
      <c r="D11" s="8"/>
    </row>
    <row r="12" spans="1:13" x14ac:dyDescent="0.25">
      <c r="A12" s="26" t="s">
        <v>61</v>
      </c>
      <c r="D12" s="8"/>
    </row>
    <row r="13" spans="1:13" x14ac:dyDescent="0.25">
      <c r="A13" t="s">
        <v>62</v>
      </c>
      <c r="B13" s="24">
        <v>30</v>
      </c>
      <c r="C13" t="s">
        <v>63</v>
      </c>
      <c r="D13" t="s">
        <v>64</v>
      </c>
      <c r="M13" s="8"/>
    </row>
    <row r="14" spans="1:13" x14ac:dyDescent="0.25">
      <c r="A14" t="s">
        <v>65</v>
      </c>
      <c r="B14" s="40">
        <v>280</v>
      </c>
      <c r="C14" t="s">
        <v>63</v>
      </c>
      <c r="M14" s="8"/>
    </row>
    <row r="15" spans="1:13" x14ac:dyDescent="0.25">
      <c r="A15" t="s">
        <v>66</v>
      </c>
      <c r="B15" s="24">
        <v>600</v>
      </c>
      <c r="C15" t="s">
        <v>63</v>
      </c>
      <c r="D15" s="245" t="s">
        <v>67</v>
      </c>
      <c r="E15" s="245"/>
      <c r="F15" s="245"/>
    </row>
    <row r="16" spans="1:13" x14ac:dyDescent="0.25">
      <c r="A16" t="s">
        <v>68</v>
      </c>
      <c r="B16" s="24">
        <v>861</v>
      </c>
      <c r="C16" t="s">
        <v>63</v>
      </c>
      <c r="D16" s="245" t="s">
        <v>69</v>
      </c>
      <c r="E16" s="245"/>
      <c r="F16" s="245"/>
    </row>
    <row r="17" spans="1:13" x14ac:dyDescent="0.25">
      <c r="A17" t="s">
        <v>70</v>
      </c>
      <c r="B17" s="24">
        <v>206</v>
      </c>
      <c r="C17" t="s">
        <v>63</v>
      </c>
      <c r="D17" s="245" t="s">
        <v>71</v>
      </c>
      <c r="E17" s="245"/>
      <c r="F17" s="245"/>
    </row>
    <row r="18" spans="1:13" x14ac:dyDescent="0.25">
      <c r="A18" t="s">
        <v>72</v>
      </c>
      <c r="B18" s="24">
        <f>900*0.58</f>
        <v>522</v>
      </c>
      <c r="C18" t="s">
        <v>63</v>
      </c>
      <c r="D18" s="245" t="s">
        <v>73</v>
      </c>
      <c r="E18" s="245"/>
      <c r="F18" s="245"/>
    </row>
    <row r="19" spans="1:13" x14ac:dyDescent="0.25">
      <c r="A19" t="s">
        <v>74</v>
      </c>
      <c r="B19" s="24">
        <v>2500</v>
      </c>
      <c r="C19" t="s">
        <v>63</v>
      </c>
      <c r="D19" t="s">
        <v>75</v>
      </c>
    </row>
    <row r="20" spans="1:13" x14ac:dyDescent="0.25">
      <c r="A20" t="s">
        <v>76</v>
      </c>
      <c r="B20" s="27">
        <v>0.6</v>
      </c>
      <c r="D20" s="10" t="s">
        <v>77</v>
      </c>
    </row>
    <row r="21" spans="1:13" x14ac:dyDescent="0.25">
      <c r="A21" t="s">
        <v>78</v>
      </c>
      <c r="B21" s="24">
        <v>60</v>
      </c>
      <c r="C21" t="s">
        <v>63</v>
      </c>
      <c r="D21" t="s">
        <v>79</v>
      </c>
    </row>
    <row r="22" spans="1:13" x14ac:dyDescent="0.25">
      <c r="A22" t="s">
        <v>80</v>
      </c>
      <c r="B22" s="24">
        <f>400*1.3</f>
        <v>520</v>
      </c>
      <c r="C22" t="s">
        <v>81</v>
      </c>
      <c r="D22" t="s">
        <v>82</v>
      </c>
    </row>
    <row r="23" spans="1:13" x14ac:dyDescent="0.25">
      <c r="A23" t="s">
        <v>83</v>
      </c>
      <c r="B23" s="24">
        <v>156</v>
      </c>
      <c r="C23" t="s">
        <v>63</v>
      </c>
    </row>
    <row r="24" spans="1:13" x14ac:dyDescent="0.25">
      <c r="B24" s="24"/>
    </row>
    <row r="25" spans="1:13" x14ac:dyDescent="0.25">
      <c r="B25" s="24"/>
    </row>
    <row r="26" spans="1:13" s="25" customFormat="1" x14ac:dyDescent="0.25">
      <c r="A26" s="26" t="s">
        <v>28</v>
      </c>
    </row>
    <row r="27" spans="1:13" x14ac:dyDescent="0.25">
      <c r="A27" s="150"/>
      <c r="B27" s="149" t="s">
        <v>47</v>
      </c>
      <c r="C27" s="149" t="s">
        <v>53</v>
      </c>
      <c r="D27" s="149" t="s">
        <v>54</v>
      </c>
      <c r="E27" s="8"/>
      <c r="M27" s="8"/>
    </row>
    <row r="28" spans="1:13" x14ac:dyDescent="0.25">
      <c r="A28" s="146" t="s">
        <v>396</v>
      </c>
      <c r="B28" s="150">
        <v>300</v>
      </c>
      <c r="C28" s="150">
        <v>110</v>
      </c>
      <c r="D28" s="150">
        <v>145</v>
      </c>
      <c r="E28" s="8" t="s">
        <v>397</v>
      </c>
      <c r="M28" s="8"/>
    </row>
    <row r="29" spans="1:13" x14ac:dyDescent="0.25">
      <c r="A29" t="s">
        <v>84</v>
      </c>
      <c r="B29" s="8">
        <f>B5*PI()*B28</f>
        <v>161163.70312915638</v>
      </c>
      <c r="C29" s="8">
        <f>D5*PI()*C28</f>
        <v>100907.95603330414</v>
      </c>
      <c r="D29" s="8">
        <f>C5*PI()*D28</f>
        <v>118438.04304033519</v>
      </c>
      <c r="E29" t="s">
        <v>85</v>
      </c>
    </row>
    <row r="30" spans="1:13" x14ac:dyDescent="0.25">
      <c r="A30" t="s">
        <v>86</v>
      </c>
      <c r="B30" s="8">
        <f>B9/B29</f>
        <v>12.26169610469621</v>
      </c>
      <c r="C30" s="8">
        <f>D9/C29</f>
        <v>11.468474037772156</v>
      </c>
      <c r="D30" s="8">
        <f>C9/D29</f>
        <v>10.973605053991692</v>
      </c>
      <c r="E30" t="s">
        <v>87</v>
      </c>
    </row>
    <row r="31" spans="1:13" x14ac:dyDescent="0.25">
      <c r="A31" t="s">
        <v>88</v>
      </c>
      <c r="B31" s="17">
        <f>B13/B30</f>
        <v>2.446643575558038</v>
      </c>
      <c r="C31" s="17">
        <f>$B13/C30</f>
        <v>2.6158667579656258</v>
      </c>
      <c r="D31" s="17">
        <f>$B13/D30</f>
        <v>2.7338326696100097</v>
      </c>
      <c r="E31" s="8"/>
    </row>
    <row r="32" spans="1:13" x14ac:dyDescent="0.25">
      <c r="E32" s="8"/>
    </row>
    <row r="34" spans="1:6" s="25" customFormat="1" x14ac:dyDescent="0.25">
      <c r="A34" s="26" t="s">
        <v>89</v>
      </c>
    </row>
    <row r="39" spans="1:6" x14ac:dyDescent="0.25">
      <c r="A39" t="s">
        <v>90</v>
      </c>
    </row>
    <row r="40" spans="1:6" x14ac:dyDescent="0.25">
      <c r="A40" t="s">
        <v>91</v>
      </c>
    </row>
    <row r="42" spans="1:6" x14ac:dyDescent="0.25">
      <c r="B42" s="149" t="s">
        <v>47</v>
      </c>
      <c r="C42" s="149" t="s">
        <v>54</v>
      </c>
      <c r="D42" s="230" t="s">
        <v>53</v>
      </c>
    </row>
    <row r="43" spans="1:6" x14ac:dyDescent="0.25">
      <c r="A43" t="s">
        <v>92</v>
      </c>
      <c r="B43" s="30">
        <f>B6</f>
        <v>12</v>
      </c>
      <c r="C43" s="30">
        <f>C6</f>
        <v>5</v>
      </c>
      <c r="D43" s="30">
        <f>D6</f>
        <v>7</v>
      </c>
      <c r="E43" t="s">
        <v>93</v>
      </c>
    </row>
    <row r="44" spans="1:6" x14ac:dyDescent="0.25">
      <c r="A44" s="146" t="s">
        <v>396</v>
      </c>
      <c r="B44" s="27">
        <v>120</v>
      </c>
      <c r="C44" s="27">
        <v>126</v>
      </c>
      <c r="D44" s="27">
        <v>71</v>
      </c>
      <c r="E44" t="s">
        <v>93</v>
      </c>
    </row>
    <row r="45" spans="1:6" x14ac:dyDescent="0.25">
      <c r="A45" t="s">
        <v>94</v>
      </c>
      <c r="B45" s="27">
        <v>12</v>
      </c>
      <c r="C45" s="27">
        <v>8</v>
      </c>
      <c r="D45" s="27">
        <v>8</v>
      </c>
      <c r="E45" t="s">
        <v>93</v>
      </c>
    </row>
    <row r="46" spans="1:6" x14ac:dyDescent="0.25">
      <c r="A46" t="s">
        <v>95</v>
      </c>
      <c r="B46" s="8">
        <f>ROUNDDOWN(B5*PI()/(4*B45),0)</f>
        <v>11</v>
      </c>
      <c r="C46" s="8">
        <f>ROUNDDOWN(C5*PI()/(4*C45),0)</f>
        <v>25</v>
      </c>
      <c r="D46" s="8">
        <f>ROUNDDOWN(D5*PI()/(4*D45),0)</f>
        <v>28</v>
      </c>
      <c r="E46" t="s">
        <v>96</v>
      </c>
    </row>
    <row r="47" spans="1:6" x14ac:dyDescent="0.25">
      <c r="A47" s="230" t="s">
        <v>97</v>
      </c>
      <c r="B47" s="233">
        <v>11</v>
      </c>
      <c r="C47" s="233">
        <v>20</v>
      </c>
      <c r="D47" s="233">
        <v>28</v>
      </c>
      <c r="E47" t="s">
        <v>96</v>
      </c>
    </row>
    <row r="48" spans="1:6" x14ac:dyDescent="0.25">
      <c r="A48" t="s">
        <v>98</v>
      </c>
      <c r="B48" s="9">
        <f>ROUNDDOWN(1+(($B$44-((1.5+2.5)*$B$45))/SQRT(25*B45^2-(PI()*B5/B47/2)^2)),1)</f>
        <v>2.2999999999999998</v>
      </c>
      <c r="C48" s="9">
        <f>ROUNDDOWN(1+(($C$44-((1.5+2.5)*$C$45))/SQRT(25*C45^2-(PI()*C45/C47/2)^2)),1)</f>
        <v>3.3</v>
      </c>
      <c r="D48" s="9">
        <f>ROUNDDOWN(1+(($D$44-((1.5+2.5)*$D$45))/SQRT(25*D45^2-(PI()*D45/D47/2)^2)),1)</f>
        <v>1.9</v>
      </c>
      <c r="E48" t="s">
        <v>96</v>
      </c>
      <c r="F48" t="s">
        <v>99</v>
      </c>
    </row>
    <row r="49" spans="1:13" x14ac:dyDescent="0.25">
      <c r="A49" s="230" t="s">
        <v>100</v>
      </c>
      <c r="B49" s="233">
        <v>3</v>
      </c>
      <c r="C49" s="233">
        <v>3</v>
      </c>
      <c r="D49" s="233">
        <v>2</v>
      </c>
      <c r="E49" t="s">
        <v>96</v>
      </c>
    </row>
    <row r="50" spans="1:13" x14ac:dyDescent="0.25">
      <c r="A50" s="230" t="s">
        <v>101</v>
      </c>
      <c r="B50" s="234">
        <f>(B49-1)*SQRT(25*B45^2-(PI()*B5/B47/2)^2)+(1.5+2.5)*B45</f>
        <v>157.61249920084731</v>
      </c>
      <c r="C50" s="235">
        <f>(C49-1)*SQRT(25*C45^2-(PI()*B5/C47/2)^2)+(1.5+2.5)*C45</f>
        <v>107.35587066890918</v>
      </c>
      <c r="D50" s="235">
        <f>(D49-1)*SQRT(25*D45^2-(PI()*B5/D47/2)^2)+(1.5+2.5)*D45</f>
        <v>70.832626266960887</v>
      </c>
      <c r="E50" t="s">
        <v>93</v>
      </c>
    </row>
    <row r="51" spans="1:13" x14ac:dyDescent="0.25">
      <c r="A51" t="s">
        <v>103</v>
      </c>
      <c r="B51" s="8">
        <f>B9/((B47*B49)*B43*B45)</f>
        <v>415.85445094217027</v>
      </c>
      <c r="C51" s="8">
        <f>C9/((C47*C49)*C43*C45)</f>
        <v>541.53846153846155</v>
      </c>
      <c r="D51" s="8">
        <f>D9/((D47*D49)*D43*D45)</f>
        <v>369.02432205759015</v>
      </c>
      <c r="E51" t="s">
        <v>63</v>
      </c>
    </row>
    <row r="52" spans="1:13" x14ac:dyDescent="0.25">
      <c r="A52" s="230" t="s">
        <v>104</v>
      </c>
      <c r="B52" s="236">
        <f>B15/B51</f>
        <v>1.4428124999999998</v>
      </c>
      <c r="C52" s="236">
        <f>B15/C51</f>
        <v>1.1079545454545454</v>
      </c>
      <c r="D52" s="236">
        <f>B15/D51</f>
        <v>1.625909090909091</v>
      </c>
      <c r="F52" t="s">
        <v>102</v>
      </c>
    </row>
    <row r="53" spans="1:13" x14ac:dyDescent="0.25">
      <c r="A53" t="s">
        <v>105</v>
      </c>
      <c r="B53" s="8">
        <f>B9/(B47*B49*PI()/4*B45^2)</f>
        <v>529.48233179369993</v>
      </c>
      <c r="C53" s="8">
        <f>C9/(C47*C49*PI()/4*C45^2)</f>
        <v>430.94261514113208</v>
      </c>
      <c r="D53" s="8">
        <f>D9/(D47*D49*PI()/4*D45^2)</f>
        <v>411.12431483620719</v>
      </c>
      <c r="E53" t="s">
        <v>63</v>
      </c>
    </row>
    <row r="54" spans="1:13" x14ac:dyDescent="0.25">
      <c r="A54" s="230" t="s">
        <v>106</v>
      </c>
      <c r="B54" s="236">
        <f>B16/B53</f>
        <v>1.626116582744574</v>
      </c>
      <c r="C54" s="236">
        <f>B16/C53</f>
        <v>1.9979458279335538</v>
      </c>
      <c r="D54" s="236">
        <f>B16/D53</f>
        <v>2.0942570627159922</v>
      </c>
      <c r="M54" s="8"/>
    </row>
    <row r="55" spans="1:13" x14ac:dyDescent="0.25">
      <c r="A55" t="s">
        <v>489</v>
      </c>
      <c r="B55" s="9">
        <f>SQRT(25*B45^2-(PI()*B5/B47/2)^2)</f>
        <v>54.806249600423655</v>
      </c>
      <c r="C55" s="9">
        <f>SQRT(25*C45^2-(PI()*C5/C47/2)^2)</f>
        <v>34.39490098915789</v>
      </c>
      <c r="D55" s="9">
        <f>SQRT(25*D45^2-(PI()*D5/D47/2)^2)</f>
        <v>36.491883228524387</v>
      </c>
      <c r="M55" s="8"/>
    </row>
    <row r="57" spans="1:13" x14ac:dyDescent="0.25">
      <c r="A57" s="16" t="s">
        <v>107</v>
      </c>
    </row>
    <row r="58" spans="1:13" x14ac:dyDescent="0.25">
      <c r="A58" s="146" t="s">
        <v>108</v>
      </c>
      <c r="B58" s="146"/>
      <c r="C58" s="146"/>
      <c r="D58" s="146"/>
      <c r="E58" s="146"/>
    </row>
    <row r="59" spans="1:13" s="26" customFormat="1" x14ac:dyDescent="0.25">
      <c r="A59" s="26" t="s">
        <v>398</v>
      </c>
    </row>
    <row r="60" spans="1:13" x14ac:dyDescent="0.25">
      <c r="B60" s="149" t="s">
        <v>47</v>
      </c>
      <c r="C60" s="149" t="s">
        <v>54</v>
      </c>
      <c r="D60" s="230" t="s">
        <v>53</v>
      </c>
    </row>
    <row r="61" spans="1:13" x14ac:dyDescent="0.25">
      <c r="A61" s="146" t="s">
        <v>396</v>
      </c>
      <c r="B61" s="27">
        <v>120</v>
      </c>
      <c r="C61" s="27">
        <v>98</v>
      </c>
      <c r="D61" s="27">
        <v>50</v>
      </c>
      <c r="E61" t="s">
        <v>93</v>
      </c>
    </row>
    <row r="62" spans="1:13" x14ac:dyDescent="0.25">
      <c r="A62" t="s">
        <v>94</v>
      </c>
      <c r="B62" s="27">
        <v>12</v>
      </c>
      <c r="C62" s="27">
        <v>8</v>
      </c>
      <c r="D62" s="27">
        <v>8</v>
      </c>
      <c r="E62" t="s">
        <v>93</v>
      </c>
    </row>
    <row r="63" spans="1:13" x14ac:dyDescent="0.25">
      <c r="A63" t="s">
        <v>95</v>
      </c>
      <c r="B63" s="8">
        <f>ROUNDDOWN(B5*PI()/(4*B62),0)</f>
        <v>11</v>
      </c>
      <c r="C63" s="8">
        <f>ROUNDDOWN(C5*PI()/(4*C62),0)</f>
        <v>25</v>
      </c>
      <c r="D63" s="8">
        <f>ROUNDDOWN(D5*PI()/(4*D62),0)</f>
        <v>28</v>
      </c>
      <c r="E63" t="s">
        <v>96</v>
      </c>
      <c r="F63" s="8"/>
    </row>
    <row r="64" spans="1:13" x14ac:dyDescent="0.25">
      <c r="A64" t="s">
        <v>97</v>
      </c>
      <c r="B64" s="24">
        <v>11</v>
      </c>
      <c r="C64" s="24">
        <v>24</v>
      </c>
      <c r="D64" s="24">
        <v>22</v>
      </c>
      <c r="E64" t="s">
        <v>96</v>
      </c>
      <c r="F64" s="8"/>
    </row>
    <row r="65" spans="1:15" x14ac:dyDescent="0.25">
      <c r="A65" t="s">
        <v>109</v>
      </c>
      <c r="B65" s="9">
        <f>ROUNDDOWN(1+(($B$61-((1.5+2.5)*$B$62))/(3*$B$62)),1)</f>
        <v>3</v>
      </c>
      <c r="C65" s="9">
        <f>ROUNDDOWN(1+((C$61-((1.5+2.5)*C$62))/(3*C$62)),1)</f>
        <v>3.7</v>
      </c>
      <c r="D65" s="9">
        <f>ROUNDDOWN(1+((D$61-((1.5+2.5)*D$62))/(3*D$62)),1)</f>
        <v>1.7</v>
      </c>
      <c r="E65" t="s">
        <v>96</v>
      </c>
    </row>
    <row r="66" spans="1:15" x14ac:dyDescent="0.25">
      <c r="A66" t="s">
        <v>110</v>
      </c>
      <c r="B66" s="24">
        <v>3</v>
      </c>
      <c r="C66" s="24">
        <v>2</v>
      </c>
      <c r="D66" s="24">
        <v>2</v>
      </c>
      <c r="E66" t="s">
        <v>96</v>
      </c>
      <c r="F66" s="8"/>
    </row>
    <row r="67" spans="1:15" x14ac:dyDescent="0.25">
      <c r="A67" t="s">
        <v>101</v>
      </c>
      <c r="B67" s="8">
        <f>(B66-1)*3*B62+(1.5+2.5)*B62</f>
        <v>120</v>
      </c>
      <c r="C67" s="31">
        <f>(C66-1)*3*C62+(1.5+2.5)*C62</f>
        <v>56</v>
      </c>
      <c r="D67" s="31">
        <f>(D66-1)*3*D62+(1.5+2.5)*D62</f>
        <v>56</v>
      </c>
      <c r="E67" t="s">
        <v>93</v>
      </c>
      <c r="F67" s="8"/>
    </row>
    <row r="68" spans="1:15" x14ac:dyDescent="0.25">
      <c r="A68" t="s">
        <v>103</v>
      </c>
      <c r="B68" s="8">
        <f>B9/((B64*B66)*B6*B62)</f>
        <v>415.85445094217027</v>
      </c>
      <c r="C68" s="8">
        <f>C9/((C64*C66)*C6*C62)</f>
        <v>676.92307692307691</v>
      </c>
      <c r="D68" s="8">
        <f>D9/((D64*D66)*D6*D62)</f>
        <v>469.66731898238748</v>
      </c>
      <c r="E68" t="s">
        <v>63</v>
      </c>
    </row>
    <row r="69" spans="1:15" x14ac:dyDescent="0.25">
      <c r="A69" t="s">
        <v>104</v>
      </c>
      <c r="B69" s="17">
        <f>B19/B68</f>
        <v>6.0117187499999991</v>
      </c>
      <c r="C69" s="17">
        <f>B19/C68</f>
        <v>3.6931818181818183</v>
      </c>
      <c r="D69" s="17">
        <f>B19/D68</f>
        <v>5.322916666666667</v>
      </c>
      <c r="F69" s="8"/>
      <c r="M69" s="8"/>
    </row>
    <row r="70" spans="1:15" x14ac:dyDescent="0.25">
      <c r="A70" t="s">
        <v>105</v>
      </c>
      <c r="B70" s="8">
        <f>B9/(B64*B66*PI()/4*B62^2)</f>
        <v>529.48233179369993</v>
      </c>
      <c r="C70" s="8">
        <f>C9/(C64*C66*PI()/4*C62^2)</f>
        <v>538.67826892641506</v>
      </c>
      <c r="D70" s="8">
        <f>D9/(D64*D66*PI()/4*D62^2)</f>
        <v>523.24912797335458</v>
      </c>
      <c r="E70" t="s">
        <v>63</v>
      </c>
      <c r="F70" s="8"/>
      <c r="M70" s="8"/>
    </row>
    <row r="71" spans="1:15" x14ac:dyDescent="0.25">
      <c r="A71" t="s">
        <v>106</v>
      </c>
      <c r="B71" s="17">
        <f>B16/B70</f>
        <v>1.626116582744574</v>
      </c>
      <c r="C71" s="17">
        <f>B16/C70</f>
        <v>1.5983566623468433</v>
      </c>
      <c r="D71" s="17">
        <f>B16/D70</f>
        <v>1.6454876921339938</v>
      </c>
    </row>
    <row r="75" spans="1:15" x14ac:dyDescent="0.25">
      <c r="G75" t="s">
        <v>90</v>
      </c>
    </row>
    <row r="76" spans="1:15" s="26" customFormat="1" x14ac:dyDescent="0.25">
      <c r="A76" s="26" t="s">
        <v>19</v>
      </c>
    </row>
    <row r="77" spans="1:15" x14ac:dyDescent="0.25">
      <c r="A77" t="s">
        <v>111</v>
      </c>
      <c r="B77" s="41">
        <v>-9.9999999999999995E-8</v>
      </c>
      <c r="C77" s="41"/>
      <c r="D77" t="s">
        <v>112</v>
      </c>
      <c r="J77" s="32"/>
      <c r="K77" s="32"/>
      <c r="L77" s="32"/>
      <c r="M77" s="32"/>
      <c r="N77" s="32"/>
      <c r="O77" s="32"/>
    </row>
    <row r="78" spans="1:15" x14ac:dyDescent="0.25">
      <c r="A78" t="s">
        <v>113</v>
      </c>
      <c r="B78" s="41">
        <v>1.1E-5</v>
      </c>
      <c r="C78" s="41"/>
      <c r="D78" t="s">
        <v>112</v>
      </c>
    </row>
    <row r="80" spans="1:15" x14ac:dyDescent="0.25">
      <c r="A80" t="s">
        <v>114</v>
      </c>
      <c r="B80" s="24">
        <v>150000</v>
      </c>
      <c r="C80" s="42"/>
      <c r="D80" t="s">
        <v>63</v>
      </c>
    </row>
    <row r="81" spans="1:19" x14ac:dyDescent="0.25">
      <c r="A81" t="s">
        <v>115</v>
      </c>
      <c r="B81" s="24">
        <f>2586*B83</f>
        <v>1551.6</v>
      </c>
      <c r="C81" s="42"/>
      <c r="D81" t="s">
        <v>63</v>
      </c>
    </row>
    <row r="82" spans="1:19" x14ac:dyDescent="0.25">
      <c r="A82" t="s">
        <v>116</v>
      </c>
      <c r="B82" s="24">
        <v>82</v>
      </c>
      <c r="C82" s="42"/>
      <c r="D82" t="s">
        <v>63</v>
      </c>
    </row>
    <row r="83" spans="1:19" x14ac:dyDescent="0.25">
      <c r="A83" t="s">
        <v>117</v>
      </c>
      <c r="B83" s="27">
        <v>0.6</v>
      </c>
      <c r="C83" s="42"/>
    </row>
    <row r="84" spans="1:19" x14ac:dyDescent="0.25">
      <c r="A84" t="s">
        <v>118</v>
      </c>
      <c r="B84" s="42">
        <v>0.36</v>
      </c>
      <c r="C84" s="42"/>
    </row>
    <row r="85" spans="1:19" x14ac:dyDescent="0.25">
      <c r="B85" s="42"/>
      <c r="C85" s="42"/>
    </row>
    <row r="86" spans="1:19" x14ac:dyDescent="0.25">
      <c r="A86" t="s">
        <v>119</v>
      </c>
      <c r="B86" s="27">
        <v>4</v>
      </c>
      <c r="C86" s="27">
        <v>5</v>
      </c>
      <c r="D86" t="s">
        <v>93</v>
      </c>
    </row>
    <row r="87" spans="1:19" x14ac:dyDescent="0.25">
      <c r="A87" t="s">
        <v>120</v>
      </c>
      <c r="B87" s="43">
        <v>210000</v>
      </c>
      <c r="C87" s="43"/>
      <c r="D87" t="s">
        <v>63</v>
      </c>
    </row>
    <row r="88" spans="1:19" x14ac:dyDescent="0.25">
      <c r="A88" t="s">
        <v>121</v>
      </c>
      <c r="B88" s="43">
        <v>900</v>
      </c>
      <c r="C88" s="43"/>
      <c r="D88" t="s">
        <v>63</v>
      </c>
    </row>
    <row r="89" spans="1:19" x14ac:dyDescent="0.25">
      <c r="A89" t="s">
        <v>122</v>
      </c>
      <c r="B89" s="43">
        <v>0.3</v>
      </c>
      <c r="C89" s="43"/>
    </row>
    <row r="90" spans="1:19" x14ac:dyDescent="0.25">
      <c r="A90" t="s">
        <v>123</v>
      </c>
      <c r="B90" s="27">
        <v>7</v>
      </c>
      <c r="C90" s="27">
        <v>10</v>
      </c>
      <c r="D90" t="s">
        <v>93</v>
      </c>
    </row>
    <row r="92" spans="1:19" x14ac:dyDescent="0.25">
      <c r="A92" t="s">
        <v>124</v>
      </c>
      <c r="C92" s="8">
        <f>180+54</f>
        <v>234</v>
      </c>
      <c r="D92" t="s">
        <v>125</v>
      </c>
    </row>
    <row r="93" spans="1:19" x14ac:dyDescent="0.25">
      <c r="D93" s="8"/>
    </row>
    <row r="94" spans="1:19" x14ac:dyDescent="0.25">
      <c r="A94" t="s">
        <v>126</v>
      </c>
      <c r="B94" s="149" t="s">
        <v>47</v>
      </c>
      <c r="C94" s="149" t="s">
        <v>54</v>
      </c>
      <c r="D94" s="44"/>
      <c r="E94" s="149"/>
    </row>
    <row r="95" spans="1:19" x14ac:dyDescent="0.25">
      <c r="A95" t="s">
        <v>127</v>
      </c>
      <c r="B95" s="8">
        <f>B$5+2*B86</f>
        <v>179</v>
      </c>
      <c r="C95" s="8">
        <f>C$5+2*C86</f>
        <v>270</v>
      </c>
      <c r="D95" t="s">
        <v>93</v>
      </c>
      <c r="L95" s="8"/>
    </row>
    <row r="96" spans="1:19" x14ac:dyDescent="0.25">
      <c r="A96" t="s">
        <v>128</v>
      </c>
      <c r="B96" s="8">
        <f>B$5-2*B90</f>
        <v>157</v>
      </c>
      <c r="C96" s="8">
        <f>C$5-2*C90</f>
        <v>240</v>
      </c>
      <c r="D96" t="s">
        <v>93</v>
      </c>
      <c r="S96" s="17"/>
    </row>
    <row r="97" spans="1:19" x14ac:dyDescent="0.25">
      <c r="A97" t="s">
        <v>129</v>
      </c>
      <c r="B97" s="17">
        <f>B5/B95</f>
        <v>0.95530726256983245</v>
      </c>
      <c r="C97" s="17">
        <f>C5/C95</f>
        <v>0.96296296296296291</v>
      </c>
    </row>
    <row r="98" spans="1:19" x14ac:dyDescent="0.25">
      <c r="A98" t="s">
        <v>130</v>
      </c>
      <c r="B98" s="17">
        <f>B96/B5</f>
        <v>0.91812865497076024</v>
      </c>
      <c r="C98" s="17">
        <f>C96/C5</f>
        <v>0.92307692307692313</v>
      </c>
      <c r="S98" s="39"/>
    </row>
    <row r="99" spans="1:19" x14ac:dyDescent="0.25">
      <c r="A99" t="s">
        <v>125</v>
      </c>
      <c r="B99" s="17">
        <f>(B80/B87)*(((1+B98^2)/(1-B98^2))-B89)+((1+B97^2)/(1-B97^2))+B84</f>
        <v>30.414733698357413</v>
      </c>
      <c r="C99" s="17">
        <f>(B80/B87)*(((1+C98^2)/(1-C98^2))-B89)+((1+C97^2)/(1-C97^2))+B84</f>
        <v>35.598005390835532</v>
      </c>
      <c r="S99" s="39"/>
    </row>
    <row r="100" spans="1:19" x14ac:dyDescent="0.25">
      <c r="D100" s="9"/>
    </row>
    <row r="101" spans="1:19" x14ac:dyDescent="0.25">
      <c r="A101" t="s">
        <v>131</v>
      </c>
      <c r="B101" s="8">
        <f>B$9/B$20</f>
        <v>3293567.2514619883</v>
      </c>
      <c r="C101" s="8">
        <f>C$9/B$20</f>
        <v>2166153.8461538465</v>
      </c>
      <c r="D101" t="s">
        <v>81</v>
      </c>
      <c r="S101" s="17"/>
    </row>
    <row r="102" spans="1:19" x14ac:dyDescent="0.25">
      <c r="A102" t="s">
        <v>132</v>
      </c>
      <c r="B102" s="24">
        <v>300</v>
      </c>
      <c r="C102" s="24">
        <v>120</v>
      </c>
      <c r="D102" t="s">
        <v>93</v>
      </c>
    </row>
    <row r="103" spans="1:19" x14ac:dyDescent="0.25">
      <c r="A103" t="s">
        <v>133</v>
      </c>
      <c r="B103" s="8">
        <f>B101/(B5*PI()*B102)</f>
        <v>20.436160174493683</v>
      </c>
      <c r="C103" s="8">
        <f>C101/(C5*PI()*C102)</f>
        <v>22.099621289288827</v>
      </c>
      <c r="D103" t="s">
        <v>63</v>
      </c>
      <c r="S103" s="8"/>
    </row>
    <row r="104" spans="1:19" x14ac:dyDescent="0.25">
      <c r="A104" t="s">
        <v>134</v>
      </c>
      <c r="B104" s="17">
        <f>B$21/B103</f>
        <v>2.9359722906696457</v>
      </c>
      <c r="C104" s="17">
        <f>B$21/C103</f>
        <v>2.7149786511989058</v>
      </c>
    </row>
    <row r="106" spans="1:19" x14ac:dyDescent="0.25">
      <c r="A106" t="s">
        <v>135</v>
      </c>
      <c r="B106" s="17">
        <f>B99*B103*B5/$B80</f>
        <v>0.7085788212575912</v>
      </c>
      <c r="C106" s="17">
        <f>C99*C103*C5/$B80</f>
        <v>1.3636175588386474</v>
      </c>
      <c r="D106" t="s">
        <v>93</v>
      </c>
      <c r="L106" s="17"/>
    </row>
    <row r="108" spans="1:19" x14ac:dyDescent="0.25">
      <c r="A108" t="s">
        <v>136</v>
      </c>
      <c r="B108" s="39">
        <f>B$5*$B77*$C$92</f>
        <v>-4.0013999999999996E-3</v>
      </c>
      <c r="C108" s="39">
        <f>C$5*$B77*$C$92</f>
        <v>-6.084E-3</v>
      </c>
      <c r="D108" t="s">
        <v>93</v>
      </c>
    </row>
    <row r="109" spans="1:19" x14ac:dyDescent="0.25">
      <c r="A109" t="s">
        <v>137</v>
      </c>
      <c r="B109" s="39">
        <f>B$5*$B78*$C$92</f>
        <v>0.44015399999999999</v>
      </c>
      <c r="C109" s="39">
        <f>C$5*$B78*$C$92</f>
        <v>0.66924000000000006</v>
      </c>
      <c r="D109" t="s">
        <v>93</v>
      </c>
      <c r="L109" s="17"/>
    </row>
    <row r="110" spans="1:19" x14ac:dyDescent="0.25">
      <c r="L110" s="17"/>
    </row>
    <row r="111" spans="1:19" x14ac:dyDescent="0.25">
      <c r="A111" t="s">
        <v>138</v>
      </c>
      <c r="B111" s="17">
        <f>B106-B108+B109</f>
        <v>1.1527342212575913</v>
      </c>
      <c r="C111" s="17">
        <f>C106-C108+C109</f>
        <v>2.0389415588386477</v>
      </c>
      <c r="D111" t="s">
        <v>93</v>
      </c>
    </row>
    <row r="112" spans="1:19" x14ac:dyDescent="0.25">
      <c r="A112" t="s">
        <v>139</v>
      </c>
      <c r="B112" s="8">
        <f>B111*$B80/(B99*B5)</f>
        <v>33.24607013010975</v>
      </c>
      <c r="C112" s="8">
        <f>C111*$B80/(C99*C5)</f>
        <v>33.044335627140541</v>
      </c>
      <c r="D112" t="s">
        <v>63</v>
      </c>
      <c r="L112" s="17"/>
    </row>
    <row r="113" spans="1:12" x14ac:dyDescent="0.25">
      <c r="A113" t="s">
        <v>134</v>
      </c>
      <c r="B113" s="17">
        <f>B$21/B112</f>
        <v>1.8047245814373769</v>
      </c>
      <c r="C113" s="17">
        <f>B$21/C112</f>
        <v>1.8157423613237897</v>
      </c>
      <c r="L113" s="17"/>
    </row>
    <row r="115" spans="1:12" x14ac:dyDescent="0.25">
      <c r="A115" t="s">
        <v>140</v>
      </c>
      <c r="B115" s="8">
        <f>B112*(2*B97^2)/(1-B97^2)</f>
        <v>694.39166905324294</v>
      </c>
      <c r="C115" s="8">
        <f>C112*(2*C97^2)/(1-C97^2)</f>
        <v>842.94229750743227</v>
      </c>
      <c r="D115" t="s">
        <v>63</v>
      </c>
    </row>
    <row r="116" spans="1:12" x14ac:dyDescent="0.25">
      <c r="A116" t="s">
        <v>141</v>
      </c>
      <c r="B116" s="17">
        <f>$B81/B115</f>
        <v>2.2344738123305881</v>
      </c>
      <c r="C116" s="17">
        <f>$B81/C115</f>
        <v>1.8406953887449446</v>
      </c>
    </row>
    <row r="117" spans="1:12" x14ac:dyDescent="0.25">
      <c r="A117" t="s">
        <v>142</v>
      </c>
      <c r="B117" s="8">
        <f>B112*(1+B97^2)/(1-B97^2)</f>
        <v>727.63773918335278</v>
      </c>
      <c r="C117" s="8">
        <f>C112*(1+C97^2)/(1-C97^2)</f>
        <v>875.9866331345728</v>
      </c>
      <c r="D117" t="s">
        <v>63</v>
      </c>
    </row>
    <row r="118" spans="1:12" x14ac:dyDescent="0.25">
      <c r="A118" t="s">
        <v>143</v>
      </c>
      <c r="B118" s="17">
        <f>B81/B117</f>
        <v>2.1323797769772113</v>
      </c>
      <c r="C118" s="17">
        <f>B81/C117</f>
        <v>1.7712599043296549</v>
      </c>
    </row>
    <row r="119" spans="1:12" x14ac:dyDescent="0.25">
      <c r="A119" t="s">
        <v>144</v>
      </c>
      <c r="B119" s="8">
        <f>-B112*(1+B98^2)/(1-B98^2)</f>
        <v>-390.16348417064785</v>
      </c>
      <c r="C119" s="8">
        <f>-C112*(1+C98^2)/(1-C98^2)</f>
        <v>-413.71508205179998</v>
      </c>
      <c r="D119" t="s">
        <v>63</v>
      </c>
    </row>
    <row r="120" spans="1:12" x14ac:dyDescent="0.25">
      <c r="A120" t="s">
        <v>141</v>
      </c>
      <c r="B120" s="17">
        <f>$B$88/ABS(B119)</f>
        <v>2.3067253510745314</v>
      </c>
      <c r="C120" s="17">
        <f>$B$88/ABS(C119)</f>
        <v>2.1754101773048578</v>
      </c>
    </row>
    <row r="121" spans="1:12" x14ac:dyDescent="0.25">
      <c r="A121" t="s">
        <v>145</v>
      </c>
      <c r="B121" s="8">
        <f>-B112*2/(1-B98^2)</f>
        <v>-423.40955430075763</v>
      </c>
      <c r="C121" s="8">
        <f>-C112*2/(1-C98^2)</f>
        <v>-446.75941767894051</v>
      </c>
      <c r="D121" t="s">
        <v>63</v>
      </c>
    </row>
    <row r="122" spans="1:12" x14ac:dyDescent="0.25">
      <c r="A122" t="s">
        <v>143</v>
      </c>
      <c r="B122" s="17">
        <f>$B$88/ABS(B121)</f>
        <v>2.1256015384119298</v>
      </c>
      <c r="C122" s="17">
        <f>$B$88/ABS(C121)</f>
        <v>2.0145070576817177</v>
      </c>
    </row>
    <row r="124" spans="1:12" x14ac:dyDescent="0.25">
      <c r="D124" s="8"/>
    </row>
    <row r="125" spans="1:12" s="26" customFormat="1" hidden="1" x14ac:dyDescent="0.25">
      <c r="A125" s="26" t="s">
        <v>146</v>
      </c>
    </row>
    <row r="126" spans="1:12" hidden="1" x14ac:dyDescent="0.25">
      <c r="A126" s="33" t="s">
        <v>147</v>
      </c>
      <c r="B126" s="33"/>
      <c r="C126" s="33"/>
      <c r="D126" s="33"/>
      <c r="E126" s="33"/>
      <c r="F126" s="33"/>
    </row>
    <row r="127" spans="1:12" hidden="1" x14ac:dyDescent="0.25">
      <c r="A127" s="33" t="s">
        <v>148</v>
      </c>
      <c r="B127" s="33"/>
      <c r="C127" s="33"/>
      <c r="D127" s="33">
        <v>5</v>
      </c>
      <c r="E127" s="33" t="s">
        <v>93</v>
      </c>
      <c r="F127" s="33"/>
    </row>
    <row r="128" spans="1:12" hidden="1" x14ac:dyDescent="0.25">
      <c r="A128" s="33" t="s">
        <v>149</v>
      </c>
      <c r="B128" s="33"/>
      <c r="C128" s="33"/>
      <c r="D128" s="33">
        <v>34</v>
      </c>
      <c r="E128" s="33" t="s">
        <v>93</v>
      </c>
      <c r="F128" s="33"/>
    </row>
    <row r="129" spans="1:8" hidden="1" x14ac:dyDescent="0.25">
      <c r="A129" s="33" t="s">
        <v>150</v>
      </c>
      <c r="B129" s="33"/>
      <c r="C129" s="33"/>
      <c r="D129" s="33">
        <f>D128-2*D127</f>
        <v>24</v>
      </c>
      <c r="E129" s="33" t="s">
        <v>93</v>
      </c>
      <c r="F129" s="33"/>
    </row>
    <row r="130" spans="1:8" hidden="1" x14ac:dyDescent="0.25">
      <c r="A130" s="33" t="s">
        <v>132</v>
      </c>
      <c r="B130" s="33"/>
      <c r="C130" s="33"/>
      <c r="D130" s="33">
        <f>2*D129</f>
        <v>48</v>
      </c>
      <c r="E130" s="33" t="s">
        <v>93</v>
      </c>
      <c r="F130" s="33"/>
    </row>
    <row r="131" spans="1:8" hidden="1" x14ac:dyDescent="0.25">
      <c r="A131" s="33" t="s">
        <v>151</v>
      </c>
      <c r="B131" s="33"/>
      <c r="C131" s="33"/>
      <c r="D131" s="33">
        <v>1800</v>
      </c>
      <c r="E131" s="33" t="s">
        <v>52</v>
      </c>
      <c r="F131" s="33"/>
    </row>
    <row r="132" spans="1:8" hidden="1" x14ac:dyDescent="0.25">
      <c r="A132" s="33" t="s">
        <v>152</v>
      </c>
      <c r="B132" s="33"/>
      <c r="C132" s="33"/>
      <c r="D132" s="34">
        <f>1000*D131/D129</f>
        <v>75000</v>
      </c>
      <c r="E132" s="33" t="s">
        <v>81</v>
      </c>
      <c r="F132" s="33"/>
    </row>
    <row r="133" spans="1:8" hidden="1" x14ac:dyDescent="0.25">
      <c r="A133" s="33"/>
      <c r="B133" s="33"/>
      <c r="C133" s="33"/>
      <c r="D133" s="33"/>
      <c r="E133" s="33"/>
      <c r="F133" s="33"/>
      <c r="H133" t="s">
        <v>153</v>
      </c>
    </row>
    <row r="134" spans="1:8" hidden="1" x14ac:dyDescent="0.25">
      <c r="A134" s="33" t="s">
        <v>154</v>
      </c>
      <c r="B134" s="33"/>
      <c r="C134" s="33"/>
      <c r="D134" s="34">
        <f>D132/(D130*D129*PI())</f>
        <v>20.723299881757207</v>
      </c>
      <c r="E134" s="33" t="s">
        <v>155</v>
      </c>
      <c r="F134" s="33"/>
    </row>
    <row r="135" spans="1:8" hidden="1" x14ac:dyDescent="0.25">
      <c r="A135" s="33"/>
      <c r="B135" s="33"/>
      <c r="C135" s="33"/>
      <c r="D135" s="33"/>
      <c r="E135" s="33"/>
      <c r="F135" s="33"/>
    </row>
    <row r="136" spans="1:8" hidden="1" x14ac:dyDescent="0.25">
      <c r="A136" s="33" t="s">
        <v>156</v>
      </c>
      <c r="B136" s="33"/>
      <c r="C136" s="33"/>
      <c r="D136" s="33"/>
      <c r="E136" s="33"/>
      <c r="F136" s="33"/>
    </row>
    <row r="137" spans="1:8" hidden="1" x14ac:dyDescent="0.25">
      <c r="A137" s="33" t="s">
        <v>157</v>
      </c>
      <c r="B137" s="33"/>
      <c r="C137" s="33"/>
      <c r="D137" s="34">
        <f>B9/D134</f>
        <v>95358.382214832309</v>
      </c>
      <c r="E137" s="33" t="s">
        <v>158</v>
      </c>
      <c r="F137" s="33"/>
    </row>
    <row r="138" spans="1:8" hidden="1" x14ac:dyDescent="0.25">
      <c r="A138" s="33" t="s">
        <v>159</v>
      </c>
      <c r="B138" s="33"/>
      <c r="C138" s="33"/>
      <c r="D138" s="34">
        <f>D9/D134</f>
        <v>55843.436160055913</v>
      </c>
      <c r="E138" s="33" t="s">
        <v>158</v>
      </c>
      <c r="F138" s="33"/>
    </row>
    <row r="139" spans="1:8" hidden="1" x14ac:dyDescent="0.25">
      <c r="A139" s="33"/>
      <c r="B139" s="33"/>
      <c r="C139" s="33"/>
      <c r="D139" s="33"/>
      <c r="E139" s="33"/>
      <c r="F139" s="33"/>
    </row>
    <row r="140" spans="1:8" hidden="1" x14ac:dyDescent="0.25">
      <c r="A140" s="33" t="s">
        <v>160</v>
      </c>
      <c r="B140" s="33"/>
      <c r="C140" s="33"/>
      <c r="D140" s="34">
        <f>D137/(PI()*B5)</f>
        <v>177.50594028931977</v>
      </c>
      <c r="E140" s="33" t="s">
        <v>93</v>
      </c>
      <c r="F140" s="33"/>
    </row>
    <row r="141" spans="1:8" hidden="1" x14ac:dyDescent="0.25">
      <c r="A141" s="33" t="s">
        <v>161</v>
      </c>
      <c r="B141" s="33"/>
      <c r="C141" s="33"/>
      <c r="D141" s="34">
        <f>D138/(PI()*D5)</f>
        <v>60.875060987051988</v>
      </c>
      <c r="E141" s="33" t="s">
        <v>93</v>
      </c>
      <c r="F141" s="33"/>
    </row>
    <row r="142" spans="1:8" hidden="1" x14ac:dyDescent="0.25">
      <c r="A142" s="33"/>
      <c r="B142" s="33"/>
      <c r="C142" s="33"/>
      <c r="D142" s="33"/>
      <c r="E142" s="33"/>
      <c r="F142" s="33"/>
    </row>
    <row r="143" spans="1:8" hidden="1" x14ac:dyDescent="0.25"/>
    <row r="144" spans="1:8" s="26" customFormat="1" hidden="1" x14ac:dyDescent="0.25">
      <c r="A144" s="26" t="s">
        <v>20</v>
      </c>
    </row>
    <row r="145" spans="1:12" hidden="1" x14ac:dyDescent="0.25">
      <c r="A145" s="33" t="s">
        <v>162</v>
      </c>
      <c r="B145" s="33"/>
      <c r="C145" s="33"/>
      <c r="D145" s="34"/>
      <c r="E145" s="33"/>
      <c r="F145" s="33"/>
    </row>
    <row r="146" spans="1:12" hidden="1" x14ac:dyDescent="0.25">
      <c r="A146" s="33" t="s">
        <v>163</v>
      </c>
      <c r="B146" s="33"/>
      <c r="C146" s="33"/>
      <c r="D146" s="34">
        <v>10</v>
      </c>
      <c r="E146" s="33" t="s">
        <v>93</v>
      </c>
      <c r="F146" s="33"/>
    </row>
    <row r="147" spans="1:12" hidden="1" x14ac:dyDescent="0.25">
      <c r="A147" s="33" t="s">
        <v>164</v>
      </c>
      <c r="B147" s="33"/>
      <c r="C147" s="33"/>
      <c r="D147" s="35">
        <v>5.3</v>
      </c>
      <c r="E147" s="33" t="s">
        <v>93</v>
      </c>
      <c r="F147" s="33"/>
    </row>
    <row r="148" spans="1:12" hidden="1" x14ac:dyDescent="0.25">
      <c r="A148" s="33" t="s">
        <v>165</v>
      </c>
      <c r="B148" s="33"/>
      <c r="C148" s="33"/>
      <c r="D148" s="34">
        <f>(D146^2*PI())/4-(D147^2*PI())/4</f>
        <v>56.477981929910513</v>
      </c>
      <c r="E148" s="33" t="s">
        <v>158</v>
      </c>
      <c r="F148" s="33"/>
    </row>
    <row r="149" spans="1:12" hidden="1" x14ac:dyDescent="0.25">
      <c r="A149" s="33"/>
      <c r="B149" s="33"/>
      <c r="C149" s="33"/>
      <c r="D149" s="34"/>
      <c r="E149" s="33"/>
      <c r="F149" s="33"/>
    </row>
    <row r="150" spans="1:12" hidden="1" x14ac:dyDescent="0.25">
      <c r="A150" s="33" t="s">
        <v>166</v>
      </c>
      <c r="B150" s="33"/>
      <c r="C150" s="33"/>
      <c r="D150" s="34" t="e">
        <f>D88/D148</f>
        <v>#VALUE!</v>
      </c>
      <c r="E150" s="33"/>
      <c r="F150" s="33"/>
    </row>
    <row r="151" spans="1:12" hidden="1" x14ac:dyDescent="0.25">
      <c r="A151" s="33" t="s">
        <v>167</v>
      </c>
      <c r="B151" s="33"/>
      <c r="C151" s="33"/>
      <c r="D151" s="34">
        <f>D89/D148</f>
        <v>0</v>
      </c>
      <c r="E151" s="33"/>
      <c r="F151" s="33"/>
    </row>
    <row r="152" spans="1:12" hidden="1" x14ac:dyDescent="0.25">
      <c r="A152" s="33"/>
      <c r="B152" s="33"/>
      <c r="C152" s="33"/>
      <c r="D152" s="34"/>
      <c r="E152" s="33"/>
      <c r="F152" s="33"/>
      <c r="H152" s="244" t="s">
        <v>168</v>
      </c>
      <c r="I152" s="244"/>
      <c r="J152" s="244"/>
      <c r="K152" s="244"/>
      <c r="L152" s="244"/>
    </row>
    <row r="153" spans="1:12" hidden="1" x14ac:dyDescent="0.25">
      <c r="A153" s="33" t="s">
        <v>169</v>
      </c>
      <c r="B153" s="33"/>
      <c r="C153" s="33"/>
      <c r="D153" s="33">
        <f>ROUNDDOWN(B5*PI()/D146,0)</f>
        <v>53</v>
      </c>
      <c r="E153" s="33"/>
      <c r="F153" s="33"/>
      <c r="H153" s="244"/>
      <c r="I153" s="244"/>
      <c r="J153" s="244"/>
      <c r="K153" s="244"/>
      <c r="L153" s="244"/>
    </row>
    <row r="154" spans="1:12" hidden="1" x14ac:dyDescent="0.25">
      <c r="A154" s="33" t="s">
        <v>170</v>
      </c>
      <c r="B154" s="33"/>
      <c r="C154" s="33"/>
      <c r="D154" s="33">
        <f>ROUNDDOWN(D5*PI()/D146,0)</f>
        <v>91</v>
      </c>
      <c r="E154" s="33"/>
      <c r="F154" s="33"/>
      <c r="H154" s="244"/>
      <c r="I154" s="244"/>
      <c r="J154" s="244"/>
      <c r="K154" s="244"/>
      <c r="L154" s="244"/>
    </row>
    <row r="155" spans="1:12" hidden="1" x14ac:dyDescent="0.25">
      <c r="A155" s="33"/>
      <c r="B155" s="33"/>
      <c r="C155" s="33"/>
      <c r="D155" s="33"/>
      <c r="E155" s="33"/>
      <c r="F155" s="33"/>
    </row>
    <row r="156" spans="1:12" hidden="1" x14ac:dyDescent="0.25">
      <c r="A156" s="33" t="s">
        <v>171</v>
      </c>
      <c r="B156" s="33"/>
      <c r="C156" s="33"/>
      <c r="D156" s="35" t="e">
        <f>D150/D153</f>
        <v>#VALUE!</v>
      </c>
      <c r="E156" s="33"/>
      <c r="F156" s="33"/>
    </row>
    <row r="157" spans="1:12" hidden="1" x14ac:dyDescent="0.25">
      <c r="A157" s="33" t="s">
        <v>172</v>
      </c>
      <c r="B157" s="33"/>
      <c r="C157" s="33"/>
      <c r="D157" s="35">
        <f>D151/D154</f>
        <v>0</v>
      </c>
      <c r="E157" s="33"/>
      <c r="F157" s="33"/>
    </row>
    <row r="158" spans="1:12" hidden="1" x14ac:dyDescent="0.25">
      <c r="A158" s="33"/>
      <c r="B158" s="33"/>
      <c r="C158" s="33"/>
      <c r="D158" s="35"/>
      <c r="E158" s="33"/>
      <c r="F158" s="33"/>
    </row>
    <row r="159" spans="1:12" hidden="1" x14ac:dyDescent="0.25">
      <c r="A159" s="33" t="s">
        <v>173</v>
      </c>
      <c r="B159" s="33"/>
      <c r="C159" s="33"/>
      <c r="D159" s="34" t="e">
        <f>10*D156</f>
        <v>#VALUE!</v>
      </c>
      <c r="E159" s="33" t="s">
        <v>93</v>
      </c>
      <c r="F159" s="33"/>
    </row>
    <row r="160" spans="1:12" hidden="1" x14ac:dyDescent="0.25">
      <c r="A160" s="33" t="s">
        <v>174</v>
      </c>
      <c r="B160" s="33"/>
      <c r="C160" s="33"/>
      <c r="D160" s="34">
        <f>10*D157</f>
        <v>0</v>
      </c>
      <c r="E160" s="33" t="s">
        <v>93</v>
      </c>
      <c r="F160" s="33"/>
    </row>
    <row r="161" spans="1:6" hidden="1" x14ac:dyDescent="0.25">
      <c r="A161" s="33"/>
      <c r="B161" s="33"/>
      <c r="C161" s="33"/>
      <c r="D161" s="33"/>
      <c r="E161" s="33"/>
      <c r="F161" s="33"/>
    </row>
    <row r="162" spans="1:6" hidden="1" x14ac:dyDescent="0.25"/>
    <row r="163" spans="1:6" s="26" customFormat="1" x14ac:dyDescent="0.25">
      <c r="A163" s="26" t="s">
        <v>23</v>
      </c>
    </row>
    <row r="164" spans="1:6" x14ac:dyDescent="0.25">
      <c r="A164" t="s">
        <v>175</v>
      </c>
      <c r="B164" s="24">
        <v>1</v>
      </c>
      <c r="C164" t="s">
        <v>93</v>
      </c>
    </row>
    <row r="165" spans="1:6" x14ac:dyDescent="0.25">
      <c r="A165" t="s">
        <v>176</v>
      </c>
      <c r="B165" s="24">
        <v>4</v>
      </c>
      <c r="C165" t="s">
        <v>93</v>
      </c>
    </row>
    <row r="166" spans="1:6" x14ac:dyDescent="0.25">
      <c r="A166" t="s">
        <v>177</v>
      </c>
      <c r="B166" s="24">
        <v>3</v>
      </c>
    </row>
    <row r="168" spans="1:6" x14ac:dyDescent="0.25">
      <c r="B168" s="149" t="s">
        <v>47</v>
      </c>
      <c r="C168" s="149" t="s">
        <v>54</v>
      </c>
    </row>
    <row r="169" spans="1:6" x14ac:dyDescent="0.25">
      <c r="A169" t="s">
        <v>178</v>
      </c>
      <c r="B169">
        <f>ROUNDDOWN(B5*PI()/(B165),0)</f>
        <v>134</v>
      </c>
      <c r="C169">
        <f>ROUNDDOWN(C5*PI()/(B165),0)</f>
        <v>204</v>
      </c>
      <c r="D169" t="s">
        <v>96</v>
      </c>
    </row>
    <row r="170" spans="1:6" x14ac:dyDescent="0.25">
      <c r="A170" t="s">
        <v>179</v>
      </c>
      <c r="B170" s="24">
        <v>134</v>
      </c>
      <c r="C170" s="24">
        <v>194</v>
      </c>
      <c r="D170" t="s">
        <v>96</v>
      </c>
    </row>
    <row r="171" spans="1:6" x14ac:dyDescent="0.25">
      <c r="A171" t="s">
        <v>180</v>
      </c>
      <c r="B171">
        <f>B22*B169</f>
        <v>69680</v>
      </c>
      <c r="C171">
        <f>B22*C169</f>
        <v>106080</v>
      </c>
      <c r="D171" t="s">
        <v>81</v>
      </c>
    </row>
    <row r="172" spans="1:6" x14ac:dyDescent="0.25">
      <c r="A172" t="s">
        <v>181</v>
      </c>
      <c r="B172" s="8">
        <f>B166*((B9-B171)/B22)</f>
        <v>10998.809716599191</v>
      </c>
      <c r="C172" s="8">
        <f>B166*((C9-C171)/B22)</f>
        <v>6886.2248520710064</v>
      </c>
      <c r="D172" t="s">
        <v>96</v>
      </c>
    </row>
    <row r="173" spans="1:6" x14ac:dyDescent="0.25">
      <c r="A173" t="s">
        <v>182</v>
      </c>
      <c r="B173" s="8">
        <f>ROUNDUP(B172/B169,0)+1</f>
        <v>84</v>
      </c>
      <c r="C173" s="8">
        <f>ROUNDUP(C172/C169,0)+1</f>
        <v>35</v>
      </c>
      <c r="D173" t="s">
        <v>96</v>
      </c>
    </row>
    <row r="174" spans="1:6" x14ac:dyDescent="0.25">
      <c r="A174" t="s">
        <v>183</v>
      </c>
      <c r="B174" s="24">
        <v>140</v>
      </c>
      <c r="C174" s="24">
        <v>70</v>
      </c>
      <c r="D174" t="s">
        <v>96</v>
      </c>
    </row>
    <row r="175" spans="1:6" x14ac:dyDescent="0.25">
      <c r="A175" t="s">
        <v>184</v>
      </c>
      <c r="B175" s="8">
        <f>(B174-1)*B$165+B$164</f>
        <v>557</v>
      </c>
      <c r="C175" s="31">
        <f>(C174-1)*B$165+B$164</f>
        <v>277</v>
      </c>
      <c r="D175" t="s">
        <v>93</v>
      </c>
    </row>
    <row r="176" spans="1:6" x14ac:dyDescent="0.25">
      <c r="A176" t="s">
        <v>185</v>
      </c>
      <c r="B176" s="17">
        <f>(((B174-1)*B170*B22/B166)+B170*B22)/B9</f>
        <v>1.6690042613636362</v>
      </c>
      <c r="C176" s="17">
        <f>(((C174-1)*C170*B22/B166)+C170*B22)/C9</f>
        <v>1.862840909090909</v>
      </c>
    </row>
    <row r="178" spans="1:4" s="26" customFormat="1" x14ac:dyDescent="0.25">
      <c r="A178" s="26" t="s">
        <v>186</v>
      </c>
    </row>
    <row r="179" spans="1:4" x14ac:dyDescent="0.25">
      <c r="A179" t="s">
        <v>187</v>
      </c>
      <c r="B179">
        <v>109.6</v>
      </c>
      <c r="C179" t="s">
        <v>93</v>
      </c>
    </row>
    <row r="180" spans="1:4" x14ac:dyDescent="0.25">
      <c r="A180" t="s">
        <v>188</v>
      </c>
      <c r="B180">
        <v>13</v>
      </c>
      <c r="C180" t="s">
        <v>93</v>
      </c>
    </row>
    <row r="181" spans="1:4" x14ac:dyDescent="0.25">
      <c r="A181" t="s">
        <v>189</v>
      </c>
      <c r="B181">
        <v>12</v>
      </c>
      <c r="C181" t="s">
        <v>93</v>
      </c>
    </row>
    <row r="182" spans="1:4" x14ac:dyDescent="0.25">
      <c r="A182" t="s">
        <v>190</v>
      </c>
      <c r="B182">
        <v>28</v>
      </c>
      <c r="C182" t="s">
        <v>96</v>
      </c>
    </row>
    <row r="183" spans="1:4" x14ac:dyDescent="0.25">
      <c r="D183" t="s">
        <v>485</v>
      </c>
    </row>
    <row r="184" spans="1:4" x14ac:dyDescent="0.25">
      <c r="A184" t="s">
        <v>191</v>
      </c>
      <c r="B184" s="9">
        <f>1000*B2/(B179*B182*B181*B15)</f>
        <v>7.6468543621828298</v>
      </c>
      <c r="C184" t="s">
        <v>93</v>
      </c>
      <c r="D184" s="9">
        <f>1000*B2/(B179*B182*B181*B19)</f>
        <v>1.835245046923879</v>
      </c>
    </row>
    <row r="185" spans="1:4" x14ac:dyDescent="0.25">
      <c r="A185" t="s">
        <v>192</v>
      </c>
      <c r="B185" s="27">
        <v>11.2</v>
      </c>
      <c r="C185" t="s">
        <v>93</v>
      </c>
      <c r="D185" s="27">
        <v>4</v>
      </c>
    </row>
    <row r="186" spans="1:4" x14ac:dyDescent="0.25">
      <c r="A186" t="s">
        <v>193</v>
      </c>
      <c r="B186" s="17">
        <f>B185/B184</f>
        <v>1.4646545454545452</v>
      </c>
      <c r="D186" s="17">
        <f>D185/D184</f>
        <v>2.1795454545454547</v>
      </c>
    </row>
    <row r="187" spans="1:4" x14ac:dyDescent="0.25">
      <c r="A187" t="s">
        <v>105</v>
      </c>
      <c r="B187" s="17">
        <f>B$2*1000/(B179*B182*B181^2)</f>
        <v>382.34271810914152</v>
      </c>
    </row>
    <row r="188" spans="1:4" x14ac:dyDescent="0.25">
      <c r="A188" t="s">
        <v>194</v>
      </c>
      <c r="B188" s="17">
        <f>B$16/B187</f>
        <v>2.2519063636363632</v>
      </c>
    </row>
    <row r="191" spans="1:4" s="26" customFormat="1" hidden="1" x14ac:dyDescent="0.25">
      <c r="A191" s="26" t="s">
        <v>195</v>
      </c>
    </row>
    <row r="192" spans="1:4" hidden="1" x14ac:dyDescent="0.25">
      <c r="A192" t="s">
        <v>187</v>
      </c>
      <c r="B192">
        <v>153.5</v>
      </c>
      <c r="C192" t="s">
        <v>93</v>
      </c>
    </row>
    <row r="193" spans="1:5" hidden="1" x14ac:dyDescent="0.25">
      <c r="A193" t="s">
        <v>188</v>
      </c>
      <c r="B193">
        <v>7.4</v>
      </c>
      <c r="C193" t="s">
        <v>93</v>
      </c>
    </row>
    <row r="194" spans="1:5" hidden="1" x14ac:dyDescent="0.25">
      <c r="A194" t="s">
        <v>189</v>
      </c>
      <c r="B194">
        <v>7</v>
      </c>
      <c r="C194" t="s">
        <v>93</v>
      </c>
    </row>
    <row r="195" spans="1:5" hidden="1" x14ac:dyDescent="0.25">
      <c r="A195" t="s">
        <v>190</v>
      </c>
      <c r="B195">
        <v>32</v>
      </c>
      <c r="C195" t="s">
        <v>96</v>
      </c>
    </row>
    <row r="196" spans="1:5" hidden="1" x14ac:dyDescent="0.25"/>
    <row r="197" spans="1:5" hidden="1" x14ac:dyDescent="0.25">
      <c r="A197" t="s">
        <v>191</v>
      </c>
      <c r="B197" s="9">
        <f>1000*B2/(B192*B195*B193*B15)</f>
        <v>7.7471608416233826</v>
      </c>
      <c r="C197" t="s">
        <v>93</v>
      </c>
    </row>
    <row r="198" spans="1:5" hidden="1" x14ac:dyDescent="0.25">
      <c r="A198" t="s">
        <v>192</v>
      </c>
      <c r="B198" s="27">
        <v>7.5</v>
      </c>
      <c r="C198" t="s">
        <v>93</v>
      </c>
    </row>
    <row r="199" spans="1:5" hidden="1" x14ac:dyDescent="0.25">
      <c r="A199" t="s">
        <v>193</v>
      </c>
      <c r="B199" s="17">
        <f>B198/B197</f>
        <v>0.96809659090909084</v>
      </c>
    </row>
    <row r="200" spans="1:5" hidden="1" x14ac:dyDescent="0.25">
      <c r="A200" t="s">
        <v>105</v>
      </c>
      <c r="B200" s="17">
        <f>B$2*1000/(B192*B195*B194^2)</f>
        <v>701.98763544505755</v>
      </c>
    </row>
    <row r="201" spans="1:5" hidden="1" x14ac:dyDescent="0.25">
      <c r="A201" t="s">
        <v>194</v>
      </c>
      <c r="B201" s="17">
        <f>B$16/B200</f>
        <v>1.2265173295454546</v>
      </c>
    </row>
    <row r="202" spans="1:5" hidden="1" x14ac:dyDescent="0.25"/>
    <row r="203" spans="1:5" hidden="1" x14ac:dyDescent="0.25">
      <c r="A203" t="s">
        <v>196</v>
      </c>
      <c r="B203" s="8">
        <f>1000*B2/(B192*B195*B193*1000)</f>
        <v>4.648296504974029</v>
      </c>
      <c r="C203" t="s">
        <v>93</v>
      </c>
    </row>
    <row r="205" spans="1:5" s="26" customFormat="1" x14ac:dyDescent="0.25">
      <c r="A205" s="26" t="s">
        <v>22</v>
      </c>
    </row>
    <row r="206" spans="1:5" x14ac:dyDescent="0.25">
      <c r="B206" s="149" t="s">
        <v>47</v>
      </c>
      <c r="C206" s="149" t="s">
        <v>54</v>
      </c>
      <c r="D206" s="149" t="s">
        <v>53</v>
      </c>
    </row>
    <row r="207" spans="1:5" x14ac:dyDescent="0.25">
      <c r="A207" t="s">
        <v>197</v>
      </c>
      <c r="B207" s="148">
        <f>B5</f>
        <v>171</v>
      </c>
      <c r="C207" s="148">
        <f>C5</f>
        <v>260</v>
      </c>
      <c r="D207" s="148">
        <f>D5</f>
        <v>292</v>
      </c>
      <c r="E207" t="s">
        <v>93</v>
      </c>
    </row>
    <row r="208" spans="1:5" x14ac:dyDescent="0.25">
      <c r="A208" t="s">
        <v>198</v>
      </c>
      <c r="B208" s="17">
        <f>(B5+2*B6)/B5</f>
        <v>1.1403508771929824</v>
      </c>
      <c r="C208" s="17">
        <f>(C5+2*C6)/C5</f>
        <v>1.0384615384615385</v>
      </c>
      <c r="D208" s="17">
        <f>(D5+2*D6)/D5</f>
        <v>1.047945205479452</v>
      </c>
    </row>
    <row r="209" spans="1:5" x14ac:dyDescent="0.25">
      <c r="A209" t="s">
        <v>184</v>
      </c>
      <c r="B209" s="8">
        <f>B10</f>
        <v>120</v>
      </c>
      <c r="C209" s="8">
        <f>C10</f>
        <v>69</v>
      </c>
      <c r="D209" s="8">
        <f>D10</f>
        <v>113</v>
      </c>
      <c r="E209" t="s">
        <v>93</v>
      </c>
    </row>
    <row r="210" spans="1:5" x14ac:dyDescent="0.25">
      <c r="A210" t="s">
        <v>199</v>
      </c>
      <c r="B210" s="24">
        <v>120</v>
      </c>
      <c r="C210" s="24">
        <v>90</v>
      </c>
      <c r="D210" s="24">
        <v>80</v>
      </c>
      <c r="E210" t="s">
        <v>93</v>
      </c>
    </row>
    <row r="211" spans="1:5" x14ac:dyDescent="0.25">
      <c r="A211" t="s">
        <v>200</v>
      </c>
      <c r="B211" s="24">
        <v>28</v>
      </c>
      <c r="C211" s="24">
        <v>40</v>
      </c>
      <c r="D211" s="24">
        <v>44</v>
      </c>
      <c r="E211" t="s">
        <v>201</v>
      </c>
    </row>
    <row r="212" spans="1:5" x14ac:dyDescent="0.25">
      <c r="A212" t="s">
        <v>202</v>
      </c>
      <c r="B212" s="9">
        <f>B6/2</f>
        <v>6</v>
      </c>
      <c r="C212" s="9">
        <f>C6/2</f>
        <v>2.5</v>
      </c>
      <c r="D212" s="9">
        <f>D6/2</f>
        <v>3.5</v>
      </c>
      <c r="E212" t="s">
        <v>93</v>
      </c>
    </row>
    <row r="213" spans="1:5" x14ac:dyDescent="0.25">
      <c r="A213" t="s">
        <v>203</v>
      </c>
      <c r="B213" s="8">
        <f>PI()*B207/B211</f>
        <v>19.18615513442338</v>
      </c>
      <c r="C213" s="8">
        <f>PI()*C207/C211</f>
        <v>20.420352248333653</v>
      </c>
      <c r="D213" s="8">
        <f>PI()*D207/D211</f>
        <v>20.848751246550446</v>
      </c>
      <c r="E213" t="s">
        <v>93</v>
      </c>
    </row>
    <row r="214" spans="1:5" x14ac:dyDescent="0.25">
      <c r="A214" t="s">
        <v>204</v>
      </c>
      <c r="B214" s="9">
        <f>PI()*B5*B210</f>
        <v>64465.481251662553</v>
      </c>
      <c r="C214" s="9">
        <f>PI()*C5*C210</f>
        <v>73513.268094001149</v>
      </c>
      <c r="D214" s="9">
        <f>PI()*D5*D210</f>
        <v>73387.604387857558</v>
      </c>
      <c r="E214" t="s">
        <v>85</v>
      </c>
    </row>
    <row r="215" spans="1:5" x14ac:dyDescent="0.25">
      <c r="A215" t="s">
        <v>205</v>
      </c>
      <c r="B215" s="9">
        <f>B9/B214</f>
        <v>30.654240261740522</v>
      </c>
      <c r="C215" s="9">
        <f>C9/C214</f>
        <v>17.679697031431061</v>
      </c>
      <c r="D215" s="9">
        <f>D9/D214</f>
        <v>15.769151801936715</v>
      </c>
      <c r="E215" t="s">
        <v>155</v>
      </c>
    </row>
    <row r="216" spans="1:5" x14ac:dyDescent="0.25">
      <c r="A216" t="s">
        <v>206</v>
      </c>
      <c r="B216" s="8">
        <f>B9/B211</f>
        <v>70576.4411027569</v>
      </c>
      <c r="C216" s="8">
        <f>C9/C211</f>
        <v>32492.307692307695</v>
      </c>
      <c r="D216" s="8">
        <f>D9/D211</f>
        <v>26301.369863013701</v>
      </c>
      <c r="E216" t="s">
        <v>207</v>
      </c>
    </row>
    <row r="217" spans="1:5" x14ac:dyDescent="0.25">
      <c r="A217" t="s">
        <v>208</v>
      </c>
      <c r="B217" s="8">
        <f>B216/(B210*B212)</f>
        <v>98.022834864940137</v>
      </c>
      <c r="C217" s="8">
        <f>C216/(C210*C212)</f>
        <v>144.41025641025641</v>
      </c>
      <c r="D217" s="8">
        <f>D216/(D210*D212)</f>
        <v>93.933463796477497</v>
      </c>
      <c r="E217" t="s">
        <v>209</v>
      </c>
    </row>
    <row r="218" spans="1:5" x14ac:dyDescent="0.25">
      <c r="A218" t="s">
        <v>210</v>
      </c>
      <c r="B218" s="17">
        <f>$B23/B217</f>
        <v>1.5914659090909089</v>
      </c>
      <c r="C218" s="17">
        <f>$B23/C217</f>
        <v>1.0802556818181819</v>
      </c>
      <c r="D218" s="17">
        <f>$B23/D217</f>
        <v>1.6607499999999999</v>
      </c>
    </row>
    <row r="222" spans="1:5" x14ac:dyDescent="0.25">
      <c r="B222" s="18">
        <v>8.5513698140871028</v>
      </c>
      <c r="C222" s="18">
        <v>4.0655990623979079</v>
      </c>
      <c r="D222" s="18">
        <v>3.1002108303625393</v>
      </c>
    </row>
    <row r="223" spans="1:5" x14ac:dyDescent="0.25">
      <c r="A223" s="20"/>
    </row>
    <row r="231" spans="1:15" s="26" customFormat="1" x14ac:dyDescent="0.25">
      <c r="A231" s="26" t="s">
        <v>486</v>
      </c>
    </row>
    <row r="232" spans="1:15" x14ac:dyDescent="0.25">
      <c r="A232" t="s">
        <v>111</v>
      </c>
      <c r="B232" s="41">
        <v>-9.9999999999999995E-8</v>
      </c>
      <c r="C232" s="41"/>
      <c r="D232" t="s">
        <v>112</v>
      </c>
      <c r="J232" s="32"/>
      <c r="K232" s="32"/>
      <c r="L232" s="32"/>
      <c r="M232" s="32"/>
      <c r="N232" s="32"/>
      <c r="O232" s="32"/>
    </row>
    <row r="233" spans="1:15" x14ac:dyDescent="0.25">
      <c r="A233" t="s">
        <v>113</v>
      </c>
      <c r="B233" s="41">
        <v>1.1E-5</v>
      </c>
      <c r="C233" s="41"/>
      <c r="D233" t="s">
        <v>112</v>
      </c>
    </row>
    <row r="234" spans="1:15" x14ac:dyDescent="0.25">
      <c r="A234" t="s">
        <v>487</v>
      </c>
      <c r="B234" s="24">
        <v>4000</v>
      </c>
      <c r="C234" s="24">
        <v>4000</v>
      </c>
      <c r="D234" t="s">
        <v>81</v>
      </c>
    </row>
    <row r="235" spans="1:15" x14ac:dyDescent="0.25">
      <c r="A235" t="s">
        <v>488</v>
      </c>
      <c r="B235" s="24">
        <f>2*B234*1000/B5</f>
        <v>46783.62573099415</v>
      </c>
      <c r="C235" s="24">
        <f>2*C234*1000/D5</f>
        <v>27397.260273972603</v>
      </c>
      <c r="D235" t="s">
        <v>81</v>
      </c>
    </row>
    <row r="237" spans="1:15" x14ac:dyDescent="0.25">
      <c r="A237" t="s">
        <v>114</v>
      </c>
      <c r="B237" s="24">
        <v>150000</v>
      </c>
      <c r="C237" s="42"/>
      <c r="D237" t="s">
        <v>63</v>
      </c>
    </row>
    <row r="238" spans="1:15" x14ac:dyDescent="0.25">
      <c r="A238" t="s">
        <v>115</v>
      </c>
      <c r="B238" s="24">
        <f>2586*B240</f>
        <v>1551.6</v>
      </c>
      <c r="C238" s="42"/>
      <c r="D238" t="s">
        <v>63</v>
      </c>
    </row>
    <row r="239" spans="1:15" x14ac:dyDescent="0.25">
      <c r="A239" t="s">
        <v>116</v>
      </c>
      <c r="B239" s="24">
        <v>82</v>
      </c>
      <c r="C239" s="42"/>
      <c r="D239" t="s">
        <v>63</v>
      </c>
    </row>
    <row r="240" spans="1:15" x14ac:dyDescent="0.25">
      <c r="A240" t="s">
        <v>117</v>
      </c>
      <c r="B240" s="27">
        <v>0.6</v>
      </c>
      <c r="C240" s="42"/>
    </row>
    <row r="241" spans="1:19" x14ac:dyDescent="0.25">
      <c r="A241" t="s">
        <v>118</v>
      </c>
      <c r="B241" s="42">
        <v>0.36</v>
      </c>
      <c r="C241" s="42"/>
    </row>
    <row r="242" spans="1:19" x14ac:dyDescent="0.25">
      <c r="B242" s="42"/>
      <c r="C242" s="42"/>
    </row>
    <row r="243" spans="1:19" x14ac:dyDescent="0.25">
      <c r="A243" t="s">
        <v>119</v>
      </c>
      <c r="B243" s="27">
        <v>0.2</v>
      </c>
      <c r="C243" s="27">
        <v>0.2</v>
      </c>
      <c r="D243" t="s">
        <v>93</v>
      </c>
    </row>
    <row r="244" spans="1:19" x14ac:dyDescent="0.25">
      <c r="A244" t="s">
        <v>120</v>
      </c>
      <c r="B244" s="43">
        <v>210000</v>
      </c>
      <c r="C244" s="43"/>
      <c r="D244" t="s">
        <v>63</v>
      </c>
    </row>
    <row r="245" spans="1:19" x14ac:dyDescent="0.25">
      <c r="A245" t="s">
        <v>121</v>
      </c>
      <c r="B245" s="43">
        <v>900</v>
      </c>
      <c r="C245" s="43"/>
      <c r="D245" t="s">
        <v>63</v>
      </c>
    </row>
    <row r="246" spans="1:19" x14ac:dyDescent="0.25">
      <c r="A246" t="s">
        <v>122</v>
      </c>
      <c r="B246" s="43">
        <v>0.3</v>
      </c>
      <c r="C246" s="43"/>
    </row>
    <row r="247" spans="1:19" x14ac:dyDescent="0.25">
      <c r="A247" t="s">
        <v>123</v>
      </c>
      <c r="B247" s="27">
        <v>6</v>
      </c>
      <c r="C247" s="27">
        <v>3.5</v>
      </c>
      <c r="D247" t="s">
        <v>93</v>
      </c>
    </row>
    <row r="249" spans="1:19" x14ac:dyDescent="0.25">
      <c r="A249" t="s">
        <v>124</v>
      </c>
      <c r="C249" s="8">
        <f>180+54</f>
        <v>234</v>
      </c>
      <c r="D249" t="s">
        <v>125</v>
      </c>
    </row>
    <row r="250" spans="1:19" x14ac:dyDescent="0.25">
      <c r="D250" s="8"/>
    </row>
    <row r="251" spans="1:19" x14ac:dyDescent="0.25">
      <c r="A251" t="s">
        <v>126</v>
      </c>
      <c r="B251" s="231" t="s">
        <v>47</v>
      </c>
      <c r="C251" s="231" t="s">
        <v>53</v>
      </c>
      <c r="D251" s="44"/>
      <c r="E251" s="231"/>
    </row>
    <row r="252" spans="1:19" x14ac:dyDescent="0.25">
      <c r="A252" t="s">
        <v>127</v>
      </c>
      <c r="B252" s="8">
        <f>B$5+2*B243</f>
        <v>171.4</v>
      </c>
      <c r="C252" s="8">
        <f>D$5+2*C243</f>
        <v>292.39999999999998</v>
      </c>
      <c r="D252" t="s">
        <v>93</v>
      </c>
      <c r="L252" s="8"/>
    </row>
    <row r="253" spans="1:19" x14ac:dyDescent="0.25">
      <c r="A253" t="s">
        <v>128</v>
      </c>
      <c r="B253" s="8">
        <f>B$5-2*B247</f>
        <v>159</v>
      </c>
      <c r="C253" s="8">
        <f>D$5-2*C247</f>
        <v>285</v>
      </c>
      <c r="D253" t="s">
        <v>93</v>
      </c>
      <c r="S253" s="17"/>
    </row>
    <row r="254" spans="1:19" x14ac:dyDescent="0.25">
      <c r="A254" t="s">
        <v>129</v>
      </c>
      <c r="B254" s="17">
        <f>B5/B252</f>
        <v>0.99766627771295213</v>
      </c>
      <c r="C254" s="17">
        <f>D$5/C252</f>
        <v>0.99863201094391252</v>
      </c>
    </row>
    <row r="255" spans="1:19" x14ac:dyDescent="0.25">
      <c r="A255" t="s">
        <v>130</v>
      </c>
      <c r="B255" s="17">
        <f>B253/B5</f>
        <v>0.92982456140350878</v>
      </c>
      <c r="C255" s="17">
        <f>C253/D$5</f>
        <v>0.97602739726027399</v>
      </c>
      <c r="S255" s="39"/>
    </row>
    <row r="256" spans="1:19" x14ac:dyDescent="0.25">
      <c r="A256" t="s">
        <v>125</v>
      </c>
      <c r="B256" s="17">
        <f>(B237/B244)*(((1+B255^2)/(1-B255^2))-B246)+((1+B254^2)/(1-B254^2))+B241</f>
        <v>437.98071398227819</v>
      </c>
      <c r="C256" s="17">
        <f>(B237/B244)*(((1+C255^2)/(1-C255^2))-B246)+((1+C254^2)/(1-C254^2))+B241</f>
        <v>760.08916478294486</v>
      </c>
      <c r="S256" s="39"/>
    </row>
    <row r="257" spans="1:19" x14ac:dyDescent="0.25">
      <c r="D257" s="9"/>
    </row>
    <row r="258" spans="1:19" x14ac:dyDescent="0.25">
      <c r="A258" t="s">
        <v>131</v>
      </c>
      <c r="B258" s="8">
        <f>B$235/B$20</f>
        <v>77972.709551656924</v>
      </c>
      <c r="C258" s="8">
        <f>C$235/B$20</f>
        <v>45662.100456621003</v>
      </c>
      <c r="D258" t="s">
        <v>81</v>
      </c>
      <c r="S258" s="17"/>
    </row>
    <row r="259" spans="1:19" x14ac:dyDescent="0.25">
      <c r="A259" t="s">
        <v>132</v>
      </c>
      <c r="B259" s="24">
        <f>B210</f>
        <v>120</v>
      </c>
      <c r="C259" s="24">
        <f>D210</f>
        <v>80</v>
      </c>
      <c r="D259" t="s">
        <v>93</v>
      </c>
    </row>
    <row r="260" spans="1:19" x14ac:dyDescent="0.25">
      <c r="A260" t="s">
        <v>133</v>
      </c>
      <c r="B260" s="17">
        <f>B258/(B5*PI()*B259)</f>
        <v>1.2095265254790295</v>
      </c>
      <c r="C260" s="17">
        <f>C258/(D5*PI()*C259)</f>
        <v>0.62220453763954842</v>
      </c>
      <c r="D260" t="s">
        <v>63</v>
      </c>
      <c r="S260" s="8"/>
    </row>
    <row r="261" spans="1:19" x14ac:dyDescent="0.25">
      <c r="A261" t="s">
        <v>134</v>
      </c>
      <c r="B261" s="17">
        <f>B$21/B260</f>
        <v>49.606187823154329</v>
      </c>
      <c r="C261" s="17">
        <f>B$21/C260</f>
        <v>96.431312165644826</v>
      </c>
    </row>
    <row r="263" spans="1:19" x14ac:dyDescent="0.25">
      <c r="A263" t="s">
        <v>135</v>
      </c>
      <c r="B263" s="17">
        <f>B256*B260*B$5/$B237</f>
        <v>0.60391419197918284</v>
      </c>
      <c r="C263" s="17">
        <f>C256*C260*D$5/$B237</f>
        <v>0.92063887188581328</v>
      </c>
      <c r="D263" t="s">
        <v>93</v>
      </c>
      <c r="L263" s="17"/>
    </row>
    <row r="265" spans="1:19" x14ac:dyDescent="0.25">
      <c r="A265" t="s">
        <v>136</v>
      </c>
      <c r="B265" s="39">
        <f>B$5*$B232*$C$92</f>
        <v>-4.0013999999999996E-3</v>
      </c>
      <c r="C265" s="39">
        <f>D$5*$B232*$C$92</f>
        <v>-6.8328E-3</v>
      </c>
      <c r="D265" t="s">
        <v>93</v>
      </c>
    </row>
    <row r="266" spans="1:19" x14ac:dyDescent="0.25">
      <c r="A266" t="s">
        <v>137</v>
      </c>
      <c r="B266" s="39">
        <f>B$5*$B233*$C$92</f>
        <v>0.44015399999999999</v>
      </c>
      <c r="C266" s="39">
        <f>D$5*$B233*$C$92</f>
        <v>0.75160800000000005</v>
      </c>
      <c r="D266" t="s">
        <v>93</v>
      </c>
      <c r="L266" s="17"/>
    </row>
    <row r="267" spans="1:19" x14ac:dyDescent="0.25">
      <c r="L267" s="17"/>
    </row>
    <row r="268" spans="1:19" x14ac:dyDescent="0.25">
      <c r="A268" t="s">
        <v>138</v>
      </c>
      <c r="B268" s="17">
        <f>B263-B265+B266</f>
        <v>1.0480695919791829</v>
      </c>
      <c r="C268" s="17">
        <f>C263-C265+C266</f>
        <v>1.6790796718858134</v>
      </c>
      <c r="D268" t="s">
        <v>93</v>
      </c>
    </row>
    <row r="269" spans="1:19" x14ac:dyDescent="0.25">
      <c r="A269" t="s">
        <v>139</v>
      </c>
      <c r="B269" s="17">
        <f>B268*$B237/(B256*B$5)</f>
        <v>2.0990862425211927</v>
      </c>
      <c r="C269" s="17">
        <f>C268*$B237/(C256*D$5)</f>
        <v>1.1347891369888357</v>
      </c>
      <c r="D269" t="s">
        <v>63</v>
      </c>
      <c r="L269" s="17"/>
    </row>
    <row r="270" spans="1:19" x14ac:dyDescent="0.25">
      <c r="A270" t="s">
        <v>134</v>
      </c>
      <c r="B270" s="17">
        <f>B$21/B269</f>
        <v>28.583866057801686</v>
      </c>
      <c r="C270" s="17">
        <f>B$21/C269</f>
        <v>52.873259043711037</v>
      </c>
      <c r="L270" s="17"/>
    </row>
    <row r="272" spans="1:19" x14ac:dyDescent="0.25">
      <c r="A272" t="s">
        <v>140</v>
      </c>
      <c r="B272" s="8">
        <f>B269*(2*B254^2)/(1-B254^2)</f>
        <v>896.311051658324</v>
      </c>
      <c r="C272" s="8">
        <f>C269*(2*C254^2)/(1-C254^2)</f>
        <v>827.82906379382371</v>
      </c>
      <c r="D272" t="s">
        <v>63</v>
      </c>
    </row>
    <row r="273" spans="1:4" x14ac:dyDescent="0.25">
      <c r="A273" t="s">
        <v>141</v>
      </c>
      <c r="B273" s="17">
        <f>$B238/B272</f>
        <v>1.7310954686202773</v>
      </c>
      <c r="C273" s="17">
        <f>$B238/C272</f>
        <v>1.8742999827636351</v>
      </c>
    </row>
    <row r="274" spans="1:4" x14ac:dyDescent="0.25">
      <c r="A274" t="s">
        <v>142</v>
      </c>
      <c r="B274" s="8">
        <f>B269*(1+B254^2)/(1-B254^2)</f>
        <v>898.41013790084514</v>
      </c>
      <c r="C274" s="8">
        <f>C269*(1+C254^2)/(1-C254^2)</f>
        <v>828.96385293081266</v>
      </c>
      <c r="D274" t="s">
        <v>63</v>
      </c>
    </row>
    <row r="275" spans="1:4" x14ac:dyDescent="0.25">
      <c r="A275" t="s">
        <v>143</v>
      </c>
      <c r="B275" s="17">
        <f>B238/B274</f>
        <v>1.7270508585592623</v>
      </c>
      <c r="C275" s="17">
        <f>B238/C274</f>
        <v>1.8717342071241074</v>
      </c>
    </row>
    <row r="276" spans="1:4" x14ac:dyDescent="0.25">
      <c r="A276" t="s">
        <v>144</v>
      </c>
      <c r="B276" s="8">
        <f>-B269*(1+B255^2)/(1-B255^2)</f>
        <v>-28.900601039075866</v>
      </c>
      <c r="C276" s="8">
        <f>-C269*(1+C255^2)/(1-C255^2)</f>
        <v>-46.776407186960725</v>
      </c>
      <c r="D276" t="s">
        <v>63</v>
      </c>
    </row>
    <row r="277" spans="1:4" x14ac:dyDescent="0.25">
      <c r="A277" t="s">
        <v>141</v>
      </c>
      <c r="B277" s="17">
        <f>$B$245/ABS(B276)</f>
        <v>31.141220861916672</v>
      </c>
      <c r="C277" s="17">
        <f>$B$245/ABS(C276)</f>
        <v>19.240468734650527</v>
      </c>
    </row>
    <row r="278" spans="1:4" x14ac:dyDescent="0.25">
      <c r="A278" t="s">
        <v>145</v>
      </c>
      <c r="B278" s="8">
        <f>-B269*2/(1-B255^2)</f>
        <v>-30.999687281597058</v>
      </c>
      <c r="C278" s="8">
        <f>-C269*2/(1-C255^2)</f>
        <v>-47.911196323949561</v>
      </c>
      <c r="D278" t="s">
        <v>63</v>
      </c>
    </row>
    <row r="279" spans="1:4" x14ac:dyDescent="0.25">
      <c r="A279" t="s">
        <v>143</v>
      </c>
      <c r="B279" s="17">
        <f>$B$245/ABS(B278)</f>
        <v>29.032550935901998</v>
      </c>
      <c r="C279" s="17">
        <f>$B$245/ABS(C278)</f>
        <v>18.78475323209814</v>
      </c>
    </row>
  </sheetData>
  <mergeCells count="5">
    <mergeCell ref="H152:L154"/>
    <mergeCell ref="D15:F15"/>
    <mergeCell ref="D16:F16"/>
    <mergeCell ref="D17:F17"/>
    <mergeCell ref="D18:F18"/>
  </mergeCells>
  <phoneticPr fontId="2" type="noConversion"/>
  <conditionalFormatting sqref="B54:D54 B218:D218">
    <cfRule type="cellIs" dxfId="109" priority="93" operator="between">
      <formula>1</formula>
      <formula>1.6</formula>
    </cfRule>
    <cfRule type="cellIs" dxfId="108" priority="94" operator="lessThan">
      <formula>1</formula>
    </cfRule>
    <cfRule type="cellIs" dxfId="107" priority="95" operator="greaterThan">
      <formula>1.6</formula>
    </cfRule>
  </conditionalFormatting>
  <conditionalFormatting sqref="B69:D69">
    <cfRule type="cellIs" dxfId="106" priority="90" operator="between">
      <formula>1</formula>
      <formula>1.6</formula>
    </cfRule>
    <cfRule type="cellIs" dxfId="105" priority="91" operator="lessThan">
      <formula>1</formula>
    </cfRule>
    <cfRule type="cellIs" dxfId="104" priority="92" operator="greaterThan">
      <formula>1.6</formula>
    </cfRule>
  </conditionalFormatting>
  <conditionalFormatting sqref="B116">
    <cfRule type="cellIs" dxfId="103" priority="53" operator="greaterThan">
      <formula>1.6</formula>
    </cfRule>
    <cfRule type="cellIs" dxfId="102" priority="54" operator="lessThan">
      <formula>1</formula>
    </cfRule>
    <cfRule type="cellIs" dxfId="101" priority="55" operator="between">
      <formula>1</formula>
      <formula>1.6</formula>
    </cfRule>
  </conditionalFormatting>
  <conditionalFormatting sqref="C116">
    <cfRule type="cellIs" dxfId="100" priority="50" operator="greaterThan">
      <formula>1.6</formula>
    </cfRule>
    <cfRule type="cellIs" dxfId="99" priority="51" operator="lessThan">
      <formula>1</formula>
    </cfRule>
    <cfRule type="cellIs" dxfId="98" priority="52" operator="between">
      <formula>1</formula>
      <formula>1.6</formula>
    </cfRule>
  </conditionalFormatting>
  <conditionalFormatting sqref="B118 B120:C120 B122">
    <cfRule type="cellIs" dxfId="97" priority="47" operator="greaterThan">
      <formula>1.6</formula>
    </cfRule>
    <cfRule type="cellIs" dxfId="96" priority="48" operator="lessThan">
      <formula>1</formula>
    </cfRule>
    <cfRule type="cellIs" dxfId="95" priority="49" operator="between">
      <formula>1</formula>
      <formula>1.6</formula>
    </cfRule>
  </conditionalFormatting>
  <conditionalFormatting sqref="B113">
    <cfRule type="cellIs" dxfId="94" priority="38" operator="greaterThan">
      <formula>1.6</formula>
    </cfRule>
    <cfRule type="cellIs" dxfId="93" priority="39" operator="lessThan">
      <formula>1</formula>
    </cfRule>
    <cfRule type="cellIs" dxfId="92" priority="40" operator="between">
      <formula>1</formula>
      <formula>1.6</formula>
    </cfRule>
  </conditionalFormatting>
  <conditionalFormatting sqref="C113">
    <cfRule type="cellIs" dxfId="91" priority="35" operator="greaterThan">
      <formula>1.6</formula>
    </cfRule>
    <cfRule type="cellIs" dxfId="90" priority="36" operator="lessThan">
      <formula>1</formula>
    </cfRule>
    <cfRule type="cellIs" dxfId="89" priority="37" operator="between">
      <formula>1</formula>
      <formula>1.6</formula>
    </cfRule>
  </conditionalFormatting>
  <conditionalFormatting sqref="B31:D31">
    <cfRule type="cellIs" dxfId="88" priority="101" operator="between">
      <formula>1</formula>
      <formula>1.6</formula>
    </cfRule>
    <cfRule type="cellIs" dxfId="87" priority="102" operator="lessThan">
      <formula>1</formula>
    </cfRule>
    <cfRule type="cellIs" dxfId="86" priority="103" operator="greaterThan">
      <formula>1.6</formula>
    </cfRule>
  </conditionalFormatting>
  <conditionalFormatting sqref="B52:D52">
    <cfRule type="cellIs" dxfId="85" priority="98" operator="between">
      <formula>1</formula>
      <formula>1.6</formula>
    </cfRule>
    <cfRule type="cellIs" dxfId="84" priority="99" operator="lessThan">
      <formula>1</formula>
    </cfRule>
    <cfRule type="cellIs" dxfId="83" priority="100" operator="greaterThan">
      <formula>1.6</formula>
    </cfRule>
  </conditionalFormatting>
  <conditionalFormatting sqref="B50">
    <cfRule type="cellIs" dxfId="82" priority="96" operator="lessThan">
      <formula>$B$10</formula>
    </cfRule>
    <cfRule type="cellIs" dxfId="81" priority="97" operator="greaterThan">
      <formula>$B$10</formula>
    </cfRule>
  </conditionalFormatting>
  <conditionalFormatting sqref="B67">
    <cfRule type="cellIs" dxfId="80" priority="88" operator="lessThan">
      <formula>$B$10</formula>
    </cfRule>
    <cfRule type="cellIs" dxfId="79" priority="89" operator="greaterThan">
      <formula>$B$10</formula>
    </cfRule>
  </conditionalFormatting>
  <conditionalFormatting sqref="B71:D71">
    <cfRule type="cellIs" dxfId="78" priority="85" operator="between">
      <formula>1</formula>
      <formula>1.6</formula>
    </cfRule>
    <cfRule type="cellIs" dxfId="77" priority="86" operator="lessThan">
      <formula>1</formula>
    </cfRule>
    <cfRule type="cellIs" dxfId="76" priority="87" operator="greaterThan">
      <formula>1.6</formula>
    </cfRule>
  </conditionalFormatting>
  <conditionalFormatting sqref="B175">
    <cfRule type="cellIs" dxfId="75" priority="83" operator="lessThan">
      <formula>$B$10</formula>
    </cfRule>
    <cfRule type="cellIs" dxfId="74" priority="84" operator="greaterThan">
      <formula>$B$10</formula>
    </cfRule>
  </conditionalFormatting>
  <conditionalFormatting sqref="B176:C176">
    <cfRule type="cellIs" dxfId="73" priority="80" operator="between">
      <formula>1</formula>
      <formula>1.6</formula>
    </cfRule>
    <cfRule type="cellIs" dxfId="72" priority="81" operator="lessThan">
      <formula>1</formula>
    </cfRule>
    <cfRule type="cellIs" dxfId="71" priority="82" operator="greaterThan">
      <formula>1.6</formula>
    </cfRule>
  </conditionalFormatting>
  <conditionalFormatting sqref="B186 B188">
    <cfRule type="cellIs" dxfId="70" priority="77" operator="between">
      <formula>1</formula>
      <formula>1.6</formula>
    </cfRule>
    <cfRule type="cellIs" dxfId="69" priority="78" operator="lessThan">
      <formula>1</formula>
    </cfRule>
    <cfRule type="cellIs" dxfId="68" priority="79" operator="greaterThan">
      <formula>1.6</formula>
    </cfRule>
  </conditionalFormatting>
  <conditionalFormatting sqref="B199">
    <cfRule type="cellIs" dxfId="67" priority="74" operator="between">
      <formula>1</formula>
      <formula>1.6</formula>
    </cfRule>
    <cfRule type="cellIs" dxfId="66" priority="75" operator="lessThan">
      <formula>1</formula>
    </cfRule>
    <cfRule type="cellIs" dxfId="65" priority="76" operator="greaterThan">
      <formula>1.6</formula>
    </cfRule>
  </conditionalFormatting>
  <conditionalFormatting sqref="B215:D215">
    <cfRule type="cellIs" dxfId="64" priority="72" operator="lessThan">
      <formula>18</formula>
    </cfRule>
    <cfRule type="cellIs" dxfId="63" priority="73" operator="greaterThan">
      <formula>18</formula>
    </cfRule>
  </conditionalFormatting>
  <conditionalFormatting sqref="B201">
    <cfRule type="cellIs" dxfId="62" priority="69" operator="between">
      <formula>1</formula>
      <formula>1.6</formula>
    </cfRule>
    <cfRule type="cellIs" dxfId="61" priority="70" operator="lessThan">
      <formula>1</formula>
    </cfRule>
    <cfRule type="cellIs" dxfId="60" priority="71" operator="greaterThan">
      <formula>1.6</formula>
    </cfRule>
  </conditionalFormatting>
  <conditionalFormatting sqref="B104">
    <cfRule type="cellIs" dxfId="59" priority="63" operator="greaterThan">
      <formula>1.6</formula>
    </cfRule>
    <cfRule type="cellIs" dxfId="58" priority="64" operator="lessThan">
      <formula>1</formula>
    </cfRule>
    <cfRule type="cellIs" dxfId="57" priority="65" operator="between">
      <formula>1</formula>
      <formula>1.6</formula>
    </cfRule>
  </conditionalFormatting>
  <conditionalFormatting sqref="C104">
    <cfRule type="cellIs" dxfId="56" priority="60" operator="greaterThan">
      <formula>1.6</formula>
    </cfRule>
    <cfRule type="cellIs" dxfId="55" priority="61" operator="lessThan">
      <formula>1</formula>
    </cfRule>
    <cfRule type="cellIs" dxfId="54" priority="62" operator="between">
      <formula>1</formula>
      <formula>1.6</formula>
    </cfRule>
  </conditionalFormatting>
  <conditionalFormatting sqref="B102">
    <cfRule type="cellIs" dxfId="53" priority="58" operator="lessThan">
      <formula>$B$9</formula>
    </cfRule>
    <cfRule type="cellIs" dxfId="52" priority="59" operator="greaterThan">
      <formula>$B$9</formula>
    </cfRule>
  </conditionalFormatting>
  <conditionalFormatting sqref="C102">
    <cfRule type="cellIs" dxfId="51" priority="56" operator="lessThan">
      <formula>$D$9</formula>
    </cfRule>
    <cfRule type="cellIs" dxfId="50" priority="57" operator="greaterThan">
      <formula>$D$9</formula>
    </cfRule>
  </conditionalFormatting>
  <conditionalFormatting sqref="C118">
    <cfRule type="cellIs" dxfId="49" priority="44" operator="greaterThan">
      <formula>1.6</formula>
    </cfRule>
    <cfRule type="cellIs" dxfId="48" priority="45" operator="lessThan">
      <formula>1</formula>
    </cfRule>
    <cfRule type="cellIs" dxfId="47" priority="46" operator="between">
      <formula>1</formula>
      <formula>1.6</formula>
    </cfRule>
  </conditionalFormatting>
  <conditionalFormatting sqref="C122">
    <cfRule type="cellIs" dxfId="46" priority="41" operator="greaterThan">
      <formula>1.6</formula>
    </cfRule>
    <cfRule type="cellIs" dxfId="45" priority="42" operator="lessThan">
      <formula>1</formula>
    </cfRule>
    <cfRule type="cellIs" dxfId="44" priority="43" operator="between">
      <formula>1</formula>
      <formula>1.6</formula>
    </cfRule>
  </conditionalFormatting>
  <conditionalFormatting sqref="C175 C67:D67 C50:D50">
    <cfRule type="cellIs" dxfId="43" priority="104" operator="lessThan">
      <formula>$C$10</formula>
    </cfRule>
    <cfRule type="cellIs" dxfId="42" priority="105" operator="greaterThan">
      <formula>$C$10</formula>
    </cfRule>
  </conditionalFormatting>
  <conditionalFormatting sqref="D186">
    <cfRule type="cellIs" dxfId="41" priority="32" operator="between">
      <formula>1</formula>
      <formula>1.6</formula>
    </cfRule>
    <cfRule type="cellIs" dxfId="40" priority="33" operator="lessThan">
      <formula>1</formula>
    </cfRule>
    <cfRule type="cellIs" dxfId="39" priority="34" operator="greaterThan">
      <formula>1.6</formula>
    </cfRule>
  </conditionalFormatting>
  <conditionalFormatting sqref="B273">
    <cfRule type="cellIs" dxfId="38" priority="19" operator="greaterThan">
      <formula>1.6</formula>
    </cfRule>
    <cfRule type="cellIs" dxfId="37" priority="20" operator="lessThan">
      <formula>1</formula>
    </cfRule>
    <cfRule type="cellIs" dxfId="36" priority="21" operator="between">
      <formula>1</formula>
      <formula>1.6</formula>
    </cfRule>
  </conditionalFormatting>
  <conditionalFormatting sqref="C273">
    <cfRule type="cellIs" dxfId="35" priority="16" operator="greaterThan">
      <formula>1.6</formula>
    </cfRule>
    <cfRule type="cellIs" dxfId="34" priority="17" operator="lessThan">
      <formula>1</formula>
    </cfRule>
    <cfRule type="cellIs" dxfId="33" priority="18" operator="between">
      <formula>1</formula>
      <formula>1.6</formula>
    </cfRule>
  </conditionalFormatting>
  <conditionalFormatting sqref="B275 B277:C277 B279">
    <cfRule type="cellIs" dxfId="32" priority="13" operator="greaterThan">
      <formula>1.6</formula>
    </cfRule>
    <cfRule type="cellIs" dxfId="31" priority="14" operator="lessThan">
      <formula>1</formula>
    </cfRule>
    <cfRule type="cellIs" dxfId="30" priority="15" operator="between">
      <formula>1</formula>
      <formula>1.6</formula>
    </cfRule>
  </conditionalFormatting>
  <conditionalFormatting sqref="B270">
    <cfRule type="cellIs" dxfId="29" priority="4" operator="greaterThan">
      <formula>1.6</formula>
    </cfRule>
    <cfRule type="cellIs" dxfId="28" priority="5" operator="lessThan">
      <formula>1</formula>
    </cfRule>
    <cfRule type="cellIs" dxfId="27" priority="6" operator="between">
      <formula>1</formula>
      <formula>1.6</formula>
    </cfRule>
  </conditionalFormatting>
  <conditionalFormatting sqref="C270">
    <cfRule type="cellIs" dxfId="26" priority="1" operator="greaterThan">
      <formula>1.6</formula>
    </cfRule>
    <cfRule type="cellIs" dxfId="25" priority="2" operator="lessThan">
      <formula>1</formula>
    </cfRule>
    <cfRule type="cellIs" dxfId="24" priority="3" operator="between">
      <formula>1</formula>
      <formula>1.6</formula>
    </cfRule>
  </conditionalFormatting>
  <conditionalFormatting sqref="B261">
    <cfRule type="cellIs" dxfId="23" priority="29" operator="greaterThan">
      <formula>1.6</formula>
    </cfRule>
    <cfRule type="cellIs" dxfId="22" priority="30" operator="lessThan">
      <formula>1</formula>
    </cfRule>
    <cfRule type="cellIs" dxfId="21" priority="31" operator="between">
      <formula>1</formula>
      <formula>1.6</formula>
    </cfRule>
  </conditionalFormatting>
  <conditionalFormatting sqref="C261">
    <cfRule type="cellIs" dxfId="20" priority="26" operator="greaterThan">
      <formula>1.6</formula>
    </cfRule>
    <cfRule type="cellIs" dxfId="19" priority="27" operator="lessThan">
      <formula>1</formula>
    </cfRule>
    <cfRule type="cellIs" dxfId="18" priority="28" operator="between">
      <formula>1</formula>
      <formula>1.6</formula>
    </cfRule>
  </conditionalFormatting>
  <conditionalFormatting sqref="B259">
    <cfRule type="cellIs" dxfId="17" priority="24" operator="lessThan">
      <formula>$B$9</formula>
    </cfRule>
    <cfRule type="cellIs" dxfId="16" priority="25" operator="greaterThan">
      <formula>$B$9</formula>
    </cfRule>
  </conditionalFormatting>
  <conditionalFormatting sqref="C259">
    <cfRule type="cellIs" dxfId="15" priority="22" operator="lessThan">
      <formula>$D$9</formula>
    </cfRule>
    <cfRule type="cellIs" dxfId="14" priority="23" operator="greaterThan">
      <formula>$D$9</formula>
    </cfRule>
  </conditionalFormatting>
  <conditionalFormatting sqref="C275">
    <cfRule type="cellIs" dxfId="13" priority="10" operator="greaterThan">
      <formula>1.6</formula>
    </cfRule>
    <cfRule type="cellIs" dxfId="12" priority="11" operator="lessThan">
      <formula>1</formula>
    </cfRule>
    <cfRule type="cellIs" dxfId="11" priority="12" operator="between">
      <formula>1</formula>
      <formula>1.6</formula>
    </cfRule>
  </conditionalFormatting>
  <conditionalFormatting sqref="C279">
    <cfRule type="cellIs" dxfId="10" priority="7" operator="greaterThan">
      <formula>1.6</formula>
    </cfRule>
    <cfRule type="cellIs" dxfId="9" priority="8" operator="lessThan">
      <formula>1</formula>
    </cfRule>
    <cfRule type="cellIs" dxfId="8" priority="9" operator="between">
      <formula>1</formula>
      <formula>1.6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F114"/>
  <sheetViews>
    <sheetView topLeftCell="A22" workbookViewId="0">
      <selection activeCell="B40" sqref="B40"/>
    </sheetView>
  </sheetViews>
  <sheetFormatPr baseColWidth="10" defaultRowHeight="15" x14ac:dyDescent="0.25"/>
  <cols>
    <col min="1" max="1" width="33.140625" bestFit="1" customWidth="1"/>
  </cols>
  <sheetData>
    <row r="1" spans="1:6" s="26" customFormat="1" x14ac:dyDescent="0.25">
      <c r="A1" s="26" t="s">
        <v>50</v>
      </c>
    </row>
    <row r="2" spans="1:6" x14ac:dyDescent="0.25">
      <c r="A2" s="146" t="s">
        <v>399</v>
      </c>
      <c r="B2" s="181">
        <v>59.5</v>
      </c>
      <c r="C2" s="147" t="s">
        <v>93</v>
      </c>
      <c r="D2" s="146" t="s">
        <v>400</v>
      </c>
      <c r="E2" s="147"/>
    </row>
    <row r="3" spans="1:6" x14ac:dyDescent="0.25">
      <c r="A3" s="150"/>
      <c r="B3" s="149" t="s">
        <v>47</v>
      </c>
      <c r="C3" s="149" t="s">
        <v>54</v>
      </c>
      <c r="D3" s="149" t="s">
        <v>53</v>
      </c>
      <c r="E3" s="149" t="s">
        <v>401</v>
      </c>
    </row>
    <row r="4" spans="1:6" x14ac:dyDescent="0.25">
      <c r="A4" t="s">
        <v>55</v>
      </c>
      <c r="B4" s="8">
        <f>Verbindungsberechnungen!B5</f>
        <v>171</v>
      </c>
      <c r="C4" s="8">
        <f>Verbindungsberechnungen!C5</f>
        <v>260</v>
      </c>
      <c r="D4" s="8">
        <f>Verbindungsberechnungen!D5</f>
        <v>292</v>
      </c>
      <c r="F4" t="s">
        <v>93</v>
      </c>
    </row>
    <row r="5" spans="1:6" x14ac:dyDescent="0.25">
      <c r="A5" t="s">
        <v>402</v>
      </c>
      <c r="B5">
        <f>B4/2</f>
        <v>85.5</v>
      </c>
      <c r="C5">
        <f>C4/2</f>
        <v>130</v>
      </c>
      <c r="D5">
        <f t="shared" ref="D5" si="0">D4/2</f>
        <v>146</v>
      </c>
      <c r="F5" t="s">
        <v>93</v>
      </c>
    </row>
    <row r="6" spans="1:6" x14ac:dyDescent="0.25">
      <c r="A6" t="s">
        <v>56</v>
      </c>
      <c r="B6" s="9">
        <f>Verbindungsberechnungen!B6</f>
        <v>12</v>
      </c>
      <c r="C6" s="9">
        <f>Verbindungsberechnungen!C6</f>
        <v>5</v>
      </c>
      <c r="D6" s="9">
        <f>Verbindungsberechnungen!D6</f>
        <v>7</v>
      </c>
      <c r="F6" t="s">
        <v>93</v>
      </c>
    </row>
    <row r="7" spans="1:6" x14ac:dyDescent="0.25">
      <c r="A7" t="s">
        <v>403</v>
      </c>
      <c r="B7" s="9">
        <v>6</v>
      </c>
      <c r="C7" s="9">
        <v>4.5</v>
      </c>
      <c r="D7" s="9">
        <v>3.5</v>
      </c>
    </row>
    <row r="8" spans="1:6" x14ac:dyDescent="0.25">
      <c r="A8" t="s">
        <v>404</v>
      </c>
      <c r="B8" s="182">
        <f>7.56+B16*B7*PI()*B4*B2/1000000</f>
        <v>9.0616750366465411</v>
      </c>
      <c r="C8" s="182">
        <f>D8+0.4245+2.928</f>
        <v>7.8125</v>
      </c>
      <c r="D8" s="182">
        <f>E8</f>
        <v>4.46</v>
      </c>
      <c r="E8" s="182">
        <v>4.46</v>
      </c>
      <c r="F8" t="s">
        <v>405</v>
      </c>
    </row>
    <row r="9" spans="1:6" x14ac:dyDescent="0.25">
      <c r="A9" t="s">
        <v>406</v>
      </c>
      <c r="C9" s="9">
        <f>272+59.5-B2</f>
        <v>272</v>
      </c>
      <c r="D9" t="s">
        <v>93</v>
      </c>
      <c r="E9" s="8">
        <f>398+59.5-B2</f>
        <v>398</v>
      </c>
      <c r="F9" t="s">
        <v>93</v>
      </c>
    </row>
    <row r="10" spans="1:6" x14ac:dyDescent="0.25">
      <c r="A10" t="s">
        <v>407</v>
      </c>
      <c r="C10" s="9">
        <f>(B6+C6)/2</f>
        <v>8.5</v>
      </c>
      <c r="D10" t="s">
        <v>93</v>
      </c>
      <c r="E10" s="9">
        <f>(B6+D6)/2</f>
        <v>9.5</v>
      </c>
      <c r="F10" t="s">
        <v>93</v>
      </c>
    </row>
    <row r="11" spans="1:6" x14ac:dyDescent="0.25">
      <c r="A11" t="s">
        <v>408</v>
      </c>
      <c r="D11" s="8">
        <f>398+59.5-B2</f>
        <v>398</v>
      </c>
      <c r="E11" t="s">
        <v>93</v>
      </c>
    </row>
    <row r="12" spans="1:6" x14ac:dyDescent="0.25">
      <c r="A12" t="s">
        <v>409</v>
      </c>
      <c r="D12" s="9">
        <f>(B6+D6)/2</f>
        <v>9.5</v>
      </c>
      <c r="E12" t="s">
        <v>93</v>
      </c>
    </row>
    <row r="15" spans="1:6" x14ac:dyDescent="0.25">
      <c r="A15" s="26" t="s">
        <v>61</v>
      </c>
    </row>
    <row r="16" spans="1:6" x14ac:dyDescent="0.25">
      <c r="A16" t="s">
        <v>410</v>
      </c>
      <c r="B16">
        <v>7.83</v>
      </c>
      <c r="C16" t="s">
        <v>250</v>
      </c>
    </row>
    <row r="17" spans="1:5" x14ac:dyDescent="0.25">
      <c r="A17" t="s">
        <v>411</v>
      </c>
      <c r="B17">
        <v>1.5149999999999999</v>
      </c>
      <c r="C17" t="s">
        <v>250</v>
      </c>
    </row>
    <row r="18" spans="1:5" x14ac:dyDescent="0.25">
      <c r="A18" t="s">
        <v>412</v>
      </c>
      <c r="B18">
        <v>1</v>
      </c>
      <c r="C18" t="s">
        <v>250</v>
      </c>
      <c r="D18" t="s">
        <v>413</v>
      </c>
    </row>
    <row r="19" spans="1:5" x14ac:dyDescent="0.25">
      <c r="A19" t="s">
        <v>414</v>
      </c>
      <c r="B19">
        <v>4.5</v>
      </c>
      <c r="C19" t="s">
        <v>250</v>
      </c>
    </row>
    <row r="25" spans="1:5" x14ac:dyDescent="0.25">
      <c r="A25" s="26" t="s">
        <v>28</v>
      </c>
      <c r="B25" s="149" t="s">
        <v>47</v>
      </c>
      <c r="C25" s="149" t="s">
        <v>54</v>
      </c>
      <c r="D25" s="149" t="s">
        <v>53</v>
      </c>
    </row>
    <row r="26" spans="1:5" x14ac:dyDescent="0.25">
      <c r="A26" t="s">
        <v>132</v>
      </c>
      <c r="B26">
        <f>Verbindungsberechnungen!B28</f>
        <v>300</v>
      </c>
      <c r="C26">
        <f>Verbindungsberechnungen!D28</f>
        <v>145</v>
      </c>
      <c r="D26">
        <f>Verbindungsberechnungen!C28</f>
        <v>110</v>
      </c>
      <c r="E26" t="s">
        <v>93</v>
      </c>
    </row>
    <row r="27" spans="1:5" x14ac:dyDescent="0.25">
      <c r="A27" t="s">
        <v>415</v>
      </c>
      <c r="B27" s="181">
        <v>2</v>
      </c>
      <c r="C27" s="181">
        <v>2</v>
      </c>
      <c r="D27" s="181">
        <v>2</v>
      </c>
      <c r="E27" t="s">
        <v>93</v>
      </c>
    </row>
    <row r="28" spans="1:5" x14ac:dyDescent="0.25">
      <c r="A28" t="s">
        <v>416</v>
      </c>
      <c r="B28" s="17">
        <f>(PI()*B26*(B$5^2-(B$5-B$7)^2))/1000000</f>
        <v>0.93305301811616859</v>
      </c>
      <c r="C28" s="17">
        <f>(PI()*C26*(C$5^2-(C$5-C$7)^2))/1000000</f>
        <v>0.52374669225240533</v>
      </c>
      <c r="D28" s="17">
        <f>(PI()*D26*(D$5^2-(D$5-D$7)^2))/1000000</f>
        <v>0.34894455001585234</v>
      </c>
      <c r="E28" t="s">
        <v>417</v>
      </c>
    </row>
    <row r="29" spans="1:5" x14ac:dyDescent="0.25">
      <c r="A29" t="s">
        <v>418</v>
      </c>
      <c r="B29" s="17">
        <f>$B$16*PI()*B26*(1/3*(B$5^2+B$5*(B$5-B$7)+(B$5-B$7)^2)-(B$5-B$7)^2)/1000000</f>
        <v>3.6086249590651054</v>
      </c>
      <c r="C29" s="17">
        <f>$B$16*PI()*C26*(1/3*(C$5^2+C$5*(C$5-C$7)+(C$5-C$7)^2)-(C$5-C$7)^2)/1000000</f>
        <v>2.0384303258031875</v>
      </c>
      <c r="D29" s="17">
        <f>$B$16*PI()*D26*(1/3*(D$5^2+D$5*(D$5-D$7)+(D$5-D$7)^2)-(D$5-D$7)^2)/1000000</f>
        <v>1.3605934619006288</v>
      </c>
      <c r="E29" t="s">
        <v>405</v>
      </c>
    </row>
    <row r="30" spans="1:5" x14ac:dyDescent="0.25">
      <c r="A30" t="s">
        <v>419</v>
      </c>
      <c r="B30" s="17">
        <f>$B$17*PI()*B26*(1/3*-(B$5^2+B$5*(B$5-B$6)+(B$5-B$6)^2)+B$5^2)/1000000</f>
        <v>1.3964410761133164</v>
      </c>
      <c r="C30" s="17">
        <f t="shared" ref="C30:D30" si="1">$B$17*PI()*C26*(1/3*-(C$5^2+C$5*(C$5-C$6)+(C$5-C$6)^2)+C$5^2)/1000000</f>
        <v>0.44283300996379249</v>
      </c>
      <c r="D30" s="17">
        <f t="shared" si="1"/>
        <v>0.52651317874315717</v>
      </c>
      <c r="E30" t="s">
        <v>405</v>
      </c>
    </row>
    <row r="31" spans="1:5" x14ac:dyDescent="0.25">
      <c r="A31" t="s">
        <v>420</v>
      </c>
      <c r="B31" s="17">
        <f>$B18*B27*PI()*B26*B$4/1000000</f>
        <v>0.32232740625831274</v>
      </c>
      <c r="C31" s="17">
        <f>$B18*C27*PI()*C26*C$4/1000000</f>
        <v>0.23687608608067037</v>
      </c>
      <c r="D31" s="17">
        <f>$B18*D27*PI()*D26*D$4/1000000</f>
        <v>0.20181591206660832</v>
      </c>
      <c r="E31" t="s">
        <v>405</v>
      </c>
    </row>
    <row r="32" spans="1:5" x14ac:dyDescent="0.25">
      <c r="A32" t="s">
        <v>421</v>
      </c>
      <c r="B32" s="183">
        <f>B29+B30+B31+B$8</f>
        <v>14.389068478083274</v>
      </c>
      <c r="C32" s="183">
        <f>C29+C30+C31+C$8</f>
        <v>10.530639421847649</v>
      </c>
      <c r="D32" s="183">
        <f>D29+D30+D31+D$8</f>
        <v>6.548922552710394</v>
      </c>
      <c r="E32" t="s">
        <v>405</v>
      </c>
    </row>
    <row r="33" spans="1:5" x14ac:dyDescent="0.25">
      <c r="A33" t="s">
        <v>422</v>
      </c>
      <c r="B33" s="17"/>
      <c r="C33" s="184">
        <f>C$9-B26-C26</f>
        <v>-173</v>
      </c>
      <c r="D33" s="185">
        <f>D$11-B26-D26</f>
        <v>-12</v>
      </c>
      <c r="E33" t="s">
        <v>93</v>
      </c>
    </row>
    <row r="34" spans="1:5" x14ac:dyDescent="0.25">
      <c r="A34" t="s">
        <v>423</v>
      </c>
      <c r="C34" s="183">
        <f>B$17*C$10*(B$5+C$5)*PI()*SQRT((C$5-B$5)^2+(C$9-B26-C26)^2)/1000000</f>
        <v>1.5573527856769243</v>
      </c>
      <c r="D34" s="183">
        <f>B$17*D$12*(B$5+D$5)*PI()*SQRT((D$5-B$5)^2+(D$11-B26-D26)^2)/1000000</f>
        <v>0.64561205469489524</v>
      </c>
      <c r="E34" t="s">
        <v>405</v>
      </c>
    </row>
    <row r="35" spans="1:5" x14ac:dyDescent="0.25">
      <c r="A35" t="s">
        <v>424</v>
      </c>
      <c r="C35" s="186">
        <f>C34+B32+C32</f>
        <v>26.477060685607846</v>
      </c>
      <c r="D35" s="186">
        <f>D34+B32+D32</f>
        <v>21.583603085488562</v>
      </c>
      <c r="E35" t="s">
        <v>405</v>
      </c>
    </row>
    <row r="39" spans="1:5" x14ac:dyDescent="0.25">
      <c r="A39" s="26" t="s">
        <v>89</v>
      </c>
      <c r="B39" s="149" t="s">
        <v>47</v>
      </c>
      <c r="C39" s="149" t="s">
        <v>54</v>
      </c>
      <c r="D39" s="228" t="s">
        <v>53</v>
      </c>
    </row>
    <row r="40" spans="1:5" x14ac:dyDescent="0.25">
      <c r="A40" t="s">
        <v>132</v>
      </c>
      <c r="B40" s="8">
        <f>Verbindungsberechnungen!B50</f>
        <v>157.61249920084731</v>
      </c>
      <c r="C40" s="8">
        <f>Verbindungsberechnungen!C50</f>
        <v>107.35587066890918</v>
      </c>
      <c r="D40" s="8">
        <f>Verbindungsberechnungen!D50</f>
        <v>70.832626266960887</v>
      </c>
      <c r="E40" t="s">
        <v>93</v>
      </c>
    </row>
    <row r="41" spans="1:5" x14ac:dyDescent="0.25">
      <c r="A41" t="s">
        <v>425</v>
      </c>
      <c r="B41" s="8">
        <f>Verbindungsberechnungen!B47*Verbindungsberechnungen!B49*PI()/4*Verbindungsberechnungen!B45^2*Verbindungsberechnungen!B43+10</f>
        <v>44796.544869576093</v>
      </c>
      <c r="C41" s="8">
        <f>Verbindungsberechnungen!C47*Verbindungsberechnungen!C49*PI()/4*Verbindungsberechnungen!C45^2*Verbindungsberechnungen!C43+8</f>
        <v>15087.644737231007</v>
      </c>
      <c r="D41" s="8">
        <f>Verbindungsberechnungen!D47*Verbindungsberechnungen!D49*PI()/4*Verbindungsberechnungen!D45^2*Verbindungsberechnungen!D43+8</f>
        <v>19712.069123315181</v>
      </c>
      <c r="E41" t="s">
        <v>85</v>
      </c>
    </row>
    <row r="42" spans="1:5" x14ac:dyDescent="0.25">
      <c r="A42" t="s">
        <v>416</v>
      </c>
      <c r="B42" s="17">
        <f>(PI()*B40*(B$5^2-(B$5-B$7)^2))/1000000</f>
        <v>0.49020272690727595</v>
      </c>
      <c r="C42" s="17">
        <f>(PI()*C40*(C$5^2-(C$5-C$7)^2))/1000000</f>
        <v>0.38777435970150487</v>
      </c>
      <c r="D42" s="17">
        <f>(PI()*D40*(D$5^2-(D$5-D$7)^2))/1000000</f>
        <v>0.2246968990833246</v>
      </c>
      <c r="E42" t="s">
        <v>417</v>
      </c>
    </row>
    <row r="43" spans="1:5" x14ac:dyDescent="0.25">
      <c r="A43" t="s">
        <v>426</v>
      </c>
      <c r="B43" s="17">
        <f>$B16*(PI()*B40*(B$5^2-(B$5-B$7)^2))/1000000</f>
        <v>3.8382873516839711</v>
      </c>
      <c r="C43" s="17">
        <f>$B16*(PI()*C40*(C$5^2-(C$5-C$7)^2))/1000000</f>
        <v>3.0362732364627831</v>
      </c>
      <c r="D43" s="17">
        <f>$B16*(PI()*D40*(D$5^2-(D$5-D$7)^2))/1000000</f>
        <v>1.7593767198224317</v>
      </c>
      <c r="E43" t="s">
        <v>405</v>
      </c>
    </row>
    <row r="44" spans="1:5" x14ac:dyDescent="0.25">
      <c r="A44" t="s">
        <v>427</v>
      </c>
      <c r="B44" s="17">
        <f>$B17*(PI()*B40*((B$5+B$6)^2-B$5^2))/1000000</f>
        <v>1.6473485457140329</v>
      </c>
      <c r="C44" s="17">
        <f>$B17*(PI()*C40*((C$5+C$6)^2-C$5^2))/1000000</f>
        <v>0.6770241837841342</v>
      </c>
      <c r="D44" s="17">
        <f>$B17*(PI()*D40*((D$5+D$6)^2-D$5^2))/1000000</f>
        <v>0.70561057075396738</v>
      </c>
      <c r="E44" t="s">
        <v>405</v>
      </c>
    </row>
    <row r="45" spans="1:5" x14ac:dyDescent="0.25">
      <c r="A45" t="s">
        <v>428</v>
      </c>
      <c r="B45" s="17">
        <f>B41*$B16/1000000</f>
        <v>0.35075694632878079</v>
      </c>
      <c r="C45" s="17">
        <f>C41*$B16/1000000</f>
        <v>0.11813625829251879</v>
      </c>
      <c r="D45" s="17">
        <f>D41*$B16/1000000</f>
        <v>0.15434550123555787</v>
      </c>
      <c r="E45" t="s">
        <v>405</v>
      </c>
    </row>
    <row r="46" spans="1:5" x14ac:dyDescent="0.25">
      <c r="A46" t="s">
        <v>421</v>
      </c>
      <c r="B46" s="183">
        <f>B43+B44+B45+B$8</f>
        <v>14.898067880373326</v>
      </c>
      <c r="C46" s="183">
        <f>C43+C44+C45+C$8</f>
        <v>11.643933678539437</v>
      </c>
      <c r="D46" s="183">
        <f>D43+D44+D45+D$8</f>
        <v>7.0793327918119573</v>
      </c>
      <c r="E46" t="s">
        <v>405</v>
      </c>
    </row>
    <row r="47" spans="1:5" x14ac:dyDescent="0.25">
      <c r="A47" t="s">
        <v>422</v>
      </c>
      <c r="B47" s="17"/>
      <c r="C47" s="184">
        <f>C$9-B40-C40</f>
        <v>7.0316301302435136</v>
      </c>
      <c r="D47" s="184">
        <f>D$11-B40-D40</f>
        <v>169.5548745321918</v>
      </c>
      <c r="E47" t="s">
        <v>93</v>
      </c>
    </row>
    <row r="48" spans="1:5" x14ac:dyDescent="0.25">
      <c r="A48" t="s">
        <v>423</v>
      </c>
      <c r="C48" s="183">
        <f>B$17*C$10*(B$5+C$5)*PI()*SQRT((C$5-B$5)^2+(C$9-B40-C40)^2)/1000000</f>
        <v>0.3927751206352727</v>
      </c>
      <c r="D48" s="183">
        <f>B$17*D$12*(B$5+D$5)*PI()*SQRT((D$5-B$5)^2+(D$11-B40-D40)^2)/1000000</f>
        <v>1.8843892945929492</v>
      </c>
      <c r="E48" t="s">
        <v>405</v>
      </c>
    </row>
    <row r="49" spans="1:5" x14ac:dyDescent="0.25">
      <c r="A49" t="s">
        <v>424</v>
      </c>
      <c r="C49" s="186">
        <f>C48+B46+C46</f>
        <v>26.934776679548037</v>
      </c>
      <c r="D49" s="186">
        <f>D48+B46+D46</f>
        <v>23.861789966778232</v>
      </c>
      <c r="E49" t="s">
        <v>405</v>
      </c>
    </row>
    <row r="52" spans="1:5" x14ac:dyDescent="0.25">
      <c r="A52" s="26" t="s">
        <v>429</v>
      </c>
      <c r="B52" s="149" t="s">
        <v>47</v>
      </c>
      <c r="C52" s="149" t="s">
        <v>54</v>
      </c>
      <c r="D52" s="229" t="s">
        <v>53</v>
      </c>
    </row>
    <row r="53" spans="1:5" x14ac:dyDescent="0.25">
      <c r="A53" t="s">
        <v>132</v>
      </c>
      <c r="B53" s="8">
        <f>Verbindungsberechnungen!B67</f>
        <v>120</v>
      </c>
      <c r="C53" s="8">
        <f>Verbindungsberechnungen!C67</f>
        <v>56</v>
      </c>
      <c r="D53" s="8">
        <f>Verbindungsberechnungen!D67</f>
        <v>56</v>
      </c>
      <c r="E53" t="s">
        <v>93</v>
      </c>
    </row>
    <row r="54" spans="1:5" x14ac:dyDescent="0.25">
      <c r="A54" t="s">
        <v>425</v>
      </c>
      <c r="B54" s="8">
        <f>Verbindungsberechnungen!B64*Verbindungsberechnungen!B66*PI()/4*Verbindungsberechnungen!B62^2*Verbindungsberechnungen!B43+10</f>
        <v>44796.544869576093</v>
      </c>
      <c r="C54" s="8">
        <f>Verbindungsberechnungen!C64*Verbindungsberechnungen!C66*PI()/4*Verbindungsberechnungen!C62^2*Verbindungsberechnungen!C43+10</f>
        <v>12073.715789784805</v>
      </c>
      <c r="D54" s="8">
        <f>Verbindungsberechnungen!D64*Verbindungsberechnungen!D66*PI()/4*Verbindungsberechnungen!D62^2*Verbindungsberechnungen!D43+10</f>
        <v>15491.768596890499</v>
      </c>
      <c r="E54" t="s">
        <v>85</v>
      </c>
    </row>
    <row r="55" spans="1:5" x14ac:dyDescent="0.25">
      <c r="A55" t="s">
        <v>416</v>
      </c>
      <c r="B55" s="17">
        <f>(PI()*B53*(B$5^2-(B$5-B$7)^2))/1000000</f>
        <v>0.3732212072464674</v>
      </c>
      <c r="C55" s="17">
        <f>(PI()*C53*(C$5^2-(C$5-C$7)^2))/1000000</f>
        <v>0.20227458459403241</v>
      </c>
      <c r="D55" s="17">
        <f>(PI()*D53*(D$5^2-(D$5-D$7)^2))/1000000</f>
        <v>0.17764449818988842</v>
      </c>
      <c r="E55" t="s">
        <v>417</v>
      </c>
    </row>
    <row r="56" spans="1:5" x14ac:dyDescent="0.25">
      <c r="A56" t="s">
        <v>426</v>
      </c>
      <c r="B56" s="17">
        <f>$B$16*(PI()*B53*(B$5^2-(B$5-B$7)^2))/1000000</f>
        <v>2.9223220527398399</v>
      </c>
      <c r="C56" s="17">
        <f>$B$16*(PI()*C53*(C$5^2-(C$5-C$7)^2))/1000000</f>
        <v>1.5838099973712738</v>
      </c>
      <c r="D56" s="17">
        <f>$B$16*(PI()*D53*(D$5^2-(D$5-D$7)^2))/1000000</f>
        <v>1.3909564208268266</v>
      </c>
      <c r="E56" t="s">
        <v>405</v>
      </c>
    </row>
    <row r="57" spans="1:5" x14ac:dyDescent="0.25">
      <c r="A57" t="s">
        <v>430</v>
      </c>
      <c r="B57" s="17">
        <f>$B$17*(PI()*B53*((B$5+B$6)^2-B$5^2))/1000000+$B$19*(PI()*B53*((B$5+B$6/2)^2-B$5^2))/1000000</f>
        <v>3.055867386532757</v>
      </c>
      <c r="C57" s="17">
        <f>$B$17*(PI()*C53*((C$5+C$6)^2-C$5^2))/1000000+$B$19*(PI()*C53*((C$5+C$6/2)^2-C$5^2))/1000000</f>
        <v>0.87269674005540143</v>
      </c>
      <c r="D57" s="17">
        <f>$B$17*(PI()*D53*((D$5+D$6)^2-D$5^2))/1000000+$B$19*(PI()*D53*((D$5+D$6/2)^2-D$5^2))/1000000</f>
        <v>1.3766494193868193</v>
      </c>
      <c r="E57" t="s">
        <v>405</v>
      </c>
    </row>
    <row r="58" spans="1:5" x14ac:dyDescent="0.25">
      <c r="A58" t="s">
        <v>428</v>
      </c>
      <c r="B58" s="17">
        <f>B54*$B29/1000000</f>
        <v>0.16165392989623217</v>
      </c>
      <c r="C58" s="17">
        <f>C54*$B29/1000000</f>
        <v>4.3569512147675911E-2</v>
      </c>
      <c r="D58" s="17">
        <f>D54*$B29/1000000</f>
        <v>5.590398281880006E-2</v>
      </c>
      <c r="E58" t="s">
        <v>405</v>
      </c>
    </row>
    <row r="59" spans="1:5" x14ac:dyDescent="0.25">
      <c r="A59" t="s">
        <v>421</v>
      </c>
      <c r="B59" s="183">
        <f>B56+B57+B58+B$8</f>
        <v>15.201518405815371</v>
      </c>
      <c r="C59" s="183">
        <f>C56+C57+C58+C$8</f>
        <v>10.312576249574352</v>
      </c>
      <c r="D59" s="183">
        <f>D56+D57+D58+D$8</f>
        <v>7.2835098230324462</v>
      </c>
      <c r="E59" t="s">
        <v>405</v>
      </c>
    </row>
    <row r="60" spans="1:5" x14ac:dyDescent="0.25">
      <c r="A60" t="s">
        <v>422</v>
      </c>
      <c r="B60" s="17"/>
      <c r="C60" s="184">
        <f>C$9-B53-C53</f>
        <v>96</v>
      </c>
      <c r="D60" s="184">
        <f>D$11-B53-D53</f>
        <v>222</v>
      </c>
      <c r="E60" t="s">
        <v>93</v>
      </c>
    </row>
    <row r="61" spans="1:5" x14ac:dyDescent="0.25">
      <c r="A61" t="s">
        <v>423</v>
      </c>
      <c r="C61" s="183">
        <f>B$17*C$10*(B$5+C$5)*PI()*SQRT((C$5-B$5)^2+(C$9-B53-C53)^2)/1000000</f>
        <v>0.92249707830754224</v>
      </c>
      <c r="D61" s="183">
        <f>B$17*D$12*(B$5+D$5)*PI()*SQRT((D$5-B$5)^2+(D$11-B53-D53)^2)/1000000</f>
        <v>2.4084992002611236</v>
      </c>
      <c r="E61" t="s">
        <v>405</v>
      </c>
    </row>
    <row r="62" spans="1:5" x14ac:dyDescent="0.25">
      <c r="A62" t="s">
        <v>424</v>
      </c>
      <c r="C62" s="186">
        <f>C61+B59+C59</f>
        <v>26.436591733697266</v>
      </c>
      <c r="D62" s="186">
        <f>D61+B59+D59</f>
        <v>24.893527429108939</v>
      </c>
      <c r="E62" t="s">
        <v>405</v>
      </c>
    </row>
    <row r="65" spans="1:6" x14ac:dyDescent="0.25">
      <c r="A65" s="26" t="s">
        <v>19</v>
      </c>
    </row>
    <row r="66" spans="1:6" x14ac:dyDescent="0.25">
      <c r="A66" t="s">
        <v>132</v>
      </c>
      <c r="B66" s="8">
        <f>Verbindungsberechnungen!B102</f>
        <v>300</v>
      </c>
      <c r="C66" s="8">
        <f>Verbindungsberechnungen!C102</f>
        <v>120</v>
      </c>
      <c r="E66" t="s">
        <v>93</v>
      </c>
    </row>
    <row r="67" spans="1:6" x14ac:dyDescent="0.25">
      <c r="A67" t="s">
        <v>431</v>
      </c>
      <c r="B67" s="17">
        <f>PI()*B66*((B5+Verbindungsberechnungen!B86)^2-B5^2)/1000000</f>
        <v>0.6597344572538566</v>
      </c>
      <c r="C67" s="17">
        <f>PI()*C66*((C5+Verbindungsberechnungen!C86)^2-C5^2)/1000000</f>
        <v>0.49951323192077707</v>
      </c>
      <c r="D67" s="8"/>
      <c r="E67" t="s">
        <v>85</v>
      </c>
    </row>
    <row r="68" spans="1:6" x14ac:dyDescent="0.25">
      <c r="A68" t="s">
        <v>416</v>
      </c>
      <c r="B68" s="17">
        <f>(PI()*B66*(B$5^2-(B$5-B$7)^2))/1000000</f>
        <v>0.93305301811616859</v>
      </c>
      <c r="C68" s="17">
        <f>(PI()*C66*(C$5^2-(C$5-C$7)^2))/1000000</f>
        <v>0.4334455384157837</v>
      </c>
      <c r="D68" s="17"/>
      <c r="E68" t="s">
        <v>417</v>
      </c>
    </row>
    <row r="69" spans="1:6" x14ac:dyDescent="0.25">
      <c r="A69" t="s">
        <v>426</v>
      </c>
      <c r="B69" s="17">
        <f>$B$16*(PI()*B66*(B$5^2-(B$5-[1]Verbindungsberechnungen!B90)^2))/1000000</f>
        <v>7.3058051318496</v>
      </c>
      <c r="C69" s="17">
        <f>$B$16*(PI()*C66*(C$5^2-(C$5-[1]Verbindungsberechnungen!C90)^2))/1000000</f>
        <v>5.9509103619429462</v>
      </c>
      <c r="D69" s="17"/>
      <c r="E69" t="s">
        <v>405</v>
      </c>
    </row>
    <row r="70" spans="1:6" x14ac:dyDescent="0.25">
      <c r="A70" t="s">
        <v>427</v>
      </c>
      <c r="B70" s="17">
        <f>$B$17*(PI()*B66*((B$5+B$6)^2-B$5^2))/1000000</f>
        <v>3.1355670788802077</v>
      </c>
      <c r="C70" s="17">
        <f>$B$17*(PI()*C66*((C$5+C$6)^2-C$5^2))/1000000</f>
        <v>0.7567625463599772</v>
      </c>
      <c r="D70" s="17"/>
      <c r="E70" t="s">
        <v>405</v>
      </c>
    </row>
    <row r="71" spans="1:6" x14ac:dyDescent="0.25">
      <c r="A71" t="s">
        <v>432</v>
      </c>
      <c r="B71" s="17">
        <f>B67*$B17</f>
        <v>0.99949770273959271</v>
      </c>
      <c r="C71" s="17">
        <f>C67*$B17</f>
        <v>0.7567625463599772</v>
      </c>
      <c r="D71" s="17"/>
      <c r="E71" t="s">
        <v>405</v>
      </c>
    </row>
    <row r="72" spans="1:6" x14ac:dyDescent="0.25">
      <c r="A72" t="s">
        <v>421</v>
      </c>
      <c r="B72" s="183">
        <f>B69+B70+B71+B$8</f>
        <v>20.50254495011594</v>
      </c>
      <c r="C72" s="183">
        <f>C69+C70+C71+C$8</f>
        <v>15.276935454662901</v>
      </c>
      <c r="D72" s="183"/>
      <c r="E72" t="s">
        <v>405</v>
      </c>
    </row>
    <row r="73" spans="1:6" x14ac:dyDescent="0.25">
      <c r="A73" t="s">
        <v>422</v>
      </c>
      <c r="B73" s="17"/>
      <c r="C73" s="184">
        <f>C$9-B66-C66</f>
        <v>-148</v>
      </c>
      <c r="D73" s="17"/>
      <c r="E73" t="s">
        <v>93</v>
      </c>
    </row>
    <row r="74" spans="1:6" x14ac:dyDescent="0.25">
      <c r="A74" t="s">
        <v>423</v>
      </c>
      <c r="C74" s="183">
        <f>B$17*C$10*(B$5+C$5)*PI()*SQRT((C$5-B$5)^2+(C$9-B66-C66)^2)/1000000</f>
        <v>1.3473626678054138</v>
      </c>
      <c r="D74" s="183"/>
      <c r="E74" t="s">
        <v>405</v>
      </c>
    </row>
    <row r="75" spans="1:6" x14ac:dyDescent="0.25">
      <c r="A75" t="s">
        <v>424</v>
      </c>
      <c r="C75" s="186">
        <f>C74+B72+C72</f>
        <v>37.126843072584251</v>
      </c>
      <c r="D75" s="186"/>
      <c r="E75" t="s">
        <v>405</v>
      </c>
    </row>
    <row r="78" spans="1:6" x14ac:dyDescent="0.25">
      <c r="A78" s="26" t="s">
        <v>433</v>
      </c>
      <c r="D78" t="s">
        <v>132</v>
      </c>
    </row>
    <row r="79" spans="1:6" x14ac:dyDescent="0.25">
      <c r="A79" t="s">
        <v>434</v>
      </c>
      <c r="B79" s="8"/>
      <c r="C79" s="8"/>
      <c r="D79">
        <v>0</v>
      </c>
      <c r="E79">
        <f>Verbindungsberechnungen!B185</f>
        <v>11.2</v>
      </c>
      <c r="F79" t="s">
        <v>93</v>
      </c>
    </row>
    <row r="80" spans="1:6" x14ac:dyDescent="0.25">
      <c r="A80" t="s">
        <v>425</v>
      </c>
      <c r="B80" s="17"/>
      <c r="C80" s="17"/>
      <c r="D80" s="8"/>
      <c r="F80" t="s">
        <v>85</v>
      </c>
    </row>
    <row r="81" spans="1:6" x14ac:dyDescent="0.25">
      <c r="A81" t="s">
        <v>416</v>
      </c>
      <c r="B81" s="17"/>
      <c r="C81" s="17"/>
      <c r="D81" s="17"/>
      <c r="F81" t="s">
        <v>417</v>
      </c>
    </row>
    <row r="82" spans="1:6" x14ac:dyDescent="0.25">
      <c r="A82" t="s">
        <v>426</v>
      </c>
      <c r="B82" s="17"/>
      <c r="C82" s="17"/>
      <c r="D82" s="17"/>
      <c r="E82">
        <v>0</v>
      </c>
      <c r="F82" t="s">
        <v>405</v>
      </c>
    </row>
    <row r="83" spans="1:6" x14ac:dyDescent="0.25">
      <c r="A83" t="s">
        <v>427</v>
      </c>
      <c r="B83" s="17"/>
      <c r="C83" s="17"/>
      <c r="D83" s="17"/>
      <c r="E83" s="17">
        <f>B17*E79*PI()*(160^2-D5^2)/1000000</f>
        <v>0.2283652351219421</v>
      </c>
      <c r="F83" t="s">
        <v>405</v>
      </c>
    </row>
    <row r="84" spans="1:6" x14ac:dyDescent="0.25">
      <c r="A84" t="s">
        <v>428</v>
      </c>
      <c r="B84" s="17"/>
      <c r="C84" s="17"/>
      <c r="D84" s="17"/>
      <c r="E84">
        <v>0</v>
      </c>
      <c r="F84" t="s">
        <v>405</v>
      </c>
    </row>
    <row r="85" spans="1:6" x14ac:dyDescent="0.25">
      <c r="A85" t="s">
        <v>421</v>
      </c>
      <c r="B85" s="183"/>
      <c r="C85" s="183"/>
      <c r="D85" s="183"/>
      <c r="E85" s="183">
        <f>E82+E83+E84+E$8</f>
        <v>4.6883652351219425</v>
      </c>
      <c r="F85" t="s">
        <v>405</v>
      </c>
    </row>
    <row r="86" spans="1:6" x14ac:dyDescent="0.25">
      <c r="A86" t="s">
        <v>422</v>
      </c>
      <c r="B86" s="17"/>
      <c r="D86" s="17"/>
      <c r="E86" s="185">
        <f>E$9-B79-C79</f>
        <v>398</v>
      </c>
      <c r="F86" t="s">
        <v>93</v>
      </c>
    </row>
    <row r="87" spans="1:6" x14ac:dyDescent="0.25">
      <c r="A87" t="s">
        <v>423</v>
      </c>
      <c r="C87" s="183"/>
      <c r="D87" s="183"/>
      <c r="E87" s="183">
        <f>B$17*E$10*(B$5+D$5)*PI()*SQRT((D$5-B$5)^2+(E$9-B79-C79)^2)/1000000</f>
        <v>4.2138659710582242</v>
      </c>
      <c r="F87" t="s">
        <v>405</v>
      </c>
    </row>
    <row r="88" spans="1:6" x14ac:dyDescent="0.25">
      <c r="A88" t="s">
        <v>424</v>
      </c>
      <c r="C88" s="186"/>
      <c r="D88" s="186"/>
      <c r="E88" s="186">
        <f>E87+B85+E85</f>
        <v>8.9022312061801667</v>
      </c>
      <c r="F88" t="s">
        <v>405</v>
      </c>
    </row>
    <row r="91" spans="1:6" x14ac:dyDescent="0.25">
      <c r="A91" s="26" t="s">
        <v>435</v>
      </c>
      <c r="D91" t="s">
        <v>132</v>
      </c>
    </row>
    <row r="92" spans="1:6" x14ac:dyDescent="0.25">
      <c r="A92" t="s">
        <v>434</v>
      </c>
      <c r="B92" s="8"/>
      <c r="C92" s="8"/>
      <c r="D92">
        <v>0</v>
      </c>
      <c r="E92">
        <f>Verbindungsberechnungen!B198</f>
        <v>7.5</v>
      </c>
      <c r="F92" t="s">
        <v>93</v>
      </c>
    </row>
    <row r="93" spans="1:6" x14ac:dyDescent="0.25">
      <c r="A93" t="s">
        <v>425</v>
      </c>
      <c r="B93" s="17"/>
      <c r="C93" s="17"/>
      <c r="D93" s="8"/>
      <c r="F93" t="s">
        <v>85</v>
      </c>
    </row>
    <row r="94" spans="1:6" x14ac:dyDescent="0.25">
      <c r="A94" t="s">
        <v>416</v>
      </c>
      <c r="B94" s="17"/>
      <c r="C94" s="17"/>
      <c r="D94" s="17"/>
      <c r="F94" t="s">
        <v>417</v>
      </c>
    </row>
    <row r="95" spans="1:6" x14ac:dyDescent="0.25">
      <c r="A95" t="s">
        <v>426</v>
      </c>
      <c r="B95" s="17"/>
      <c r="C95" s="17"/>
      <c r="D95" s="17"/>
      <c r="E95">
        <v>0</v>
      </c>
      <c r="F95" t="s">
        <v>405</v>
      </c>
    </row>
    <row r="96" spans="1:6" x14ac:dyDescent="0.25">
      <c r="A96" t="s">
        <v>427</v>
      </c>
      <c r="B96" s="17"/>
      <c r="C96" s="17"/>
      <c r="D96" s="17"/>
      <c r="E96" s="17">
        <f>B17*E92*PI()*(D5^2-98^2)/1000000</f>
        <v>0.41807561051736097</v>
      </c>
      <c r="F96" t="s">
        <v>405</v>
      </c>
    </row>
    <row r="97" spans="1:6" x14ac:dyDescent="0.25">
      <c r="A97" t="s">
        <v>428</v>
      </c>
      <c r="B97" s="17"/>
      <c r="C97" s="17"/>
      <c r="D97" s="17"/>
      <c r="E97">
        <v>0</v>
      </c>
      <c r="F97" t="s">
        <v>405</v>
      </c>
    </row>
    <row r="98" spans="1:6" x14ac:dyDescent="0.25">
      <c r="A98" t="s">
        <v>421</v>
      </c>
      <c r="B98" s="183"/>
      <c r="C98" s="183"/>
      <c r="D98" s="183"/>
      <c r="E98" s="183">
        <f>E95+E96+E97+E$8</f>
        <v>4.878075610517361</v>
      </c>
      <c r="F98" t="s">
        <v>405</v>
      </c>
    </row>
    <row r="99" spans="1:6" x14ac:dyDescent="0.25">
      <c r="A99" t="s">
        <v>422</v>
      </c>
      <c r="B99" s="17"/>
      <c r="D99" s="17"/>
      <c r="E99" s="185">
        <f>E$9-B92-C92</f>
        <v>398</v>
      </c>
      <c r="F99" t="s">
        <v>93</v>
      </c>
    </row>
    <row r="100" spans="1:6" x14ac:dyDescent="0.25">
      <c r="A100" t="s">
        <v>423</v>
      </c>
      <c r="C100" s="183"/>
      <c r="D100" s="183"/>
      <c r="E100" s="183">
        <f>B$17*E$10*(B$5+D$5)*PI()*SQRT((D$5-B$5)^2+(E$9-B92-C92)^2)/1000000</f>
        <v>4.2138659710582242</v>
      </c>
      <c r="F100" t="s">
        <v>405</v>
      </c>
    </row>
    <row r="101" spans="1:6" x14ac:dyDescent="0.25">
      <c r="A101" t="s">
        <v>424</v>
      </c>
      <c r="C101" s="186"/>
      <c r="D101" s="186"/>
      <c r="E101" s="186">
        <f>E100+B98+E98</f>
        <v>9.0919415815755862</v>
      </c>
      <c r="F101" t="s">
        <v>405</v>
      </c>
    </row>
    <row r="104" spans="1:6" x14ac:dyDescent="0.25">
      <c r="A104" s="26" t="s">
        <v>22</v>
      </c>
      <c r="C104" s="229" t="s">
        <v>54</v>
      </c>
      <c r="D104" s="229" t="s">
        <v>53</v>
      </c>
    </row>
    <row r="105" spans="1:6" x14ac:dyDescent="0.25">
      <c r="A105" t="s">
        <v>132</v>
      </c>
      <c r="B105" s="8">
        <f>Verbindungsberechnungen!B210</f>
        <v>120</v>
      </c>
      <c r="C105" s="8">
        <f>Verbindungsberechnungen!C210</f>
        <v>90</v>
      </c>
      <c r="D105" s="8">
        <f>Verbindungsberechnungen!D210</f>
        <v>80</v>
      </c>
      <c r="E105" t="s">
        <v>93</v>
      </c>
    </row>
    <row r="106" spans="1:6" x14ac:dyDescent="0.25">
      <c r="A106" t="s">
        <v>436</v>
      </c>
      <c r="B106" s="17">
        <f>Verbindungsberechnungen!B211*Verbindungsberechnungen!B212*Verbindungsberechnungen!B213/2*Verbindungsberechnungen!B210/1000000</f>
        <v>0.19339644375498768</v>
      </c>
      <c r="C106" s="17">
        <f>Verbindungsberechnungen!C211*Verbindungsberechnungen!C212*Verbindungsberechnungen!C213/2*Verbindungsberechnungen!C210/1000000</f>
        <v>9.1891585117501437E-2</v>
      </c>
      <c r="D106" s="17">
        <f>Verbindungsberechnungen!D211*Verbindungsberechnungen!D212*Verbindungsberechnungen!D213/2*Verbindungsberechnungen!D210/1000000</f>
        <v>0.12842830767875074</v>
      </c>
      <c r="E106" t="s">
        <v>85</v>
      </c>
    </row>
    <row r="107" spans="1:6" x14ac:dyDescent="0.25">
      <c r="A107" t="s">
        <v>416</v>
      </c>
      <c r="B107" s="17"/>
      <c r="C107" s="17"/>
      <c r="D107" s="17"/>
      <c r="E107" t="s">
        <v>417</v>
      </c>
    </row>
    <row r="108" spans="1:6" x14ac:dyDescent="0.25">
      <c r="A108" t="s">
        <v>426</v>
      </c>
      <c r="B108" s="17">
        <f>$B$16*(PI()*B105*(B$5^2-(B$5-B7)^2))/1000000</f>
        <v>2.9223220527398399</v>
      </c>
      <c r="C108" s="17">
        <f t="shared" ref="C108:D108" si="2">$B$16*(PI()*C105*(C$5^2-(C$5-C7)^2))/1000000</f>
        <v>2.54540892434669</v>
      </c>
      <c r="D108" s="17">
        <f t="shared" si="2"/>
        <v>1.9870806011811806</v>
      </c>
      <c r="E108" t="s">
        <v>405</v>
      </c>
    </row>
    <row r="109" spans="1:6" x14ac:dyDescent="0.25">
      <c r="A109" t="s">
        <v>427</v>
      </c>
      <c r="B109" s="17">
        <f>$B$17*(PI()*B105*((B$5+B$6)^2-B$5^2))/1000000</f>
        <v>1.2542268315520828</v>
      </c>
      <c r="C109" s="17">
        <f t="shared" ref="C109:D109" si="3">$B$17*(PI()*C105*((C$5+C$6)^2-C$5^2))/1000000</f>
        <v>0.56757190976998295</v>
      </c>
      <c r="D109" s="17">
        <f t="shared" si="3"/>
        <v>0.79693283498436862</v>
      </c>
      <c r="E109" t="s">
        <v>405</v>
      </c>
    </row>
    <row r="110" spans="1:6" x14ac:dyDescent="0.25">
      <c r="A110" t="s">
        <v>437</v>
      </c>
      <c r="B110" s="17">
        <f>B106*$B$17+$B$16*B106</f>
        <v>1.80728976689036</v>
      </c>
      <c r="C110" s="17">
        <f t="shared" ref="C110:D110" si="4">C106*$B$17+$B$16*C106</f>
        <v>0.85872686292305089</v>
      </c>
      <c r="D110" s="17">
        <f t="shared" si="4"/>
        <v>1.2001625352579257</v>
      </c>
      <c r="E110" t="s">
        <v>405</v>
      </c>
    </row>
    <row r="111" spans="1:6" x14ac:dyDescent="0.25">
      <c r="A111" t="s">
        <v>421</v>
      </c>
      <c r="B111" s="183">
        <f>B108+B109+B110+B$8</f>
        <v>15.045513687828823</v>
      </c>
      <c r="C111" s="183">
        <f>C108+C109+C110+C$8</f>
        <v>11.784207697039724</v>
      </c>
      <c r="D111" s="183">
        <f>D108+D109+D110+D$8</f>
        <v>8.4441759714234745</v>
      </c>
      <c r="E111" t="s">
        <v>405</v>
      </c>
    </row>
    <row r="112" spans="1:6" x14ac:dyDescent="0.25">
      <c r="A112" t="s">
        <v>422</v>
      </c>
      <c r="B112" s="17"/>
      <c r="C112" s="184">
        <f>C$9-B105-C105</f>
        <v>62</v>
      </c>
      <c r="D112" s="185">
        <f>D$11-C105-D105</f>
        <v>228</v>
      </c>
      <c r="E112" t="s">
        <v>93</v>
      </c>
    </row>
    <row r="113" spans="1:5" x14ac:dyDescent="0.25">
      <c r="A113" t="s">
        <v>423</v>
      </c>
      <c r="C113" s="183">
        <f>B$17*C$10*(B$5+C$5)*PI()*SQRT((C$5-B$5)^2+(C$9-B105-C105)^2)/1000000</f>
        <v>0.66534777658274302</v>
      </c>
      <c r="D113" s="183">
        <f>B$17*D$12*(C$5+D$5)*PI()*SQRT((D$5-C$5)^2+(D$11-C105-D105)^2)/1000000</f>
        <v>2.8523103446959253</v>
      </c>
      <c r="E113" t="s">
        <v>405</v>
      </c>
    </row>
    <row r="114" spans="1:5" x14ac:dyDescent="0.25">
      <c r="A114" t="s">
        <v>424</v>
      </c>
      <c r="C114" s="186">
        <f>C113+B111+C111</f>
        <v>27.495069161451291</v>
      </c>
      <c r="D114" s="186">
        <f>D113+$B111+D111</f>
        <v>26.342000003948222</v>
      </c>
      <c r="E114" t="s">
        <v>405</v>
      </c>
    </row>
  </sheetData>
  <conditionalFormatting sqref="B40 B26 B53 B66 B10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D105 D92 D79 C66 C26:D26 C40:D40 C53:D5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K34"/>
  <sheetViews>
    <sheetView zoomScale="160" zoomScaleNormal="160" workbookViewId="0">
      <selection activeCell="F7" sqref="F7"/>
    </sheetView>
  </sheetViews>
  <sheetFormatPr baseColWidth="10" defaultRowHeight="15" x14ac:dyDescent="0.25"/>
  <cols>
    <col min="1" max="1" width="17.28515625" bestFit="1" customWidth="1"/>
    <col min="3" max="3" width="17.28515625" bestFit="1" customWidth="1"/>
    <col min="4" max="4" width="17.42578125" customWidth="1"/>
    <col min="5" max="5" width="13" bestFit="1" customWidth="1"/>
    <col min="6" max="6" width="16.28515625" customWidth="1"/>
    <col min="7" max="7" width="15.140625" hidden="1" customWidth="1"/>
    <col min="8" max="8" width="16.140625" bestFit="1" customWidth="1"/>
  </cols>
  <sheetData>
    <row r="1" spans="1:11" x14ac:dyDescent="0.25">
      <c r="A1" s="26" t="s">
        <v>438</v>
      </c>
      <c r="B1" s="26"/>
      <c r="C1" s="26"/>
      <c r="D1" s="26"/>
      <c r="E1" s="26"/>
      <c r="F1" s="26"/>
      <c r="G1" s="26"/>
      <c r="H1" s="26"/>
    </row>
    <row r="2" spans="1:11" ht="30.75" thickBot="1" x14ac:dyDescent="0.3">
      <c r="A2" s="14" t="s">
        <v>439</v>
      </c>
      <c r="B2" s="187" t="str">
        <f>[1]Massenabschätzung!A25</f>
        <v>Klebung</v>
      </c>
      <c r="C2" s="187" t="str">
        <f>[1]Massenabschätzung!A39</f>
        <v>Bolzenverbindung</v>
      </c>
      <c r="D2" s="188" t="str">
        <f>[1]Massenabschätzung!A52</f>
        <v>Bolzenverbindung mit Titanblechen</v>
      </c>
      <c r="E2" s="189" t="str">
        <f>[1]Massenabschätzung!A65</f>
        <v>Pressverband</v>
      </c>
      <c r="F2" s="188" t="str">
        <f>[1]Massenabschätzung!A78</f>
        <v>Anflanschung an curvic coupling</v>
      </c>
      <c r="G2" s="188" t="str">
        <f>[1]Massenabschätzung!A91</f>
        <v>Anflanschung an stubshaft</v>
      </c>
      <c r="H2" s="187" t="str">
        <f>[1]Massenabschätzung!A104</f>
        <v>Profilverbindung</v>
      </c>
    </row>
    <row r="3" spans="1:11" x14ac:dyDescent="0.25">
      <c r="A3" s="247" t="str">
        <f>[1]Massenabschätzung!A25</f>
        <v>Klebung</v>
      </c>
      <c r="B3" s="190">
        <f>Massenabschätzung!D35</f>
        <v>21.583603085488562</v>
      </c>
      <c r="C3" s="190">
        <f>Massenabschätzung!B32+Massenabschätzung!C46+Massenabschätzung!B17*Massenabschätzung!C10*(Massenabschätzung!B5+Massenabschätzung!C5)*PI()*SQRT((Massenabschätzung!C5-Massenabschätzung!B5)^2+(C4)^2)/1000000</f>
        <v>27.275204545412496</v>
      </c>
      <c r="D3" s="190">
        <f>Massenabschätzung!B32+Massenabschätzung!C59+Massenabschätzung!B17*Massenabschätzung!C10*(Massenabschätzung!B5+Massenabschätzung!C5)*PI()*SQRT((Massenabschätzung!C5-Massenabschätzung!B5)^2+(D4)^2)/1000000</f>
        <v>25.530393359828302</v>
      </c>
      <c r="E3" s="190">
        <f>Massenabschätzung!B32+Massenabschätzung!C72+Massenabschätzung!B17*Massenabschätzung!C10*(Massenabschätzung!B5+Massenabschätzung!C5)*PI()*SQRT((Massenabschätzung!C5-B$5)^2+(E4)^2)/1000000</f>
        <v>31.258446000513562</v>
      </c>
      <c r="F3" s="190">
        <f>Massenabschätzung!B32+Massenabschätzung!E85+Massenabschätzung!B17*Massenabschätzung!E10*(Massenabschätzung!B5+Massenabschätzung!D5)*PI()*SQRT((Massenabschätzung!D5-Massenabschätzung!B5)^2+(F4)^2)/1000000</f>
        <v>20.282964915497658</v>
      </c>
      <c r="G3" s="190">
        <f>Massenabschätzung!B32+Massenabschätzung!E98+Massenabschätzung!B17*Massenabschätzung!E10*(Massenabschätzung!B5+Massenabschätzung!D5)*PI()*SQRT((Massenabschätzung!D5-Massenabschätzung!B5)^2+(G4)^2)/1000000</f>
        <v>20.472675290893076</v>
      </c>
      <c r="H3" s="190">
        <f>Massenabschätzung!C111+Massenabschätzung!B32+Massenabschätzung!B17*Massenabschätzung!C10*(Massenabschätzung!B5+Massenabschätzung!C5)*PI()*SQRT((Massenabschätzung!C5-Massenabschätzung!B5)^2+(C4)^2)/1000000</f>
        <v>27.415478563912785</v>
      </c>
      <c r="I3" s="191" t="s">
        <v>440</v>
      </c>
      <c r="K3" t="s">
        <v>441</v>
      </c>
    </row>
    <row r="4" spans="1:11" ht="15.75" thickBot="1" x14ac:dyDescent="0.3">
      <c r="A4" s="247"/>
      <c r="B4" s="192">
        <f>Massenabschätzung!D33</f>
        <v>-12</v>
      </c>
      <c r="C4" s="192">
        <f>Massenabschätzung!C9-Massenabschätzung!B26-Massenabschätzung!C40</f>
        <v>-135.35587066890918</v>
      </c>
      <c r="D4" s="192">
        <f>Massenabschätzung!C9-Massenabschätzung!C53-Massenabschätzung!B26</f>
        <v>-84</v>
      </c>
      <c r="E4" s="192">
        <f>Massenabschätzung!C9-Massenabschätzung!B26-Massenabschätzung!C66</f>
        <v>-148</v>
      </c>
      <c r="F4" s="192">
        <f>Massenabschätzung!E9-Massenabschätzung!B26</f>
        <v>98</v>
      </c>
      <c r="G4" s="192">
        <f>Massenabschätzung!E9-Massenabschätzung!B26</f>
        <v>98</v>
      </c>
      <c r="H4" s="192">
        <f>Massenabschätzung!C9-Massenabschätzung!B26-Massenabschätzung!C105</f>
        <v>-118</v>
      </c>
      <c r="I4" s="191" t="s">
        <v>442</v>
      </c>
    </row>
    <row r="5" spans="1:11" x14ac:dyDescent="0.25">
      <c r="A5" s="246" t="str">
        <f>[1]Massenabschätzung!A39</f>
        <v>Bolzenverbindung</v>
      </c>
      <c r="B5" s="193">
        <f>Massenabschätzung!D32+Massenabschätzung!B46+Massenabschätzung!B17*Massenabschätzung!D12*(Massenabschätzung!D5+Massenabschätzung!B5)*PI()*SQRT((Massenabschätzung!D5-Massenabschätzung!B5)^2+(B6)^2)/1000000</f>
        <v>22.951567213945548</v>
      </c>
      <c r="C5" s="193">
        <f>Massenabschätzung!C49</f>
        <v>26.934776679548037</v>
      </c>
      <c r="D5" s="193">
        <f>Massenabschätzung!B46+Massenabschätzung!C59+Massenabschätzung!B17*Massenabschätzung!C10*(Massenabschätzung!B5+Massenabschätzung!C5)*PI()*SQRT((Massenabschätzung!C5-Massenabschätzung!B5)^2+(D6)^2)/1000000</f>
        <v>25.850669088603009</v>
      </c>
      <c r="E5" s="193">
        <f>Massenabschätzung!B46+Massenabschätzung!C72+Massenabschätzung!B17*Massenabschätzung!C10*(Massenabschätzung!B5+Massenabschätzung!C5)*PI()*SQRT((Massenabschätzung!C5-Massenabschätzung!B5)^2+(E6)^2)/1000000</f>
        <v>30.566038421040826</v>
      </c>
      <c r="F5" s="193">
        <f>Massenabschätzung!B46+Massenabschätzung!E85+Massenabschätzung!B17*Massenabschätzung!E10*(Massenabschätzung!B5+Massenabschätzung!D5)*PI()*SQRT((Massenabschätzung!D5-Massenabschätzung!B5)^2+(F6)^2)/1000000</f>
        <v>22.181122230518767</v>
      </c>
      <c r="G5" s="193">
        <f>[1]Massenabschätzung!B46+[1]Massenabschätzung!E98+[1]Massenabschätzung!B17*[1]Massenabschätzung!E10*([1]Massenabschätzung!B5+[1]Massenabschätzung!D5)*PI()*SQRT(([1]Massenabschätzung!D5-[1]Massenabschätzung!B5)^2+(G6)^2)/1000000</f>
        <v>19.659186794799769</v>
      </c>
      <c r="H5" s="193">
        <f>Massenabschätzung!C111+Massenabschätzung!B46+Massenabschätzung!B17*Massenabschätzung!C10*(Massenabschätzung!B5+Massenabschätzung!C5)*PI()*SQRT((Massenabschätzung!C5-Massenabschätzung!B5)^2+(H6)^2)/1000000</f>
        <v>27.124677839462212</v>
      </c>
      <c r="I5" t="s">
        <v>440</v>
      </c>
    </row>
    <row r="6" spans="1:11" ht="15.75" thickBot="1" x14ac:dyDescent="0.3">
      <c r="A6" s="246"/>
      <c r="B6" s="194">
        <f>Massenabschätzung!D11-Massenabschätzung!D26-Massenabschätzung!B40</f>
        <v>130.38750079915269</v>
      </c>
      <c r="C6" s="194">
        <f>Massenabschätzung!C47</f>
        <v>7.0316301302435136</v>
      </c>
      <c r="D6" s="194">
        <f>Massenabschätzung!C9-Massenabschätzung!B40-Massenabschätzung!C53</f>
        <v>58.38750079915269</v>
      </c>
      <c r="E6" s="194">
        <f>Massenabschätzung!C9-Massenabschätzung!B40-Massenabschätzung!C66</f>
        <v>-5.61249920084731</v>
      </c>
      <c r="F6" s="194">
        <f>Massenabschätzung!E9-Massenabschätzung!B40</f>
        <v>240.38750079915269</v>
      </c>
      <c r="G6" s="194">
        <f>[1]Massenabschätzung!E9-[1]Massenabschätzung!B40</f>
        <v>286</v>
      </c>
      <c r="H6" s="194">
        <f>Massenabschätzung!C9-Massenabschätzung!B40-Massenabschätzung!C105</f>
        <v>24.38750079915269</v>
      </c>
      <c r="I6" t="s">
        <v>442</v>
      </c>
    </row>
    <row r="7" spans="1:11" x14ac:dyDescent="0.25">
      <c r="A7" s="248" t="str">
        <f>[1]Massenabschätzung!A52</f>
        <v>Bolzenverbindung mit Titanblechen</v>
      </c>
      <c r="B7" s="195">
        <f>Massenabschätzung!D32+Massenabschätzung!B59+Massenabschätzung!B17*Massenabschätzung!D12*(Massenabschätzung!B5+Massenabschätzung!D5)*PI()*SQRT((Massenabschätzung!D5-Massenabschätzung!B5)^2+(B8)^2)/1000000</f>
        <v>23.61950941886851</v>
      </c>
      <c r="C7" s="193">
        <f>Massenabschätzung!B59+Massenabschätzung!C46+Massenabschätzung!B17*Massenabschätzung!C10*(Massenabschätzung!B5+Massenabschätzung!C5)*PI()*SQRT((Massenabschätzung!C5-Massenabschätzung!B5)^2+(C8)^2)/1000000</f>
        <v>27.395001845118074</v>
      </c>
      <c r="D7" s="193">
        <f>Massenabschätzung!C62</f>
        <v>26.436591733697266</v>
      </c>
      <c r="E7" s="193">
        <f>Massenabschätzung!C72+Massenabschätzung!B59+Massenabschätzung!B17*Massenabschätzung!C10*(Massenabschätzung!B5+Massenabschätzung!C5)*PI()*SQRT((Massenabschätzung!C5-Massenabschätzung!B5)^2+(E8)^2)/1000000</f>
        <v>30.956309527359959</v>
      </c>
      <c r="F7" s="193">
        <f>Massenabschätzung!B59+Massenabschätzung!E85+Massenabschätzung!B17*Massenabschätzung!E10*(Massenabschätzung!B5+Massenabschätzung!D5)*PI()*SQRT((Massenabschätzung!D5-Massenabschätzung!B5)^2+(F8)^2)/1000000</f>
        <v>22.867920768664341</v>
      </c>
      <c r="G7" s="193">
        <f>[1]Massenabschätzung!B59+[1]Massenabschätzung!E98+[1]Massenabschätzung!B17*[1]Massenabschätzung!E10*([1]Massenabschätzung!B5+[1]Massenabschätzung!D5)*PI()*SQRT(([1]Massenabschätzung!D5-[1]Massenabschätzung!B5)^2+(G8)^2)/1000000</f>
        <v>19.402138886691066</v>
      </c>
      <c r="H7" s="193">
        <f>Massenabschätzung!C111+Massenabschätzung!B59+Massenabschätzung!B17*Massenabschätzung!C10*(Massenabschätzung!B5+Massenabschätzung!C5)*PI()*SQRT((Massenabschätzung!C5-Massenabschätzung!B5)^2+(H8)^2)/1000000</f>
        <v>27.651073879437838</v>
      </c>
      <c r="I7" t="s">
        <v>440</v>
      </c>
    </row>
    <row r="8" spans="1:11" ht="15.75" thickBot="1" x14ac:dyDescent="0.3">
      <c r="A8" s="248"/>
      <c r="B8" s="194">
        <f>Massenabschätzung!D11-Massenabschätzung!D26-Massenabschätzung!B53</f>
        <v>168</v>
      </c>
      <c r="C8" s="194">
        <f>Massenabschätzung!C9-Massenabschätzung!B53-Massenabschätzung!C40</f>
        <v>44.644129331090824</v>
      </c>
      <c r="D8" s="194">
        <f>Massenabschätzung!C60</f>
        <v>96</v>
      </c>
      <c r="E8" s="194">
        <f>Massenabschätzung!C9-Massenabschätzung!B53-Massenabschätzung!C66</f>
        <v>32</v>
      </c>
      <c r="F8" s="194">
        <f>Massenabschätzung!E9-Massenabschätzung!B53</f>
        <v>278</v>
      </c>
      <c r="G8" s="194">
        <f>[1]Massenabschätzung!E9-[1]Massenabschätzung!B53</f>
        <v>318</v>
      </c>
      <c r="H8" s="194">
        <f>Massenabschätzung!C9-Massenabschätzung!B53-Massenabschätzung!C105</f>
        <v>62</v>
      </c>
      <c r="I8" t="s">
        <v>442</v>
      </c>
    </row>
    <row r="9" spans="1:11" x14ac:dyDescent="0.25">
      <c r="A9" s="246" t="str">
        <f>[1]Massenabschätzung!A65</f>
        <v>Pressverband</v>
      </c>
      <c r="B9" s="193">
        <f>Massenabschätzung!B72+Massenabschätzung!D32+Massenabschätzung!B17*Massenabschätzung!D12*(Massenabschätzung!B5+Massenabschätzung!D5)*PI()*SQRT((Massenabschätzung!D5-Massenabschätzung!B5)^2+(B10)^2)/1000000</f>
        <v>27.697079557521228</v>
      </c>
      <c r="C9" s="193">
        <f>Massenabschätzung!B72+Massenabschätzung!C46+Massenabschätzung!B17*Massenabschätzung!C10*(Massenabschätzung!B5+Massenabschätzung!C5)*PI()*SQRT((Massenabschätzung!C5-Massenabschätzung!B5)^2+(C10)^2)/1000000</f>
        <v>33.388681017445158</v>
      </c>
      <c r="D9" s="193">
        <f>Massenabschätzung!B72+Massenabschätzung!C59+Massenabschätzung!B17*Massenabschätzung!C10*(Massenabschätzung!B5+Massenabschätzung!C5)*PI()*SQRT((Massenabschätzung!C5-Massenabschätzung!B5)^2+(D10)^2)/1000000</f>
        <v>31.643869831860968</v>
      </c>
      <c r="E9" s="193">
        <f>Massenabschätzung!C75</f>
        <v>37.126843072584251</v>
      </c>
      <c r="F9" s="193">
        <f>Massenabschätzung!B72+Massenabschätzung!E85+Massenabschätzung!B17*Massenabschätzung!E10*(Massenabschätzung!B5+Massenabschätzung!D5)*PI()*SQRT((Massenabschätzung!D5-Massenabschätzung!B5)^2+(F10)^2)/1000000</f>
        <v>26.396441387530324</v>
      </c>
      <c r="G9" s="193">
        <f>[1]Massenabschätzung!B72+[1]Massenabschätzung!E98+[1]Massenabschätzung!B17*[1]Massenabschätzung!E10*([1]Massenabschätzung!B5+[1]Massenabschätzung!D5)*PI()*SQRT(([1]Massenabschätzung!D5-[1]Massenabschätzung!B5)^2+(G10)^2)/1000000</f>
        <v>20.429247958787588</v>
      </c>
      <c r="H9" s="193">
        <f>Massenabschätzung!C111+Massenabschätzung!B72+Massenabschätzung!B17*Massenabschätzung!C10*(Massenabschätzung!B5+Massenabschätzung!C5)*PI()*SQRT((Massenabschätzung!C5-Massenabschätzung!B5)^2+(H10)^2)/1000000</f>
        <v>33.386227505086694</v>
      </c>
      <c r="I9" t="s">
        <v>440</v>
      </c>
    </row>
    <row r="10" spans="1:11" ht="15.75" thickBot="1" x14ac:dyDescent="0.3">
      <c r="A10" s="246"/>
      <c r="B10" s="194">
        <f>Massenabschätzung!D11-Massenabschätzung!D26-Massenabschätzung!B66</f>
        <v>-12</v>
      </c>
      <c r="C10" s="194">
        <f>Massenabschätzung!C9-Massenabschätzung!C40-Massenabschätzung!B66</f>
        <v>-135.35587066890918</v>
      </c>
      <c r="D10" s="194">
        <f>Massenabschätzung!C9-Massenabschätzung!C53-Massenabschätzung!B66</f>
        <v>-84</v>
      </c>
      <c r="E10" s="194">
        <f>Massenabschätzung!C73</f>
        <v>-148</v>
      </c>
      <c r="F10" s="194">
        <f>Massenabschätzung!E9-Massenabschätzung!B66</f>
        <v>98</v>
      </c>
      <c r="G10" s="194">
        <f>[1]Massenabschätzung!E9-[1]Massenabschätzung!B66</f>
        <v>258</v>
      </c>
      <c r="H10" s="194">
        <f>Massenabschätzung!C9-Massenabschätzung!B66-Massenabschätzung!C105</f>
        <v>-118</v>
      </c>
      <c r="I10" t="s">
        <v>442</v>
      </c>
    </row>
    <row r="11" spans="1:11" x14ac:dyDescent="0.25">
      <c r="A11" s="248" t="str">
        <f>[1]Massenabschätzung!A78</f>
        <v>Anflanschung an curvic coupling</v>
      </c>
      <c r="B11" s="196" t="s">
        <v>443</v>
      </c>
      <c r="C11" s="196" t="s">
        <v>443</v>
      </c>
      <c r="D11" s="196" t="s">
        <v>443</v>
      </c>
      <c r="E11" s="196" t="s">
        <v>443</v>
      </c>
      <c r="F11" s="196" t="s">
        <v>443</v>
      </c>
      <c r="G11" s="196" t="s">
        <v>443</v>
      </c>
      <c r="H11" s="196" t="s">
        <v>443</v>
      </c>
    </row>
    <row r="12" spans="1:11" ht="15.75" thickBot="1" x14ac:dyDescent="0.3">
      <c r="A12" s="248"/>
      <c r="B12" s="197" t="s">
        <v>443</v>
      </c>
      <c r="C12" s="197" t="s">
        <v>443</v>
      </c>
      <c r="D12" s="197" t="s">
        <v>443</v>
      </c>
      <c r="E12" s="197" t="s">
        <v>443</v>
      </c>
      <c r="F12" s="197" t="s">
        <v>443</v>
      </c>
      <c r="G12" s="197" t="s">
        <v>443</v>
      </c>
      <c r="H12" s="197" t="s">
        <v>443</v>
      </c>
    </row>
    <row r="13" spans="1:11" hidden="1" x14ac:dyDescent="0.25">
      <c r="A13" s="248" t="str">
        <f>[1]Massenabschätzung!A91</f>
        <v>Anflanschung an stubshaft</v>
      </c>
      <c r="B13" s="196" t="s">
        <v>443</v>
      </c>
      <c r="C13" s="196" t="s">
        <v>443</v>
      </c>
      <c r="D13" s="196" t="s">
        <v>443</v>
      </c>
      <c r="E13" s="196" t="s">
        <v>443</v>
      </c>
      <c r="F13" s="196" t="s">
        <v>443</v>
      </c>
      <c r="G13" s="196" t="s">
        <v>443</v>
      </c>
      <c r="H13" s="196" t="s">
        <v>443</v>
      </c>
    </row>
    <row r="14" spans="1:11" ht="15.75" hidden="1" thickBot="1" x14ac:dyDescent="0.3">
      <c r="A14" s="248"/>
      <c r="B14" s="197" t="s">
        <v>443</v>
      </c>
      <c r="C14" s="197" t="s">
        <v>443</v>
      </c>
      <c r="D14" s="197" t="s">
        <v>443</v>
      </c>
      <c r="E14" s="197" t="s">
        <v>443</v>
      </c>
      <c r="F14" s="197" t="s">
        <v>443</v>
      </c>
      <c r="G14" s="197" t="s">
        <v>443</v>
      </c>
      <c r="H14" s="197" t="s">
        <v>443</v>
      </c>
    </row>
    <row r="15" spans="1:11" x14ac:dyDescent="0.25">
      <c r="A15" s="246" t="str">
        <f>[1]Massenabschätzung!A104</f>
        <v>Profilverbindung</v>
      </c>
      <c r="B15" s="193">
        <f>Massenabschätzung!D32+Massenabschätzung!B111+Massenabschätzung!B17*Massenabschätzung!C10*(Massenabschätzung!B5+Massenabschätzung!C5)*PI()*SQRT((Massenabschätzung!C5-Massenabschätzung!B5)^2+(B16)^2)/1000000</f>
        <v>23.10961102389075</v>
      </c>
      <c r="C15" s="193">
        <f>Massenabschätzung!B111+Massenabschätzung!C46+Massenabschätzung!B17*Massenabschätzung!C10*(Massenabschätzung!B5+Massenabschätzung!C5)*PI()*SQRT((Massenabschätzung!C5-Massenabschätzung!B5)^2+(C16)^2)/1000000</f>
        <v>27.238997127131526</v>
      </c>
      <c r="D15" s="193">
        <f>Massenabschätzung!C59+Massenabschätzung!B111+Massenabschätzung!B17*Massenabschätzung!C10*(Massenabschätzung!B5+Massenabschätzung!C5)*PI()*SQRT((Massenabschätzung!C5-Massenabschätzung!B5)^2+(D16)^2)/1000000</f>
        <v>26.280587015710719</v>
      </c>
      <c r="E15" s="193">
        <f>Massenabschätzung!C72+Massenabschätzung!B111+Massenabschätzung!B17*Massenabschätzung!C10*(Massenabschätzung!B5+Massenabschätzung!C5)*PI()*SQRT((Massenabschätzung!C5-Massenabschätzung!B5)^2+(E16)^2)/1000000</f>
        <v>30.800304809373412</v>
      </c>
      <c r="F15" s="193">
        <f>Massenabschätzung!E85+Massenabschätzung!B111+Massenabschätzung!B17*Massenabschätzung!E10*(Massenabschätzung!B5+Massenabschätzung!D5)*PI()*SQRT((Massenabschätzung!D5-Massenabschätzung!B5)^2+(F16)^2)/1000000</f>
        <v>22.711916050677793</v>
      </c>
      <c r="G15" s="193">
        <f>[1]Massenabschätzung!E98+[1]Massenabschätzung!B111</f>
        <v>18.841345570545592</v>
      </c>
      <c r="H15" s="193">
        <f>Massenabschätzung!C114</f>
        <v>27.495069161451291</v>
      </c>
      <c r="I15" t="s">
        <v>440</v>
      </c>
    </row>
    <row r="16" spans="1:11" ht="15.75" thickBot="1" x14ac:dyDescent="0.3">
      <c r="A16" s="246"/>
      <c r="B16" s="194">
        <f>Massenabschätzung!D11-Massenabschätzung!B105-Massenabschätzung!D26</f>
        <v>168</v>
      </c>
      <c r="C16" s="194">
        <f>Massenabschätzung!C9-Massenabschätzung!C40-Massenabschätzung!B105</f>
        <v>44.644129331090824</v>
      </c>
      <c r="D16" s="194">
        <f>Massenabschätzung!C9-Massenabschätzung!C53-Massenabschätzung!B105</f>
        <v>96</v>
      </c>
      <c r="E16" s="194">
        <f>Massenabschätzung!C9-Massenabschätzung!C66-Massenabschätzung!B105</f>
        <v>32</v>
      </c>
      <c r="F16" s="194">
        <f>Massenabschätzung!E9-Massenabschätzung!B105</f>
        <v>278</v>
      </c>
      <c r="G16" s="194">
        <f>[1]Massenabschätzung!E9-[1]Massenabschätzung!B105</f>
        <v>282</v>
      </c>
      <c r="H16" s="194">
        <f>Massenabschätzung!C112</f>
        <v>62</v>
      </c>
      <c r="I16" t="s">
        <v>442</v>
      </c>
    </row>
    <row r="21" spans="1:8" x14ac:dyDescent="0.25">
      <c r="A21" s="26" t="s">
        <v>450</v>
      </c>
      <c r="B21" s="26"/>
      <c r="C21" s="26"/>
      <c r="D21" s="26"/>
      <c r="E21" s="26"/>
      <c r="F21" s="26"/>
      <c r="G21" s="26"/>
      <c r="H21" s="26"/>
    </row>
    <row r="22" spans="1:8" ht="15.75" thickBot="1" x14ac:dyDescent="0.3">
      <c r="B22" t="s">
        <v>440</v>
      </c>
      <c r="C22" t="s">
        <v>454</v>
      </c>
      <c r="D22" t="s">
        <v>451</v>
      </c>
    </row>
    <row r="23" spans="1:8" x14ac:dyDescent="0.25">
      <c r="A23" s="243" t="s">
        <v>33</v>
      </c>
      <c r="B23" s="201"/>
      <c r="C23" s="13"/>
      <c r="D23" s="201"/>
      <c r="E23" t="s">
        <v>455</v>
      </c>
    </row>
    <row r="24" spans="1:8" ht="15.75" thickBot="1" x14ac:dyDescent="0.3">
      <c r="A24" s="243"/>
      <c r="B24" s="203"/>
      <c r="C24" s="6"/>
      <c r="D24" s="203"/>
      <c r="E24" t="s">
        <v>456</v>
      </c>
    </row>
    <row r="25" spans="1:8" x14ac:dyDescent="0.25">
      <c r="A25" s="243" t="s">
        <v>448</v>
      </c>
      <c r="B25" s="201"/>
      <c r="C25" s="13"/>
      <c r="D25" s="201"/>
      <c r="E25" t="s">
        <v>455</v>
      </c>
    </row>
    <row r="26" spans="1:8" ht="15.75" thickBot="1" x14ac:dyDescent="0.3">
      <c r="A26" s="243"/>
      <c r="B26" s="203"/>
      <c r="C26" s="6"/>
      <c r="D26" s="203"/>
      <c r="E26" t="s">
        <v>456</v>
      </c>
    </row>
    <row r="27" spans="1:8" x14ac:dyDescent="0.25">
      <c r="A27" s="243" t="s">
        <v>447</v>
      </c>
      <c r="B27" s="202"/>
      <c r="D27" s="202"/>
      <c r="E27" t="s">
        <v>455</v>
      </c>
    </row>
    <row r="28" spans="1:8" ht="15.75" thickBot="1" x14ac:dyDescent="0.3">
      <c r="A28" s="243"/>
      <c r="B28" s="202"/>
      <c r="D28" s="202"/>
      <c r="E28" t="s">
        <v>456</v>
      </c>
    </row>
    <row r="29" spans="1:8" x14ac:dyDescent="0.25">
      <c r="A29" s="243" t="s">
        <v>452</v>
      </c>
      <c r="B29" s="201"/>
      <c r="C29" s="13"/>
      <c r="D29" s="201"/>
      <c r="E29" t="s">
        <v>455</v>
      </c>
    </row>
    <row r="30" spans="1:8" ht="15.75" thickBot="1" x14ac:dyDescent="0.3">
      <c r="A30" s="243"/>
      <c r="B30" s="203"/>
      <c r="C30" s="6"/>
      <c r="D30" s="203"/>
      <c r="E30" t="s">
        <v>456</v>
      </c>
    </row>
    <row r="31" spans="1:8" x14ac:dyDescent="0.25">
      <c r="A31" s="243" t="s">
        <v>453</v>
      </c>
      <c r="B31" s="201"/>
      <c r="C31" s="13"/>
      <c r="D31" s="201"/>
      <c r="E31" t="s">
        <v>455</v>
      </c>
    </row>
    <row r="32" spans="1:8" ht="15.75" thickBot="1" x14ac:dyDescent="0.3">
      <c r="A32" s="243"/>
      <c r="B32" s="203"/>
      <c r="C32" s="6"/>
      <c r="D32" s="203"/>
      <c r="E32" t="s">
        <v>456</v>
      </c>
    </row>
    <row r="34" spans="3:3" x14ac:dyDescent="0.25">
      <c r="C34" s="9"/>
    </row>
  </sheetData>
  <mergeCells count="12">
    <mergeCell ref="A15:A16"/>
    <mergeCell ref="A3:A4"/>
    <mergeCell ref="A5:A6"/>
    <mergeCell ref="A7:A8"/>
    <mergeCell ref="A9:A10"/>
    <mergeCell ref="A11:A12"/>
    <mergeCell ref="A13:A14"/>
    <mergeCell ref="A23:A24"/>
    <mergeCell ref="A25:A26"/>
    <mergeCell ref="A27:A28"/>
    <mergeCell ref="A29:A30"/>
    <mergeCell ref="A31:A32"/>
  </mergeCells>
  <phoneticPr fontId="2" type="noConversion"/>
  <conditionalFormatting sqref="B16:H16 B10:H10 B8:H8 B6:H6 B4:H4">
    <cfRule type="colorScale" priority="2">
      <colorScale>
        <cfvo type="num" val="0"/>
        <cfvo type="percent" val="50"/>
        <cfvo type="max"/>
        <color rgb="FFF8696B"/>
        <color rgb="FFFFEB84"/>
        <color rgb="FF63BE7B"/>
      </colorScale>
    </cfRule>
  </conditionalFormatting>
  <conditionalFormatting sqref="B3:H3 B5:H5 B7:H7 B9:H9 B15:H1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autoPageBreaks="0" fitToPage="1"/>
  </sheetPr>
  <dimension ref="A1:BB134"/>
  <sheetViews>
    <sheetView topLeftCell="A10" zoomScale="55" zoomScaleNormal="55" workbookViewId="0">
      <selection activeCell="AC6" sqref="AC6"/>
    </sheetView>
  </sheetViews>
  <sheetFormatPr baseColWidth="10" defaultColWidth="11.42578125" defaultRowHeight="15" x14ac:dyDescent="0.25"/>
  <cols>
    <col min="1" max="1" width="13.5703125" customWidth="1"/>
    <col min="2" max="21" width="8.7109375" customWidth="1"/>
    <col min="33" max="33" width="13.5703125" customWidth="1"/>
  </cols>
  <sheetData>
    <row r="1" spans="1:54" ht="15.75" thickBot="1" x14ac:dyDescent="0.3">
      <c r="A1" s="6" t="s">
        <v>0</v>
      </c>
      <c r="B1" s="6"/>
      <c r="C1" s="262" t="s">
        <v>211</v>
      </c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62"/>
      <c r="T1" s="262"/>
      <c r="U1" s="262"/>
      <c r="V1" s="262"/>
      <c r="W1" s="262"/>
      <c r="X1" s="262"/>
      <c r="Y1" s="262"/>
      <c r="Z1" s="262"/>
      <c r="AA1" s="262"/>
      <c r="AG1" s="6" t="s">
        <v>0</v>
      </c>
      <c r="AH1" s="262" t="s">
        <v>211</v>
      </c>
      <c r="AI1" s="262"/>
      <c r="AJ1" s="262"/>
      <c r="AK1" s="262"/>
      <c r="AL1" s="262"/>
      <c r="AM1" s="262"/>
      <c r="AN1" s="262"/>
      <c r="AO1" s="262"/>
      <c r="AP1" s="262"/>
      <c r="AQ1" s="262"/>
      <c r="AR1" s="262"/>
      <c r="AS1" s="262"/>
      <c r="AT1" s="262"/>
      <c r="AU1" s="262"/>
      <c r="AV1" s="262"/>
      <c r="AW1" s="262"/>
      <c r="AX1" s="262"/>
      <c r="AY1" s="262"/>
      <c r="AZ1" s="262"/>
      <c r="BA1" s="262"/>
      <c r="BB1" s="262"/>
    </row>
    <row r="2" spans="1:54" ht="50.1" customHeight="1" x14ac:dyDescent="0.25">
      <c r="A2" s="249" t="s">
        <v>9</v>
      </c>
      <c r="B2" s="249"/>
      <c r="C2" s="249"/>
      <c r="D2" s="249"/>
      <c r="E2" s="249"/>
      <c r="F2" s="250"/>
      <c r="G2" s="250"/>
      <c r="H2" s="250"/>
      <c r="I2" s="250"/>
      <c r="J2" s="250"/>
      <c r="K2" s="250"/>
      <c r="L2" s="250"/>
      <c r="M2" s="250"/>
      <c r="N2" s="2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G2" s="249" t="s">
        <v>9</v>
      </c>
      <c r="AH2" s="250"/>
      <c r="AI2" s="250"/>
      <c r="AJ2" s="250"/>
      <c r="AK2" s="250"/>
      <c r="AL2" s="250"/>
      <c r="AM2" s="250"/>
      <c r="AN2" s="250"/>
      <c r="AO2" s="250"/>
      <c r="AP2" s="250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</row>
    <row r="3" spans="1:54" ht="50.1" customHeight="1" x14ac:dyDescent="0.25">
      <c r="A3" s="239"/>
      <c r="B3" s="239"/>
      <c r="C3" s="239"/>
      <c r="D3" s="239"/>
      <c r="E3" s="239"/>
      <c r="F3" s="251"/>
      <c r="G3" s="251"/>
      <c r="H3" s="251"/>
      <c r="I3" s="251"/>
      <c r="J3" s="251"/>
      <c r="K3" s="251"/>
      <c r="L3" s="251"/>
      <c r="M3" s="251"/>
      <c r="N3" s="1"/>
      <c r="AG3" s="239"/>
      <c r="AH3" s="251"/>
      <c r="AI3" s="251"/>
      <c r="AJ3" s="251"/>
      <c r="AK3" s="251"/>
      <c r="AL3" s="251"/>
      <c r="AM3" s="251"/>
      <c r="AN3" s="251"/>
      <c r="AO3" s="251"/>
      <c r="AP3" s="251"/>
    </row>
    <row r="4" spans="1:54" ht="50.1" customHeight="1" x14ac:dyDescent="0.25">
      <c r="A4" s="239"/>
      <c r="B4" s="239"/>
      <c r="C4" s="239"/>
      <c r="D4" s="239"/>
      <c r="E4" s="239"/>
      <c r="F4" s="251"/>
      <c r="G4" s="251"/>
      <c r="H4" s="251"/>
      <c r="I4" s="251"/>
      <c r="J4" s="251"/>
      <c r="K4" s="251"/>
      <c r="L4" s="251"/>
      <c r="M4" s="251"/>
      <c r="N4" s="1"/>
      <c r="AG4" s="239"/>
      <c r="AH4" s="251"/>
      <c r="AI4" s="251"/>
      <c r="AJ4" s="251"/>
      <c r="AK4" s="251"/>
      <c r="AL4" s="251"/>
      <c r="AM4" s="251"/>
      <c r="AN4" s="251"/>
      <c r="AO4" s="251"/>
      <c r="AP4" s="251"/>
    </row>
    <row r="5" spans="1:54" ht="15" customHeight="1" thickBot="1" x14ac:dyDescent="0.3">
      <c r="A5" s="261"/>
      <c r="B5" s="254" t="s">
        <v>10</v>
      </c>
      <c r="C5" s="254"/>
      <c r="D5" s="254"/>
      <c r="E5" s="254"/>
      <c r="F5" s="254" t="s">
        <v>12</v>
      </c>
      <c r="G5" s="254"/>
      <c r="H5" s="254"/>
      <c r="I5" s="254"/>
      <c r="J5" s="254" t="s">
        <v>13</v>
      </c>
      <c r="K5" s="254"/>
      <c r="L5" s="254"/>
      <c r="M5" s="254"/>
      <c r="N5" s="7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G5" s="261"/>
      <c r="AH5" s="254" t="s">
        <v>10</v>
      </c>
      <c r="AI5" s="254"/>
      <c r="AJ5" s="254"/>
      <c r="AK5" s="254" t="s">
        <v>12</v>
      </c>
      <c r="AL5" s="254"/>
      <c r="AM5" s="254"/>
      <c r="AN5" s="254" t="s">
        <v>13</v>
      </c>
      <c r="AO5" s="254"/>
      <c r="AP5" s="254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50.1" customHeight="1" x14ac:dyDescent="0.25">
      <c r="A6" s="249" t="s">
        <v>212</v>
      </c>
      <c r="B6" s="249"/>
      <c r="C6" s="249"/>
      <c r="D6" s="249"/>
      <c r="E6" s="249"/>
      <c r="F6" s="250"/>
      <c r="G6" s="250"/>
      <c r="H6" s="250"/>
      <c r="I6" s="250"/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0"/>
      <c r="V6" s="250"/>
      <c r="W6" s="250"/>
      <c r="X6" s="250"/>
      <c r="Y6" s="13"/>
      <c r="Z6" s="13"/>
      <c r="AA6" s="13"/>
      <c r="AG6" s="249" t="s">
        <v>212</v>
      </c>
      <c r="AH6" s="250"/>
      <c r="AI6" s="250"/>
      <c r="AJ6" s="250"/>
      <c r="AK6" s="250"/>
      <c r="AL6" s="250"/>
      <c r="AM6" s="250"/>
      <c r="AN6" s="250"/>
      <c r="AO6" s="250"/>
      <c r="AP6" s="250"/>
      <c r="AQ6" s="250"/>
      <c r="AR6" s="250"/>
      <c r="AS6" s="250"/>
      <c r="AT6" s="250"/>
      <c r="AU6" s="250"/>
      <c r="AV6" s="250"/>
      <c r="AW6" s="250"/>
      <c r="AX6" s="250"/>
      <c r="AY6" s="250"/>
      <c r="AZ6" s="13"/>
      <c r="BA6" s="13"/>
      <c r="BB6" s="13"/>
    </row>
    <row r="7" spans="1:54" ht="50.1" customHeight="1" x14ac:dyDescent="0.25">
      <c r="A7" s="239"/>
      <c r="B7" s="239"/>
      <c r="C7" s="239"/>
      <c r="D7" s="239"/>
      <c r="E7" s="239"/>
      <c r="F7" s="251"/>
      <c r="G7" s="251"/>
      <c r="H7" s="251"/>
      <c r="I7" s="251"/>
      <c r="J7" s="251"/>
      <c r="K7" s="251"/>
      <c r="L7" s="251"/>
      <c r="M7" s="251"/>
      <c r="N7" s="251"/>
      <c r="O7" s="251"/>
      <c r="P7" s="251"/>
      <c r="Q7" s="251"/>
      <c r="R7" s="251"/>
      <c r="S7" s="251"/>
      <c r="T7" s="251"/>
      <c r="U7" s="251"/>
      <c r="V7" s="251"/>
      <c r="W7" s="251"/>
      <c r="X7" s="251"/>
      <c r="AG7" s="239"/>
      <c r="AH7" s="251"/>
      <c r="AI7" s="251"/>
      <c r="AJ7" s="251"/>
      <c r="AK7" s="251"/>
      <c r="AL7" s="251"/>
      <c r="AM7" s="251"/>
      <c r="AN7" s="251"/>
      <c r="AO7" s="251"/>
      <c r="AP7" s="251"/>
      <c r="AQ7" s="251"/>
      <c r="AR7" s="251"/>
      <c r="AS7" s="251"/>
      <c r="AT7" s="251"/>
      <c r="AU7" s="251"/>
      <c r="AV7" s="251"/>
      <c r="AW7" s="251"/>
      <c r="AX7" s="251"/>
      <c r="AY7" s="251"/>
    </row>
    <row r="8" spans="1:54" ht="50.1" customHeight="1" x14ac:dyDescent="0.25">
      <c r="A8" s="239"/>
      <c r="B8" s="239"/>
      <c r="C8" s="239"/>
      <c r="D8" s="239"/>
      <c r="E8" s="239"/>
      <c r="F8" s="25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1"/>
      <c r="R8" s="251"/>
      <c r="S8" s="251"/>
      <c r="T8" s="251"/>
      <c r="U8" s="251"/>
      <c r="V8" s="251"/>
      <c r="W8" s="251"/>
      <c r="X8" s="251"/>
      <c r="AG8" s="239"/>
      <c r="AH8" s="251"/>
      <c r="AI8" s="251"/>
      <c r="AJ8" s="251"/>
      <c r="AK8" s="251"/>
      <c r="AL8" s="251"/>
      <c r="AM8" s="251"/>
      <c r="AN8" s="251"/>
      <c r="AO8" s="251"/>
      <c r="AP8" s="251"/>
      <c r="AQ8" s="251"/>
      <c r="AR8" s="251"/>
      <c r="AS8" s="251"/>
      <c r="AT8" s="251"/>
      <c r="AU8" s="251"/>
      <c r="AV8" s="251"/>
      <c r="AW8" s="251"/>
      <c r="AX8" s="251"/>
      <c r="AY8" s="251"/>
    </row>
    <row r="9" spans="1:54" ht="15" customHeight="1" x14ac:dyDescent="0.25">
      <c r="A9" s="239"/>
      <c r="B9" s="253" t="s">
        <v>213</v>
      </c>
      <c r="C9" s="253"/>
      <c r="D9" s="253"/>
      <c r="E9" s="253"/>
      <c r="F9" s="253" t="s">
        <v>214</v>
      </c>
      <c r="G9" s="253"/>
      <c r="H9" s="253"/>
      <c r="I9" s="253"/>
      <c r="J9" s="253" t="s">
        <v>215</v>
      </c>
      <c r="K9" s="253"/>
      <c r="L9" s="253"/>
      <c r="M9" s="253"/>
      <c r="N9" s="253" t="s">
        <v>216</v>
      </c>
      <c r="O9" s="253"/>
      <c r="P9" s="253"/>
      <c r="Q9" s="253"/>
      <c r="R9" s="253" t="s">
        <v>217</v>
      </c>
      <c r="S9" s="253"/>
      <c r="T9" s="253"/>
      <c r="U9" s="253"/>
      <c r="V9" s="253" t="s">
        <v>218</v>
      </c>
      <c r="W9" s="253"/>
      <c r="X9" s="253"/>
      <c r="Y9" s="12"/>
      <c r="Z9" s="12"/>
      <c r="AA9" s="12"/>
      <c r="AG9" s="239"/>
      <c r="AH9" s="253" t="s">
        <v>213</v>
      </c>
      <c r="AI9" s="253"/>
      <c r="AJ9" s="253"/>
      <c r="AK9" s="253" t="s">
        <v>214</v>
      </c>
      <c r="AL9" s="253"/>
      <c r="AM9" s="253"/>
      <c r="AN9" s="253" t="s">
        <v>215</v>
      </c>
      <c r="AO9" s="253"/>
      <c r="AP9" s="253"/>
      <c r="AQ9" s="253" t="s">
        <v>216</v>
      </c>
      <c r="AR9" s="253"/>
      <c r="AS9" s="253"/>
      <c r="AT9" s="253" t="s">
        <v>217</v>
      </c>
      <c r="AU9" s="253"/>
      <c r="AV9" s="253"/>
      <c r="AW9" s="253" t="s">
        <v>218</v>
      </c>
      <c r="AX9" s="253"/>
      <c r="AY9" s="253"/>
      <c r="AZ9" s="12"/>
      <c r="BA9" s="12"/>
      <c r="BB9" s="12"/>
    </row>
    <row r="10" spans="1:54" ht="50.1" customHeight="1" x14ac:dyDescent="0.25">
      <c r="A10" s="239"/>
      <c r="B10" s="239"/>
      <c r="C10" s="239"/>
      <c r="D10" s="239"/>
      <c r="E10" s="239"/>
      <c r="F10" s="252"/>
      <c r="G10" s="252"/>
      <c r="H10" s="252"/>
      <c r="I10" s="252"/>
      <c r="J10" s="252"/>
      <c r="K10" s="252"/>
      <c r="L10" s="252"/>
      <c r="M10" s="252"/>
      <c r="N10" s="252"/>
      <c r="O10" s="252"/>
      <c r="P10" s="252"/>
      <c r="Q10" s="252"/>
      <c r="R10" s="252"/>
      <c r="S10" s="252"/>
      <c r="T10" s="252"/>
      <c r="U10" s="252"/>
      <c r="V10" s="251"/>
      <c r="W10" s="251"/>
      <c r="X10" s="251"/>
      <c r="Y10" s="251"/>
      <c r="Z10" s="251"/>
      <c r="AA10" s="251"/>
      <c r="AG10" s="239"/>
      <c r="AH10" s="251"/>
      <c r="AI10" s="251"/>
      <c r="AJ10" s="251"/>
      <c r="AK10" s="251"/>
      <c r="AL10" s="251"/>
      <c r="AM10" s="251"/>
      <c r="AN10" s="251"/>
      <c r="AO10" s="251"/>
      <c r="AP10" s="251"/>
      <c r="AQ10" s="251"/>
      <c r="AR10" s="251"/>
      <c r="AS10" s="251"/>
      <c r="AT10" s="251"/>
      <c r="AU10" s="251"/>
      <c r="AV10" s="251"/>
      <c r="AW10" s="251"/>
      <c r="AX10" s="251"/>
      <c r="AY10" s="251"/>
      <c r="AZ10" s="251"/>
      <c r="BA10" s="251"/>
      <c r="BB10" s="251"/>
    </row>
    <row r="11" spans="1:54" ht="50.1" customHeight="1" x14ac:dyDescent="0.25">
      <c r="A11" s="239"/>
      <c r="B11" s="239"/>
      <c r="C11" s="239"/>
      <c r="D11" s="239"/>
      <c r="E11" s="239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G11" s="239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1"/>
      <c r="AV11" s="251"/>
      <c r="AW11" s="251"/>
      <c r="AX11" s="251"/>
      <c r="AY11" s="251"/>
      <c r="AZ11" s="251"/>
      <c r="BA11" s="251"/>
      <c r="BB11" s="251"/>
    </row>
    <row r="12" spans="1:54" ht="50.1" customHeight="1" x14ac:dyDescent="0.25">
      <c r="A12" s="239"/>
      <c r="B12" s="239"/>
      <c r="C12" s="239"/>
      <c r="D12" s="239"/>
      <c r="E12" s="239"/>
      <c r="F12" s="251"/>
      <c r="G12" s="251"/>
      <c r="H12" s="251"/>
      <c r="I12" s="251"/>
      <c r="J12" s="251"/>
      <c r="K12" s="251"/>
      <c r="L12" s="251"/>
      <c r="M12" s="251"/>
      <c r="N12" s="251"/>
      <c r="O12" s="251"/>
      <c r="P12" s="251"/>
      <c r="Q12" s="251"/>
      <c r="R12" s="251"/>
      <c r="S12" s="251"/>
      <c r="T12" s="251"/>
      <c r="U12" s="251"/>
      <c r="V12" s="251"/>
      <c r="W12" s="251"/>
      <c r="X12" s="251"/>
      <c r="Y12" s="251"/>
      <c r="Z12" s="251"/>
      <c r="AA12" s="251"/>
      <c r="AG12" s="239"/>
      <c r="AH12" s="251"/>
      <c r="AI12" s="251"/>
      <c r="AJ12" s="251"/>
      <c r="AK12" s="251"/>
      <c r="AL12" s="251"/>
      <c r="AM12" s="251"/>
      <c r="AN12" s="251"/>
      <c r="AO12" s="251"/>
      <c r="AP12" s="251"/>
      <c r="AQ12" s="251"/>
      <c r="AR12" s="251"/>
      <c r="AS12" s="251"/>
      <c r="AT12" s="251"/>
      <c r="AU12" s="251"/>
      <c r="AV12" s="251"/>
      <c r="AW12" s="251"/>
      <c r="AX12" s="251"/>
      <c r="AY12" s="251"/>
      <c r="AZ12" s="251"/>
      <c r="BA12" s="251"/>
      <c r="BB12" s="251"/>
    </row>
    <row r="13" spans="1:54" ht="15" customHeight="1" thickBot="1" x14ac:dyDescent="0.3">
      <c r="A13" s="261"/>
      <c r="B13" s="254" t="s">
        <v>219</v>
      </c>
      <c r="C13" s="254"/>
      <c r="D13" s="254"/>
      <c r="E13" s="254"/>
      <c r="F13" s="254" t="s">
        <v>220</v>
      </c>
      <c r="G13" s="254"/>
      <c r="H13" s="254"/>
      <c r="I13" s="254"/>
      <c r="J13" s="254" t="s">
        <v>221</v>
      </c>
      <c r="K13" s="254"/>
      <c r="L13" s="254"/>
      <c r="M13" s="254"/>
      <c r="N13" s="254" t="s">
        <v>222</v>
      </c>
      <c r="O13" s="254"/>
      <c r="P13" s="254"/>
      <c r="Q13" s="254"/>
      <c r="R13" s="254" t="s">
        <v>223</v>
      </c>
      <c r="S13" s="254"/>
      <c r="T13" s="254"/>
      <c r="U13" s="254"/>
      <c r="V13" s="254" t="s">
        <v>224</v>
      </c>
      <c r="W13" s="254"/>
      <c r="X13" s="254"/>
      <c r="Y13" s="254" t="s">
        <v>225</v>
      </c>
      <c r="Z13" s="254"/>
      <c r="AA13" s="254"/>
      <c r="AG13" s="261"/>
      <c r="AH13" s="254" t="s">
        <v>219</v>
      </c>
      <c r="AI13" s="254"/>
      <c r="AJ13" s="254"/>
      <c r="AK13" s="254" t="s">
        <v>220</v>
      </c>
      <c r="AL13" s="254"/>
      <c r="AM13" s="254"/>
      <c r="AN13" s="254" t="s">
        <v>221</v>
      </c>
      <c r="AO13" s="254"/>
      <c r="AP13" s="254"/>
      <c r="AQ13" s="254" t="s">
        <v>222</v>
      </c>
      <c r="AR13" s="254"/>
      <c r="AS13" s="254"/>
      <c r="AT13" s="254" t="s">
        <v>223</v>
      </c>
      <c r="AU13" s="254"/>
      <c r="AV13" s="254"/>
      <c r="AW13" s="254" t="s">
        <v>224</v>
      </c>
      <c r="AX13" s="254"/>
      <c r="AY13" s="254"/>
      <c r="AZ13" s="254" t="s">
        <v>225</v>
      </c>
      <c r="BA13" s="254"/>
      <c r="BB13" s="254"/>
    </row>
    <row r="14" spans="1:54" ht="50.1" customHeight="1" x14ac:dyDescent="0.25">
      <c r="A14" s="249" t="s">
        <v>36</v>
      </c>
      <c r="B14" s="249"/>
      <c r="C14" s="249"/>
      <c r="D14" s="249"/>
      <c r="E14" s="249"/>
      <c r="F14" s="250"/>
      <c r="G14" s="250"/>
      <c r="H14" s="250"/>
      <c r="I14" s="250"/>
      <c r="J14" s="250"/>
      <c r="K14" s="250"/>
      <c r="L14" s="250"/>
      <c r="M14" s="250"/>
      <c r="N14" s="250"/>
      <c r="O14" s="250"/>
      <c r="P14" s="250"/>
      <c r="Q14" s="250"/>
      <c r="R14" s="250"/>
      <c r="S14" s="250"/>
      <c r="T14" s="250"/>
      <c r="U14" s="250"/>
      <c r="V14" s="13"/>
      <c r="W14" s="13"/>
      <c r="X14" s="13"/>
      <c r="Y14" s="13"/>
      <c r="Z14" s="13"/>
      <c r="AA14" s="13"/>
      <c r="AG14" s="249" t="s">
        <v>36</v>
      </c>
      <c r="AH14" s="250"/>
      <c r="AI14" s="250"/>
      <c r="AJ14" s="250"/>
      <c r="AK14" s="250"/>
      <c r="AL14" s="250"/>
      <c r="AM14" s="250"/>
      <c r="AN14" s="250"/>
      <c r="AO14" s="250"/>
      <c r="AP14" s="250"/>
      <c r="AQ14" s="250"/>
      <c r="AR14" s="250"/>
      <c r="AS14" s="250"/>
      <c r="AT14" s="250"/>
      <c r="AU14" s="250"/>
      <c r="AV14" s="250"/>
      <c r="AW14" s="13"/>
      <c r="AX14" s="13"/>
      <c r="AY14" s="13"/>
      <c r="AZ14" s="13"/>
      <c r="BA14" s="13"/>
      <c r="BB14" s="13"/>
    </row>
    <row r="15" spans="1:54" ht="50.1" customHeight="1" x14ac:dyDescent="0.25">
      <c r="A15" s="239"/>
      <c r="B15" s="239"/>
      <c r="C15" s="239"/>
      <c r="D15" s="239"/>
      <c r="E15" s="239"/>
      <c r="F15" s="251"/>
      <c r="G15" s="251"/>
      <c r="H15" s="251"/>
      <c r="I15" s="251"/>
      <c r="J15" s="251"/>
      <c r="K15" s="251"/>
      <c r="L15" s="251"/>
      <c r="M15" s="251"/>
      <c r="N15" s="251"/>
      <c r="O15" s="251"/>
      <c r="P15" s="251"/>
      <c r="Q15" s="251"/>
      <c r="R15" s="251"/>
      <c r="S15" s="251"/>
      <c r="T15" s="251"/>
      <c r="U15" s="251"/>
      <c r="AG15" s="239"/>
      <c r="AH15" s="251"/>
      <c r="AI15" s="251"/>
      <c r="AJ15" s="251"/>
      <c r="AK15" s="251"/>
      <c r="AL15" s="251"/>
      <c r="AM15" s="251"/>
      <c r="AN15" s="251"/>
      <c r="AO15" s="251"/>
      <c r="AP15" s="251"/>
      <c r="AQ15" s="251"/>
      <c r="AR15" s="251"/>
      <c r="AS15" s="251"/>
      <c r="AT15" s="251"/>
      <c r="AU15" s="251"/>
      <c r="AV15" s="251"/>
    </row>
    <row r="16" spans="1:54" ht="50.1" customHeight="1" x14ac:dyDescent="0.25">
      <c r="A16" s="239"/>
      <c r="B16" s="239"/>
      <c r="C16" s="239"/>
      <c r="D16" s="239"/>
      <c r="E16" s="239"/>
      <c r="F16" s="251"/>
      <c r="G16" s="251"/>
      <c r="H16" s="251"/>
      <c r="I16" s="251"/>
      <c r="J16" s="251"/>
      <c r="K16" s="251"/>
      <c r="L16" s="251"/>
      <c r="M16" s="251"/>
      <c r="N16" s="251"/>
      <c r="O16" s="251"/>
      <c r="P16" s="251"/>
      <c r="Q16" s="251"/>
      <c r="R16" s="251"/>
      <c r="S16" s="251"/>
      <c r="T16" s="251"/>
      <c r="U16" s="251"/>
      <c r="AG16" s="239"/>
      <c r="AH16" s="251"/>
      <c r="AI16" s="251"/>
      <c r="AJ16" s="251"/>
      <c r="AK16" s="251"/>
      <c r="AL16" s="251"/>
      <c r="AM16" s="251"/>
      <c r="AN16" s="251"/>
      <c r="AO16" s="251"/>
      <c r="AP16" s="251"/>
      <c r="AQ16" s="251"/>
      <c r="AR16" s="251"/>
      <c r="AS16" s="251"/>
      <c r="AT16" s="251"/>
      <c r="AU16" s="251"/>
      <c r="AV16" s="251"/>
    </row>
    <row r="17" spans="1:54" ht="15" customHeight="1" thickBot="1" x14ac:dyDescent="0.3">
      <c r="A17" s="261"/>
      <c r="B17" s="254" t="s">
        <v>41</v>
      </c>
      <c r="C17" s="254"/>
      <c r="D17" s="254"/>
      <c r="E17" s="254"/>
      <c r="F17" s="254" t="s">
        <v>13</v>
      </c>
      <c r="G17" s="254"/>
      <c r="H17" s="254"/>
      <c r="I17" s="254"/>
      <c r="J17" s="254" t="s">
        <v>226</v>
      </c>
      <c r="K17" s="254"/>
      <c r="L17" s="254"/>
      <c r="M17" s="254"/>
      <c r="N17" s="254" t="s">
        <v>40</v>
      </c>
      <c r="O17" s="254"/>
      <c r="P17" s="254"/>
      <c r="Q17" s="254"/>
      <c r="R17" s="254" t="s">
        <v>16</v>
      </c>
      <c r="S17" s="254"/>
      <c r="T17" s="254"/>
      <c r="U17" s="254"/>
      <c r="V17" s="6"/>
      <c r="W17" s="6"/>
      <c r="X17" s="6"/>
      <c r="Y17" s="6"/>
      <c r="Z17" s="6"/>
      <c r="AA17" s="6"/>
      <c r="AG17" s="261"/>
      <c r="AH17" s="254" t="s">
        <v>41</v>
      </c>
      <c r="AI17" s="254"/>
      <c r="AJ17" s="254"/>
      <c r="AK17" s="254" t="s">
        <v>13</v>
      </c>
      <c r="AL17" s="254"/>
      <c r="AM17" s="254"/>
      <c r="AN17" s="254" t="s">
        <v>226</v>
      </c>
      <c r="AO17" s="254"/>
      <c r="AP17" s="254"/>
      <c r="AQ17" s="254" t="s">
        <v>40</v>
      </c>
      <c r="AR17" s="254"/>
      <c r="AS17" s="254"/>
      <c r="AT17" s="254" t="s">
        <v>16</v>
      </c>
      <c r="AU17" s="254"/>
      <c r="AV17" s="254"/>
      <c r="AW17" s="6"/>
      <c r="AX17" s="6"/>
      <c r="AY17" s="6"/>
      <c r="AZ17" s="6"/>
      <c r="BA17" s="6"/>
      <c r="BB17" s="6"/>
    </row>
    <row r="18" spans="1:54" ht="50.1" customHeight="1" x14ac:dyDescent="0.25">
      <c r="A18" s="249" t="s">
        <v>42</v>
      </c>
      <c r="B18" s="249"/>
      <c r="C18" s="249"/>
      <c r="D18" s="249"/>
      <c r="E18" s="249"/>
      <c r="F18" s="250"/>
      <c r="G18" s="250"/>
      <c r="H18" s="250"/>
      <c r="I18" s="250"/>
      <c r="J18" s="250"/>
      <c r="K18" s="250"/>
      <c r="L18" s="250"/>
      <c r="M18" s="250"/>
      <c r="N18" s="250"/>
      <c r="O18" s="250"/>
      <c r="P18" s="250"/>
      <c r="Q18" s="250"/>
      <c r="R18" s="250"/>
      <c r="S18" s="250"/>
      <c r="T18" s="250"/>
      <c r="U18" s="250"/>
      <c r="V18" s="250"/>
      <c r="W18" s="250"/>
      <c r="X18" s="250"/>
      <c r="Y18" s="13"/>
      <c r="Z18" s="13"/>
      <c r="AA18" s="13"/>
      <c r="AG18" s="249" t="s">
        <v>42</v>
      </c>
      <c r="AH18" s="250"/>
      <c r="AI18" s="250"/>
      <c r="AJ18" s="250"/>
      <c r="AK18" s="250"/>
      <c r="AL18" s="250"/>
      <c r="AM18" s="250"/>
      <c r="AN18" s="250"/>
      <c r="AO18" s="250"/>
      <c r="AP18" s="250"/>
      <c r="AQ18" s="250"/>
      <c r="AR18" s="250"/>
      <c r="AS18" s="250"/>
      <c r="AT18" s="250"/>
      <c r="AU18" s="250"/>
      <c r="AV18" s="250"/>
      <c r="AW18" s="250"/>
      <c r="AX18" s="250"/>
      <c r="AY18" s="250"/>
      <c r="AZ18" s="13"/>
      <c r="BA18" s="13"/>
      <c r="BB18" s="13"/>
    </row>
    <row r="19" spans="1:54" ht="50.1" customHeight="1" x14ac:dyDescent="0.25">
      <c r="A19" s="239"/>
      <c r="B19" s="239"/>
      <c r="C19" s="239"/>
      <c r="D19" s="239"/>
      <c r="E19" s="239"/>
      <c r="F19" s="251"/>
      <c r="G19" s="251"/>
      <c r="H19" s="251"/>
      <c r="I19" s="251"/>
      <c r="J19" s="251"/>
      <c r="K19" s="251"/>
      <c r="L19" s="251"/>
      <c r="M19" s="251"/>
      <c r="N19" s="251"/>
      <c r="O19" s="251"/>
      <c r="P19" s="251"/>
      <c r="Q19" s="251"/>
      <c r="R19" s="251"/>
      <c r="S19" s="251"/>
      <c r="T19" s="251"/>
      <c r="U19" s="251"/>
      <c r="V19" s="251"/>
      <c r="W19" s="251"/>
      <c r="X19" s="251"/>
      <c r="AG19" s="239"/>
      <c r="AH19" s="251"/>
      <c r="AI19" s="251"/>
      <c r="AJ19" s="251"/>
      <c r="AK19" s="251"/>
      <c r="AL19" s="251"/>
      <c r="AM19" s="251"/>
      <c r="AN19" s="251"/>
      <c r="AO19" s="251"/>
      <c r="AP19" s="251"/>
      <c r="AQ19" s="251"/>
      <c r="AR19" s="251"/>
      <c r="AS19" s="251"/>
      <c r="AT19" s="251"/>
      <c r="AU19" s="251"/>
      <c r="AV19" s="251"/>
      <c r="AW19" s="251"/>
      <c r="AX19" s="251"/>
      <c r="AY19" s="251"/>
    </row>
    <row r="20" spans="1:54" ht="50.1" customHeight="1" x14ac:dyDescent="0.25">
      <c r="A20" s="239"/>
      <c r="B20" s="239"/>
      <c r="C20" s="239"/>
      <c r="D20" s="239"/>
      <c r="E20" s="239"/>
      <c r="F20" s="251"/>
      <c r="G20" s="251"/>
      <c r="H20" s="251"/>
      <c r="I20" s="251"/>
      <c r="J20" s="251"/>
      <c r="K20" s="251"/>
      <c r="L20" s="251"/>
      <c r="M20" s="251"/>
      <c r="N20" s="251"/>
      <c r="O20" s="251"/>
      <c r="P20" s="251"/>
      <c r="Q20" s="251"/>
      <c r="R20" s="251"/>
      <c r="S20" s="251"/>
      <c r="T20" s="251"/>
      <c r="U20" s="251"/>
      <c r="V20" s="251"/>
      <c r="W20" s="251"/>
      <c r="X20" s="251"/>
      <c r="AG20" s="239"/>
      <c r="AH20" s="251"/>
      <c r="AI20" s="251"/>
      <c r="AJ20" s="251"/>
      <c r="AK20" s="251"/>
      <c r="AL20" s="251"/>
      <c r="AM20" s="251"/>
      <c r="AN20" s="251"/>
      <c r="AO20" s="251"/>
      <c r="AP20" s="251"/>
      <c r="AQ20" s="251"/>
      <c r="AR20" s="251"/>
      <c r="AS20" s="251"/>
      <c r="AT20" s="251"/>
      <c r="AU20" s="251"/>
      <c r="AV20" s="251"/>
      <c r="AW20" s="251"/>
      <c r="AX20" s="251"/>
      <c r="AY20" s="251"/>
    </row>
    <row r="21" spans="1:54" ht="15" customHeight="1" x14ac:dyDescent="0.25">
      <c r="A21" s="239"/>
      <c r="B21" s="253" t="s">
        <v>213</v>
      </c>
      <c r="C21" s="253"/>
      <c r="D21" s="253"/>
      <c r="E21" s="253"/>
      <c r="F21" s="253" t="s">
        <v>214</v>
      </c>
      <c r="G21" s="253"/>
      <c r="H21" s="253"/>
      <c r="I21" s="253"/>
      <c r="J21" s="253" t="s">
        <v>215</v>
      </c>
      <c r="K21" s="253"/>
      <c r="L21" s="253"/>
      <c r="M21" s="253"/>
      <c r="N21" s="253" t="s">
        <v>216</v>
      </c>
      <c r="O21" s="253"/>
      <c r="P21" s="253"/>
      <c r="Q21" s="253"/>
      <c r="R21" s="253" t="s">
        <v>217</v>
      </c>
      <c r="S21" s="253"/>
      <c r="T21" s="253"/>
      <c r="U21" s="253"/>
      <c r="V21" s="253" t="s">
        <v>218</v>
      </c>
      <c r="W21" s="253"/>
      <c r="X21" s="253"/>
      <c r="Y21" s="12"/>
      <c r="Z21" s="12"/>
      <c r="AA21" s="12"/>
      <c r="AG21" s="239"/>
      <c r="AH21" s="253" t="s">
        <v>213</v>
      </c>
      <c r="AI21" s="253"/>
      <c r="AJ21" s="253"/>
      <c r="AK21" s="253" t="s">
        <v>214</v>
      </c>
      <c r="AL21" s="253"/>
      <c r="AM21" s="253"/>
      <c r="AN21" s="253" t="s">
        <v>215</v>
      </c>
      <c r="AO21" s="253"/>
      <c r="AP21" s="253"/>
      <c r="AQ21" s="253" t="s">
        <v>216</v>
      </c>
      <c r="AR21" s="253"/>
      <c r="AS21" s="253"/>
      <c r="AT21" s="253" t="s">
        <v>217</v>
      </c>
      <c r="AU21" s="253"/>
      <c r="AV21" s="253"/>
      <c r="AW21" s="253" t="s">
        <v>218</v>
      </c>
      <c r="AX21" s="253"/>
      <c r="AY21" s="253"/>
      <c r="AZ21" s="12"/>
      <c r="BA21" s="12"/>
      <c r="BB21" s="12"/>
    </row>
    <row r="22" spans="1:54" ht="50.1" customHeight="1" x14ac:dyDescent="0.25">
      <c r="A22" s="239"/>
      <c r="B22" s="239"/>
      <c r="C22" s="239"/>
      <c r="D22" s="239"/>
      <c r="E22" s="239"/>
      <c r="F22" s="252"/>
      <c r="G22" s="252"/>
      <c r="H22" s="252"/>
      <c r="I22" s="252"/>
      <c r="J22" s="252"/>
      <c r="K22" s="252"/>
      <c r="L22" s="252"/>
      <c r="M22" s="252"/>
      <c r="N22" s="252"/>
      <c r="O22" s="252"/>
      <c r="P22" s="252"/>
      <c r="Q22" s="252"/>
      <c r="R22" s="252"/>
      <c r="S22" s="252"/>
      <c r="T22" s="252"/>
      <c r="U22" s="252"/>
      <c r="V22" s="251"/>
      <c r="W22" s="251"/>
      <c r="X22" s="251"/>
      <c r="Y22" s="251"/>
      <c r="Z22" s="251"/>
      <c r="AA22" s="251"/>
      <c r="AG22" s="239"/>
      <c r="AH22" s="251"/>
      <c r="AI22" s="251"/>
      <c r="AJ22" s="251"/>
      <c r="AK22" s="251"/>
      <c r="AL22" s="251"/>
      <c r="AM22" s="251"/>
      <c r="AN22" s="251"/>
      <c r="AO22" s="251"/>
      <c r="AP22" s="251"/>
      <c r="AQ22" s="251"/>
      <c r="AR22" s="251"/>
      <c r="AS22" s="251"/>
      <c r="AT22" s="251"/>
      <c r="AU22" s="251"/>
      <c r="AV22" s="251"/>
      <c r="AW22" s="251"/>
      <c r="AX22" s="251"/>
      <c r="AY22" s="251"/>
      <c r="AZ22" s="251"/>
      <c r="BA22" s="251"/>
      <c r="BB22" s="251"/>
    </row>
    <row r="23" spans="1:54" ht="50.1" customHeight="1" x14ac:dyDescent="0.25">
      <c r="A23" s="239"/>
      <c r="B23" s="239"/>
      <c r="C23" s="239"/>
      <c r="D23" s="239"/>
      <c r="E23" s="239"/>
      <c r="F23" s="251"/>
      <c r="G23" s="251"/>
      <c r="H23" s="251"/>
      <c r="I23" s="251"/>
      <c r="J23" s="251"/>
      <c r="K23" s="251"/>
      <c r="L23" s="251"/>
      <c r="M23" s="251"/>
      <c r="N23" s="251"/>
      <c r="O23" s="251"/>
      <c r="P23" s="251"/>
      <c r="Q23" s="251"/>
      <c r="R23" s="251"/>
      <c r="S23" s="251"/>
      <c r="T23" s="251"/>
      <c r="U23" s="251"/>
      <c r="V23" s="251"/>
      <c r="W23" s="251"/>
      <c r="X23" s="251"/>
      <c r="Y23" s="251"/>
      <c r="Z23" s="251"/>
      <c r="AA23" s="251"/>
      <c r="AG23" s="239"/>
      <c r="AH23" s="251"/>
      <c r="AI23" s="251"/>
      <c r="AJ23" s="251"/>
      <c r="AK23" s="251"/>
      <c r="AL23" s="251"/>
      <c r="AM23" s="251"/>
      <c r="AN23" s="251"/>
      <c r="AO23" s="251"/>
      <c r="AP23" s="251"/>
      <c r="AQ23" s="251"/>
      <c r="AR23" s="251"/>
      <c r="AS23" s="251"/>
      <c r="AT23" s="251"/>
      <c r="AU23" s="251"/>
      <c r="AV23" s="251"/>
      <c r="AW23" s="251"/>
      <c r="AX23" s="251"/>
      <c r="AY23" s="251"/>
      <c r="AZ23" s="251"/>
      <c r="BA23" s="251"/>
      <c r="BB23" s="251"/>
    </row>
    <row r="24" spans="1:54" ht="50.1" customHeight="1" x14ac:dyDescent="0.25">
      <c r="A24" s="239"/>
      <c r="B24" s="239"/>
      <c r="C24" s="239"/>
      <c r="D24" s="239"/>
      <c r="E24" s="239"/>
      <c r="F24" s="251"/>
      <c r="G24" s="251"/>
      <c r="H24" s="251"/>
      <c r="I24" s="251"/>
      <c r="J24" s="251"/>
      <c r="K24" s="251"/>
      <c r="L24" s="251"/>
      <c r="M24" s="251"/>
      <c r="N24" s="251"/>
      <c r="O24" s="251"/>
      <c r="P24" s="251"/>
      <c r="Q24" s="251"/>
      <c r="R24" s="251"/>
      <c r="S24" s="251"/>
      <c r="T24" s="251"/>
      <c r="U24" s="251"/>
      <c r="V24" s="251"/>
      <c r="W24" s="251"/>
      <c r="X24" s="251"/>
      <c r="Y24" s="251"/>
      <c r="Z24" s="251"/>
      <c r="AA24" s="251"/>
      <c r="AG24" s="239"/>
      <c r="AH24" s="251"/>
      <c r="AI24" s="251"/>
      <c r="AJ24" s="251"/>
      <c r="AK24" s="251"/>
      <c r="AL24" s="251"/>
      <c r="AM24" s="251"/>
      <c r="AN24" s="251"/>
      <c r="AO24" s="251"/>
      <c r="AP24" s="251"/>
      <c r="AQ24" s="251"/>
      <c r="AR24" s="251"/>
      <c r="AS24" s="251"/>
      <c r="AT24" s="251"/>
      <c r="AU24" s="251"/>
      <c r="AV24" s="251"/>
      <c r="AW24" s="251"/>
      <c r="AX24" s="251"/>
      <c r="AY24" s="251"/>
      <c r="AZ24" s="251"/>
      <c r="BA24" s="251"/>
      <c r="BB24" s="251"/>
    </row>
    <row r="25" spans="1:54" ht="15" customHeight="1" thickBot="1" x14ac:dyDescent="0.3">
      <c r="A25" s="261"/>
      <c r="B25" s="254" t="s">
        <v>219</v>
      </c>
      <c r="C25" s="254"/>
      <c r="D25" s="254"/>
      <c r="E25" s="254"/>
      <c r="F25" s="254" t="s">
        <v>220</v>
      </c>
      <c r="G25" s="254"/>
      <c r="H25" s="254"/>
      <c r="I25" s="254"/>
      <c r="J25" s="254" t="s">
        <v>221</v>
      </c>
      <c r="K25" s="254"/>
      <c r="L25" s="254"/>
      <c r="M25" s="254"/>
      <c r="N25" s="254" t="s">
        <v>222</v>
      </c>
      <c r="O25" s="254"/>
      <c r="P25" s="254"/>
      <c r="Q25" s="254"/>
      <c r="R25" s="254" t="s">
        <v>223</v>
      </c>
      <c r="S25" s="254"/>
      <c r="T25" s="254"/>
      <c r="U25" s="254"/>
      <c r="V25" s="254" t="s">
        <v>224</v>
      </c>
      <c r="W25" s="254"/>
      <c r="X25" s="254"/>
      <c r="Y25" s="254" t="s">
        <v>225</v>
      </c>
      <c r="Z25" s="254"/>
      <c r="AA25" s="254"/>
      <c r="AG25" s="261"/>
      <c r="AH25" s="254" t="s">
        <v>219</v>
      </c>
      <c r="AI25" s="254"/>
      <c r="AJ25" s="254"/>
      <c r="AK25" s="254" t="s">
        <v>220</v>
      </c>
      <c r="AL25" s="254"/>
      <c r="AM25" s="254"/>
      <c r="AN25" s="254" t="s">
        <v>221</v>
      </c>
      <c r="AO25" s="254"/>
      <c r="AP25" s="254"/>
      <c r="AQ25" s="254" t="s">
        <v>222</v>
      </c>
      <c r="AR25" s="254"/>
      <c r="AS25" s="254"/>
      <c r="AT25" s="254" t="s">
        <v>223</v>
      </c>
      <c r="AU25" s="254"/>
      <c r="AV25" s="254"/>
      <c r="AW25" s="254" t="s">
        <v>224</v>
      </c>
      <c r="AX25" s="254"/>
      <c r="AY25" s="254"/>
      <c r="AZ25" s="254" t="s">
        <v>225</v>
      </c>
      <c r="BA25" s="254"/>
      <c r="BB25" s="254"/>
    </row>
    <row r="26" spans="1:54" ht="50.1" customHeight="1" x14ac:dyDescent="0.25">
      <c r="A26" s="249" t="s">
        <v>44</v>
      </c>
      <c r="B26" s="249"/>
      <c r="C26" s="249"/>
      <c r="D26" s="249"/>
      <c r="E26" s="249"/>
      <c r="F26" s="250"/>
      <c r="G26" s="250"/>
      <c r="H26" s="250"/>
      <c r="I26" s="250"/>
      <c r="J26" s="250"/>
      <c r="K26" s="250"/>
      <c r="L26" s="250"/>
      <c r="M26" s="250"/>
      <c r="N26" s="250"/>
      <c r="O26" s="250"/>
      <c r="P26" s="250"/>
      <c r="Q26" s="250"/>
      <c r="R26" s="250"/>
      <c r="S26" s="250"/>
      <c r="T26" s="250"/>
      <c r="U26" s="250"/>
      <c r="V26" s="13"/>
      <c r="W26" s="13"/>
      <c r="X26" s="13"/>
      <c r="Y26" s="13"/>
      <c r="Z26" s="13"/>
      <c r="AA26" s="13"/>
      <c r="AG26" s="249" t="s">
        <v>44</v>
      </c>
      <c r="AH26" s="250"/>
      <c r="AI26" s="250"/>
      <c r="AJ26" s="250"/>
      <c r="AK26" s="250"/>
      <c r="AL26" s="250"/>
      <c r="AM26" s="250"/>
      <c r="AN26" s="250"/>
      <c r="AO26" s="250"/>
      <c r="AP26" s="250"/>
      <c r="AQ26" s="250"/>
      <c r="AR26" s="250"/>
      <c r="AS26" s="250"/>
      <c r="AT26" s="250"/>
      <c r="AU26" s="250"/>
      <c r="AV26" s="250"/>
      <c r="AW26" s="13"/>
      <c r="AX26" s="13"/>
      <c r="AY26" s="13"/>
      <c r="AZ26" s="13"/>
      <c r="BA26" s="13"/>
      <c r="BB26" s="13"/>
    </row>
    <row r="27" spans="1:54" ht="50.1" customHeight="1" x14ac:dyDescent="0.25">
      <c r="A27" s="239"/>
      <c r="B27" s="239"/>
      <c r="C27" s="239"/>
      <c r="D27" s="239"/>
      <c r="E27" s="239"/>
      <c r="F27" s="251"/>
      <c r="G27" s="251"/>
      <c r="H27" s="251"/>
      <c r="I27" s="251"/>
      <c r="J27" s="251"/>
      <c r="K27" s="251"/>
      <c r="L27" s="251"/>
      <c r="M27" s="251"/>
      <c r="N27" s="251"/>
      <c r="O27" s="251"/>
      <c r="P27" s="251"/>
      <c r="Q27" s="251"/>
      <c r="R27" s="251"/>
      <c r="S27" s="251"/>
      <c r="T27" s="251"/>
      <c r="U27" s="251"/>
      <c r="AG27" s="239"/>
      <c r="AH27" s="251"/>
      <c r="AI27" s="251"/>
      <c r="AJ27" s="251"/>
      <c r="AK27" s="251"/>
      <c r="AL27" s="251"/>
      <c r="AM27" s="251"/>
      <c r="AN27" s="251"/>
      <c r="AO27" s="251"/>
      <c r="AP27" s="251"/>
      <c r="AQ27" s="251"/>
      <c r="AR27" s="251"/>
      <c r="AS27" s="251"/>
      <c r="AT27" s="251"/>
      <c r="AU27" s="251"/>
      <c r="AV27" s="251"/>
    </row>
    <row r="28" spans="1:54" ht="50.1" customHeight="1" x14ac:dyDescent="0.25">
      <c r="A28" s="239"/>
      <c r="B28" s="239"/>
      <c r="C28" s="239"/>
      <c r="D28" s="239"/>
      <c r="E28" s="239"/>
      <c r="F28" s="251"/>
      <c r="G28" s="251"/>
      <c r="H28" s="251"/>
      <c r="I28" s="251"/>
      <c r="J28" s="251"/>
      <c r="K28" s="251"/>
      <c r="L28" s="251"/>
      <c r="M28" s="251"/>
      <c r="N28" s="251"/>
      <c r="O28" s="251"/>
      <c r="P28" s="251"/>
      <c r="Q28" s="251"/>
      <c r="R28" s="251"/>
      <c r="S28" s="251"/>
      <c r="T28" s="251"/>
      <c r="U28" s="251"/>
      <c r="AG28" s="239"/>
      <c r="AH28" s="251"/>
      <c r="AI28" s="251"/>
      <c r="AJ28" s="251"/>
      <c r="AK28" s="251"/>
      <c r="AL28" s="251"/>
      <c r="AM28" s="251"/>
      <c r="AN28" s="251"/>
      <c r="AO28" s="251"/>
      <c r="AP28" s="251"/>
      <c r="AQ28" s="251"/>
      <c r="AR28" s="251"/>
      <c r="AS28" s="251"/>
      <c r="AT28" s="251"/>
      <c r="AU28" s="251"/>
      <c r="AV28" s="251"/>
    </row>
    <row r="29" spans="1:54" ht="15" customHeight="1" thickBot="1" x14ac:dyDescent="0.3">
      <c r="A29" s="261"/>
      <c r="B29" s="254" t="s">
        <v>227</v>
      </c>
      <c r="C29" s="254"/>
      <c r="D29" s="254"/>
      <c r="E29" s="254"/>
      <c r="F29" s="254" t="s">
        <v>13</v>
      </c>
      <c r="G29" s="254"/>
      <c r="H29" s="254"/>
      <c r="I29" s="254"/>
      <c r="J29" s="254" t="s">
        <v>228</v>
      </c>
      <c r="K29" s="254"/>
      <c r="L29" s="254"/>
      <c r="M29" s="254"/>
      <c r="N29" s="254" t="s">
        <v>229</v>
      </c>
      <c r="O29" s="254"/>
      <c r="P29" s="254"/>
      <c r="Q29" s="254"/>
      <c r="R29" s="254" t="s">
        <v>10</v>
      </c>
      <c r="S29" s="254"/>
      <c r="T29" s="254"/>
      <c r="U29" s="254"/>
      <c r="V29" s="6"/>
      <c r="W29" s="6"/>
      <c r="X29" s="6"/>
      <c r="Y29" s="6"/>
      <c r="Z29" s="6"/>
      <c r="AA29" s="6"/>
      <c r="AG29" s="261"/>
      <c r="AH29" s="254" t="s">
        <v>227</v>
      </c>
      <c r="AI29" s="254"/>
      <c r="AJ29" s="254"/>
      <c r="AK29" s="254" t="s">
        <v>13</v>
      </c>
      <c r="AL29" s="254"/>
      <c r="AM29" s="254"/>
      <c r="AN29" s="254" t="s">
        <v>228</v>
      </c>
      <c r="AO29" s="254"/>
      <c r="AP29" s="254"/>
      <c r="AQ29" s="254" t="s">
        <v>229</v>
      </c>
      <c r="AR29" s="254"/>
      <c r="AS29" s="254"/>
      <c r="AT29" s="254" t="s">
        <v>10</v>
      </c>
      <c r="AU29" s="254"/>
      <c r="AV29" s="254"/>
      <c r="AW29" s="6"/>
      <c r="AX29" s="6"/>
      <c r="AY29" s="6"/>
      <c r="AZ29" s="6"/>
      <c r="BA29" s="6"/>
      <c r="BB29" s="6"/>
    </row>
    <row r="30" spans="1:54" x14ac:dyDescent="0.25">
      <c r="A30" t="s">
        <v>230</v>
      </c>
      <c r="B30" s="1">
        <v>1</v>
      </c>
      <c r="C30" s="1">
        <v>2</v>
      </c>
      <c r="D30" s="1">
        <v>1</v>
      </c>
      <c r="E30" s="1">
        <v>1</v>
      </c>
      <c r="F30" s="1">
        <v>2</v>
      </c>
      <c r="G30" s="1">
        <v>1</v>
      </c>
      <c r="H30" s="1">
        <v>1</v>
      </c>
      <c r="I30" s="1">
        <v>1</v>
      </c>
      <c r="J30" s="1">
        <v>2</v>
      </c>
      <c r="K30" s="1">
        <v>1</v>
      </c>
      <c r="L30" s="1">
        <v>1</v>
      </c>
      <c r="M30" s="1">
        <v>1</v>
      </c>
      <c r="N30" s="1">
        <v>2</v>
      </c>
      <c r="O30" s="1">
        <v>1</v>
      </c>
      <c r="P30" s="1">
        <v>1</v>
      </c>
      <c r="Q30" s="1">
        <v>1</v>
      </c>
      <c r="R30" s="1">
        <v>2</v>
      </c>
      <c r="S30" s="1">
        <v>1</v>
      </c>
      <c r="T30" s="1">
        <v>1</v>
      </c>
      <c r="U30" s="1">
        <v>1</v>
      </c>
    </row>
    <row r="105" spans="1:54" ht="15.75" thickBot="1" x14ac:dyDescent="0.3"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5.75" thickBot="1" x14ac:dyDescent="0.3">
      <c r="A106" s="6"/>
      <c r="B106" s="6"/>
      <c r="C106" s="262"/>
      <c r="D106" s="262"/>
      <c r="E106" s="262"/>
      <c r="F106" s="262"/>
      <c r="G106" s="262"/>
      <c r="H106" s="262"/>
      <c r="I106" s="262"/>
      <c r="J106" s="262"/>
      <c r="K106" s="262"/>
      <c r="L106" s="262"/>
      <c r="M106" s="262"/>
      <c r="N106" s="262"/>
      <c r="O106" s="262"/>
      <c r="P106" s="262"/>
      <c r="Q106" s="262"/>
      <c r="R106" s="262"/>
      <c r="S106" s="262"/>
      <c r="T106" s="262"/>
      <c r="U106" s="262"/>
      <c r="V106" s="262"/>
      <c r="W106" s="262"/>
      <c r="X106" s="262"/>
      <c r="Y106" s="262"/>
      <c r="Z106" s="262"/>
      <c r="AA106" s="262"/>
      <c r="AG106" s="19" t="s">
        <v>0</v>
      </c>
      <c r="AH106" s="263" t="s">
        <v>211</v>
      </c>
      <c r="AI106" s="263"/>
      <c r="AJ106" s="263"/>
      <c r="AK106" s="263"/>
      <c r="AL106" s="263"/>
      <c r="AM106" s="263"/>
      <c r="AN106" s="263"/>
      <c r="AO106" s="263"/>
      <c r="AP106" s="263"/>
      <c r="AQ106" s="263"/>
      <c r="AR106" s="263"/>
      <c r="AS106" s="263"/>
      <c r="AT106" s="263"/>
      <c r="AU106" s="263"/>
      <c r="AV106" s="263"/>
      <c r="AW106" s="263"/>
      <c r="AX106" s="263"/>
      <c r="AY106" s="263"/>
      <c r="AZ106" s="263"/>
      <c r="BA106" s="263"/>
      <c r="BB106" s="263"/>
    </row>
    <row r="107" spans="1:54" ht="50.1" customHeight="1" x14ac:dyDescent="0.25">
      <c r="A107" s="249"/>
      <c r="B107" s="21"/>
      <c r="C107" s="250"/>
      <c r="D107" s="250"/>
      <c r="E107" s="250"/>
      <c r="F107" s="23"/>
      <c r="G107" s="250"/>
      <c r="H107" s="250"/>
      <c r="I107" s="250"/>
      <c r="J107" s="23"/>
      <c r="K107" s="250"/>
      <c r="L107" s="250"/>
      <c r="M107" s="250"/>
      <c r="N107" s="2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G107" s="256" t="s">
        <v>9</v>
      </c>
      <c r="AH107" s="260"/>
      <c r="AI107" s="260"/>
      <c r="AJ107" s="260"/>
      <c r="AK107" s="260"/>
      <c r="AL107" s="260"/>
      <c r="AM107" s="260"/>
      <c r="AN107" s="260"/>
      <c r="AO107" s="260"/>
      <c r="AP107" s="260"/>
      <c r="AQ107" s="260"/>
      <c r="AR107" s="260"/>
      <c r="AS107" s="260"/>
      <c r="AT107" s="260"/>
      <c r="AU107" s="260"/>
      <c r="AV107" s="260"/>
      <c r="AW107" s="260"/>
      <c r="AX107" s="260"/>
      <c r="AY107" s="260"/>
      <c r="AZ107" s="260"/>
      <c r="BA107" s="260"/>
      <c r="BB107" s="260"/>
    </row>
    <row r="108" spans="1:54" ht="50.1" customHeight="1" x14ac:dyDescent="0.25">
      <c r="A108" s="239"/>
      <c r="B108" s="4"/>
      <c r="C108" s="251"/>
      <c r="D108" s="251"/>
      <c r="E108" s="251"/>
      <c r="F108" s="1"/>
      <c r="G108" s="251"/>
      <c r="H108" s="251"/>
      <c r="I108" s="251"/>
      <c r="J108" s="1"/>
      <c r="K108" s="251"/>
      <c r="L108" s="251"/>
      <c r="M108" s="251"/>
      <c r="N108" s="1"/>
      <c r="AG108" s="257"/>
      <c r="AH108" s="259"/>
      <c r="AI108" s="259"/>
      <c r="AJ108" s="259"/>
      <c r="AK108" s="259"/>
      <c r="AL108" s="259"/>
      <c r="AM108" s="259"/>
      <c r="AN108" s="259"/>
      <c r="AO108" s="259"/>
      <c r="AP108" s="259"/>
      <c r="AQ108" s="259"/>
      <c r="AR108" s="259"/>
      <c r="AS108" s="259"/>
      <c r="AT108" s="259"/>
      <c r="AU108" s="259"/>
      <c r="AV108" s="259"/>
      <c r="AW108" s="259"/>
      <c r="AX108" s="259"/>
      <c r="AY108" s="259"/>
      <c r="AZ108" s="259"/>
      <c r="BA108" s="259"/>
      <c r="BB108" s="259"/>
    </row>
    <row r="109" spans="1:54" ht="50.1" customHeight="1" x14ac:dyDescent="0.25">
      <c r="A109" s="239"/>
      <c r="B109" s="4"/>
      <c r="C109" s="251"/>
      <c r="D109" s="251"/>
      <c r="E109" s="251"/>
      <c r="F109" s="1"/>
      <c r="G109" s="251"/>
      <c r="H109" s="251"/>
      <c r="I109" s="251"/>
      <c r="J109" s="1"/>
      <c r="K109" s="251"/>
      <c r="L109" s="251"/>
      <c r="M109" s="251"/>
      <c r="N109" s="1"/>
      <c r="AG109" s="257"/>
      <c r="AH109" s="259"/>
      <c r="AI109" s="259"/>
      <c r="AJ109" s="259"/>
      <c r="AK109" s="259"/>
      <c r="AL109" s="259"/>
      <c r="AM109" s="259"/>
      <c r="AN109" s="259"/>
      <c r="AO109" s="259"/>
      <c r="AP109" s="259"/>
      <c r="AQ109" s="259"/>
      <c r="AR109" s="259"/>
      <c r="AS109" s="259"/>
      <c r="AT109" s="259"/>
      <c r="AU109" s="259"/>
      <c r="AV109" s="259"/>
      <c r="AW109" s="259"/>
      <c r="AX109" s="259"/>
      <c r="AY109" s="259"/>
      <c r="AZ109" s="259"/>
      <c r="BA109" s="259"/>
      <c r="BB109" s="259"/>
    </row>
    <row r="110" spans="1:54" ht="15" customHeight="1" thickBot="1" x14ac:dyDescent="0.3">
      <c r="A110" s="261"/>
      <c r="B110" s="22"/>
      <c r="C110" s="254"/>
      <c r="D110" s="254"/>
      <c r="E110" s="254"/>
      <c r="F110" s="7"/>
      <c r="G110" s="254"/>
      <c r="H110" s="254"/>
      <c r="I110" s="254"/>
      <c r="J110" s="7"/>
      <c r="K110" s="254"/>
      <c r="L110" s="254"/>
      <c r="M110" s="254"/>
      <c r="N110" s="7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G110" s="258"/>
      <c r="AH110" s="255" t="s">
        <v>10</v>
      </c>
      <c r="AI110" s="255"/>
      <c r="AJ110" s="255"/>
      <c r="AK110" s="255" t="s">
        <v>12</v>
      </c>
      <c r="AL110" s="255"/>
      <c r="AM110" s="255"/>
      <c r="AN110" s="255" t="s">
        <v>13</v>
      </c>
      <c r="AO110" s="255"/>
      <c r="AP110" s="255"/>
      <c r="AQ110" s="255"/>
      <c r="AR110" s="255"/>
      <c r="AS110" s="255"/>
      <c r="AT110" s="255"/>
      <c r="AU110" s="255"/>
      <c r="AV110" s="255"/>
      <c r="AW110" s="255"/>
      <c r="AX110" s="255"/>
      <c r="AY110" s="255"/>
      <c r="AZ110" s="255"/>
      <c r="BA110" s="255"/>
      <c r="BB110" s="255"/>
    </row>
    <row r="111" spans="1:54" ht="50.1" customHeight="1" x14ac:dyDescent="0.25">
      <c r="A111" s="249"/>
      <c r="B111" s="21"/>
      <c r="C111" s="250"/>
      <c r="D111" s="250"/>
      <c r="E111" s="250"/>
      <c r="F111" s="23"/>
      <c r="G111" s="250"/>
      <c r="H111" s="250"/>
      <c r="I111" s="250"/>
      <c r="J111" s="23"/>
      <c r="K111" s="250"/>
      <c r="L111" s="250"/>
      <c r="M111" s="250"/>
      <c r="N111" s="23"/>
      <c r="O111" s="250"/>
      <c r="P111" s="250"/>
      <c r="Q111" s="250"/>
      <c r="R111" s="23"/>
      <c r="S111" s="250"/>
      <c r="T111" s="250"/>
      <c r="U111" s="250"/>
      <c r="V111" s="250"/>
      <c r="W111" s="250"/>
      <c r="X111" s="250"/>
      <c r="Y111" s="13"/>
      <c r="Z111" s="13"/>
      <c r="AA111" s="13"/>
      <c r="AG111" s="256" t="s">
        <v>212</v>
      </c>
      <c r="AH111" s="260"/>
      <c r="AI111" s="260"/>
      <c r="AJ111" s="260"/>
      <c r="AK111" s="260"/>
      <c r="AL111" s="260"/>
      <c r="AM111" s="260"/>
      <c r="AN111" s="260"/>
      <c r="AO111" s="260"/>
      <c r="AP111" s="260"/>
      <c r="AQ111" s="260"/>
      <c r="AR111" s="260"/>
      <c r="AS111" s="260"/>
      <c r="AT111" s="260"/>
      <c r="AU111" s="260"/>
      <c r="AV111" s="260"/>
      <c r="AW111" s="260"/>
      <c r="AX111" s="260"/>
      <c r="AY111" s="260"/>
      <c r="AZ111" s="260"/>
      <c r="BA111" s="260"/>
      <c r="BB111" s="260"/>
    </row>
    <row r="112" spans="1:54" ht="50.1" customHeight="1" thickBot="1" x14ac:dyDescent="0.3">
      <c r="A112" s="239"/>
      <c r="B112" s="4"/>
      <c r="C112" s="251"/>
      <c r="D112" s="251"/>
      <c r="E112" s="251"/>
      <c r="F112" s="1"/>
      <c r="G112" s="251"/>
      <c r="H112" s="251"/>
      <c r="I112" s="251"/>
      <c r="J112" s="1"/>
      <c r="K112" s="251"/>
      <c r="L112" s="251"/>
      <c r="M112" s="251"/>
      <c r="N112" s="1"/>
      <c r="O112" s="251"/>
      <c r="P112" s="251"/>
      <c r="Q112" s="251"/>
      <c r="R112" s="1"/>
      <c r="S112" s="251"/>
      <c r="T112" s="251"/>
      <c r="U112" s="251"/>
      <c r="V112" s="251"/>
      <c r="W112" s="251"/>
      <c r="X112" s="251"/>
      <c r="AD112" s="6"/>
      <c r="AG112" s="257"/>
      <c r="AH112" s="259"/>
      <c r="AI112" s="259"/>
      <c r="AJ112" s="259"/>
      <c r="AK112" s="259"/>
      <c r="AL112" s="259"/>
      <c r="AM112" s="259"/>
      <c r="AN112" s="259"/>
      <c r="AO112" s="259"/>
      <c r="AP112" s="259"/>
      <c r="AQ112" s="259"/>
      <c r="AR112" s="259"/>
      <c r="AS112" s="259"/>
      <c r="AT112" s="259"/>
      <c r="AU112" s="259"/>
      <c r="AV112" s="259"/>
      <c r="AW112" s="259"/>
      <c r="AX112" s="259"/>
      <c r="AY112" s="259"/>
      <c r="AZ112" s="259"/>
      <c r="BA112" s="259"/>
      <c r="BB112" s="259"/>
    </row>
    <row r="113" spans="1:54" ht="50.1" customHeight="1" x14ac:dyDescent="0.25">
      <c r="A113" s="239"/>
      <c r="B113" s="4"/>
      <c r="C113" s="251"/>
      <c r="D113" s="251"/>
      <c r="E113" s="251"/>
      <c r="F113" s="1"/>
      <c r="G113" s="251"/>
      <c r="H113" s="251"/>
      <c r="I113" s="251"/>
      <c r="J113" s="1"/>
      <c r="K113" s="251"/>
      <c r="L113" s="251"/>
      <c r="M113" s="251"/>
      <c r="N113" s="1"/>
      <c r="O113" s="251"/>
      <c r="P113" s="251"/>
      <c r="Q113" s="251"/>
      <c r="R113" s="1"/>
      <c r="S113" s="251"/>
      <c r="T113" s="251"/>
      <c r="U113" s="251"/>
      <c r="V113" s="251"/>
      <c r="W113" s="251"/>
      <c r="X113" s="251"/>
      <c r="AG113" s="257"/>
      <c r="AH113" s="259"/>
      <c r="AI113" s="259"/>
      <c r="AJ113" s="259"/>
      <c r="AK113" s="259"/>
      <c r="AL113" s="259"/>
      <c r="AM113" s="259"/>
      <c r="AN113" s="259"/>
      <c r="AO113" s="259"/>
      <c r="AP113" s="259"/>
      <c r="AQ113" s="259"/>
      <c r="AR113" s="259"/>
      <c r="AS113" s="259"/>
      <c r="AT113" s="259"/>
      <c r="AU113" s="259"/>
      <c r="AV113" s="259"/>
      <c r="AW113" s="259"/>
      <c r="AX113" s="259"/>
      <c r="AY113" s="259"/>
      <c r="AZ113" s="259"/>
      <c r="BA113" s="259"/>
      <c r="BB113" s="259"/>
    </row>
    <row r="114" spans="1:54" ht="15" customHeight="1" x14ac:dyDescent="0.25">
      <c r="A114" s="239"/>
      <c r="B114" s="4"/>
      <c r="C114" s="253"/>
      <c r="D114" s="253"/>
      <c r="E114" s="253"/>
      <c r="F114" s="3"/>
      <c r="G114" s="253"/>
      <c r="H114" s="253"/>
      <c r="I114" s="253"/>
      <c r="J114" s="3"/>
      <c r="K114" s="253"/>
      <c r="L114" s="253"/>
      <c r="M114" s="253"/>
      <c r="N114" s="3"/>
      <c r="O114" s="253"/>
      <c r="P114" s="253"/>
      <c r="Q114" s="253"/>
      <c r="R114" s="3"/>
      <c r="S114" s="253"/>
      <c r="T114" s="253"/>
      <c r="U114" s="253"/>
      <c r="V114" s="253"/>
      <c r="W114" s="253"/>
      <c r="X114" s="253"/>
      <c r="Y114" s="12"/>
      <c r="Z114" s="12"/>
      <c r="AA114" s="12"/>
      <c r="AG114" s="257"/>
      <c r="AH114" s="259" t="s">
        <v>213</v>
      </c>
      <c r="AI114" s="259"/>
      <c r="AJ114" s="259"/>
      <c r="AK114" s="259" t="s">
        <v>214</v>
      </c>
      <c r="AL114" s="259"/>
      <c r="AM114" s="259"/>
      <c r="AN114" s="259" t="s">
        <v>215</v>
      </c>
      <c r="AO114" s="259"/>
      <c r="AP114" s="259"/>
      <c r="AQ114" s="259" t="s">
        <v>216</v>
      </c>
      <c r="AR114" s="259"/>
      <c r="AS114" s="259"/>
      <c r="AT114" s="259" t="s">
        <v>217</v>
      </c>
      <c r="AU114" s="259"/>
      <c r="AV114" s="259"/>
      <c r="AW114" s="259" t="s">
        <v>218</v>
      </c>
      <c r="AX114" s="259"/>
      <c r="AY114" s="259"/>
      <c r="AZ114" s="259"/>
      <c r="BA114" s="259"/>
      <c r="BB114" s="259"/>
    </row>
    <row r="115" spans="1:54" ht="50.1" customHeight="1" x14ac:dyDescent="0.25">
      <c r="A115" s="239"/>
      <c r="B115" s="4"/>
      <c r="C115" s="251"/>
      <c r="D115" s="251"/>
      <c r="E115" s="251"/>
      <c r="F115" s="1"/>
      <c r="G115" s="251"/>
      <c r="H115" s="251"/>
      <c r="I115" s="251"/>
      <c r="J115" s="1"/>
      <c r="K115" s="251"/>
      <c r="L115" s="251"/>
      <c r="M115" s="251"/>
      <c r="N115" s="1"/>
      <c r="O115" s="251"/>
      <c r="P115" s="251"/>
      <c r="Q115" s="251"/>
      <c r="R115" s="1"/>
      <c r="S115" s="251"/>
      <c r="T115" s="251"/>
      <c r="U115" s="251"/>
      <c r="V115" s="251"/>
      <c r="W115" s="251"/>
      <c r="X115" s="251"/>
      <c r="Y115" s="251"/>
      <c r="Z115" s="251"/>
      <c r="AA115" s="251"/>
      <c r="AG115" s="257"/>
      <c r="AH115" s="259"/>
      <c r="AI115" s="259"/>
      <c r="AJ115" s="259"/>
      <c r="AK115" s="259"/>
      <c r="AL115" s="259"/>
      <c r="AM115" s="259"/>
      <c r="AN115" s="259"/>
      <c r="AO115" s="259"/>
      <c r="AP115" s="259"/>
      <c r="AQ115" s="259"/>
      <c r="AR115" s="259"/>
      <c r="AS115" s="259"/>
      <c r="AT115" s="259"/>
      <c r="AU115" s="259"/>
      <c r="AV115" s="259"/>
      <c r="AW115" s="259"/>
      <c r="AX115" s="259"/>
      <c r="AY115" s="259"/>
      <c r="AZ115" s="259"/>
      <c r="BA115" s="259"/>
      <c r="BB115" s="259"/>
    </row>
    <row r="116" spans="1:54" ht="50.1" customHeight="1" x14ac:dyDescent="0.25">
      <c r="A116" s="239"/>
      <c r="B116" s="4"/>
      <c r="C116" s="251"/>
      <c r="D116" s="251"/>
      <c r="E116" s="251"/>
      <c r="F116" s="1"/>
      <c r="G116" s="251"/>
      <c r="H116" s="251"/>
      <c r="I116" s="251"/>
      <c r="J116" s="1"/>
      <c r="K116" s="251"/>
      <c r="L116" s="251"/>
      <c r="M116" s="251"/>
      <c r="N116" s="1"/>
      <c r="O116" s="251"/>
      <c r="P116" s="251"/>
      <c r="Q116" s="251"/>
      <c r="R116" s="1"/>
      <c r="S116" s="251"/>
      <c r="T116" s="251"/>
      <c r="U116" s="251"/>
      <c r="V116" s="251"/>
      <c r="W116" s="251"/>
      <c r="X116" s="251"/>
      <c r="Y116" s="251"/>
      <c r="Z116" s="251"/>
      <c r="AA116" s="251"/>
      <c r="AG116" s="257"/>
      <c r="AH116" s="259"/>
      <c r="AI116" s="259"/>
      <c r="AJ116" s="259"/>
      <c r="AK116" s="259"/>
      <c r="AL116" s="259"/>
      <c r="AM116" s="259"/>
      <c r="AN116" s="259"/>
      <c r="AO116" s="259"/>
      <c r="AP116" s="259"/>
      <c r="AQ116" s="259"/>
      <c r="AR116" s="259"/>
      <c r="AS116" s="259"/>
      <c r="AT116" s="259"/>
      <c r="AU116" s="259"/>
      <c r="AV116" s="259"/>
      <c r="AW116" s="259"/>
      <c r="AX116" s="259"/>
      <c r="AY116" s="259"/>
      <c r="AZ116" s="259"/>
      <c r="BA116" s="259"/>
      <c r="BB116" s="259"/>
    </row>
    <row r="117" spans="1:54" ht="50.1" customHeight="1" x14ac:dyDescent="0.25">
      <c r="A117" s="239"/>
      <c r="B117" s="4"/>
      <c r="C117" s="251"/>
      <c r="D117" s="251"/>
      <c r="E117" s="251"/>
      <c r="F117" s="1"/>
      <c r="G117" s="251"/>
      <c r="H117" s="251"/>
      <c r="I117" s="251"/>
      <c r="J117" s="1"/>
      <c r="K117" s="251"/>
      <c r="L117" s="251"/>
      <c r="M117" s="251"/>
      <c r="N117" s="1"/>
      <c r="O117" s="251"/>
      <c r="P117" s="251"/>
      <c r="Q117" s="251"/>
      <c r="R117" s="1"/>
      <c r="S117" s="251"/>
      <c r="T117" s="251"/>
      <c r="U117" s="251"/>
      <c r="V117" s="251"/>
      <c r="W117" s="251"/>
      <c r="X117" s="251"/>
      <c r="Y117" s="251"/>
      <c r="Z117" s="251"/>
      <c r="AA117" s="251"/>
      <c r="AG117" s="257"/>
      <c r="AH117" s="259"/>
      <c r="AI117" s="259"/>
      <c r="AJ117" s="259"/>
      <c r="AK117" s="259"/>
      <c r="AL117" s="259"/>
      <c r="AM117" s="259"/>
      <c r="AN117" s="259"/>
      <c r="AO117" s="259"/>
      <c r="AP117" s="259"/>
      <c r="AQ117" s="259"/>
      <c r="AR117" s="259"/>
      <c r="AS117" s="259"/>
      <c r="AT117" s="259"/>
      <c r="AU117" s="259"/>
      <c r="AV117" s="259"/>
      <c r="AW117" s="259"/>
      <c r="AX117" s="259"/>
      <c r="AY117" s="259"/>
      <c r="AZ117" s="259"/>
      <c r="BA117" s="259"/>
      <c r="BB117" s="259"/>
    </row>
    <row r="118" spans="1:54" ht="15" customHeight="1" thickBot="1" x14ac:dyDescent="0.3">
      <c r="A118" s="261"/>
      <c r="B118" s="22"/>
      <c r="C118" s="254"/>
      <c r="D118" s="254"/>
      <c r="E118" s="254"/>
      <c r="F118" s="7"/>
      <c r="G118" s="254"/>
      <c r="H118" s="254"/>
      <c r="I118" s="254"/>
      <c r="J118" s="7"/>
      <c r="K118" s="254"/>
      <c r="L118" s="254"/>
      <c r="M118" s="254"/>
      <c r="N118" s="7"/>
      <c r="O118" s="254"/>
      <c r="P118" s="254"/>
      <c r="Q118" s="254"/>
      <c r="R118" s="7"/>
      <c r="S118" s="254"/>
      <c r="T118" s="254"/>
      <c r="U118" s="254"/>
      <c r="V118" s="254"/>
      <c r="W118" s="254"/>
      <c r="X118" s="254"/>
      <c r="Y118" s="254"/>
      <c r="Z118" s="254"/>
      <c r="AA118" s="254"/>
      <c r="AG118" s="258"/>
      <c r="AH118" s="255" t="s">
        <v>219</v>
      </c>
      <c r="AI118" s="255"/>
      <c r="AJ118" s="255"/>
      <c r="AK118" s="255" t="s">
        <v>220</v>
      </c>
      <c r="AL118" s="255"/>
      <c r="AM118" s="255"/>
      <c r="AN118" s="255" t="s">
        <v>221</v>
      </c>
      <c r="AO118" s="255"/>
      <c r="AP118" s="255"/>
      <c r="AQ118" s="255" t="s">
        <v>222</v>
      </c>
      <c r="AR118" s="255"/>
      <c r="AS118" s="255"/>
      <c r="AT118" s="255" t="s">
        <v>223</v>
      </c>
      <c r="AU118" s="255"/>
      <c r="AV118" s="255"/>
      <c r="AW118" s="255" t="s">
        <v>224</v>
      </c>
      <c r="AX118" s="255"/>
      <c r="AY118" s="255"/>
      <c r="AZ118" s="255" t="s">
        <v>225</v>
      </c>
      <c r="BA118" s="255"/>
      <c r="BB118" s="255"/>
    </row>
    <row r="119" spans="1:54" ht="50.1" customHeight="1" x14ac:dyDescent="0.25">
      <c r="A119" s="249"/>
      <c r="B119" s="21"/>
      <c r="C119" s="250"/>
      <c r="D119" s="250"/>
      <c r="E119" s="250"/>
      <c r="F119" s="23"/>
      <c r="G119" s="250"/>
      <c r="H119" s="250"/>
      <c r="I119" s="250"/>
      <c r="J119" s="23"/>
      <c r="K119" s="250"/>
      <c r="L119" s="250"/>
      <c r="M119" s="250"/>
      <c r="N119" s="23"/>
      <c r="O119" s="250"/>
      <c r="P119" s="250"/>
      <c r="Q119" s="250"/>
      <c r="R119" s="23"/>
      <c r="S119" s="250"/>
      <c r="T119" s="250"/>
      <c r="U119" s="250"/>
      <c r="V119" s="13"/>
      <c r="W119" s="13"/>
      <c r="X119" s="13"/>
      <c r="Y119" s="13"/>
      <c r="Z119" s="13"/>
      <c r="AA119" s="13"/>
      <c r="AG119" s="256" t="s">
        <v>36</v>
      </c>
      <c r="AH119" s="260"/>
      <c r="AI119" s="260"/>
      <c r="AJ119" s="260"/>
      <c r="AK119" s="260"/>
      <c r="AL119" s="260"/>
      <c r="AM119" s="260"/>
      <c r="AN119" s="260"/>
      <c r="AO119" s="260"/>
      <c r="AP119" s="260"/>
      <c r="AQ119" s="260"/>
      <c r="AR119" s="260"/>
      <c r="AS119" s="260"/>
      <c r="AT119" s="260"/>
      <c r="AU119" s="260"/>
      <c r="AV119" s="260"/>
      <c r="AW119" s="260"/>
      <c r="AX119" s="260"/>
      <c r="AY119" s="260"/>
      <c r="AZ119" s="260"/>
      <c r="BA119" s="260"/>
      <c r="BB119" s="260"/>
    </row>
    <row r="120" spans="1:54" ht="50.1" customHeight="1" x14ac:dyDescent="0.25">
      <c r="A120" s="239"/>
      <c r="B120" s="4"/>
      <c r="C120" s="251"/>
      <c r="D120" s="251"/>
      <c r="E120" s="251"/>
      <c r="F120" s="1"/>
      <c r="G120" s="251"/>
      <c r="H120" s="251"/>
      <c r="I120" s="251"/>
      <c r="J120" s="1"/>
      <c r="K120" s="251"/>
      <c r="L120" s="251"/>
      <c r="M120" s="251"/>
      <c r="N120" s="1"/>
      <c r="O120" s="251"/>
      <c r="P120" s="251"/>
      <c r="Q120" s="251"/>
      <c r="R120" s="1"/>
      <c r="S120" s="251"/>
      <c r="T120" s="251"/>
      <c r="U120" s="251"/>
      <c r="AG120" s="257"/>
      <c r="AH120" s="259"/>
      <c r="AI120" s="259"/>
      <c r="AJ120" s="259"/>
      <c r="AK120" s="259"/>
      <c r="AL120" s="259"/>
      <c r="AM120" s="259"/>
      <c r="AN120" s="259"/>
      <c r="AO120" s="259"/>
      <c r="AP120" s="259"/>
      <c r="AQ120" s="259"/>
      <c r="AR120" s="259"/>
      <c r="AS120" s="259"/>
      <c r="AT120" s="259"/>
      <c r="AU120" s="259"/>
      <c r="AV120" s="259"/>
      <c r="AW120" s="259"/>
      <c r="AX120" s="259"/>
      <c r="AY120" s="259"/>
      <c r="AZ120" s="259"/>
      <c r="BA120" s="259"/>
      <c r="BB120" s="259"/>
    </row>
    <row r="121" spans="1:54" ht="50.1" customHeight="1" x14ac:dyDescent="0.25">
      <c r="A121" s="239"/>
      <c r="B121" s="4"/>
      <c r="C121" s="251"/>
      <c r="D121" s="251"/>
      <c r="E121" s="251"/>
      <c r="F121" s="1"/>
      <c r="G121" s="251"/>
      <c r="H121" s="251"/>
      <c r="I121" s="251"/>
      <c r="J121" s="1"/>
      <c r="K121" s="251"/>
      <c r="L121" s="251"/>
      <c r="M121" s="251"/>
      <c r="N121" s="1"/>
      <c r="O121" s="251"/>
      <c r="P121" s="251"/>
      <c r="Q121" s="251"/>
      <c r="R121" s="1"/>
      <c r="S121" s="251"/>
      <c r="T121" s="251"/>
      <c r="U121" s="251"/>
      <c r="AG121" s="257"/>
      <c r="AH121" s="259"/>
      <c r="AI121" s="259"/>
      <c r="AJ121" s="259"/>
      <c r="AK121" s="259"/>
      <c r="AL121" s="259"/>
      <c r="AM121" s="259"/>
      <c r="AN121" s="259"/>
      <c r="AO121" s="259"/>
      <c r="AP121" s="259"/>
      <c r="AQ121" s="259"/>
      <c r="AR121" s="259"/>
      <c r="AS121" s="259"/>
      <c r="AT121" s="259"/>
      <c r="AU121" s="259"/>
      <c r="AV121" s="259"/>
      <c r="AW121" s="259"/>
      <c r="AX121" s="259"/>
      <c r="AY121" s="259"/>
      <c r="AZ121" s="259"/>
      <c r="BA121" s="259"/>
      <c r="BB121" s="259"/>
    </row>
    <row r="122" spans="1:54" ht="15" customHeight="1" thickBot="1" x14ac:dyDescent="0.3">
      <c r="A122" s="261"/>
      <c r="B122" s="22"/>
      <c r="C122" s="254"/>
      <c r="D122" s="254"/>
      <c r="E122" s="254"/>
      <c r="F122" s="7"/>
      <c r="G122" s="254"/>
      <c r="H122" s="254"/>
      <c r="I122" s="254"/>
      <c r="J122" s="7"/>
      <c r="K122" s="254"/>
      <c r="L122" s="254"/>
      <c r="M122" s="254"/>
      <c r="N122" s="7"/>
      <c r="O122" s="254"/>
      <c r="P122" s="254"/>
      <c r="Q122" s="254"/>
      <c r="R122" s="7"/>
      <c r="S122" s="254"/>
      <c r="T122" s="254"/>
      <c r="U122" s="254"/>
      <c r="V122" s="6"/>
      <c r="W122" s="6"/>
      <c r="X122" s="6"/>
      <c r="Y122" s="6"/>
      <c r="Z122" s="6"/>
      <c r="AA122" s="6"/>
      <c r="AG122" s="258"/>
      <c r="AH122" s="255" t="s">
        <v>41</v>
      </c>
      <c r="AI122" s="255"/>
      <c r="AJ122" s="255"/>
      <c r="AK122" s="255" t="s">
        <v>13</v>
      </c>
      <c r="AL122" s="255"/>
      <c r="AM122" s="255"/>
      <c r="AN122" s="255" t="s">
        <v>226</v>
      </c>
      <c r="AO122" s="255"/>
      <c r="AP122" s="255"/>
      <c r="AQ122" s="255" t="s">
        <v>40</v>
      </c>
      <c r="AR122" s="255"/>
      <c r="AS122" s="255"/>
      <c r="AT122" s="255" t="s">
        <v>16</v>
      </c>
      <c r="AU122" s="255"/>
      <c r="AV122" s="255"/>
      <c r="AW122" s="255"/>
      <c r="AX122" s="255"/>
      <c r="AY122" s="255"/>
      <c r="AZ122" s="255"/>
      <c r="BA122" s="255"/>
      <c r="BB122" s="255"/>
    </row>
    <row r="123" spans="1:54" ht="50.1" customHeight="1" x14ac:dyDescent="0.25">
      <c r="A123" s="249"/>
      <c r="B123" s="21"/>
      <c r="C123" s="250"/>
      <c r="D123" s="250"/>
      <c r="E123" s="250"/>
      <c r="F123" s="23"/>
      <c r="G123" s="250"/>
      <c r="H123" s="250"/>
      <c r="I123" s="250"/>
      <c r="J123" s="23"/>
      <c r="K123" s="250"/>
      <c r="L123" s="250"/>
      <c r="M123" s="250"/>
      <c r="N123" s="23"/>
      <c r="O123" s="250"/>
      <c r="P123" s="250"/>
      <c r="Q123" s="250"/>
      <c r="R123" s="23"/>
      <c r="S123" s="250"/>
      <c r="T123" s="250"/>
      <c r="U123" s="250"/>
      <c r="V123" s="250"/>
      <c r="W123" s="250"/>
      <c r="X123" s="250"/>
      <c r="Y123" s="13"/>
      <c r="Z123" s="13"/>
      <c r="AA123" s="13"/>
      <c r="AG123" s="256" t="s">
        <v>42</v>
      </c>
      <c r="AH123" s="260"/>
      <c r="AI123" s="260"/>
      <c r="AJ123" s="260"/>
      <c r="AK123" s="260"/>
      <c r="AL123" s="260"/>
      <c r="AM123" s="260"/>
      <c r="AN123" s="260"/>
      <c r="AO123" s="260"/>
      <c r="AP123" s="260"/>
      <c r="AQ123" s="260"/>
      <c r="AR123" s="260"/>
      <c r="AS123" s="260"/>
      <c r="AT123" s="260"/>
      <c r="AU123" s="260"/>
      <c r="AV123" s="260"/>
      <c r="AW123" s="260"/>
      <c r="AX123" s="260"/>
      <c r="AY123" s="260"/>
      <c r="AZ123" s="260"/>
      <c r="BA123" s="260"/>
      <c r="BB123" s="260"/>
    </row>
    <row r="124" spans="1:54" ht="50.1" customHeight="1" x14ac:dyDescent="0.25">
      <c r="A124" s="239"/>
      <c r="B124" s="4"/>
      <c r="C124" s="251"/>
      <c r="D124" s="251"/>
      <c r="E124" s="251"/>
      <c r="F124" s="1"/>
      <c r="G124" s="251"/>
      <c r="H124" s="251"/>
      <c r="I124" s="251"/>
      <c r="J124" s="1"/>
      <c r="K124" s="251"/>
      <c r="L124" s="251"/>
      <c r="M124" s="251"/>
      <c r="N124" s="1"/>
      <c r="O124" s="251"/>
      <c r="P124" s="251"/>
      <c r="Q124" s="251"/>
      <c r="R124" s="1"/>
      <c r="S124" s="251"/>
      <c r="T124" s="251"/>
      <c r="U124" s="251"/>
      <c r="V124" s="251"/>
      <c r="W124" s="251"/>
      <c r="X124" s="251"/>
      <c r="AG124" s="257"/>
      <c r="AH124" s="259"/>
      <c r="AI124" s="259"/>
      <c r="AJ124" s="259"/>
      <c r="AK124" s="259"/>
      <c r="AL124" s="259"/>
      <c r="AM124" s="259"/>
      <c r="AN124" s="259"/>
      <c r="AO124" s="259"/>
      <c r="AP124" s="259"/>
      <c r="AQ124" s="259"/>
      <c r="AR124" s="259"/>
      <c r="AS124" s="259"/>
      <c r="AT124" s="259"/>
      <c r="AU124" s="259"/>
      <c r="AV124" s="259"/>
      <c r="AW124" s="259"/>
      <c r="AX124" s="259"/>
      <c r="AY124" s="259"/>
      <c r="AZ124" s="259"/>
      <c r="BA124" s="259"/>
      <c r="BB124" s="259"/>
    </row>
    <row r="125" spans="1:54" ht="50.1" customHeight="1" x14ac:dyDescent="0.25">
      <c r="A125" s="239"/>
      <c r="B125" s="4"/>
      <c r="C125" s="251"/>
      <c r="D125" s="251"/>
      <c r="E125" s="251"/>
      <c r="F125" s="1"/>
      <c r="G125" s="251"/>
      <c r="H125" s="251"/>
      <c r="I125" s="251"/>
      <c r="J125" s="1"/>
      <c r="K125" s="251"/>
      <c r="L125" s="251"/>
      <c r="M125" s="251"/>
      <c r="N125" s="1"/>
      <c r="O125" s="251"/>
      <c r="P125" s="251"/>
      <c r="Q125" s="251"/>
      <c r="R125" s="1"/>
      <c r="S125" s="251"/>
      <c r="T125" s="251"/>
      <c r="U125" s="251"/>
      <c r="V125" s="251"/>
      <c r="W125" s="251"/>
      <c r="X125" s="251"/>
      <c r="AG125" s="257"/>
      <c r="AH125" s="259"/>
      <c r="AI125" s="259"/>
      <c r="AJ125" s="259"/>
      <c r="AK125" s="259"/>
      <c r="AL125" s="259"/>
      <c r="AM125" s="259"/>
      <c r="AN125" s="259"/>
      <c r="AO125" s="259"/>
      <c r="AP125" s="259"/>
      <c r="AQ125" s="259"/>
      <c r="AR125" s="259"/>
      <c r="AS125" s="259"/>
      <c r="AT125" s="259"/>
      <c r="AU125" s="259"/>
      <c r="AV125" s="259"/>
      <c r="AW125" s="259"/>
      <c r="AX125" s="259"/>
      <c r="AY125" s="259"/>
      <c r="AZ125" s="259"/>
      <c r="BA125" s="259"/>
      <c r="BB125" s="259"/>
    </row>
    <row r="126" spans="1:54" ht="15" customHeight="1" x14ac:dyDescent="0.25">
      <c r="A126" s="239"/>
      <c r="B126" s="4"/>
      <c r="C126" s="253"/>
      <c r="D126" s="253"/>
      <c r="E126" s="253"/>
      <c r="F126" s="3"/>
      <c r="G126" s="253"/>
      <c r="H126" s="253"/>
      <c r="I126" s="253"/>
      <c r="J126" s="3"/>
      <c r="K126" s="253"/>
      <c r="L126" s="253"/>
      <c r="M126" s="253"/>
      <c r="N126" s="3"/>
      <c r="O126" s="253"/>
      <c r="P126" s="253"/>
      <c r="Q126" s="253"/>
      <c r="R126" s="3"/>
      <c r="S126" s="253"/>
      <c r="T126" s="253"/>
      <c r="U126" s="253"/>
      <c r="V126" s="253"/>
      <c r="W126" s="253"/>
      <c r="X126" s="253"/>
      <c r="Y126" s="12"/>
      <c r="Z126" s="12"/>
      <c r="AA126" s="12"/>
      <c r="AG126" s="257"/>
      <c r="AH126" s="259" t="s">
        <v>213</v>
      </c>
      <c r="AI126" s="259"/>
      <c r="AJ126" s="259"/>
      <c r="AK126" s="259" t="s">
        <v>214</v>
      </c>
      <c r="AL126" s="259"/>
      <c r="AM126" s="259"/>
      <c r="AN126" s="259" t="s">
        <v>215</v>
      </c>
      <c r="AO126" s="259"/>
      <c r="AP126" s="259"/>
      <c r="AQ126" s="259" t="s">
        <v>216</v>
      </c>
      <c r="AR126" s="259"/>
      <c r="AS126" s="259"/>
      <c r="AT126" s="259" t="s">
        <v>217</v>
      </c>
      <c r="AU126" s="259"/>
      <c r="AV126" s="259"/>
      <c r="AW126" s="259" t="s">
        <v>218</v>
      </c>
      <c r="AX126" s="259"/>
      <c r="AY126" s="259"/>
      <c r="AZ126" s="259"/>
      <c r="BA126" s="259"/>
      <c r="BB126" s="259"/>
    </row>
    <row r="127" spans="1:54" ht="50.1" customHeight="1" x14ac:dyDescent="0.25">
      <c r="A127" s="239"/>
      <c r="B127" s="4"/>
      <c r="C127" s="251"/>
      <c r="D127" s="251"/>
      <c r="E127" s="251"/>
      <c r="F127" s="1"/>
      <c r="G127" s="251"/>
      <c r="H127" s="251"/>
      <c r="I127" s="251"/>
      <c r="J127" s="1"/>
      <c r="K127" s="251"/>
      <c r="L127" s="251"/>
      <c r="M127" s="251"/>
      <c r="N127" s="1"/>
      <c r="O127" s="251"/>
      <c r="P127" s="251"/>
      <c r="Q127" s="251"/>
      <c r="R127" s="1"/>
      <c r="S127" s="251"/>
      <c r="T127" s="251"/>
      <c r="U127" s="251"/>
      <c r="V127" s="251"/>
      <c r="W127" s="251"/>
      <c r="X127" s="251"/>
      <c r="Y127" s="251"/>
      <c r="Z127" s="251"/>
      <c r="AA127" s="251"/>
      <c r="AG127" s="257"/>
      <c r="AH127" s="259"/>
      <c r="AI127" s="259"/>
      <c r="AJ127" s="259"/>
      <c r="AK127" s="259"/>
      <c r="AL127" s="259"/>
      <c r="AM127" s="259"/>
      <c r="AN127" s="259"/>
      <c r="AO127" s="259"/>
      <c r="AP127" s="259"/>
      <c r="AQ127" s="259"/>
      <c r="AR127" s="259"/>
      <c r="AS127" s="259"/>
      <c r="AT127" s="259"/>
      <c r="AU127" s="259"/>
      <c r="AV127" s="259"/>
      <c r="AW127" s="259"/>
      <c r="AX127" s="259"/>
      <c r="AY127" s="259"/>
      <c r="AZ127" s="259"/>
      <c r="BA127" s="259"/>
      <c r="BB127" s="259"/>
    </row>
    <row r="128" spans="1:54" ht="50.1" customHeight="1" x14ac:dyDescent="0.25">
      <c r="A128" s="239"/>
      <c r="B128" s="4"/>
      <c r="C128" s="251"/>
      <c r="D128" s="251"/>
      <c r="E128" s="251"/>
      <c r="F128" s="1"/>
      <c r="G128" s="251"/>
      <c r="H128" s="251"/>
      <c r="I128" s="251"/>
      <c r="J128" s="1"/>
      <c r="K128" s="251"/>
      <c r="L128" s="251"/>
      <c r="M128" s="251"/>
      <c r="N128" s="1"/>
      <c r="O128" s="251"/>
      <c r="P128" s="251"/>
      <c r="Q128" s="251"/>
      <c r="R128" s="1"/>
      <c r="S128" s="251"/>
      <c r="T128" s="251"/>
      <c r="U128" s="251"/>
      <c r="V128" s="251"/>
      <c r="W128" s="251"/>
      <c r="X128" s="251"/>
      <c r="Y128" s="251"/>
      <c r="Z128" s="251"/>
      <c r="AA128" s="251"/>
      <c r="AG128" s="257"/>
      <c r="AH128" s="259"/>
      <c r="AI128" s="259"/>
      <c r="AJ128" s="259"/>
      <c r="AK128" s="259"/>
      <c r="AL128" s="259"/>
      <c r="AM128" s="259"/>
      <c r="AN128" s="259"/>
      <c r="AO128" s="259"/>
      <c r="AP128" s="259"/>
      <c r="AQ128" s="259"/>
      <c r="AR128" s="259"/>
      <c r="AS128" s="259"/>
      <c r="AT128" s="259"/>
      <c r="AU128" s="259"/>
      <c r="AV128" s="259"/>
      <c r="AW128" s="259"/>
      <c r="AX128" s="259"/>
      <c r="AY128" s="259"/>
      <c r="AZ128" s="259"/>
      <c r="BA128" s="259"/>
      <c r="BB128" s="259"/>
    </row>
    <row r="129" spans="1:54" ht="50.1" customHeight="1" x14ac:dyDescent="0.25">
      <c r="A129" s="239"/>
      <c r="B129" s="4"/>
      <c r="C129" s="251"/>
      <c r="D129" s="251"/>
      <c r="E129" s="251"/>
      <c r="F129" s="1"/>
      <c r="G129" s="251"/>
      <c r="H129" s="251"/>
      <c r="I129" s="251"/>
      <c r="J129" s="1"/>
      <c r="K129" s="251"/>
      <c r="L129" s="251"/>
      <c r="M129" s="251"/>
      <c r="N129" s="1"/>
      <c r="O129" s="251"/>
      <c r="P129" s="251"/>
      <c r="Q129" s="251"/>
      <c r="R129" s="1"/>
      <c r="S129" s="251"/>
      <c r="T129" s="251"/>
      <c r="U129" s="251"/>
      <c r="V129" s="251"/>
      <c r="W129" s="251"/>
      <c r="X129" s="251"/>
      <c r="Y129" s="251"/>
      <c r="Z129" s="251"/>
      <c r="AA129" s="251"/>
      <c r="AG129" s="257"/>
      <c r="AH129" s="259"/>
      <c r="AI129" s="259"/>
      <c r="AJ129" s="259"/>
      <c r="AK129" s="259"/>
      <c r="AL129" s="259"/>
      <c r="AM129" s="259"/>
      <c r="AN129" s="259"/>
      <c r="AO129" s="259"/>
      <c r="AP129" s="259"/>
      <c r="AQ129" s="259"/>
      <c r="AR129" s="259"/>
      <c r="AS129" s="259"/>
      <c r="AT129" s="259"/>
      <c r="AU129" s="259"/>
      <c r="AV129" s="259"/>
      <c r="AW129" s="259"/>
      <c r="AX129" s="259"/>
      <c r="AY129" s="259"/>
      <c r="AZ129" s="259"/>
      <c r="BA129" s="259"/>
      <c r="BB129" s="259"/>
    </row>
    <row r="130" spans="1:54" ht="15" customHeight="1" thickBot="1" x14ac:dyDescent="0.3">
      <c r="A130" s="261"/>
      <c r="B130" s="22"/>
      <c r="C130" s="254"/>
      <c r="D130" s="254"/>
      <c r="E130" s="254"/>
      <c r="F130" s="7"/>
      <c r="G130" s="254"/>
      <c r="H130" s="254"/>
      <c r="I130" s="254"/>
      <c r="J130" s="7"/>
      <c r="K130" s="254"/>
      <c r="L130" s="254"/>
      <c r="M130" s="254"/>
      <c r="N130" s="7"/>
      <c r="O130" s="254"/>
      <c r="P130" s="254"/>
      <c r="Q130" s="254"/>
      <c r="R130" s="7"/>
      <c r="S130" s="254"/>
      <c r="T130" s="254"/>
      <c r="U130" s="254"/>
      <c r="V130" s="254"/>
      <c r="W130" s="254"/>
      <c r="X130" s="254"/>
      <c r="Y130" s="254"/>
      <c r="Z130" s="254"/>
      <c r="AA130" s="254"/>
      <c r="AG130" s="258"/>
      <c r="AH130" s="255" t="s">
        <v>219</v>
      </c>
      <c r="AI130" s="255"/>
      <c r="AJ130" s="255"/>
      <c r="AK130" s="255" t="s">
        <v>220</v>
      </c>
      <c r="AL130" s="255"/>
      <c r="AM130" s="255"/>
      <c r="AN130" s="255" t="s">
        <v>221</v>
      </c>
      <c r="AO130" s="255"/>
      <c r="AP130" s="255"/>
      <c r="AQ130" s="255" t="s">
        <v>222</v>
      </c>
      <c r="AR130" s="255"/>
      <c r="AS130" s="255"/>
      <c r="AT130" s="255" t="s">
        <v>223</v>
      </c>
      <c r="AU130" s="255"/>
      <c r="AV130" s="255"/>
      <c r="AW130" s="255" t="s">
        <v>224</v>
      </c>
      <c r="AX130" s="255"/>
      <c r="AY130" s="255"/>
      <c r="AZ130" s="255" t="s">
        <v>225</v>
      </c>
      <c r="BA130" s="255"/>
      <c r="BB130" s="255"/>
    </row>
    <row r="131" spans="1:54" ht="50.1" customHeight="1" x14ac:dyDescent="0.25">
      <c r="A131" s="249"/>
      <c r="B131" s="21"/>
      <c r="C131" s="250"/>
      <c r="D131" s="250"/>
      <c r="E131" s="250"/>
      <c r="F131" s="23"/>
      <c r="G131" s="250"/>
      <c r="H131" s="250"/>
      <c r="I131" s="250"/>
      <c r="J131" s="23"/>
      <c r="K131" s="250"/>
      <c r="L131" s="250"/>
      <c r="M131" s="250"/>
      <c r="N131" s="23"/>
      <c r="O131" s="250"/>
      <c r="P131" s="250"/>
      <c r="Q131" s="250"/>
      <c r="R131" s="23"/>
      <c r="S131" s="250"/>
      <c r="T131" s="250"/>
      <c r="U131" s="250"/>
      <c r="V131" s="13"/>
      <c r="W131" s="13"/>
      <c r="X131" s="13"/>
      <c r="Y131" s="13"/>
      <c r="Z131" s="13"/>
      <c r="AA131" s="13"/>
      <c r="AG131" s="256" t="s">
        <v>44</v>
      </c>
      <c r="AH131" s="260"/>
      <c r="AI131" s="260"/>
      <c r="AJ131" s="260"/>
      <c r="AK131" s="260"/>
      <c r="AL131" s="260"/>
      <c r="AM131" s="260"/>
      <c r="AN131" s="260"/>
      <c r="AO131" s="260"/>
      <c r="AP131" s="260"/>
      <c r="AQ131" s="260"/>
      <c r="AR131" s="260"/>
      <c r="AS131" s="260"/>
      <c r="AT131" s="260"/>
      <c r="AU131" s="260"/>
      <c r="AV131" s="260"/>
      <c r="AW131" s="260"/>
      <c r="AX131" s="260"/>
      <c r="AY131" s="260"/>
      <c r="AZ131" s="260"/>
      <c r="BA131" s="260"/>
      <c r="BB131" s="260"/>
    </row>
    <row r="132" spans="1:54" ht="50.1" customHeight="1" x14ac:dyDescent="0.25">
      <c r="A132" s="239"/>
      <c r="B132" s="4"/>
      <c r="C132" s="251"/>
      <c r="D132" s="251"/>
      <c r="E132" s="251"/>
      <c r="F132" s="1"/>
      <c r="G132" s="251"/>
      <c r="H132" s="251"/>
      <c r="I132" s="251"/>
      <c r="J132" s="1"/>
      <c r="K132" s="251"/>
      <c r="L132" s="251"/>
      <c r="M132" s="251"/>
      <c r="N132" s="1"/>
      <c r="O132" s="251"/>
      <c r="P132" s="251"/>
      <c r="Q132" s="251"/>
      <c r="R132" s="1"/>
      <c r="S132" s="251"/>
      <c r="T132" s="251"/>
      <c r="U132" s="251"/>
      <c r="AG132" s="257"/>
      <c r="AH132" s="259"/>
      <c r="AI132" s="259"/>
      <c r="AJ132" s="259"/>
      <c r="AK132" s="259"/>
      <c r="AL132" s="259"/>
      <c r="AM132" s="259"/>
      <c r="AN132" s="259"/>
      <c r="AO132" s="259"/>
      <c r="AP132" s="259"/>
      <c r="AQ132" s="259"/>
      <c r="AR132" s="259"/>
      <c r="AS132" s="259"/>
      <c r="AT132" s="259"/>
      <c r="AU132" s="259"/>
      <c r="AV132" s="259"/>
      <c r="AW132" s="259"/>
      <c r="AX132" s="259"/>
      <c r="AY132" s="259"/>
      <c r="AZ132" s="259"/>
      <c r="BA132" s="259"/>
      <c r="BB132" s="259"/>
    </row>
    <row r="133" spans="1:54" ht="50.1" customHeight="1" x14ac:dyDescent="0.25">
      <c r="A133" s="239"/>
      <c r="B133" s="4"/>
      <c r="C133" s="251"/>
      <c r="D133" s="251"/>
      <c r="E133" s="251"/>
      <c r="F133" s="1"/>
      <c r="G133" s="251"/>
      <c r="H133" s="251"/>
      <c r="I133" s="251"/>
      <c r="J133" s="1"/>
      <c r="K133" s="251"/>
      <c r="L133" s="251"/>
      <c r="M133" s="251"/>
      <c r="N133" s="1"/>
      <c r="O133" s="251"/>
      <c r="P133" s="251"/>
      <c r="Q133" s="251"/>
      <c r="R133" s="1"/>
      <c r="S133" s="251"/>
      <c r="T133" s="251"/>
      <c r="U133" s="251"/>
      <c r="AG133" s="257"/>
      <c r="AH133" s="259"/>
      <c r="AI133" s="259"/>
      <c r="AJ133" s="259"/>
      <c r="AK133" s="259"/>
      <c r="AL133" s="259"/>
      <c r="AM133" s="259"/>
      <c r="AN133" s="259"/>
      <c r="AO133" s="259"/>
      <c r="AP133" s="259"/>
      <c r="AQ133" s="259"/>
      <c r="AR133" s="259"/>
      <c r="AS133" s="259"/>
      <c r="AT133" s="259"/>
      <c r="AU133" s="259"/>
      <c r="AV133" s="259"/>
      <c r="AW133" s="259"/>
      <c r="AX133" s="259"/>
      <c r="AY133" s="259"/>
      <c r="AZ133" s="259"/>
      <c r="BA133" s="259"/>
      <c r="BB133" s="259"/>
    </row>
    <row r="134" spans="1:54" ht="15" customHeight="1" thickBot="1" x14ac:dyDescent="0.3">
      <c r="A134" s="261"/>
      <c r="B134" s="22"/>
      <c r="C134" s="254"/>
      <c r="D134" s="254"/>
      <c r="E134" s="254"/>
      <c r="F134" s="7"/>
      <c r="G134" s="254"/>
      <c r="H134" s="254"/>
      <c r="I134" s="254"/>
      <c r="J134" s="7"/>
      <c r="K134" s="254"/>
      <c r="L134" s="254"/>
      <c r="M134" s="254"/>
      <c r="N134" s="7"/>
      <c r="O134" s="254"/>
      <c r="P134" s="254"/>
      <c r="Q134" s="254"/>
      <c r="R134" s="7"/>
      <c r="S134" s="254"/>
      <c r="T134" s="254"/>
      <c r="U134" s="254"/>
      <c r="V134" s="6"/>
      <c r="W134" s="6"/>
      <c r="X134" s="6"/>
      <c r="Y134" s="6"/>
      <c r="Z134" s="6"/>
      <c r="AA134" s="6"/>
      <c r="AG134" s="258"/>
      <c r="AH134" s="255" t="s">
        <v>10</v>
      </c>
      <c r="AI134" s="255"/>
      <c r="AJ134" s="255"/>
      <c r="AK134" s="255" t="s">
        <v>13</v>
      </c>
      <c r="AL134" s="255"/>
      <c r="AM134" s="255"/>
      <c r="AN134" s="255" t="s">
        <v>228</v>
      </c>
      <c r="AO134" s="255"/>
      <c r="AP134" s="255"/>
      <c r="AQ134" s="255" t="s">
        <v>229</v>
      </c>
      <c r="AR134" s="255"/>
      <c r="AS134" s="255"/>
      <c r="AT134" s="255" t="s">
        <v>227</v>
      </c>
      <c r="AU134" s="255"/>
      <c r="AV134" s="255"/>
      <c r="AW134" s="255"/>
      <c r="AX134" s="255"/>
      <c r="AY134" s="255"/>
      <c r="AZ134" s="255"/>
      <c r="BA134" s="255"/>
      <c r="BB134" s="255"/>
    </row>
  </sheetData>
  <mergeCells count="341">
    <mergeCell ref="A14:A17"/>
    <mergeCell ref="A2:A5"/>
    <mergeCell ref="A6:A13"/>
    <mergeCell ref="AT29:AV29"/>
    <mergeCell ref="V21:X21"/>
    <mergeCell ref="Y13:AA13"/>
    <mergeCell ref="V6:X8"/>
    <mergeCell ref="V9:X9"/>
    <mergeCell ref="V13:X13"/>
    <mergeCell ref="V10:X12"/>
    <mergeCell ref="Y10:AA12"/>
    <mergeCell ref="V22:X24"/>
    <mergeCell ref="Y22:AA24"/>
    <mergeCell ref="V25:X25"/>
    <mergeCell ref="Y25:AA25"/>
    <mergeCell ref="J22:M24"/>
    <mergeCell ref="R25:U25"/>
    <mergeCell ref="R22:U24"/>
    <mergeCell ref="V18:X20"/>
    <mergeCell ref="A26:A29"/>
    <mergeCell ref="A18:A25"/>
    <mergeCell ref="AT6:AV8"/>
    <mergeCell ref="AH17:AJ17"/>
    <mergeCell ref="AK17:AM17"/>
    <mergeCell ref="AH1:BB1"/>
    <mergeCell ref="AG2:AG5"/>
    <mergeCell ref="AH2:AJ4"/>
    <mergeCell ref="AK2:AM4"/>
    <mergeCell ref="AN2:AP4"/>
    <mergeCell ref="AH5:AJ5"/>
    <mergeCell ref="AK5:AM5"/>
    <mergeCell ref="AN5:AP5"/>
    <mergeCell ref="C1:AA1"/>
    <mergeCell ref="B2:E4"/>
    <mergeCell ref="B5:E5"/>
    <mergeCell ref="J2:M4"/>
    <mergeCell ref="J5:M5"/>
    <mergeCell ref="AW6:AY8"/>
    <mergeCell ref="AH9:AJ9"/>
    <mergeCell ref="AK9:AM9"/>
    <mergeCell ref="AN9:AP9"/>
    <mergeCell ref="AQ9:AS9"/>
    <mergeCell ref="AT9:AV9"/>
    <mergeCell ref="AW9:AY9"/>
    <mergeCell ref="AG6:AG13"/>
    <mergeCell ref="AH6:AJ8"/>
    <mergeCell ref="AK6:AM8"/>
    <mergeCell ref="AN6:AP8"/>
    <mergeCell ref="AQ6:AS8"/>
    <mergeCell ref="AH10:AJ12"/>
    <mergeCell ref="AK10:AM12"/>
    <mergeCell ref="AN10:AP12"/>
    <mergeCell ref="AQ10:AS12"/>
    <mergeCell ref="AT10:AV12"/>
    <mergeCell ref="AW10:AY12"/>
    <mergeCell ref="AZ10:BB12"/>
    <mergeCell ref="AH13:AJ13"/>
    <mergeCell ref="AK13:AM13"/>
    <mergeCell ref="AN13:AP13"/>
    <mergeCell ref="AQ13:AS13"/>
    <mergeCell ref="AT13:AV13"/>
    <mergeCell ref="AW13:AY13"/>
    <mergeCell ref="AZ13:BB13"/>
    <mergeCell ref="AT14:AV16"/>
    <mergeCell ref="AN17:AP17"/>
    <mergeCell ref="AQ17:AS17"/>
    <mergeCell ref="AT17:AV17"/>
    <mergeCell ref="AG14:AG17"/>
    <mergeCell ref="AH14:AJ16"/>
    <mergeCell ref="AK14:AM16"/>
    <mergeCell ref="AN14:AP16"/>
    <mergeCell ref="AQ14:AS16"/>
    <mergeCell ref="AT18:AV20"/>
    <mergeCell ref="AW18:AY20"/>
    <mergeCell ref="AH21:AJ21"/>
    <mergeCell ref="AK21:AM21"/>
    <mergeCell ref="AN21:AP21"/>
    <mergeCell ref="AQ21:AS21"/>
    <mergeCell ref="AT21:AV21"/>
    <mergeCell ref="AW21:AY21"/>
    <mergeCell ref="AG18:AG25"/>
    <mergeCell ref="AH18:AJ20"/>
    <mergeCell ref="AK18:AM20"/>
    <mergeCell ref="AN18:AP20"/>
    <mergeCell ref="AQ18:AS20"/>
    <mergeCell ref="AH22:AJ24"/>
    <mergeCell ref="AK22:AM24"/>
    <mergeCell ref="AN22:AP24"/>
    <mergeCell ref="AQ22:AS24"/>
    <mergeCell ref="AT22:AV24"/>
    <mergeCell ref="AW22:AY24"/>
    <mergeCell ref="AZ22:BB24"/>
    <mergeCell ref="AH25:AJ25"/>
    <mergeCell ref="AK25:AM25"/>
    <mergeCell ref="AN25:AP25"/>
    <mergeCell ref="AQ25:AS25"/>
    <mergeCell ref="AT25:AV25"/>
    <mergeCell ref="AW25:AY25"/>
    <mergeCell ref="AZ25:BB25"/>
    <mergeCell ref="AT26:AV28"/>
    <mergeCell ref="AH29:AJ29"/>
    <mergeCell ref="C106:AA106"/>
    <mergeCell ref="AH106:BB106"/>
    <mergeCell ref="AG26:AG29"/>
    <mergeCell ref="AH26:AJ28"/>
    <mergeCell ref="AK26:AM28"/>
    <mergeCell ref="AN26:AP28"/>
    <mergeCell ref="AQ26:AS28"/>
    <mergeCell ref="AK29:AM29"/>
    <mergeCell ref="AN29:AP29"/>
    <mergeCell ref="AQ29:AS29"/>
    <mergeCell ref="F29:I29"/>
    <mergeCell ref="J26:M28"/>
    <mergeCell ref="R26:U28"/>
    <mergeCell ref="R29:U29"/>
    <mergeCell ref="F26:I28"/>
    <mergeCell ref="A107:A110"/>
    <mergeCell ref="C107:E109"/>
    <mergeCell ref="G107:I109"/>
    <mergeCell ref="K107:M109"/>
    <mergeCell ref="AG107:AG110"/>
    <mergeCell ref="S127:U129"/>
    <mergeCell ref="S123:U125"/>
    <mergeCell ref="K122:M122"/>
    <mergeCell ref="O122:Q122"/>
    <mergeCell ref="S122:U122"/>
    <mergeCell ref="S115:U117"/>
    <mergeCell ref="S111:U113"/>
    <mergeCell ref="K111:M113"/>
    <mergeCell ref="O111:Q113"/>
    <mergeCell ref="C115:E117"/>
    <mergeCell ref="G115:I117"/>
    <mergeCell ref="K115:M117"/>
    <mergeCell ref="O115:Q117"/>
    <mergeCell ref="C127:E129"/>
    <mergeCell ref="G127:I129"/>
    <mergeCell ref="K127:M129"/>
    <mergeCell ref="O127:Q129"/>
    <mergeCell ref="A123:A130"/>
    <mergeCell ref="C130:E130"/>
    <mergeCell ref="AH107:AJ109"/>
    <mergeCell ref="AK107:AM109"/>
    <mergeCell ref="AN107:AP109"/>
    <mergeCell ref="C110:E110"/>
    <mergeCell ref="G110:I110"/>
    <mergeCell ref="K110:M110"/>
    <mergeCell ref="AH110:AJ110"/>
    <mergeCell ref="AK110:AM110"/>
    <mergeCell ref="AN110:AP110"/>
    <mergeCell ref="AQ111:AS113"/>
    <mergeCell ref="AT111:AV113"/>
    <mergeCell ref="AW111:AY113"/>
    <mergeCell ref="C114:E114"/>
    <mergeCell ref="G114:I114"/>
    <mergeCell ref="K114:M114"/>
    <mergeCell ref="O114:Q114"/>
    <mergeCell ref="S114:U114"/>
    <mergeCell ref="V114:X114"/>
    <mergeCell ref="AH114:AJ114"/>
    <mergeCell ref="AK114:AM114"/>
    <mergeCell ref="AN114:AP114"/>
    <mergeCell ref="AQ114:AS114"/>
    <mergeCell ref="AT114:AV114"/>
    <mergeCell ref="AW114:AY114"/>
    <mergeCell ref="V111:X113"/>
    <mergeCell ref="AG111:AG118"/>
    <mergeCell ref="AH111:AJ113"/>
    <mergeCell ref="AK111:AM113"/>
    <mergeCell ref="AN111:AP113"/>
    <mergeCell ref="V115:X117"/>
    <mergeCell ref="Y115:AA117"/>
    <mergeCell ref="AH115:AJ117"/>
    <mergeCell ref="AK115:AM117"/>
    <mergeCell ref="AZ115:BB117"/>
    <mergeCell ref="C118:E118"/>
    <mergeCell ref="G118:I118"/>
    <mergeCell ref="K118:M118"/>
    <mergeCell ref="O118:Q118"/>
    <mergeCell ref="S118:U118"/>
    <mergeCell ref="V118:X118"/>
    <mergeCell ref="Y118:AA118"/>
    <mergeCell ref="AH118:AJ118"/>
    <mergeCell ref="AK118:AM118"/>
    <mergeCell ref="AN118:AP118"/>
    <mergeCell ref="AQ118:AS118"/>
    <mergeCell ref="AT118:AV118"/>
    <mergeCell ref="AN115:AP117"/>
    <mergeCell ref="AQ122:AS122"/>
    <mergeCell ref="AT122:AV122"/>
    <mergeCell ref="AW118:AY118"/>
    <mergeCell ref="AZ118:BB118"/>
    <mergeCell ref="A119:A122"/>
    <mergeCell ref="C119:E121"/>
    <mergeCell ref="G119:I121"/>
    <mergeCell ref="K119:M121"/>
    <mergeCell ref="O119:Q121"/>
    <mergeCell ref="S119:U121"/>
    <mergeCell ref="AG119:AG122"/>
    <mergeCell ref="AH119:AJ121"/>
    <mergeCell ref="AK119:AM121"/>
    <mergeCell ref="AN119:AP121"/>
    <mergeCell ref="AQ119:AS121"/>
    <mergeCell ref="AT119:AV121"/>
    <mergeCell ref="C122:E122"/>
    <mergeCell ref="G122:I122"/>
    <mergeCell ref="A111:A118"/>
    <mergeCell ref="C111:E113"/>
    <mergeCell ref="G111:I113"/>
    <mergeCell ref="AQ115:AS117"/>
    <mergeCell ref="AT115:AV117"/>
    <mergeCell ref="AW115:AY117"/>
    <mergeCell ref="AQ127:AS129"/>
    <mergeCell ref="AH123:AJ125"/>
    <mergeCell ref="AK123:AM125"/>
    <mergeCell ref="AN123:AP125"/>
    <mergeCell ref="V127:X129"/>
    <mergeCell ref="Y127:AA129"/>
    <mergeCell ref="AH127:AJ129"/>
    <mergeCell ref="AK127:AM129"/>
    <mergeCell ref="C126:E126"/>
    <mergeCell ref="G126:I126"/>
    <mergeCell ref="K126:M126"/>
    <mergeCell ref="O126:Q126"/>
    <mergeCell ref="S126:U126"/>
    <mergeCell ref="V126:X126"/>
    <mergeCell ref="AH126:AJ126"/>
    <mergeCell ref="AK126:AM126"/>
    <mergeCell ref="AN126:AP126"/>
    <mergeCell ref="AN127:AP129"/>
    <mergeCell ref="K134:M134"/>
    <mergeCell ref="O134:Q134"/>
    <mergeCell ref="S134:U134"/>
    <mergeCell ref="AH134:AJ134"/>
    <mergeCell ref="AK134:AM134"/>
    <mergeCell ref="A131:A134"/>
    <mergeCell ref="C131:E133"/>
    <mergeCell ref="G131:I133"/>
    <mergeCell ref="K131:M133"/>
    <mergeCell ref="O131:Q133"/>
    <mergeCell ref="S131:U133"/>
    <mergeCell ref="AG131:AG134"/>
    <mergeCell ref="AH131:AJ133"/>
    <mergeCell ref="AK131:AM133"/>
    <mergeCell ref="C134:E134"/>
    <mergeCell ref="G134:I134"/>
    <mergeCell ref="AT127:AV129"/>
    <mergeCell ref="AQ107:BB110"/>
    <mergeCell ref="AZ111:BB114"/>
    <mergeCell ref="AW119:BB122"/>
    <mergeCell ref="AZ123:BB126"/>
    <mergeCell ref="AW131:BB134"/>
    <mergeCell ref="AN131:AP133"/>
    <mergeCell ref="AQ131:AS133"/>
    <mergeCell ref="AT131:AV133"/>
    <mergeCell ref="AW127:AY129"/>
    <mergeCell ref="AZ127:BB129"/>
    <mergeCell ref="AQ130:AS130"/>
    <mergeCell ref="AT130:AV130"/>
    <mergeCell ref="AN134:AP134"/>
    <mergeCell ref="AQ134:AS134"/>
    <mergeCell ref="AT134:AV134"/>
    <mergeCell ref="AZ130:BB130"/>
    <mergeCell ref="AW130:AY130"/>
    <mergeCell ref="AQ123:AS125"/>
    <mergeCell ref="AT123:AV125"/>
    <mergeCell ref="AW123:AY125"/>
    <mergeCell ref="AQ126:AS126"/>
    <mergeCell ref="AT126:AV126"/>
    <mergeCell ref="AW126:AY126"/>
    <mergeCell ref="V130:X130"/>
    <mergeCell ref="Y130:AA130"/>
    <mergeCell ref="AH130:AJ130"/>
    <mergeCell ref="AK130:AM130"/>
    <mergeCell ref="AN130:AP130"/>
    <mergeCell ref="B22:E24"/>
    <mergeCell ref="B26:E28"/>
    <mergeCell ref="B29:E29"/>
    <mergeCell ref="B25:E25"/>
    <mergeCell ref="J25:M25"/>
    <mergeCell ref="J29:M29"/>
    <mergeCell ref="N25:Q25"/>
    <mergeCell ref="N26:Q28"/>
    <mergeCell ref="N29:Q29"/>
    <mergeCell ref="V123:X125"/>
    <mergeCell ref="AG123:AG130"/>
    <mergeCell ref="C123:E125"/>
    <mergeCell ref="G123:I125"/>
    <mergeCell ref="K123:M125"/>
    <mergeCell ref="O123:Q125"/>
    <mergeCell ref="G130:I130"/>
    <mergeCell ref="AH122:AJ122"/>
    <mergeCell ref="AK122:AM122"/>
    <mergeCell ref="AN122:AP122"/>
    <mergeCell ref="F25:I25"/>
    <mergeCell ref="K130:M130"/>
    <mergeCell ref="O130:Q130"/>
    <mergeCell ref="S130:U130"/>
    <mergeCell ref="F2:I4"/>
    <mergeCell ref="F5:I5"/>
    <mergeCell ref="J18:M20"/>
    <mergeCell ref="J14:M16"/>
    <mergeCell ref="J10:M12"/>
    <mergeCell ref="J6:M8"/>
    <mergeCell ref="B17:E17"/>
    <mergeCell ref="B13:E13"/>
    <mergeCell ref="B9:E9"/>
    <mergeCell ref="F10:I12"/>
    <mergeCell ref="F14:I16"/>
    <mergeCell ref="F18:I20"/>
    <mergeCell ref="N22:Q24"/>
    <mergeCell ref="J9:M9"/>
    <mergeCell ref="J13:M13"/>
    <mergeCell ref="J17:M17"/>
    <mergeCell ref="F9:I9"/>
    <mergeCell ref="F13:I13"/>
    <mergeCell ref="F17:I17"/>
    <mergeCell ref="F21:I21"/>
    <mergeCell ref="B6:E8"/>
    <mergeCell ref="B10:E12"/>
    <mergeCell ref="B14:E16"/>
    <mergeCell ref="B18:E20"/>
    <mergeCell ref="F6:I8"/>
    <mergeCell ref="F22:I24"/>
    <mergeCell ref="R21:U21"/>
    <mergeCell ref="R18:U20"/>
    <mergeCell ref="R17:U17"/>
    <mergeCell ref="R14:U16"/>
    <mergeCell ref="R13:U13"/>
    <mergeCell ref="R10:U12"/>
    <mergeCell ref="R9:U9"/>
    <mergeCell ref="R6:U8"/>
    <mergeCell ref="J21:M21"/>
    <mergeCell ref="N6:Q8"/>
    <mergeCell ref="N9:Q9"/>
    <mergeCell ref="N10:Q12"/>
    <mergeCell ref="N13:Q13"/>
    <mergeCell ref="N14:Q16"/>
    <mergeCell ref="N17:Q17"/>
    <mergeCell ref="N18:Q20"/>
    <mergeCell ref="N21:Q21"/>
    <mergeCell ref="B21:E21"/>
  </mergeCells>
  <conditionalFormatting sqref="B30:U3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23622047244094491" right="0.23622047244094491" top="0.74803149606299213" bottom="0.74803149606299213" header="0.31496062992125984" footer="0.31496062992125984"/>
  <pageSetup paperSize="8" scale="63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AJ1000"/>
  <sheetViews>
    <sheetView workbookViewId="0">
      <selection activeCell="Z21" sqref="Z21"/>
    </sheetView>
  </sheetViews>
  <sheetFormatPr baseColWidth="10" defaultRowHeight="15" x14ac:dyDescent="0.25"/>
  <cols>
    <col min="14" max="19" width="9.7109375" customWidth="1"/>
    <col min="21" max="21" width="12.85546875" customWidth="1"/>
    <col min="22" max="27" width="9.7109375" customWidth="1"/>
  </cols>
  <sheetData>
    <row r="1" spans="1:36" x14ac:dyDescent="0.25">
      <c r="A1" s="73"/>
      <c r="B1" s="74"/>
      <c r="C1" s="74"/>
      <c r="D1" s="74"/>
      <c r="E1" s="74"/>
      <c r="F1" s="74"/>
      <c r="G1" s="73"/>
      <c r="H1" s="74"/>
      <c r="I1" s="73"/>
      <c r="J1" s="73"/>
      <c r="K1" s="151"/>
      <c r="L1" s="73"/>
      <c r="M1" s="73"/>
      <c r="N1" s="74"/>
      <c r="O1" s="73"/>
      <c r="P1" s="73"/>
      <c r="Q1" s="74"/>
      <c r="R1" s="73"/>
      <c r="S1" s="73"/>
      <c r="T1" s="74"/>
      <c r="U1" s="73"/>
      <c r="V1" s="73"/>
      <c r="W1" s="74"/>
      <c r="X1" s="73"/>
      <c r="Y1" s="74"/>
      <c r="Z1" s="74"/>
      <c r="AA1" s="74"/>
      <c r="AB1" s="73"/>
      <c r="AC1" s="73"/>
      <c r="AD1" s="73"/>
      <c r="AE1" s="73"/>
      <c r="AF1" s="73"/>
      <c r="AG1" s="73"/>
      <c r="AH1" s="73"/>
      <c r="AI1" s="73"/>
      <c r="AJ1" s="73"/>
    </row>
    <row r="2" spans="1:36" x14ac:dyDescent="0.25">
      <c r="A2" s="73"/>
      <c r="B2" s="73"/>
      <c r="C2" s="73"/>
      <c r="D2" s="73"/>
      <c r="E2" s="74"/>
      <c r="F2" s="73"/>
      <c r="G2" s="74"/>
      <c r="H2" s="74"/>
      <c r="I2" s="74"/>
      <c r="J2" s="74"/>
      <c r="K2" s="74"/>
      <c r="L2" s="74"/>
      <c r="M2" s="73" t="s">
        <v>309</v>
      </c>
      <c r="N2" s="66">
        <f>BerechnungenCLT!H45</f>
        <v>156218.65054905906</v>
      </c>
      <c r="O2" s="66">
        <f>BerechnungenCLT!I45</f>
        <v>137794.88804905905</v>
      </c>
      <c r="P2" s="152">
        <f>BerechnungenCLT!J45</f>
        <v>0</v>
      </c>
      <c r="Q2" s="153">
        <f>BerechnungenCLT!K45</f>
        <v>0</v>
      </c>
      <c r="R2" s="153">
        <f>BerechnungenCLT!L45</f>
        <v>0</v>
      </c>
      <c r="S2" s="153">
        <f>BerechnungenCLT!M45</f>
        <v>0</v>
      </c>
      <c r="T2" s="154"/>
      <c r="U2" s="154" t="s">
        <v>310</v>
      </c>
      <c r="V2" s="153">
        <f>N2/SUM(BerechnungenCLT!$E$10:$E$42)</f>
        <v>41314.023285701573</v>
      </c>
      <c r="W2" s="153">
        <f>O2/SUM(BerechnungenCLT!$E$10:$E$42)</f>
        <v>36441.623285701571</v>
      </c>
      <c r="X2" s="157">
        <f>P2/SUM(BerechnungenCLT!$E$10:$E$42)</f>
        <v>0</v>
      </c>
      <c r="Y2" s="153">
        <f>Q2/SUM(BerechnungenCLT!$E$10:$E$42)</f>
        <v>0</v>
      </c>
      <c r="Z2" s="153">
        <f>R2/SUM(BerechnungenCLT!$E$10:$E$42)</f>
        <v>0</v>
      </c>
      <c r="AA2" s="153">
        <f>S2/SUM(BerechnungenCLT!$E$10:$E$42)</f>
        <v>0</v>
      </c>
      <c r="AB2" s="73"/>
      <c r="AC2" s="73"/>
      <c r="AD2" s="73"/>
      <c r="AE2" s="73"/>
      <c r="AF2" s="73"/>
      <c r="AG2" s="73"/>
      <c r="AH2" s="73"/>
      <c r="AI2" s="73"/>
      <c r="AJ2" s="73"/>
    </row>
    <row r="3" spans="1:36" x14ac:dyDescent="0.25">
      <c r="A3" s="73"/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3"/>
      <c r="N3" s="66">
        <f>BerechnungenCLT!H46</f>
        <v>137794.88804905905</v>
      </c>
      <c r="O3" s="66">
        <f>BerechnungenCLT!I46</f>
        <v>156218.65054905895</v>
      </c>
      <c r="P3" s="152">
        <f>BerechnungenCLT!J46</f>
        <v>0</v>
      </c>
      <c r="Q3" s="153">
        <f>BerechnungenCLT!K46</f>
        <v>0</v>
      </c>
      <c r="R3" s="153">
        <f>BerechnungenCLT!L46</f>
        <v>0</v>
      </c>
      <c r="S3" s="153">
        <f>BerechnungenCLT!M46</f>
        <v>0</v>
      </c>
      <c r="T3" s="154"/>
      <c r="U3" s="154"/>
      <c r="V3" s="153">
        <f>N3/SUM(BerechnungenCLT!$E$10:$E$42)</f>
        <v>36441.623285701571</v>
      </c>
      <c r="W3" s="153">
        <f>O3/SUM(BerechnungenCLT!$E$10:$E$42)</f>
        <v>41314.023285701544</v>
      </c>
      <c r="X3" s="157">
        <f>P3/SUM(BerechnungenCLT!$E$10:$E$42)</f>
        <v>0</v>
      </c>
      <c r="Y3" s="153">
        <f>Q3/SUM(BerechnungenCLT!$E$10:$E$42)</f>
        <v>0</v>
      </c>
      <c r="Z3" s="153">
        <f>R3/SUM(BerechnungenCLT!$E$10:$E$42)</f>
        <v>0</v>
      </c>
      <c r="AA3" s="153">
        <f>S3/SUM(BerechnungenCLT!$E$10:$E$42)</f>
        <v>0</v>
      </c>
      <c r="AB3" s="73"/>
      <c r="AC3" s="73"/>
      <c r="AD3" s="73"/>
      <c r="AE3" s="73"/>
      <c r="AF3" s="73"/>
      <c r="AG3" s="73"/>
      <c r="AH3" s="73"/>
      <c r="AI3" s="73"/>
      <c r="AJ3" s="73"/>
    </row>
    <row r="4" spans="1:36" x14ac:dyDescent="0.25">
      <c r="A4" s="73"/>
      <c r="B4" s="73"/>
      <c r="C4" s="73"/>
      <c r="D4" s="73"/>
      <c r="E4" s="74"/>
      <c r="F4" s="73"/>
      <c r="G4" s="74"/>
      <c r="H4" s="74"/>
      <c r="I4" s="74"/>
      <c r="J4" s="74"/>
      <c r="K4" s="74"/>
      <c r="L4" s="74"/>
      <c r="M4" s="73"/>
      <c r="N4" s="111">
        <f>BerechnungenCLT!H47</f>
        <v>0</v>
      </c>
      <c r="O4" s="111">
        <f>BerechnungenCLT!I47</f>
        <v>0</v>
      </c>
      <c r="P4" s="155">
        <f>BerechnungenCLT!J47</f>
        <v>140343.51147743664</v>
      </c>
      <c r="Q4" s="156">
        <f>BerechnungenCLT!K47</f>
        <v>0</v>
      </c>
      <c r="R4" s="156">
        <f>BerechnungenCLT!L47</f>
        <v>0</v>
      </c>
      <c r="S4" s="156">
        <f>BerechnungenCLT!M47</f>
        <v>-7.2759576141834259E-12</v>
      </c>
      <c r="T4" s="154"/>
      <c r="U4" s="154"/>
      <c r="V4" s="156">
        <f>N4/SUM(BerechnungenCLT!$E$10:$E$42)</f>
        <v>0</v>
      </c>
      <c r="W4" s="156">
        <f>O4/SUM(BerechnungenCLT!$E$10:$E$42)</f>
        <v>0</v>
      </c>
      <c r="X4" s="158">
        <f>P4/SUM(BerechnungenCLT!$E$10:$E$42)</f>
        <v>37115.639398991509</v>
      </c>
      <c r="Y4" s="156">
        <f>Q4/SUM(BerechnungenCLT!$E$10:$E$42)</f>
        <v>0</v>
      </c>
      <c r="Z4" s="156">
        <f>R4/SUM(BerechnungenCLT!$E$10:$E$42)</f>
        <v>0</v>
      </c>
      <c r="AA4" s="156">
        <f>S4/SUM(BerechnungenCLT!$E$10:$E$42)</f>
        <v>-1.9242201954865259E-12</v>
      </c>
      <c r="AB4" s="73"/>
      <c r="AC4" s="73"/>
      <c r="AD4" s="73"/>
      <c r="AE4" s="73"/>
      <c r="AF4" s="73"/>
      <c r="AG4" s="73"/>
      <c r="AH4" s="73"/>
      <c r="AI4" s="73"/>
      <c r="AJ4" s="73"/>
    </row>
    <row r="5" spans="1:36" x14ac:dyDescent="0.25">
      <c r="A5" s="73"/>
      <c r="B5" s="73"/>
      <c r="C5" s="73"/>
      <c r="D5" s="73"/>
      <c r="E5" s="74"/>
      <c r="F5" s="73"/>
      <c r="G5" s="74"/>
      <c r="H5" s="74"/>
      <c r="I5" s="74"/>
      <c r="J5" s="74"/>
      <c r="K5" s="74"/>
      <c r="L5" s="74"/>
      <c r="M5" s="73"/>
      <c r="N5" s="153">
        <f>BerechnungenCLT!K45</f>
        <v>0</v>
      </c>
      <c r="O5" s="153">
        <f>BerechnungenCLT!L45</f>
        <v>0</v>
      </c>
      <c r="P5" s="157">
        <f>BerechnungenCLT!M45</f>
        <v>0</v>
      </c>
      <c r="Q5" s="153">
        <f>BerechnungenCLT!N45</f>
        <v>186132.58973704214</v>
      </c>
      <c r="R5" s="153">
        <f>BerechnungenCLT!O45</f>
        <v>164180.90461639594</v>
      </c>
      <c r="S5" s="153">
        <f>BerechnungenCLT!P45</f>
        <v>117757.52163165018</v>
      </c>
      <c r="T5" s="154"/>
      <c r="U5" s="154"/>
      <c r="V5" s="153">
        <f>N5/SUM(BerechnungenCLT!$E$10:$E$42)</f>
        <v>0</v>
      </c>
      <c r="W5" s="153">
        <f>O5/SUM(BerechnungenCLT!$E$10:$E$42)</f>
        <v>0</v>
      </c>
      <c r="X5" s="157">
        <f>P5/SUM(BerechnungenCLT!$E$10:$E$42)</f>
        <v>0</v>
      </c>
      <c r="Y5" s="153">
        <f>Q5/SUM(BerechnungenCLT!$E$10:$E$42)</f>
        <v>49225.147699052468</v>
      </c>
      <c r="Z5" s="153">
        <f>R5/SUM(BerechnungenCLT!$E$10:$E$42)</f>
        <v>43419.743369625372</v>
      </c>
      <c r="AA5" s="153">
        <f>S5/SUM(BerechnungenCLT!$E$10:$E$42)</f>
        <v>31142.485059609964</v>
      </c>
      <c r="AB5" s="73"/>
      <c r="AC5" s="73"/>
      <c r="AD5" s="73"/>
      <c r="AE5" s="73"/>
      <c r="AF5" s="73"/>
      <c r="AG5" s="73"/>
      <c r="AH5" s="73"/>
      <c r="AI5" s="73"/>
      <c r="AJ5" s="73"/>
    </row>
    <row r="6" spans="1:36" x14ac:dyDescent="0.25">
      <c r="A6" s="73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3"/>
      <c r="N6" s="153">
        <f>BerechnungenCLT!K46</f>
        <v>0</v>
      </c>
      <c r="O6" s="153">
        <f>BerechnungenCLT!L46</f>
        <v>0</v>
      </c>
      <c r="P6" s="157">
        <f>BerechnungenCLT!M46</f>
        <v>0</v>
      </c>
      <c r="Q6" s="153">
        <f>BerechnungenCLT!N46</f>
        <v>164180.90461639594</v>
      </c>
      <c r="R6" s="153">
        <f>BerechnungenCLT!O46</f>
        <v>186132.58973704203</v>
      </c>
      <c r="S6" s="153">
        <f>BerechnungenCLT!P46</f>
        <v>117757.52163165015</v>
      </c>
      <c r="T6" s="154"/>
      <c r="U6" s="154"/>
      <c r="V6" s="153">
        <f>N6/SUM(BerechnungenCLT!$E$10:$E$42)</f>
        <v>0</v>
      </c>
      <c r="W6" s="153">
        <f>O6/SUM(BerechnungenCLT!$E$10:$E$42)</f>
        <v>0</v>
      </c>
      <c r="X6" s="157">
        <f>P6/SUM(BerechnungenCLT!$E$10:$E$42)</f>
        <v>0</v>
      </c>
      <c r="Y6" s="153">
        <f>Q6/SUM(BerechnungenCLT!$E$10:$E$42)</f>
        <v>43419.743369625372</v>
      </c>
      <c r="Z6" s="153">
        <f>R6/SUM(BerechnungenCLT!$E$10:$E$42)</f>
        <v>49225.147699052439</v>
      </c>
      <c r="AA6" s="153">
        <f>S6/SUM(BerechnungenCLT!$E$10:$E$42)</f>
        <v>31142.485059609957</v>
      </c>
      <c r="AB6" s="73"/>
      <c r="AC6" s="73"/>
      <c r="AD6" s="73"/>
      <c r="AE6" s="73"/>
      <c r="AF6" s="73"/>
      <c r="AG6" s="73"/>
      <c r="AH6" s="73"/>
      <c r="AI6" s="73"/>
      <c r="AJ6" s="73"/>
    </row>
    <row r="7" spans="1:36" x14ac:dyDescent="0.25">
      <c r="A7" s="73"/>
      <c r="B7" s="73"/>
      <c r="C7" s="73"/>
      <c r="D7" s="73"/>
      <c r="E7" s="74"/>
      <c r="F7" s="73"/>
      <c r="G7" s="74"/>
      <c r="H7" s="74"/>
      <c r="I7" s="74"/>
      <c r="J7" s="74"/>
      <c r="K7" s="74"/>
      <c r="L7" s="74"/>
      <c r="M7" s="73"/>
      <c r="N7" s="153">
        <f>BerechnungenCLT!K47</f>
        <v>0</v>
      </c>
      <c r="O7" s="153">
        <f>BerechnungenCLT!L47</f>
        <v>0</v>
      </c>
      <c r="P7" s="157">
        <f>BerechnungenCLT!M47</f>
        <v>-7.2759576141834259E-12</v>
      </c>
      <c r="Q7" s="153">
        <f>BerechnungenCLT!N47</f>
        <v>117757.52163165019</v>
      </c>
      <c r="R7" s="153">
        <f>BerechnungenCLT!O47</f>
        <v>117757.52163165018</v>
      </c>
      <c r="S7" s="153">
        <f>BerechnungenCLT!P47</f>
        <v>167217.55790536705</v>
      </c>
      <c r="T7" s="154"/>
      <c r="U7" s="154"/>
      <c r="V7" s="153">
        <f>N7/SUM(BerechnungenCLT!$E$10:$E$42)</f>
        <v>0</v>
      </c>
      <c r="W7" s="153">
        <f>O7/SUM(BerechnungenCLT!$E$10:$E$42)</f>
        <v>0</v>
      </c>
      <c r="X7" s="157">
        <f>P7/SUM(BerechnungenCLT!$E$10:$E$42)</f>
        <v>-1.9242201954865259E-12</v>
      </c>
      <c r="Y7" s="153">
        <f>Q7/SUM(BerechnungenCLT!$E$10:$E$42)</f>
        <v>31142.485059609968</v>
      </c>
      <c r="Z7" s="153">
        <f>R7/SUM(BerechnungenCLT!$E$10:$E$42)</f>
        <v>31142.485059609964</v>
      </c>
      <c r="AA7" s="153">
        <f>S7/SUM(BerechnungenCLT!$E$10:$E$42)</f>
        <v>44222.825231171453</v>
      </c>
      <c r="AB7" s="73"/>
      <c r="AC7" s="73"/>
      <c r="AD7" s="73"/>
      <c r="AE7" s="73"/>
      <c r="AF7" s="73"/>
      <c r="AG7" s="73"/>
      <c r="AH7" s="73"/>
      <c r="AI7" s="73"/>
      <c r="AJ7" s="73"/>
    </row>
    <row r="8" spans="1:36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73"/>
      <c r="AC8" s="73"/>
      <c r="AD8" s="73"/>
      <c r="AE8" s="73"/>
      <c r="AF8" s="73"/>
      <c r="AG8" s="73"/>
      <c r="AH8" s="73"/>
      <c r="AI8" s="73"/>
      <c r="AJ8" s="73"/>
    </row>
    <row r="9" spans="1:36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154"/>
      <c r="O9" s="154"/>
      <c r="P9" s="154"/>
      <c r="Q9" s="154"/>
      <c r="R9" s="154"/>
      <c r="S9" s="154"/>
      <c r="T9" s="154"/>
      <c r="U9" s="154"/>
      <c r="V9" s="154"/>
      <c r="W9" s="154"/>
      <c r="X9" s="154"/>
      <c r="Y9" s="154"/>
      <c r="Z9" s="154"/>
      <c r="AA9" s="154"/>
      <c r="AB9" s="73"/>
      <c r="AC9" s="73"/>
      <c r="AD9" s="73"/>
      <c r="AE9" s="73"/>
      <c r="AF9" s="73"/>
      <c r="AG9" s="73"/>
      <c r="AH9" s="73"/>
      <c r="AI9" s="73"/>
      <c r="AJ9" s="73"/>
    </row>
    <row r="10" spans="1:36" ht="15" customHeight="1" x14ac:dyDescent="0.25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 t="s">
        <v>329</v>
      </c>
      <c r="N10" s="153">
        <f t="array" ref="N10:S15">MINVERSE(N2:S7)</f>
        <v>2.8839466781970765E-5</v>
      </c>
      <c r="O10" s="153">
        <v>-2.5438262862014961E-5</v>
      </c>
      <c r="P10" s="157">
        <v>0</v>
      </c>
      <c r="Q10" s="153">
        <v>0</v>
      </c>
      <c r="R10" s="153">
        <v>0</v>
      </c>
      <c r="S10" s="153">
        <v>0</v>
      </c>
      <c r="T10" s="154"/>
      <c r="U10" s="154" t="s">
        <v>330</v>
      </c>
      <c r="V10" s="159">
        <f t="shared" ref="V10:AA15" si="0">N10</f>
        <v>2.8839466781970765E-5</v>
      </c>
      <c r="W10" s="159">
        <f t="shared" si="0"/>
        <v>-2.5438262862014961E-5</v>
      </c>
      <c r="X10" s="160">
        <f t="shared" si="0"/>
        <v>0</v>
      </c>
      <c r="Y10" s="159">
        <f t="shared" si="0"/>
        <v>0</v>
      </c>
      <c r="Z10" s="159">
        <f t="shared" si="0"/>
        <v>0</v>
      </c>
      <c r="AA10" s="159">
        <f>S10</f>
        <v>0</v>
      </c>
      <c r="AB10" s="73"/>
      <c r="AC10" s="73"/>
      <c r="AD10" s="73"/>
      <c r="AE10" s="73"/>
      <c r="AF10" s="73"/>
      <c r="AG10" s="73"/>
      <c r="AH10" s="73"/>
      <c r="AI10" s="73"/>
      <c r="AJ10" s="73"/>
    </row>
    <row r="11" spans="1:36" x14ac:dyDescent="0.25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153">
        <v>-2.5438262862014961E-5</v>
      </c>
      <c r="O11" s="153">
        <v>2.8839466781970789E-5</v>
      </c>
      <c r="P11" s="157">
        <v>0</v>
      </c>
      <c r="Q11" s="153">
        <v>0</v>
      </c>
      <c r="R11" s="153">
        <v>0</v>
      </c>
      <c r="S11" s="153">
        <v>0</v>
      </c>
      <c r="T11" s="154"/>
      <c r="U11" s="154"/>
      <c r="V11" s="159">
        <f t="shared" si="0"/>
        <v>-2.5438262862014961E-5</v>
      </c>
      <c r="W11" s="159">
        <f t="shared" si="0"/>
        <v>2.8839466781970789E-5</v>
      </c>
      <c r="X11" s="160">
        <f t="shared" si="0"/>
        <v>0</v>
      </c>
      <c r="Y11" s="159">
        <f t="shared" si="0"/>
        <v>0</v>
      </c>
      <c r="Z11" s="159">
        <f>R11</f>
        <v>0</v>
      </c>
      <c r="AA11" s="159">
        <f t="shared" si="0"/>
        <v>0</v>
      </c>
      <c r="AB11" s="73"/>
      <c r="AC11" s="73"/>
      <c r="AD11" s="73"/>
      <c r="AE11" s="73"/>
      <c r="AF11" s="73"/>
      <c r="AG11" s="73"/>
      <c r="AH11" s="73"/>
      <c r="AI11" s="73"/>
      <c r="AJ11" s="73"/>
    </row>
    <row r="12" spans="1:36" x14ac:dyDescent="0.25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156">
        <v>0</v>
      </c>
      <c r="O12" s="156">
        <v>0</v>
      </c>
      <c r="P12" s="158">
        <v>7.1253739447781479E-6</v>
      </c>
      <c r="Q12" s="156">
        <v>-1.9792612534788442E-22</v>
      </c>
      <c r="R12" s="156">
        <v>-1.9792612534788486E-22</v>
      </c>
      <c r="S12" s="156">
        <v>5.8880478829488439E-22</v>
      </c>
      <c r="T12" s="154"/>
      <c r="U12" s="154"/>
      <c r="V12" s="161">
        <f t="shared" si="0"/>
        <v>0</v>
      </c>
      <c r="W12" s="161">
        <f t="shared" si="0"/>
        <v>0</v>
      </c>
      <c r="X12" s="162">
        <f>P12</f>
        <v>7.1253739447781479E-6</v>
      </c>
      <c r="Y12" s="161">
        <f t="shared" si="0"/>
        <v>-1.9792612534788442E-22</v>
      </c>
      <c r="Z12" s="161">
        <f t="shared" si="0"/>
        <v>-1.9792612534788486E-22</v>
      </c>
      <c r="AA12" s="161">
        <f t="shared" si="0"/>
        <v>5.8880478829488439E-22</v>
      </c>
      <c r="AB12" s="73"/>
      <c r="AC12" s="73"/>
      <c r="AD12" s="73"/>
      <c r="AE12" s="73"/>
      <c r="AF12" s="73"/>
      <c r="AG12" s="73"/>
      <c r="AH12" s="73"/>
      <c r="AI12" s="73"/>
      <c r="AJ12" s="73"/>
    </row>
    <row r="13" spans="1:36" x14ac:dyDescent="0.25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153">
        <v>0</v>
      </c>
      <c r="O13" s="153">
        <v>0</v>
      </c>
      <c r="P13" s="157">
        <v>-1.9792612534788435E-22</v>
      </c>
      <c r="Q13" s="153">
        <v>2.5487913941105246E-5</v>
      </c>
      <c r="R13" s="153">
        <v>-2.0066675353703514E-5</v>
      </c>
      <c r="S13" s="153">
        <v>-3.8177307946787474E-6</v>
      </c>
      <c r="T13" s="154"/>
      <c r="U13" s="154"/>
      <c r="V13" s="159">
        <f t="array" ref="V13:X15">TRANSPOSE(N13:P15)</f>
        <v>0</v>
      </c>
      <c r="W13" s="159">
        <v>0</v>
      </c>
      <c r="X13" s="160">
        <v>0</v>
      </c>
      <c r="Y13" s="159">
        <f t="shared" si="0"/>
        <v>2.5487913941105246E-5</v>
      </c>
      <c r="Z13" s="159">
        <f t="shared" si="0"/>
        <v>-2.0066675353703514E-5</v>
      </c>
      <c r="AA13" s="159">
        <f>S13</f>
        <v>-3.8177307946787474E-6</v>
      </c>
      <c r="AB13" s="73"/>
      <c r="AC13" s="73"/>
      <c r="AD13" s="73"/>
      <c r="AE13" s="73"/>
      <c r="AF13" s="73"/>
      <c r="AG13" s="73"/>
      <c r="AH13" s="73"/>
      <c r="AI13" s="73"/>
      <c r="AJ13" s="73"/>
    </row>
    <row r="14" spans="1:36" x14ac:dyDescent="0.25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153">
        <v>0</v>
      </c>
      <c r="O14" s="153">
        <v>0</v>
      </c>
      <c r="P14" s="157">
        <v>-1.9792612534788489E-22</v>
      </c>
      <c r="Q14" s="153">
        <v>-2.0066675353703514E-5</v>
      </c>
      <c r="R14" s="153">
        <v>2.5487913941105266E-5</v>
      </c>
      <c r="S14" s="153">
        <v>-3.8177307946787567E-6</v>
      </c>
      <c r="T14" s="154"/>
      <c r="U14" s="154"/>
      <c r="V14" s="159">
        <v>0</v>
      </c>
      <c r="W14" s="159">
        <v>0</v>
      </c>
      <c r="X14" s="160">
        <v>0</v>
      </c>
      <c r="Y14" s="159">
        <f>Q14</f>
        <v>-2.0066675353703514E-5</v>
      </c>
      <c r="Z14" s="159">
        <f t="shared" si="0"/>
        <v>2.5487913941105266E-5</v>
      </c>
      <c r="AA14" s="159">
        <f t="shared" si="0"/>
        <v>-3.8177307946787567E-6</v>
      </c>
      <c r="AB14" s="73"/>
      <c r="AC14" s="73"/>
      <c r="AD14" s="73"/>
      <c r="AE14" s="73"/>
      <c r="AF14" s="73"/>
      <c r="AG14" s="73"/>
      <c r="AH14" s="73"/>
      <c r="AI14" s="73"/>
      <c r="AJ14" s="73"/>
    </row>
    <row r="15" spans="1:36" x14ac:dyDescent="0.25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153">
        <v>0</v>
      </c>
      <c r="O15" s="153">
        <v>0</v>
      </c>
      <c r="P15" s="157">
        <v>5.8880478829488439E-22</v>
      </c>
      <c r="Q15" s="153">
        <v>-3.8177307946787482E-6</v>
      </c>
      <c r="R15" s="153">
        <v>-3.8177307946787567E-6</v>
      </c>
      <c r="S15" s="153">
        <v>1.1357258514391002E-5</v>
      </c>
      <c r="T15" s="154"/>
      <c r="U15" s="154"/>
      <c r="V15" s="159">
        <v>-1.9792612534788435E-22</v>
      </c>
      <c r="W15" s="159">
        <v>-1.9792612534788489E-22</v>
      </c>
      <c r="X15" s="160">
        <v>5.8880478829488439E-22</v>
      </c>
      <c r="Y15" s="159">
        <f t="shared" si="0"/>
        <v>-3.8177307946787482E-6</v>
      </c>
      <c r="Z15" s="159">
        <f t="shared" si="0"/>
        <v>-3.8177307946787567E-6</v>
      </c>
      <c r="AA15" s="159">
        <f>S15</f>
        <v>1.1357258514391002E-5</v>
      </c>
      <c r="AB15" s="73"/>
      <c r="AC15" s="73"/>
      <c r="AD15" s="73"/>
      <c r="AE15" s="73"/>
      <c r="AF15" s="73"/>
      <c r="AG15" s="73"/>
      <c r="AH15" s="73"/>
      <c r="AI15" s="73"/>
      <c r="AJ15" s="73"/>
    </row>
    <row r="16" spans="1:36" x14ac:dyDescent="0.25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3"/>
      <c r="AJ16" s="73"/>
    </row>
    <row r="17" spans="1:36" x14ac:dyDescent="0.25">
      <c r="A17" s="73"/>
      <c r="B17" s="73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</row>
    <row r="18" spans="1:36" ht="15" customHeight="1" x14ac:dyDescent="0.25">
      <c r="A18" s="73"/>
      <c r="B18" s="73"/>
      <c r="C18" s="73"/>
      <c r="D18" s="163"/>
      <c r="E18" s="163"/>
      <c r="F18" s="163"/>
      <c r="G18" s="73"/>
      <c r="H18" s="73"/>
      <c r="I18" s="73"/>
      <c r="J18" s="73"/>
      <c r="K18" s="73"/>
      <c r="L18" s="73"/>
      <c r="M18" s="145" t="s">
        <v>311</v>
      </c>
      <c r="N18" s="74">
        <f>BerechnungenCLT!Q3</f>
        <v>0</v>
      </c>
      <c r="O18" s="73"/>
      <c r="P18" s="145" t="s">
        <v>334</v>
      </c>
      <c r="Q18" s="164">
        <f t="array" ref="Q18:Q23">MMULT(V10:AA15,N18:N23)</f>
        <v>0</v>
      </c>
      <c r="R18" s="73"/>
      <c r="S18" s="73"/>
      <c r="T18" s="73"/>
      <c r="U18" s="73" t="s">
        <v>335</v>
      </c>
      <c r="V18" s="153">
        <f t="array" ref="V18:AA23">MINVERSE(V2:AA7)</f>
        <v>1.0904923376932693E-4</v>
      </c>
      <c r="W18" s="153">
        <v>-9.6188431446994038E-5</v>
      </c>
      <c r="X18" s="153">
        <v>0</v>
      </c>
      <c r="Y18" s="153">
        <v>0</v>
      </c>
      <c r="Z18" s="153">
        <v>0</v>
      </c>
      <c r="AA18" s="153">
        <v>0</v>
      </c>
      <c r="AB18" s="73"/>
      <c r="AC18" s="73"/>
      <c r="AD18" s="73"/>
      <c r="AE18" s="73"/>
      <c r="AF18" s="73"/>
      <c r="AG18" s="73"/>
      <c r="AH18" s="73"/>
      <c r="AI18" s="73"/>
      <c r="AJ18" s="73"/>
    </row>
    <row r="19" spans="1:36" x14ac:dyDescent="0.25">
      <c r="A19" s="73"/>
      <c r="B19" s="73"/>
      <c r="C19" s="74"/>
      <c r="D19" s="163"/>
      <c r="E19" s="163"/>
      <c r="F19" s="163"/>
      <c r="G19" s="73"/>
      <c r="J19" s="73"/>
      <c r="K19" s="73"/>
      <c r="L19" s="73"/>
      <c r="M19" s="145" t="s">
        <v>314</v>
      </c>
      <c r="N19" s="74">
        <f>BerechnungenCLT!Q4</f>
        <v>0</v>
      </c>
      <c r="O19" s="73"/>
      <c r="P19" s="145" t="s">
        <v>338</v>
      </c>
      <c r="Q19" s="164">
        <v>0</v>
      </c>
      <c r="R19" s="73"/>
      <c r="S19" s="73"/>
      <c r="T19" s="73"/>
      <c r="U19" s="73"/>
      <c r="V19" s="153">
        <v>-9.6188431446994038E-5</v>
      </c>
      <c r="W19" s="153">
        <v>1.0904923376932701E-4</v>
      </c>
      <c r="X19" s="153">
        <v>0</v>
      </c>
      <c r="Y19" s="153">
        <v>0</v>
      </c>
      <c r="Z19" s="153">
        <v>0</v>
      </c>
      <c r="AA19" s="153">
        <v>0</v>
      </c>
      <c r="AB19" s="73"/>
      <c r="AC19" s="73"/>
      <c r="AD19" s="73"/>
      <c r="AE19" s="73"/>
      <c r="AF19" s="73"/>
      <c r="AG19" s="73"/>
      <c r="AH19" s="73"/>
      <c r="AI19" s="73"/>
      <c r="AJ19" s="73"/>
    </row>
    <row r="20" spans="1:36" x14ac:dyDescent="0.25">
      <c r="A20" s="73"/>
      <c r="B20" s="73"/>
      <c r="C20" s="73"/>
      <c r="D20" s="163"/>
      <c r="E20" s="163"/>
      <c r="F20" s="163"/>
      <c r="G20" s="73"/>
      <c r="J20" s="73"/>
      <c r="K20" s="73"/>
      <c r="L20" s="73"/>
      <c r="M20" s="145" t="s">
        <v>316</v>
      </c>
      <c r="N20" s="74">
        <f>BerechnungenCLT!Q5</f>
        <v>1229.4836106886744</v>
      </c>
      <c r="O20" s="73"/>
      <c r="P20" s="145" t="s">
        <v>339</v>
      </c>
      <c r="Q20" s="164">
        <v>8.7605304851328409E-3</v>
      </c>
      <c r="R20" s="73"/>
      <c r="S20" s="73"/>
      <c r="T20" s="73"/>
      <c r="U20" s="73"/>
      <c r="V20" s="153">
        <v>0</v>
      </c>
      <c r="W20" s="153">
        <v>0</v>
      </c>
      <c r="X20" s="153">
        <v>2.6942820228692371E-5</v>
      </c>
      <c r="Y20" s="153">
        <v>-7.4840816147168741E-22</v>
      </c>
      <c r="Z20" s="153">
        <v>-7.4840816147168976E-22</v>
      </c>
      <c r="AA20" s="153">
        <v>2.2264181057400311E-21</v>
      </c>
      <c r="AB20" s="73"/>
      <c r="AC20" s="73"/>
      <c r="AD20" s="73"/>
      <c r="AE20" s="73"/>
      <c r="AF20" s="73"/>
      <c r="AG20" s="73"/>
      <c r="AH20" s="73"/>
      <c r="AI20" s="73"/>
      <c r="AJ20" s="73"/>
    </row>
    <row r="21" spans="1:36" x14ac:dyDescent="0.25">
      <c r="A21" s="73"/>
      <c r="B21" s="73"/>
      <c r="C21" s="73"/>
      <c r="D21" s="165"/>
      <c r="E21" s="165"/>
      <c r="F21" s="165"/>
      <c r="G21" s="73"/>
      <c r="J21" s="73"/>
      <c r="K21" s="73"/>
      <c r="L21" s="73"/>
      <c r="M21" s="145" t="s">
        <v>312</v>
      </c>
      <c r="N21" s="74">
        <f>BerechnungenCLT!Q6</f>
        <v>0</v>
      </c>
      <c r="O21" s="73"/>
      <c r="P21" s="145" t="s">
        <v>340</v>
      </c>
      <c r="Q21" s="164">
        <v>0</v>
      </c>
      <c r="R21" s="73"/>
      <c r="S21" s="73"/>
      <c r="T21" s="73"/>
      <c r="U21" s="73"/>
      <c r="V21" s="153">
        <v>0</v>
      </c>
      <c r="W21" s="153">
        <v>0</v>
      </c>
      <c r="X21" s="153">
        <v>-7.4840816147168807E-22</v>
      </c>
      <c r="Y21" s="153">
        <v>9.6376174589804189E-5</v>
      </c>
      <c r="Z21" s="153">
        <v>-7.5877116181191409E-5</v>
      </c>
      <c r="AA21" s="153">
        <v>-1.4435794567379014E-5</v>
      </c>
      <c r="AB21" s="73"/>
      <c r="AC21" s="73"/>
      <c r="AD21" s="73"/>
      <c r="AE21" s="73"/>
      <c r="AF21" s="73"/>
      <c r="AG21" s="73"/>
      <c r="AH21" s="73"/>
      <c r="AI21" s="73"/>
      <c r="AJ21" s="73"/>
    </row>
    <row r="22" spans="1:36" x14ac:dyDescent="0.25">
      <c r="A22" s="73"/>
      <c r="B22" s="73"/>
      <c r="C22" s="74"/>
      <c r="D22" s="165"/>
      <c r="E22" s="165"/>
      <c r="F22" s="165"/>
      <c r="G22" s="73"/>
      <c r="H22" s="73"/>
      <c r="I22" s="73"/>
      <c r="J22" s="73"/>
      <c r="K22" s="73"/>
      <c r="L22" s="73"/>
      <c r="M22" s="145" t="s">
        <v>315</v>
      </c>
      <c r="N22" s="74">
        <f>BerechnungenCLT!Q7</f>
        <v>0</v>
      </c>
      <c r="O22" s="73"/>
      <c r="P22" s="145" t="s">
        <v>341</v>
      </c>
      <c r="Q22" s="164">
        <v>0</v>
      </c>
      <c r="R22" s="73"/>
      <c r="S22" s="73"/>
      <c r="T22" s="73"/>
      <c r="U22" s="73"/>
      <c r="V22" s="153">
        <v>0</v>
      </c>
      <c r="W22" s="153">
        <v>0</v>
      </c>
      <c r="X22" s="153">
        <v>-7.484081614716891E-22</v>
      </c>
      <c r="Y22" s="153">
        <v>-7.5877116181191396E-5</v>
      </c>
      <c r="Z22" s="153">
        <v>9.637617458980427E-5</v>
      </c>
      <c r="AA22" s="153">
        <v>-1.4435794567379038E-5</v>
      </c>
      <c r="AB22" s="73"/>
      <c r="AC22" s="73"/>
      <c r="AD22" s="73"/>
      <c r="AE22" s="73"/>
      <c r="AF22" s="73"/>
      <c r="AG22" s="73"/>
      <c r="AH22" s="73"/>
      <c r="AI22" s="73"/>
      <c r="AJ22" s="73"/>
    </row>
    <row r="23" spans="1:36" x14ac:dyDescent="0.25">
      <c r="A23" s="73"/>
      <c r="B23" s="73"/>
      <c r="C23" s="73"/>
      <c r="D23" s="165"/>
      <c r="E23" s="165"/>
      <c r="F23" s="165"/>
      <c r="G23" s="73"/>
      <c r="H23" s="73"/>
      <c r="I23" s="73"/>
      <c r="J23" s="73"/>
      <c r="K23" s="73"/>
      <c r="L23" s="73"/>
      <c r="M23" s="145" t="s">
        <v>317</v>
      </c>
      <c r="N23" s="74">
        <f>BerechnungenCLT!Q8</f>
        <v>0</v>
      </c>
      <c r="O23" s="73"/>
      <c r="P23" s="145" t="s">
        <v>342</v>
      </c>
      <c r="Q23" s="164">
        <v>7.2392583710357503E-19</v>
      </c>
      <c r="R23" s="73"/>
      <c r="S23" s="73"/>
      <c r="T23" s="73"/>
      <c r="U23" s="73"/>
      <c r="V23" s="153">
        <v>0</v>
      </c>
      <c r="W23" s="153">
        <v>0</v>
      </c>
      <c r="X23" s="153">
        <v>2.2264181057400311E-21</v>
      </c>
      <c r="Y23" s="153">
        <v>-1.4435794567379008E-5</v>
      </c>
      <c r="Z23" s="153">
        <v>-1.4435794567379052E-5</v>
      </c>
      <c r="AA23" s="153">
        <v>4.2944633757540968E-5</v>
      </c>
      <c r="AB23" s="73"/>
      <c r="AC23" s="73"/>
      <c r="AD23" s="73"/>
      <c r="AE23" s="73"/>
      <c r="AF23" s="73"/>
      <c r="AG23" s="73"/>
      <c r="AH23" s="73"/>
      <c r="AI23" s="73"/>
      <c r="AJ23" s="73"/>
    </row>
    <row r="24" spans="1:36" x14ac:dyDescent="0.25">
      <c r="A24" s="73"/>
      <c r="B24" s="73"/>
      <c r="C24" s="73"/>
      <c r="D24" s="166"/>
      <c r="E24" s="166"/>
      <c r="F24" s="166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</row>
    <row r="25" spans="1:36" x14ac:dyDescent="0.25">
      <c r="A25" s="73"/>
      <c r="B25" s="73"/>
      <c r="C25" s="74"/>
      <c r="D25" s="166"/>
      <c r="E25" s="166"/>
      <c r="F25" s="166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</row>
    <row r="26" spans="1:36" x14ac:dyDescent="0.25">
      <c r="A26" s="73"/>
      <c r="B26" s="73"/>
      <c r="C26" s="73"/>
      <c r="D26" s="166"/>
      <c r="E26" s="166"/>
      <c r="F26" s="166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</row>
    <row r="27" spans="1:36" x14ac:dyDescent="0.25">
      <c r="A27" s="73"/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</row>
    <row r="28" spans="1:36" x14ac:dyDescent="0.25">
      <c r="A28" s="73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</row>
    <row r="29" spans="1:36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</row>
    <row r="30" spans="1:36" x14ac:dyDescent="0.25">
      <c r="A30" s="73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</row>
    <row r="31" spans="1:36" x14ac:dyDescent="0.25">
      <c r="A31" s="73"/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</row>
    <row r="32" spans="1:36" x14ac:dyDescent="0.25">
      <c r="A32" s="73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</row>
    <row r="33" spans="1:36" x14ac:dyDescent="0.25">
      <c r="A33" s="73"/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</row>
    <row r="34" spans="1:36" x14ac:dyDescent="0.25">
      <c r="A34" s="73"/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</row>
    <row r="35" spans="1:36" x14ac:dyDescent="0.25">
      <c r="A35" s="73"/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</row>
    <row r="36" spans="1:36" x14ac:dyDescent="0.25">
      <c r="A36" s="73"/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</row>
    <row r="37" spans="1:36" x14ac:dyDescent="0.25">
      <c r="A37" s="73"/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</row>
    <row r="38" spans="1:36" x14ac:dyDescent="0.25">
      <c r="A38" s="73"/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</row>
    <row r="39" spans="1:36" x14ac:dyDescent="0.25">
      <c r="A39" s="73"/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</row>
    <row r="40" spans="1:36" x14ac:dyDescent="0.25">
      <c r="A40" s="73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</row>
    <row r="41" spans="1:36" x14ac:dyDescent="0.25">
      <c r="A41" s="73"/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</row>
    <row r="42" spans="1:36" x14ac:dyDescent="0.25">
      <c r="A42" s="73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</row>
    <row r="43" spans="1:36" x14ac:dyDescent="0.25">
      <c r="A43" s="73"/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</row>
    <row r="44" spans="1:36" x14ac:dyDescent="0.25">
      <c r="A44" s="73"/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</row>
    <row r="45" spans="1:36" x14ac:dyDescent="0.25">
      <c r="A45" s="73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</row>
    <row r="46" spans="1:36" x14ac:dyDescent="0.25">
      <c r="A46" s="73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</row>
    <row r="47" spans="1:36" x14ac:dyDescent="0.25">
      <c r="A47" s="73"/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</row>
    <row r="48" spans="1:36" x14ac:dyDescent="0.25">
      <c r="A48" s="73"/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</row>
    <row r="49" spans="1:36" x14ac:dyDescent="0.25">
      <c r="A49" s="73"/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</row>
    <row r="50" spans="1:36" x14ac:dyDescent="0.25">
      <c r="A50" s="73"/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</row>
    <row r="51" spans="1:36" x14ac:dyDescent="0.25">
      <c r="A51" s="73"/>
      <c r="B51" s="73"/>
      <c r="C51" s="73"/>
      <c r="D51" s="73"/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</row>
    <row r="52" spans="1:36" x14ac:dyDescent="0.25">
      <c r="A52" s="73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</row>
    <row r="53" spans="1:36" x14ac:dyDescent="0.25">
      <c r="A53" s="73"/>
      <c r="B53" s="73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</row>
    <row r="54" spans="1:36" x14ac:dyDescent="0.25">
      <c r="A54" s="73"/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</row>
    <row r="55" spans="1:36" x14ac:dyDescent="0.25">
      <c r="A55" s="73"/>
      <c r="B55" s="73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</row>
    <row r="56" spans="1:36" x14ac:dyDescent="0.25">
      <c r="A56" s="73"/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</row>
    <row r="57" spans="1:36" x14ac:dyDescent="0.25">
      <c r="A57" s="73"/>
      <c r="B57" s="73"/>
      <c r="C57" s="73"/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</row>
    <row r="58" spans="1:36" x14ac:dyDescent="0.25">
      <c r="A58" s="73"/>
      <c r="B58" s="73"/>
      <c r="C58" s="73"/>
      <c r="D58" s="73"/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</row>
    <row r="59" spans="1:36" x14ac:dyDescent="0.25">
      <c r="A59" s="73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</row>
    <row r="60" spans="1:36" x14ac:dyDescent="0.25">
      <c r="A60" s="73"/>
      <c r="B60" s="73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</row>
    <row r="61" spans="1:36" x14ac:dyDescent="0.25">
      <c r="A61" s="73"/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</row>
    <row r="62" spans="1:36" x14ac:dyDescent="0.25">
      <c r="A62" s="73"/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</row>
    <row r="63" spans="1:36" x14ac:dyDescent="0.25">
      <c r="A63" s="73"/>
      <c r="B63" s="73"/>
      <c r="C63" s="73"/>
      <c r="D63" s="73"/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</row>
    <row r="64" spans="1:36" x14ac:dyDescent="0.25">
      <c r="A64" s="73"/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</row>
    <row r="65" spans="1:36" x14ac:dyDescent="0.25">
      <c r="A65" s="73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</row>
    <row r="66" spans="1:36" x14ac:dyDescent="0.25">
      <c r="A66" s="73"/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</row>
    <row r="67" spans="1:36" x14ac:dyDescent="0.25">
      <c r="A67" s="73"/>
      <c r="B67" s="73"/>
      <c r="C67" s="73"/>
      <c r="D67" s="73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</row>
    <row r="68" spans="1:36" x14ac:dyDescent="0.25">
      <c r="A68" s="73"/>
      <c r="B68" s="73"/>
      <c r="C68" s="73"/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73"/>
      <c r="AG68" s="73"/>
      <c r="AH68" s="73"/>
      <c r="AI68" s="73"/>
      <c r="AJ68" s="73"/>
    </row>
    <row r="69" spans="1:36" x14ac:dyDescent="0.25">
      <c r="A69" s="73"/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</row>
    <row r="70" spans="1:36" x14ac:dyDescent="0.25">
      <c r="A70" s="73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</row>
    <row r="71" spans="1:36" x14ac:dyDescent="0.25">
      <c r="A71" s="73"/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</row>
    <row r="72" spans="1:36" x14ac:dyDescent="0.25">
      <c r="A72" s="73"/>
      <c r="B72" s="73"/>
      <c r="C72" s="73"/>
      <c r="D72" s="73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H72" s="73"/>
      <c r="AI72" s="73"/>
      <c r="AJ72" s="73"/>
    </row>
    <row r="73" spans="1:36" x14ac:dyDescent="0.25">
      <c r="A73" s="73"/>
      <c r="B73" s="73"/>
      <c r="C73" s="73"/>
      <c r="D73" s="73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  <c r="AH73" s="73"/>
      <c r="AI73" s="73"/>
      <c r="AJ73" s="73"/>
    </row>
    <row r="74" spans="1:36" x14ac:dyDescent="0.25">
      <c r="A74" s="73"/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H74" s="73"/>
      <c r="AI74" s="73"/>
      <c r="AJ74" s="73"/>
    </row>
    <row r="75" spans="1:36" x14ac:dyDescent="0.25">
      <c r="A75" s="73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H75" s="73"/>
      <c r="AI75" s="73"/>
      <c r="AJ75" s="73"/>
    </row>
    <row r="76" spans="1:36" x14ac:dyDescent="0.25">
      <c r="A76" s="73"/>
      <c r="B76" s="73"/>
      <c r="C76" s="73"/>
      <c r="D76" s="73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</row>
    <row r="77" spans="1:36" x14ac:dyDescent="0.25">
      <c r="A77" s="73"/>
      <c r="B77" s="73"/>
      <c r="C77" s="73"/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3"/>
      <c r="AE77" s="73"/>
      <c r="AF77" s="73"/>
      <c r="AG77" s="73"/>
      <c r="AH77" s="73"/>
      <c r="AI77" s="73"/>
      <c r="AJ77" s="73"/>
    </row>
    <row r="78" spans="1:36" x14ac:dyDescent="0.25">
      <c r="A78" s="73"/>
      <c r="B78" s="73"/>
      <c r="C78" s="73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3"/>
      <c r="AE78" s="73"/>
      <c r="AF78" s="73"/>
      <c r="AG78" s="73"/>
      <c r="AH78" s="73"/>
      <c r="AI78" s="73"/>
      <c r="AJ78" s="73"/>
    </row>
    <row r="79" spans="1:36" x14ac:dyDescent="0.25">
      <c r="A79" s="73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  <c r="AI79" s="73"/>
      <c r="AJ79" s="73"/>
    </row>
    <row r="80" spans="1:36" x14ac:dyDescent="0.25">
      <c r="A80" s="73"/>
      <c r="B80" s="73"/>
      <c r="C80" s="73"/>
      <c r="D80" s="73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73"/>
      <c r="AJ80" s="73"/>
    </row>
    <row r="81" spans="1:36" x14ac:dyDescent="0.25">
      <c r="A81" s="73"/>
      <c r="B81" s="73"/>
      <c r="C81" s="73"/>
      <c r="D81" s="73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</row>
    <row r="82" spans="1:36" x14ac:dyDescent="0.25">
      <c r="A82" s="73"/>
      <c r="B82" s="73"/>
      <c r="C82" s="73"/>
      <c r="D82" s="73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</row>
    <row r="83" spans="1:36" x14ac:dyDescent="0.25">
      <c r="A83" s="73"/>
      <c r="B83" s="73"/>
      <c r="C83" s="73"/>
      <c r="D83" s="73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</row>
    <row r="84" spans="1:36" x14ac:dyDescent="0.25">
      <c r="A84" s="73"/>
      <c r="B84" s="73"/>
      <c r="C84" s="73"/>
      <c r="D84" s="73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</row>
    <row r="85" spans="1:36" x14ac:dyDescent="0.25">
      <c r="A85" s="73"/>
      <c r="B85" s="73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</row>
    <row r="86" spans="1:36" x14ac:dyDescent="0.25">
      <c r="A86" s="73"/>
      <c r="B86" s="73"/>
      <c r="C86" s="73"/>
      <c r="D86" s="73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</row>
    <row r="87" spans="1:36" x14ac:dyDescent="0.25">
      <c r="A87" s="73"/>
      <c r="B87" s="73"/>
      <c r="C87" s="73"/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</row>
    <row r="88" spans="1:36" x14ac:dyDescent="0.25">
      <c r="A88" s="73"/>
      <c r="B88" s="73"/>
      <c r="C88" s="73"/>
      <c r="D88" s="73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</row>
    <row r="89" spans="1:36" x14ac:dyDescent="0.25">
      <c r="A89" s="73"/>
      <c r="B89" s="73"/>
      <c r="C89" s="73"/>
      <c r="D89" s="73"/>
      <c r="E89" s="73"/>
      <c r="F89" s="73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3"/>
      <c r="AE89" s="73"/>
      <c r="AF89" s="73"/>
      <c r="AG89" s="73"/>
      <c r="AH89" s="73"/>
      <c r="AI89" s="73"/>
      <c r="AJ89" s="73"/>
    </row>
    <row r="90" spans="1:36" x14ac:dyDescent="0.25">
      <c r="A90" s="73"/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  <c r="AI90" s="73"/>
      <c r="AJ90" s="73"/>
    </row>
    <row r="91" spans="1:36" x14ac:dyDescent="0.25">
      <c r="A91" s="73"/>
      <c r="B91" s="73"/>
      <c r="C91" s="73"/>
      <c r="D91" s="73"/>
      <c r="E91" s="73"/>
      <c r="F91" s="73"/>
      <c r="G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</row>
    <row r="92" spans="1:36" x14ac:dyDescent="0.25">
      <c r="A92" s="73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</row>
    <row r="93" spans="1:36" x14ac:dyDescent="0.25">
      <c r="A93" s="73"/>
      <c r="B93" s="73"/>
      <c r="C93" s="73"/>
      <c r="D93" s="73"/>
      <c r="E93" s="73"/>
      <c r="F93" s="73"/>
      <c r="G93" s="73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3"/>
      <c r="AI93" s="73"/>
      <c r="AJ93" s="73"/>
    </row>
    <row r="94" spans="1:36" x14ac:dyDescent="0.25">
      <c r="A94" s="73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3"/>
      <c r="AE94" s="73"/>
      <c r="AF94" s="73"/>
      <c r="AG94" s="73"/>
      <c r="AH94" s="73"/>
      <c r="AI94" s="73"/>
      <c r="AJ94" s="73"/>
    </row>
    <row r="95" spans="1:36" x14ac:dyDescent="0.25">
      <c r="A95" s="73"/>
      <c r="B95" s="73"/>
      <c r="C95" s="73"/>
      <c r="D95" s="73"/>
      <c r="E95" s="73"/>
      <c r="F95" s="73"/>
      <c r="G95" s="73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H95" s="73"/>
      <c r="AI95" s="73"/>
      <c r="AJ95" s="73"/>
    </row>
    <row r="96" spans="1:36" x14ac:dyDescent="0.25">
      <c r="A96" s="73"/>
      <c r="B96" s="73"/>
      <c r="C96" s="73"/>
      <c r="D96" s="73"/>
      <c r="E96" s="73"/>
      <c r="F96" s="73"/>
      <c r="G96" s="73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73"/>
      <c r="AG96" s="73"/>
      <c r="AH96" s="73"/>
      <c r="AI96" s="73"/>
      <c r="AJ96" s="73"/>
    </row>
    <row r="97" spans="1:36" x14ac:dyDescent="0.25">
      <c r="A97" s="73"/>
      <c r="B97" s="73"/>
      <c r="C97" s="73"/>
      <c r="D97" s="73"/>
      <c r="E97" s="73"/>
      <c r="F97" s="73"/>
      <c r="G97" s="73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</row>
    <row r="98" spans="1:36" x14ac:dyDescent="0.25">
      <c r="A98" s="73"/>
      <c r="B98" s="73"/>
      <c r="C98" s="73"/>
      <c r="D98" s="73"/>
      <c r="E98" s="73"/>
      <c r="F98" s="73"/>
      <c r="G98" s="73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3"/>
      <c r="AE98" s="73"/>
      <c r="AF98" s="73"/>
      <c r="AG98" s="73"/>
      <c r="AH98" s="73"/>
      <c r="AI98" s="73"/>
      <c r="AJ98" s="73"/>
    </row>
    <row r="99" spans="1:36" x14ac:dyDescent="0.25">
      <c r="A99" s="73"/>
      <c r="B99" s="73"/>
      <c r="C99" s="73"/>
      <c r="D99" s="73"/>
      <c r="E99" s="73"/>
      <c r="F99" s="73"/>
      <c r="G99" s="73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</row>
    <row r="100" spans="1:36" x14ac:dyDescent="0.25">
      <c r="A100" s="73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</row>
    <row r="101" spans="1:36" x14ac:dyDescent="0.25">
      <c r="A101" s="73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</row>
    <row r="102" spans="1:36" x14ac:dyDescent="0.25">
      <c r="A102" s="73"/>
      <c r="B102" s="73"/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</row>
    <row r="103" spans="1:36" x14ac:dyDescent="0.25">
      <c r="A103" s="73"/>
      <c r="B103" s="73"/>
      <c r="C103" s="73"/>
      <c r="D103" s="73"/>
      <c r="E103" s="73"/>
      <c r="F103" s="73"/>
      <c r="G103" s="73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</row>
    <row r="104" spans="1:36" x14ac:dyDescent="0.25">
      <c r="A104" s="73"/>
      <c r="B104" s="73"/>
      <c r="C104" s="73"/>
      <c r="D104" s="73"/>
      <c r="E104" s="73"/>
      <c r="F104" s="73"/>
      <c r="G104" s="73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3"/>
      <c r="AE104" s="73"/>
      <c r="AF104" s="73"/>
      <c r="AG104" s="73"/>
      <c r="AH104" s="73"/>
      <c r="AI104" s="73"/>
      <c r="AJ104" s="73"/>
    </row>
    <row r="105" spans="1:36" x14ac:dyDescent="0.25">
      <c r="A105" s="73"/>
      <c r="B105" s="73"/>
      <c r="C105" s="73"/>
      <c r="D105" s="73"/>
      <c r="E105" s="73"/>
      <c r="F105" s="73"/>
      <c r="G105" s="73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H105" s="73"/>
      <c r="AI105" s="73"/>
      <c r="AJ105" s="73"/>
    </row>
    <row r="106" spans="1:36" x14ac:dyDescent="0.25">
      <c r="A106" s="73"/>
      <c r="B106" s="73"/>
      <c r="C106" s="73"/>
      <c r="D106" s="7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  <c r="AI106" s="73"/>
      <c r="AJ106" s="73"/>
    </row>
    <row r="107" spans="1:36" x14ac:dyDescent="0.25">
      <c r="A107" s="73"/>
      <c r="B107" s="73"/>
      <c r="C107" s="73"/>
      <c r="D107" s="73"/>
      <c r="E107" s="73"/>
      <c r="F107" s="73"/>
      <c r="G107" s="73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</row>
    <row r="108" spans="1:36" x14ac:dyDescent="0.25">
      <c r="A108" s="73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</row>
    <row r="109" spans="1:36" x14ac:dyDescent="0.25">
      <c r="A109" s="73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</row>
    <row r="110" spans="1:36" x14ac:dyDescent="0.25">
      <c r="A110" s="73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73"/>
      <c r="AJ110" s="73"/>
    </row>
    <row r="111" spans="1:36" x14ac:dyDescent="0.25">
      <c r="A111" s="73"/>
      <c r="B111" s="73"/>
      <c r="C111" s="73"/>
      <c r="D111" s="73"/>
      <c r="E111" s="73"/>
      <c r="F111" s="73"/>
      <c r="G111" s="73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73"/>
      <c r="AG111" s="73"/>
      <c r="AH111" s="73"/>
      <c r="AI111" s="73"/>
      <c r="AJ111" s="73"/>
    </row>
    <row r="112" spans="1:36" x14ac:dyDescent="0.25">
      <c r="A112" s="73"/>
      <c r="B112" s="73"/>
      <c r="C112" s="73"/>
      <c r="D112" s="73"/>
      <c r="E112" s="73"/>
      <c r="F112" s="73"/>
      <c r="G112" s="73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3"/>
      <c r="AE112" s="73"/>
      <c r="AF112" s="73"/>
      <c r="AG112" s="73"/>
      <c r="AH112" s="73"/>
      <c r="AI112" s="73"/>
      <c r="AJ112" s="73"/>
    </row>
    <row r="113" spans="1:36" x14ac:dyDescent="0.25">
      <c r="A113" s="73"/>
      <c r="B113" s="73"/>
      <c r="C113" s="73"/>
      <c r="D113" s="73"/>
      <c r="E113" s="73"/>
      <c r="F113" s="73"/>
      <c r="G113" s="73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73"/>
      <c r="AE113" s="73"/>
      <c r="AF113" s="73"/>
      <c r="AG113" s="73"/>
      <c r="AH113" s="73"/>
      <c r="AI113" s="73"/>
      <c r="AJ113" s="73"/>
    </row>
    <row r="114" spans="1:36" x14ac:dyDescent="0.25">
      <c r="A114" s="73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73"/>
      <c r="AE114" s="73"/>
      <c r="AF114" s="73"/>
      <c r="AG114" s="73"/>
      <c r="AH114" s="73"/>
      <c r="AI114" s="73"/>
      <c r="AJ114" s="73"/>
    </row>
    <row r="115" spans="1:36" x14ac:dyDescent="0.25">
      <c r="A115" s="73"/>
      <c r="B115" s="73"/>
      <c r="C115" s="73"/>
      <c r="D115" s="73"/>
      <c r="E115" s="73"/>
      <c r="F115" s="73"/>
      <c r="G115" s="73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  <c r="AH115" s="73"/>
      <c r="AI115" s="73"/>
      <c r="AJ115" s="73"/>
    </row>
    <row r="116" spans="1:36" x14ac:dyDescent="0.25">
      <c r="A116" s="73"/>
      <c r="B116" s="73"/>
      <c r="C116" s="73"/>
      <c r="D116" s="73"/>
      <c r="E116" s="73"/>
      <c r="F116" s="73"/>
      <c r="G116" s="73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3"/>
      <c r="AE116" s="73"/>
      <c r="AF116" s="73"/>
      <c r="AG116" s="73"/>
      <c r="AH116" s="73"/>
      <c r="AI116" s="73"/>
      <c r="AJ116" s="73"/>
    </row>
    <row r="117" spans="1:36" x14ac:dyDescent="0.25">
      <c r="A117" s="73"/>
      <c r="B117" s="73"/>
      <c r="C117" s="73"/>
      <c r="D117" s="73"/>
      <c r="E117" s="73"/>
      <c r="F117" s="73"/>
      <c r="G117" s="73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73"/>
      <c r="AE117" s="73"/>
      <c r="AF117" s="73"/>
      <c r="AG117" s="73"/>
      <c r="AH117" s="73"/>
      <c r="AI117" s="73"/>
      <c r="AJ117" s="73"/>
    </row>
    <row r="118" spans="1:36" x14ac:dyDescent="0.25">
      <c r="A118" s="73"/>
      <c r="B118" s="73"/>
      <c r="C118" s="73"/>
      <c r="D118" s="73"/>
      <c r="E118" s="73"/>
      <c r="F118" s="73"/>
      <c r="G118" s="73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73"/>
      <c r="AG118" s="73"/>
      <c r="AH118" s="73"/>
      <c r="AI118" s="73"/>
      <c r="AJ118" s="73"/>
    </row>
    <row r="119" spans="1:36" x14ac:dyDescent="0.25">
      <c r="A119" s="73"/>
      <c r="B119" s="73"/>
      <c r="C119" s="73"/>
      <c r="D119" s="73"/>
      <c r="E119" s="73"/>
      <c r="F119" s="73"/>
      <c r="G119" s="73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73"/>
      <c r="AG119" s="73"/>
      <c r="AH119" s="73"/>
      <c r="AI119" s="73"/>
      <c r="AJ119" s="73"/>
    </row>
    <row r="120" spans="1:36" x14ac:dyDescent="0.25">
      <c r="A120" s="73"/>
      <c r="B120" s="73"/>
      <c r="C120" s="73"/>
      <c r="D120" s="73"/>
      <c r="E120" s="73"/>
      <c r="F120" s="73"/>
      <c r="G120" s="73"/>
      <c r="H120" s="73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3"/>
      <c r="AE120" s="73"/>
      <c r="AF120" s="73"/>
      <c r="AG120" s="73"/>
      <c r="AH120" s="73"/>
      <c r="AI120" s="73"/>
      <c r="AJ120" s="73"/>
    </row>
    <row r="121" spans="1:36" x14ac:dyDescent="0.25">
      <c r="A121" s="73"/>
      <c r="B121" s="73"/>
      <c r="C121" s="73"/>
      <c r="D121" s="73"/>
      <c r="E121" s="73"/>
      <c r="F121" s="73"/>
      <c r="G121" s="73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73"/>
      <c r="AG121" s="73"/>
      <c r="AH121" s="73"/>
      <c r="AI121" s="73"/>
      <c r="AJ121" s="73"/>
    </row>
    <row r="122" spans="1:36" x14ac:dyDescent="0.25">
      <c r="A122" s="73"/>
      <c r="B122" s="73"/>
      <c r="C122" s="73"/>
      <c r="D122" s="73"/>
      <c r="E122" s="73"/>
      <c r="F122" s="73"/>
      <c r="G122" s="73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3"/>
      <c r="AE122" s="73"/>
      <c r="AF122" s="73"/>
      <c r="AG122" s="73"/>
      <c r="AH122" s="73"/>
      <c r="AI122" s="73"/>
      <c r="AJ122" s="73"/>
    </row>
    <row r="123" spans="1:36" x14ac:dyDescent="0.25">
      <c r="A123" s="73"/>
      <c r="B123" s="73"/>
      <c r="C123" s="73"/>
      <c r="D123" s="73"/>
      <c r="E123" s="73"/>
      <c r="F123" s="73"/>
      <c r="G123" s="73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E123" s="73"/>
      <c r="AF123" s="73"/>
      <c r="AG123" s="73"/>
      <c r="AH123" s="73"/>
      <c r="AI123" s="73"/>
      <c r="AJ123" s="73"/>
    </row>
    <row r="124" spans="1:36" x14ac:dyDescent="0.25">
      <c r="A124" s="73"/>
      <c r="B124" s="73"/>
      <c r="C124" s="73"/>
      <c r="D124" s="73"/>
      <c r="E124" s="73"/>
      <c r="F124" s="73"/>
      <c r="G124" s="73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3"/>
      <c r="AE124" s="73"/>
      <c r="AF124" s="73"/>
      <c r="AG124" s="73"/>
      <c r="AH124" s="73"/>
      <c r="AI124" s="73"/>
      <c r="AJ124" s="73"/>
    </row>
    <row r="125" spans="1:36" x14ac:dyDescent="0.25">
      <c r="A125" s="73"/>
      <c r="B125" s="73"/>
      <c r="C125" s="73"/>
      <c r="D125" s="73"/>
      <c r="E125" s="73"/>
      <c r="F125" s="73"/>
      <c r="G125" s="73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73"/>
      <c r="AG125" s="73"/>
      <c r="AH125" s="73"/>
      <c r="AI125" s="73"/>
      <c r="AJ125" s="73"/>
    </row>
    <row r="126" spans="1:36" x14ac:dyDescent="0.25">
      <c r="A126" s="73"/>
      <c r="B126" s="73"/>
      <c r="C126" s="73"/>
      <c r="D126" s="73"/>
      <c r="E126" s="73"/>
      <c r="F126" s="73"/>
      <c r="G126" s="73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3"/>
      <c r="AE126" s="73"/>
      <c r="AF126" s="73"/>
      <c r="AG126" s="73"/>
      <c r="AH126" s="73"/>
      <c r="AI126" s="73"/>
      <c r="AJ126" s="73"/>
    </row>
    <row r="127" spans="1:36" x14ac:dyDescent="0.25">
      <c r="A127" s="73"/>
      <c r="B127" s="73"/>
      <c r="C127" s="73"/>
      <c r="D127" s="73"/>
      <c r="E127" s="73"/>
      <c r="F127" s="73"/>
      <c r="G127" s="73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3"/>
      <c r="AE127" s="73"/>
      <c r="AF127" s="73"/>
      <c r="AG127" s="73"/>
      <c r="AH127" s="73"/>
      <c r="AI127" s="73"/>
      <c r="AJ127" s="73"/>
    </row>
    <row r="128" spans="1:36" x14ac:dyDescent="0.25">
      <c r="A128" s="73"/>
      <c r="B128" s="73"/>
      <c r="C128" s="73"/>
      <c r="D128" s="73"/>
      <c r="E128" s="73"/>
      <c r="F128" s="73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73"/>
      <c r="AG128" s="73"/>
      <c r="AH128" s="73"/>
      <c r="AI128" s="73"/>
      <c r="AJ128" s="73"/>
    </row>
    <row r="129" spans="1:36" x14ac:dyDescent="0.25">
      <c r="A129" s="73"/>
      <c r="B129" s="73"/>
      <c r="C129" s="73"/>
      <c r="D129" s="73"/>
      <c r="E129" s="73"/>
      <c r="F129" s="73"/>
      <c r="G129" s="73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3"/>
      <c r="AE129" s="73"/>
      <c r="AF129" s="73"/>
      <c r="AG129" s="73"/>
      <c r="AH129" s="73"/>
      <c r="AI129" s="73"/>
      <c r="AJ129" s="73"/>
    </row>
    <row r="130" spans="1:36" x14ac:dyDescent="0.25">
      <c r="A130" s="73"/>
      <c r="B130" s="73"/>
      <c r="C130" s="73"/>
      <c r="D130" s="73"/>
      <c r="E130" s="73"/>
      <c r="F130" s="73"/>
      <c r="G130" s="73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3"/>
      <c r="AE130" s="73"/>
      <c r="AF130" s="73"/>
      <c r="AG130" s="73"/>
      <c r="AH130" s="73"/>
      <c r="AI130" s="73"/>
      <c r="AJ130" s="73"/>
    </row>
    <row r="131" spans="1:36" x14ac:dyDescent="0.25">
      <c r="A131" s="73"/>
      <c r="B131" s="73"/>
      <c r="C131" s="73"/>
      <c r="D131" s="73"/>
      <c r="E131" s="73"/>
      <c r="F131" s="73"/>
      <c r="G131" s="73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3"/>
      <c r="AE131" s="73"/>
      <c r="AF131" s="73"/>
      <c r="AG131" s="73"/>
      <c r="AH131" s="73"/>
      <c r="AI131" s="73"/>
      <c r="AJ131" s="73"/>
    </row>
    <row r="132" spans="1:36" x14ac:dyDescent="0.25">
      <c r="A132" s="73"/>
      <c r="B132" s="73"/>
      <c r="C132" s="73"/>
      <c r="D132" s="73"/>
      <c r="E132" s="73"/>
      <c r="F132" s="73"/>
      <c r="G132" s="73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3"/>
      <c r="AE132" s="73"/>
      <c r="AF132" s="73"/>
      <c r="AG132" s="73"/>
      <c r="AH132" s="73"/>
      <c r="AI132" s="73"/>
      <c r="AJ132" s="73"/>
    </row>
    <row r="133" spans="1:36" x14ac:dyDescent="0.25">
      <c r="A133" s="73"/>
      <c r="B133" s="73"/>
      <c r="C133" s="73"/>
      <c r="D133" s="73"/>
      <c r="E133" s="73"/>
      <c r="F133" s="73"/>
      <c r="G133" s="73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73"/>
      <c r="AG133" s="73"/>
      <c r="AH133" s="73"/>
      <c r="AI133" s="73"/>
      <c r="AJ133" s="73"/>
    </row>
    <row r="134" spans="1:36" x14ac:dyDescent="0.25">
      <c r="A134" s="73"/>
      <c r="B134" s="73"/>
      <c r="C134" s="73"/>
      <c r="D134" s="73"/>
      <c r="E134" s="73"/>
      <c r="F134" s="73"/>
      <c r="G134" s="73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3"/>
      <c r="AE134" s="73"/>
      <c r="AF134" s="73"/>
      <c r="AG134" s="73"/>
      <c r="AH134" s="73"/>
      <c r="AI134" s="73"/>
      <c r="AJ134" s="73"/>
    </row>
    <row r="135" spans="1:36" x14ac:dyDescent="0.25">
      <c r="A135" s="73"/>
      <c r="B135" s="73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3"/>
      <c r="AE135" s="73"/>
      <c r="AF135" s="73"/>
      <c r="AG135" s="73"/>
      <c r="AH135" s="73"/>
      <c r="AI135" s="73"/>
      <c r="AJ135" s="73"/>
    </row>
    <row r="136" spans="1:36" x14ac:dyDescent="0.25">
      <c r="A136" s="73"/>
      <c r="B136" s="73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3"/>
      <c r="AE136" s="73"/>
      <c r="AF136" s="73"/>
      <c r="AG136" s="73"/>
      <c r="AH136" s="73"/>
      <c r="AI136" s="73"/>
      <c r="AJ136" s="73"/>
    </row>
    <row r="137" spans="1:36" x14ac:dyDescent="0.25">
      <c r="A137" s="73"/>
      <c r="B137" s="73"/>
      <c r="C137" s="73"/>
      <c r="D137" s="73"/>
      <c r="E137" s="73"/>
      <c r="F137" s="73"/>
      <c r="G137" s="73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3"/>
      <c r="AE137" s="73"/>
      <c r="AF137" s="73"/>
      <c r="AG137" s="73"/>
      <c r="AH137" s="73"/>
      <c r="AI137" s="73"/>
      <c r="AJ137" s="73"/>
    </row>
    <row r="138" spans="1:36" x14ac:dyDescent="0.25">
      <c r="A138" s="73"/>
      <c r="B138" s="73"/>
      <c r="C138" s="73"/>
      <c r="D138" s="73"/>
      <c r="E138" s="73"/>
      <c r="F138" s="73"/>
      <c r="G138" s="73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3"/>
      <c r="AE138" s="73"/>
      <c r="AF138" s="73"/>
      <c r="AG138" s="73"/>
      <c r="AH138" s="73"/>
      <c r="AI138" s="73"/>
      <c r="AJ138" s="73"/>
    </row>
    <row r="139" spans="1:36" x14ac:dyDescent="0.25">
      <c r="A139" s="73"/>
      <c r="B139" s="73"/>
      <c r="C139" s="73"/>
      <c r="D139" s="73"/>
      <c r="E139" s="73"/>
      <c r="F139" s="73"/>
      <c r="G139" s="73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3"/>
      <c r="AE139" s="73"/>
      <c r="AF139" s="73"/>
      <c r="AG139" s="73"/>
      <c r="AH139" s="73"/>
      <c r="AI139" s="73"/>
      <c r="AJ139" s="73"/>
    </row>
    <row r="140" spans="1:36" x14ac:dyDescent="0.25">
      <c r="A140" s="73"/>
      <c r="B140" s="73"/>
      <c r="C140" s="73"/>
      <c r="D140" s="73"/>
      <c r="E140" s="73"/>
      <c r="F140" s="73"/>
      <c r="G140" s="73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3"/>
      <c r="AE140" s="73"/>
      <c r="AF140" s="73"/>
      <c r="AG140" s="73"/>
      <c r="AH140" s="73"/>
      <c r="AI140" s="73"/>
      <c r="AJ140" s="73"/>
    </row>
    <row r="141" spans="1:36" x14ac:dyDescent="0.25">
      <c r="A141" s="73"/>
      <c r="B141" s="73"/>
      <c r="C141" s="73"/>
      <c r="D141" s="73"/>
      <c r="E141" s="73"/>
      <c r="F141" s="73"/>
      <c r="G141" s="73"/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3"/>
      <c r="AE141" s="73"/>
      <c r="AF141" s="73"/>
      <c r="AG141" s="73"/>
      <c r="AH141" s="73"/>
      <c r="AI141" s="73"/>
      <c r="AJ141" s="73"/>
    </row>
    <row r="142" spans="1:36" x14ac:dyDescent="0.25">
      <c r="A142" s="73"/>
      <c r="B142" s="73"/>
      <c r="C142" s="73"/>
      <c r="D142" s="73"/>
      <c r="E142" s="73"/>
      <c r="F142" s="73"/>
      <c r="G142" s="73"/>
      <c r="H142" s="73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3"/>
      <c r="AE142" s="73"/>
      <c r="AF142" s="73"/>
      <c r="AG142" s="73"/>
      <c r="AH142" s="73"/>
      <c r="AI142" s="73"/>
      <c r="AJ142" s="73"/>
    </row>
    <row r="143" spans="1:36" x14ac:dyDescent="0.25">
      <c r="A143" s="73"/>
      <c r="B143" s="73"/>
      <c r="C143" s="73"/>
      <c r="D143" s="73"/>
      <c r="E143" s="73"/>
      <c r="F143" s="73"/>
      <c r="G143" s="73"/>
      <c r="H143" s="73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3"/>
      <c r="AE143" s="73"/>
      <c r="AF143" s="73"/>
      <c r="AG143" s="73"/>
      <c r="AH143" s="73"/>
      <c r="AI143" s="73"/>
      <c r="AJ143" s="73"/>
    </row>
    <row r="144" spans="1:36" x14ac:dyDescent="0.25">
      <c r="A144" s="73"/>
      <c r="B144" s="73"/>
      <c r="C144" s="73"/>
      <c r="D144" s="73"/>
      <c r="E144" s="73"/>
      <c r="F144" s="73"/>
      <c r="G144" s="73"/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3"/>
      <c r="AE144" s="73"/>
      <c r="AF144" s="73"/>
      <c r="AG144" s="73"/>
      <c r="AH144" s="73"/>
      <c r="AI144" s="73"/>
      <c r="AJ144" s="73"/>
    </row>
    <row r="145" spans="1:36" x14ac:dyDescent="0.25">
      <c r="A145" s="73"/>
      <c r="B145" s="73"/>
      <c r="C145" s="73"/>
      <c r="D145" s="73"/>
      <c r="E145" s="73"/>
      <c r="F145" s="73"/>
      <c r="G145" s="73"/>
      <c r="H145" s="73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3"/>
      <c r="AE145" s="73"/>
      <c r="AF145" s="73"/>
      <c r="AG145" s="73"/>
      <c r="AH145" s="73"/>
      <c r="AI145" s="73"/>
      <c r="AJ145" s="73"/>
    </row>
    <row r="146" spans="1:36" x14ac:dyDescent="0.25">
      <c r="A146" s="73"/>
      <c r="B146" s="73"/>
      <c r="C146" s="73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  <c r="AI146" s="73"/>
      <c r="AJ146" s="73"/>
    </row>
    <row r="147" spans="1:36" x14ac:dyDescent="0.25">
      <c r="A147" s="73"/>
      <c r="B147" s="73"/>
      <c r="C147" s="73"/>
      <c r="D147" s="73"/>
      <c r="E147" s="73"/>
      <c r="F147" s="73"/>
      <c r="G147" s="73"/>
      <c r="H147" s="73"/>
      <c r="I147" s="73"/>
      <c r="J147" s="73"/>
      <c r="K147" s="73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3"/>
      <c r="AE147" s="73"/>
      <c r="AF147" s="73"/>
      <c r="AG147" s="73"/>
      <c r="AH147" s="73"/>
      <c r="AI147" s="73"/>
      <c r="AJ147" s="73"/>
    </row>
    <row r="148" spans="1:36" x14ac:dyDescent="0.25">
      <c r="A148" s="73"/>
      <c r="B148" s="73"/>
      <c r="C148" s="73"/>
      <c r="D148" s="73"/>
      <c r="E148" s="73"/>
      <c r="F148" s="73"/>
      <c r="G148" s="73"/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3"/>
      <c r="AE148" s="73"/>
      <c r="AF148" s="73"/>
      <c r="AG148" s="73"/>
      <c r="AH148" s="73"/>
      <c r="AI148" s="73"/>
      <c r="AJ148" s="73"/>
    </row>
    <row r="149" spans="1:36" x14ac:dyDescent="0.25">
      <c r="A149" s="73"/>
      <c r="B149" s="73"/>
      <c r="C149" s="73"/>
      <c r="D149" s="73"/>
      <c r="E149" s="73"/>
      <c r="F149" s="73"/>
      <c r="G149" s="73"/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3"/>
      <c r="AE149" s="73"/>
      <c r="AF149" s="73"/>
      <c r="AG149" s="73"/>
      <c r="AH149" s="73"/>
      <c r="AI149" s="73"/>
      <c r="AJ149" s="73"/>
    </row>
    <row r="150" spans="1:36" x14ac:dyDescent="0.25">
      <c r="A150" s="73"/>
      <c r="B150" s="73"/>
      <c r="C150" s="73"/>
      <c r="D150" s="73"/>
      <c r="E150" s="73"/>
      <c r="F150" s="73"/>
      <c r="G150" s="73"/>
      <c r="H150" s="73"/>
      <c r="I150" s="73"/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3"/>
      <c r="AE150" s="73"/>
      <c r="AF150" s="73"/>
      <c r="AG150" s="73"/>
      <c r="AH150" s="73"/>
      <c r="AI150" s="73"/>
      <c r="AJ150" s="73"/>
    </row>
    <row r="151" spans="1:36" x14ac:dyDescent="0.25">
      <c r="A151" s="73"/>
      <c r="B151" s="73"/>
      <c r="C151" s="73"/>
      <c r="D151" s="73"/>
      <c r="E151" s="73"/>
      <c r="F151" s="73"/>
      <c r="G151" s="73"/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3"/>
      <c r="AE151" s="73"/>
      <c r="AF151" s="73"/>
      <c r="AG151" s="73"/>
      <c r="AH151" s="73"/>
      <c r="AI151" s="73"/>
      <c r="AJ151" s="73"/>
    </row>
    <row r="152" spans="1:36" x14ac:dyDescent="0.25">
      <c r="A152" s="73"/>
      <c r="B152" s="73"/>
      <c r="C152" s="73"/>
      <c r="D152" s="73"/>
      <c r="E152" s="73"/>
      <c r="F152" s="73"/>
      <c r="G152" s="73"/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3"/>
      <c r="AE152" s="73"/>
      <c r="AF152" s="73"/>
      <c r="AG152" s="73"/>
      <c r="AH152" s="73"/>
      <c r="AI152" s="73"/>
      <c r="AJ152" s="73"/>
    </row>
    <row r="153" spans="1:36" x14ac:dyDescent="0.25">
      <c r="A153" s="73"/>
      <c r="B153" s="73"/>
      <c r="C153" s="73"/>
      <c r="D153" s="73"/>
      <c r="E153" s="73"/>
      <c r="F153" s="73"/>
      <c r="G153" s="73"/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3"/>
      <c r="AE153" s="73"/>
      <c r="AF153" s="73"/>
      <c r="AG153" s="73"/>
      <c r="AH153" s="73"/>
      <c r="AI153" s="73"/>
      <c r="AJ153" s="73"/>
    </row>
    <row r="154" spans="1:36" x14ac:dyDescent="0.25">
      <c r="A154" s="73"/>
      <c r="B154" s="73"/>
      <c r="C154" s="73"/>
      <c r="D154" s="73"/>
      <c r="E154" s="73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3"/>
      <c r="AE154" s="73"/>
      <c r="AF154" s="73"/>
      <c r="AG154" s="73"/>
      <c r="AH154" s="73"/>
      <c r="AI154" s="73"/>
      <c r="AJ154" s="73"/>
    </row>
    <row r="155" spans="1:36" x14ac:dyDescent="0.25">
      <c r="A155" s="73"/>
      <c r="B155" s="73"/>
      <c r="C155" s="73"/>
      <c r="D155" s="73"/>
      <c r="E155" s="73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73"/>
      <c r="AG155" s="73"/>
      <c r="AH155" s="73"/>
      <c r="AI155" s="73"/>
      <c r="AJ155" s="73"/>
    </row>
    <row r="156" spans="1:36" x14ac:dyDescent="0.25">
      <c r="A156" s="73"/>
      <c r="B156" s="73"/>
      <c r="C156" s="73"/>
      <c r="D156" s="73"/>
      <c r="E156" s="73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H156" s="73"/>
      <c r="AI156" s="73"/>
      <c r="AJ156" s="73"/>
    </row>
    <row r="157" spans="1:36" x14ac:dyDescent="0.25">
      <c r="A157" s="73"/>
      <c r="B157" s="73"/>
      <c r="C157" s="73"/>
      <c r="D157" s="73"/>
      <c r="E157" s="73"/>
      <c r="F157" s="73"/>
      <c r="G157" s="73"/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3"/>
      <c r="AE157" s="73"/>
      <c r="AF157" s="73"/>
      <c r="AG157" s="73"/>
      <c r="AH157" s="73"/>
      <c r="AI157" s="73"/>
      <c r="AJ157" s="73"/>
    </row>
    <row r="158" spans="1:36" x14ac:dyDescent="0.25">
      <c r="A158" s="73"/>
      <c r="B158" s="73"/>
      <c r="C158" s="73"/>
      <c r="D158" s="73"/>
      <c r="E158" s="73"/>
      <c r="F158" s="73"/>
      <c r="G158" s="73"/>
      <c r="H158" s="73"/>
      <c r="I158" s="73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3"/>
      <c r="AE158" s="73"/>
      <c r="AF158" s="73"/>
      <c r="AG158" s="73"/>
      <c r="AH158" s="73"/>
      <c r="AI158" s="73"/>
      <c r="AJ158" s="73"/>
    </row>
    <row r="159" spans="1:36" x14ac:dyDescent="0.25">
      <c r="A159" s="73"/>
      <c r="B159" s="73"/>
      <c r="C159" s="73"/>
      <c r="D159" s="73"/>
      <c r="E159" s="73"/>
      <c r="F159" s="73"/>
      <c r="G159" s="73"/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73"/>
      <c r="AG159" s="73"/>
      <c r="AH159" s="73"/>
      <c r="AI159" s="73"/>
      <c r="AJ159" s="73"/>
    </row>
    <row r="160" spans="1:36" x14ac:dyDescent="0.25">
      <c r="A160" s="73"/>
      <c r="B160" s="73"/>
      <c r="C160" s="73"/>
      <c r="D160" s="73"/>
      <c r="E160" s="73"/>
      <c r="F160" s="73"/>
      <c r="G160" s="73"/>
      <c r="H160" s="73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3"/>
      <c r="AE160" s="73"/>
      <c r="AF160" s="73"/>
      <c r="AG160" s="73"/>
      <c r="AH160" s="73"/>
      <c r="AI160" s="73"/>
      <c r="AJ160" s="73"/>
    </row>
    <row r="161" spans="1:36" x14ac:dyDescent="0.25">
      <c r="A161" s="73"/>
      <c r="B161" s="73"/>
      <c r="C161" s="73"/>
      <c r="D161" s="73"/>
      <c r="E161" s="73"/>
      <c r="F161" s="73"/>
      <c r="G161" s="73"/>
      <c r="H161" s="73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3"/>
      <c r="AE161" s="73"/>
      <c r="AF161" s="73"/>
      <c r="AG161" s="73"/>
      <c r="AH161" s="73"/>
      <c r="AI161" s="73"/>
      <c r="AJ161" s="73"/>
    </row>
    <row r="162" spans="1:36" x14ac:dyDescent="0.25">
      <c r="A162" s="73"/>
      <c r="B162" s="73"/>
      <c r="C162" s="73"/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3"/>
      <c r="AE162" s="73"/>
      <c r="AF162" s="73"/>
      <c r="AG162" s="73"/>
      <c r="AH162" s="73"/>
      <c r="AI162" s="73"/>
      <c r="AJ162" s="73"/>
    </row>
    <row r="163" spans="1:36" x14ac:dyDescent="0.25">
      <c r="A163" s="73"/>
      <c r="B163" s="73"/>
      <c r="C163" s="73"/>
      <c r="D163" s="73"/>
      <c r="E163" s="73"/>
      <c r="F163" s="73"/>
      <c r="G163" s="73"/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3"/>
      <c r="AE163" s="73"/>
      <c r="AF163" s="73"/>
      <c r="AG163" s="73"/>
      <c r="AH163" s="73"/>
      <c r="AI163" s="73"/>
      <c r="AJ163" s="73"/>
    </row>
    <row r="164" spans="1:36" x14ac:dyDescent="0.25">
      <c r="A164" s="73"/>
      <c r="B164" s="73"/>
      <c r="C164" s="73"/>
      <c r="D164" s="73"/>
      <c r="E164" s="73"/>
      <c r="F164" s="73"/>
      <c r="G164" s="73"/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3"/>
      <c r="AE164" s="73"/>
      <c r="AF164" s="73"/>
      <c r="AG164" s="73"/>
      <c r="AH164" s="73"/>
      <c r="AI164" s="73"/>
      <c r="AJ164" s="73"/>
    </row>
    <row r="165" spans="1:36" x14ac:dyDescent="0.25">
      <c r="A165" s="73"/>
      <c r="B165" s="73"/>
      <c r="C165" s="73"/>
      <c r="D165" s="73"/>
      <c r="E165" s="73"/>
      <c r="F165" s="73"/>
      <c r="G165" s="73"/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</row>
    <row r="166" spans="1:36" x14ac:dyDescent="0.25">
      <c r="A166" s="73"/>
      <c r="B166" s="73"/>
      <c r="C166" s="73"/>
      <c r="D166" s="73"/>
      <c r="E166" s="73"/>
      <c r="F166" s="73"/>
      <c r="G166" s="73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</row>
    <row r="167" spans="1:36" x14ac:dyDescent="0.25">
      <c r="A167" s="73"/>
      <c r="B167" s="73"/>
      <c r="C167" s="73"/>
      <c r="D167" s="73"/>
      <c r="E167" s="73"/>
      <c r="F167" s="73"/>
      <c r="G167" s="73"/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</row>
    <row r="168" spans="1:36" x14ac:dyDescent="0.25">
      <c r="A168" s="73"/>
      <c r="B168" s="73"/>
      <c r="C168" s="73"/>
      <c r="D168" s="73"/>
      <c r="E168" s="73"/>
      <c r="F168" s="73"/>
      <c r="G168" s="73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</row>
    <row r="169" spans="1:36" x14ac:dyDescent="0.25">
      <c r="A169" s="73"/>
      <c r="B169" s="73"/>
      <c r="C169" s="73"/>
      <c r="D169" s="73"/>
      <c r="E169" s="73"/>
      <c r="F169" s="73"/>
      <c r="G169" s="73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</row>
    <row r="170" spans="1:36" x14ac:dyDescent="0.25">
      <c r="A170" s="73"/>
      <c r="B170" s="73"/>
      <c r="C170" s="73"/>
      <c r="D170" s="73"/>
      <c r="E170" s="73"/>
      <c r="F170" s="73"/>
      <c r="G170" s="73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</row>
    <row r="171" spans="1:36" x14ac:dyDescent="0.25">
      <c r="A171" s="73"/>
      <c r="B171" s="73"/>
      <c r="C171" s="73"/>
      <c r="D171" s="73"/>
      <c r="E171" s="73"/>
      <c r="F171" s="73"/>
      <c r="G171" s="73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</row>
    <row r="172" spans="1:36" x14ac:dyDescent="0.25">
      <c r="A172" s="73"/>
      <c r="B172" s="73"/>
      <c r="C172" s="73"/>
      <c r="D172" s="7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</row>
    <row r="173" spans="1:36" x14ac:dyDescent="0.25">
      <c r="A173" s="73"/>
      <c r="B173" s="73"/>
      <c r="C173" s="73"/>
      <c r="D173" s="73"/>
      <c r="E173" s="73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</row>
    <row r="174" spans="1:36" x14ac:dyDescent="0.25">
      <c r="A174" s="73"/>
      <c r="B174" s="73"/>
      <c r="C174" s="73"/>
      <c r="D174" s="73"/>
      <c r="E174" s="73"/>
      <c r="F174" s="73"/>
      <c r="G174" s="73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</row>
    <row r="175" spans="1:36" x14ac:dyDescent="0.25">
      <c r="A175" s="73"/>
      <c r="B175" s="73"/>
      <c r="C175" s="73"/>
      <c r="D175" s="73"/>
      <c r="E175" s="73"/>
      <c r="F175" s="73"/>
      <c r="G175" s="73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</row>
    <row r="176" spans="1:36" x14ac:dyDescent="0.25">
      <c r="A176" s="73"/>
      <c r="B176" s="73"/>
      <c r="C176" s="73"/>
      <c r="D176" s="73"/>
      <c r="E176" s="73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</row>
    <row r="177" spans="1:36" x14ac:dyDescent="0.25">
      <c r="A177" s="73"/>
      <c r="B177" s="73"/>
      <c r="C177" s="73"/>
      <c r="D177" s="73"/>
      <c r="E177" s="73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</row>
    <row r="178" spans="1:36" x14ac:dyDescent="0.25">
      <c r="A178" s="73"/>
      <c r="B178" s="73"/>
      <c r="C178" s="73"/>
      <c r="D178" s="73"/>
      <c r="E178" s="73"/>
      <c r="F178" s="73"/>
      <c r="G178" s="73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</row>
    <row r="179" spans="1:36" x14ac:dyDescent="0.25">
      <c r="A179" s="73"/>
      <c r="B179" s="73"/>
      <c r="C179" s="73"/>
      <c r="D179" s="73"/>
      <c r="E179" s="73"/>
      <c r="F179" s="73"/>
      <c r="G179" s="73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</row>
    <row r="180" spans="1:36" x14ac:dyDescent="0.25">
      <c r="A180" s="73"/>
      <c r="B180" s="73"/>
      <c r="C180" s="73"/>
      <c r="D180" s="73"/>
      <c r="E180" s="73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</row>
    <row r="181" spans="1:36" x14ac:dyDescent="0.25">
      <c r="A181" s="73"/>
      <c r="B181" s="73"/>
      <c r="C181" s="73"/>
      <c r="D181" s="73"/>
      <c r="E181" s="73"/>
      <c r="F181" s="73"/>
      <c r="G181" s="73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</row>
    <row r="182" spans="1:36" x14ac:dyDescent="0.25">
      <c r="A182" s="73"/>
      <c r="B182" s="73"/>
      <c r="C182" s="73"/>
      <c r="D182" s="73"/>
      <c r="E182" s="73"/>
      <c r="F182" s="73"/>
      <c r="G182" s="73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</row>
    <row r="183" spans="1:36" x14ac:dyDescent="0.25">
      <c r="A183" s="73"/>
      <c r="B183" s="73"/>
      <c r="C183" s="73"/>
      <c r="D183" s="73"/>
      <c r="E183" s="73"/>
      <c r="F183" s="73"/>
      <c r="G183" s="73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</row>
    <row r="184" spans="1:36" x14ac:dyDescent="0.25">
      <c r="A184" s="73"/>
      <c r="B184" s="73"/>
      <c r="C184" s="73"/>
      <c r="D184" s="73"/>
      <c r="E184" s="73"/>
      <c r="F184" s="73"/>
      <c r="G184" s="73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</row>
    <row r="185" spans="1:36" x14ac:dyDescent="0.25">
      <c r="A185" s="73"/>
      <c r="B185" s="73"/>
      <c r="C185" s="73"/>
      <c r="D185" s="73"/>
      <c r="E185" s="73"/>
      <c r="F185" s="73"/>
      <c r="G185" s="73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</row>
    <row r="186" spans="1:36" x14ac:dyDescent="0.25">
      <c r="A186" s="73"/>
      <c r="B186" s="73"/>
      <c r="C186" s="73"/>
      <c r="D186" s="73"/>
      <c r="E186" s="73"/>
      <c r="F186" s="73"/>
      <c r="G186" s="73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</row>
    <row r="187" spans="1:36" x14ac:dyDescent="0.25">
      <c r="A187" s="73"/>
      <c r="B187" s="73"/>
      <c r="C187" s="73"/>
      <c r="D187" s="73"/>
      <c r="E187" s="73"/>
      <c r="F187" s="73"/>
      <c r="G187" s="73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</row>
    <row r="188" spans="1:36" x14ac:dyDescent="0.25">
      <c r="A188" s="73"/>
      <c r="B188" s="73"/>
      <c r="C188" s="73"/>
      <c r="D188" s="73"/>
      <c r="E188" s="73"/>
      <c r="F188" s="73"/>
      <c r="G188" s="73"/>
      <c r="H188" s="73"/>
      <c r="I188" s="73"/>
      <c r="J188" s="73"/>
      <c r="K188" s="73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</row>
    <row r="189" spans="1:36" x14ac:dyDescent="0.25">
      <c r="A189" s="73"/>
      <c r="B189" s="73"/>
      <c r="C189" s="73"/>
      <c r="D189" s="73"/>
      <c r="E189" s="73"/>
      <c r="F189" s="73"/>
      <c r="G189" s="73"/>
      <c r="H189" s="73"/>
      <c r="I189" s="73"/>
      <c r="J189" s="73"/>
      <c r="K189" s="73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</row>
    <row r="190" spans="1:36" x14ac:dyDescent="0.25">
      <c r="A190" s="73"/>
      <c r="B190" s="73"/>
      <c r="C190" s="73"/>
      <c r="D190" s="73"/>
      <c r="E190" s="73"/>
      <c r="F190" s="73"/>
      <c r="G190" s="73"/>
      <c r="H190" s="73"/>
      <c r="I190" s="73"/>
      <c r="J190" s="73"/>
      <c r="K190" s="73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</row>
    <row r="191" spans="1:36" x14ac:dyDescent="0.25">
      <c r="A191" s="73"/>
      <c r="B191" s="73"/>
      <c r="C191" s="73"/>
      <c r="D191" s="73"/>
      <c r="E191" s="73"/>
      <c r="F191" s="73"/>
      <c r="G191" s="73"/>
      <c r="H191" s="73"/>
      <c r="I191" s="73"/>
      <c r="J191" s="73"/>
      <c r="K191" s="73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</row>
    <row r="192" spans="1:36" x14ac:dyDescent="0.25">
      <c r="A192" s="73"/>
      <c r="B192" s="73"/>
      <c r="C192" s="73"/>
      <c r="D192" s="73"/>
      <c r="E192" s="73"/>
      <c r="F192" s="73"/>
      <c r="G192" s="73"/>
      <c r="H192" s="73"/>
      <c r="I192" s="73"/>
      <c r="J192" s="73"/>
      <c r="K192" s="73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</row>
    <row r="193" spans="1:36" x14ac:dyDescent="0.25">
      <c r="A193" s="73"/>
      <c r="B193" s="73"/>
      <c r="C193" s="73"/>
      <c r="D193" s="73"/>
      <c r="E193" s="73"/>
      <c r="F193" s="73"/>
      <c r="G193" s="73"/>
      <c r="H193" s="73"/>
      <c r="I193" s="73"/>
      <c r="J193" s="73"/>
      <c r="K193" s="73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</row>
    <row r="194" spans="1:36" x14ac:dyDescent="0.25">
      <c r="A194" s="73"/>
      <c r="B194" s="73"/>
      <c r="C194" s="73"/>
      <c r="D194" s="73"/>
      <c r="E194" s="73"/>
      <c r="F194" s="73"/>
      <c r="G194" s="73"/>
      <c r="H194" s="73"/>
      <c r="I194" s="73"/>
      <c r="J194" s="73"/>
      <c r="K194" s="73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</row>
    <row r="195" spans="1:36" x14ac:dyDescent="0.25">
      <c r="A195" s="73"/>
      <c r="B195" s="73"/>
      <c r="C195" s="73"/>
      <c r="D195" s="73"/>
      <c r="E195" s="73"/>
      <c r="F195" s="73"/>
      <c r="G195" s="73"/>
      <c r="H195" s="73"/>
      <c r="I195" s="73"/>
      <c r="J195" s="73"/>
      <c r="K195" s="73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</row>
    <row r="196" spans="1:36" x14ac:dyDescent="0.25">
      <c r="A196" s="73"/>
      <c r="B196" s="73"/>
      <c r="C196" s="73"/>
      <c r="D196" s="73"/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</row>
    <row r="197" spans="1:36" x14ac:dyDescent="0.25">
      <c r="A197" s="73"/>
      <c r="B197" s="73"/>
      <c r="C197" s="73"/>
      <c r="D197" s="73"/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</row>
    <row r="198" spans="1:36" x14ac:dyDescent="0.25">
      <c r="A198" s="73"/>
      <c r="B198" s="73"/>
      <c r="C198" s="73"/>
      <c r="D198" s="73"/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</row>
    <row r="199" spans="1:36" x14ac:dyDescent="0.25">
      <c r="A199" s="73"/>
      <c r="B199" s="73"/>
      <c r="C199" s="73"/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</row>
    <row r="200" spans="1:36" x14ac:dyDescent="0.25">
      <c r="A200" s="73"/>
      <c r="B200" s="73"/>
      <c r="C200" s="73"/>
      <c r="D200" s="73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</row>
    <row r="201" spans="1:36" x14ac:dyDescent="0.25">
      <c r="A201" s="73"/>
      <c r="B201" s="73"/>
      <c r="C201" s="73"/>
      <c r="D201" s="73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</row>
    <row r="202" spans="1:36" x14ac:dyDescent="0.25">
      <c r="A202" s="73"/>
      <c r="B202" s="73"/>
      <c r="C202" s="73"/>
      <c r="D202" s="73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</row>
    <row r="203" spans="1:36" x14ac:dyDescent="0.25">
      <c r="A203" s="73"/>
      <c r="B203" s="73"/>
      <c r="C203" s="73"/>
      <c r="D203" s="73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</row>
    <row r="204" spans="1:36" x14ac:dyDescent="0.25">
      <c r="A204" s="73"/>
      <c r="B204" s="73"/>
      <c r="C204" s="73"/>
      <c r="D204" s="73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  <c r="AA204" s="73"/>
      <c r="AB204" s="73"/>
      <c r="AC204" s="73"/>
      <c r="AD204" s="73"/>
      <c r="AE204" s="73"/>
      <c r="AF204" s="73"/>
      <c r="AG204" s="73"/>
      <c r="AH204" s="73"/>
      <c r="AI204" s="73"/>
      <c r="AJ204" s="73"/>
    </row>
    <row r="205" spans="1:36" x14ac:dyDescent="0.25">
      <c r="A205" s="73"/>
      <c r="B205" s="73"/>
      <c r="C205" s="73"/>
      <c r="D205" s="73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  <c r="AA205" s="73"/>
      <c r="AB205" s="73"/>
      <c r="AC205" s="73"/>
      <c r="AD205" s="73"/>
      <c r="AE205" s="73"/>
      <c r="AF205" s="73"/>
      <c r="AG205" s="73"/>
      <c r="AH205" s="73"/>
      <c r="AI205" s="73"/>
      <c r="AJ205" s="73"/>
    </row>
    <row r="206" spans="1:36" x14ac:dyDescent="0.25">
      <c r="A206" s="73"/>
      <c r="B206" s="73"/>
      <c r="C206" s="73"/>
      <c r="D206" s="73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  <c r="AA206" s="73"/>
      <c r="AB206" s="73"/>
      <c r="AC206" s="73"/>
      <c r="AD206" s="73"/>
      <c r="AE206" s="73"/>
      <c r="AF206" s="73"/>
      <c r="AG206" s="73"/>
      <c r="AH206" s="73"/>
      <c r="AI206" s="73"/>
      <c r="AJ206" s="73"/>
    </row>
    <row r="207" spans="1:36" x14ac:dyDescent="0.25">
      <c r="A207" s="73"/>
      <c r="B207" s="73"/>
      <c r="C207" s="73"/>
      <c r="D207" s="73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3"/>
      <c r="AE207" s="73"/>
      <c r="AF207" s="73"/>
      <c r="AG207" s="73"/>
      <c r="AH207" s="73"/>
      <c r="AI207" s="73"/>
      <c r="AJ207" s="73"/>
    </row>
    <row r="208" spans="1:36" x14ac:dyDescent="0.25">
      <c r="A208" s="73"/>
      <c r="B208" s="73"/>
      <c r="C208" s="73"/>
      <c r="D208" s="73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  <c r="AA208" s="73"/>
      <c r="AB208" s="73"/>
      <c r="AC208" s="73"/>
      <c r="AD208" s="73"/>
      <c r="AE208" s="73"/>
      <c r="AF208" s="73"/>
      <c r="AG208" s="73"/>
      <c r="AH208" s="73"/>
      <c r="AI208" s="73"/>
      <c r="AJ208" s="73"/>
    </row>
    <row r="209" spans="1:36" x14ac:dyDescent="0.25">
      <c r="A209" s="73"/>
      <c r="B209" s="73"/>
      <c r="C209" s="73"/>
      <c r="D209" s="73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  <c r="AA209" s="73"/>
      <c r="AB209" s="73"/>
      <c r="AC209" s="73"/>
      <c r="AD209" s="73"/>
      <c r="AE209" s="73"/>
      <c r="AF209" s="73"/>
      <c r="AG209" s="73"/>
      <c r="AH209" s="73"/>
      <c r="AI209" s="73"/>
      <c r="AJ209" s="73"/>
    </row>
    <row r="210" spans="1:36" x14ac:dyDescent="0.25">
      <c r="A210" s="73"/>
      <c r="B210" s="73"/>
      <c r="C210" s="73"/>
      <c r="D210" s="73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  <c r="AA210" s="73"/>
      <c r="AB210" s="73"/>
      <c r="AC210" s="73"/>
      <c r="AD210" s="73"/>
      <c r="AE210" s="73"/>
      <c r="AF210" s="73"/>
      <c r="AG210" s="73"/>
      <c r="AH210" s="73"/>
      <c r="AI210" s="73"/>
      <c r="AJ210" s="73"/>
    </row>
    <row r="211" spans="1:36" x14ac:dyDescent="0.25">
      <c r="A211" s="73"/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  <c r="AA211" s="73"/>
      <c r="AB211" s="73"/>
      <c r="AC211" s="73"/>
      <c r="AD211" s="73"/>
      <c r="AE211" s="73"/>
      <c r="AF211" s="73"/>
      <c r="AG211" s="73"/>
      <c r="AH211" s="73"/>
      <c r="AI211" s="73"/>
      <c r="AJ211" s="73"/>
    </row>
    <row r="212" spans="1:36" x14ac:dyDescent="0.25">
      <c r="A212" s="73"/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  <c r="AA212" s="73"/>
      <c r="AB212" s="73"/>
      <c r="AC212" s="73"/>
      <c r="AD212" s="73"/>
      <c r="AE212" s="73"/>
      <c r="AF212" s="73"/>
      <c r="AG212" s="73"/>
      <c r="AH212" s="73"/>
      <c r="AI212" s="73"/>
      <c r="AJ212" s="73"/>
    </row>
    <row r="213" spans="1:36" x14ac:dyDescent="0.25">
      <c r="A213" s="73"/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  <c r="AA213" s="73"/>
      <c r="AB213" s="73"/>
      <c r="AC213" s="73"/>
      <c r="AD213" s="73"/>
      <c r="AE213" s="73"/>
      <c r="AF213" s="73"/>
      <c r="AG213" s="73"/>
      <c r="AH213" s="73"/>
      <c r="AI213" s="73"/>
      <c r="AJ213" s="73"/>
    </row>
    <row r="214" spans="1:36" x14ac:dyDescent="0.25">
      <c r="A214" s="73"/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  <c r="AA214" s="73"/>
      <c r="AB214" s="73"/>
      <c r="AC214" s="73"/>
      <c r="AD214" s="73"/>
      <c r="AE214" s="73"/>
      <c r="AF214" s="73"/>
      <c r="AG214" s="73"/>
      <c r="AH214" s="73"/>
      <c r="AI214" s="73"/>
      <c r="AJ214" s="73"/>
    </row>
    <row r="215" spans="1:36" x14ac:dyDescent="0.25">
      <c r="A215" s="73"/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  <c r="AA215" s="73"/>
      <c r="AB215" s="73"/>
      <c r="AC215" s="73"/>
      <c r="AD215" s="73"/>
      <c r="AE215" s="73"/>
      <c r="AF215" s="73"/>
      <c r="AG215" s="73"/>
      <c r="AH215" s="73"/>
      <c r="AI215" s="73"/>
      <c r="AJ215" s="73"/>
    </row>
    <row r="216" spans="1:36" x14ac:dyDescent="0.25">
      <c r="A216" s="73"/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  <c r="AA216" s="73"/>
      <c r="AB216" s="73"/>
      <c r="AC216" s="73"/>
      <c r="AD216" s="73"/>
      <c r="AE216" s="73"/>
      <c r="AF216" s="73"/>
      <c r="AG216" s="73"/>
      <c r="AH216" s="73"/>
      <c r="AI216" s="73"/>
      <c r="AJ216" s="73"/>
    </row>
    <row r="217" spans="1:36" x14ac:dyDescent="0.25">
      <c r="A217" s="73"/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  <c r="AA217" s="73"/>
      <c r="AB217" s="73"/>
      <c r="AC217" s="73"/>
      <c r="AD217" s="73"/>
      <c r="AE217" s="73"/>
      <c r="AF217" s="73"/>
      <c r="AG217" s="73"/>
      <c r="AH217" s="73"/>
      <c r="AI217" s="73"/>
      <c r="AJ217" s="73"/>
    </row>
    <row r="218" spans="1:36" x14ac:dyDescent="0.25">
      <c r="A218" s="73"/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  <c r="AA218" s="73"/>
      <c r="AB218" s="73"/>
      <c r="AC218" s="73"/>
      <c r="AD218" s="73"/>
      <c r="AE218" s="73"/>
      <c r="AF218" s="73"/>
      <c r="AG218" s="73"/>
      <c r="AH218" s="73"/>
      <c r="AI218" s="73"/>
      <c r="AJ218" s="73"/>
    </row>
    <row r="219" spans="1:36" x14ac:dyDescent="0.25">
      <c r="A219" s="73"/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  <c r="AA219" s="73"/>
      <c r="AB219" s="73"/>
      <c r="AC219" s="73"/>
      <c r="AD219" s="73"/>
      <c r="AE219" s="73"/>
      <c r="AF219" s="73"/>
      <c r="AG219" s="73"/>
      <c r="AH219" s="73"/>
      <c r="AI219" s="73"/>
      <c r="AJ219" s="73"/>
    </row>
    <row r="220" spans="1:36" x14ac:dyDescent="0.25">
      <c r="A220" s="73"/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  <c r="AA220" s="73"/>
      <c r="AB220" s="73"/>
      <c r="AC220" s="73"/>
      <c r="AD220" s="73"/>
      <c r="AE220" s="73"/>
      <c r="AF220" s="73"/>
      <c r="AG220" s="73"/>
      <c r="AH220" s="73"/>
      <c r="AI220" s="73"/>
      <c r="AJ220" s="73"/>
    </row>
    <row r="221" spans="1:36" x14ac:dyDescent="0.25">
      <c r="A221" s="73"/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  <c r="AA221" s="73"/>
      <c r="AB221" s="73"/>
      <c r="AC221" s="73"/>
      <c r="AD221" s="73"/>
      <c r="AE221" s="73"/>
      <c r="AF221" s="73"/>
      <c r="AG221" s="73"/>
      <c r="AH221" s="73"/>
      <c r="AI221" s="73"/>
      <c r="AJ221" s="73"/>
    </row>
    <row r="222" spans="1:36" x14ac:dyDescent="0.25">
      <c r="A222" s="73"/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  <c r="AA222" s="73"/>
      <c r="AB222" s="73"/>
      <c r="AC222" s="73"/>
      <c r="AD222" s="73"/>
      <c r="AE222" s="73"/>
      <c r="AF222" s="73"/>
      <c r="AG222" s="73"/>
      <c r="AH222" s="73"/>
      <c r="AI222" s="73"/>
      <c r="AJ222" s="73"/>
    </row>
    <row r="223" spans="1:36" x14ac:dyDescent="0.25">
      <c r="A223" s="73"/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  <c r="AA223" s="73"/>
      <c r="AB223" s="73"/>
      <c r="AC223" s="73"/>
      <c r="AD223" s="73"/>
      <c r="AE223" s="73"/>
      <c r="AF223" s="73"/>
      <c r="AG223" s="73"/>
      <c r="AH223" s="73"/>
      <c r="AI223" s="73"/>
      <c r="AJ223" s="73"/>
    </row>
    <row r="224" spans="1:36" x14ac:dyDescent="0.25">
      <c r="A224" s="73"/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  <c r="AA224" s="73"/>
      <c r="AB224" s="73"/>
      <c r="AC224" s="73"/>
      <c r="AD224" s="73"/>
      <c r="AE224" s="73"/>
      <c r="AF224" s="73"/>
      <c r="AG224" s="73"/>
      <c r="AH224" s="73"/>
      <c r="AI224" s="73"/>
      <c r="AJ224" s="73"/>
    </row>
    <row r="225" spans="1:36" x14ac:dyDescent="0.25">
      <c r="A225" s="73"/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  <c r="AD225" s="73"/>
      <c r="AE225" s="73"/>
      <c r="AF225" s="73"/>
      <c r="AG225" s="73"/>
      <c r="AH225" s="73"/>
      <c r="AI225" s="73"/>
      <c r="AJ225" s="73"/>
    </row>
    <row r="226" spans="1:36" x14ac:dyDescent="0.25">
      <c r="A226" s="73"/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  <c r="AA226" s="73"/>
      <c r="AB226" s="73"/>
      <c r="AC226" s="73"/>
      <c r="AD226" s="73"/>
      <c r="AE226" s="73"/>
      <c r="AF226" s="73"/>
      <c r="AG226" s="73"/>
      <c r="AH226" s="73"/>
      <c r="AI226" s="73"/>
      <c r="AJ226" s="73"/>
    </row>
    <row r="227" spans="1:36" x14ac:dyDescent="0.25">
      <c r="A227" s="73"/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  <c r="AA227" s="73"/>
      <c r="AB227" s="73"/>
      <c r="AC227" s="73"/>
      <c r="AD227" s="73"/>
      <c r="AE227" s="73"/>
      <c r="AF227" s="73"/>
      <c r="AG227" s="73"/>
      <c r="AH227" s="73"/>
      <c r="AI227" s="73"/>
      <c r="AJ227" s="73"/>
    </row>
    <row r="228" spans="1:36" x14ac:dyDescent="0.25">
      <c r="A228" s="73"/>
      <c r="B228" s="73"/>
      <c r="C228" s="73"/>
      <c r="D228" s="73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  <c r="AA228" s="73"/>
      <c r="AB228" s="73"/>
      <c r="AC228" s="73"/>
      <c r="AD228" s="73"/>
      <c r="AE228" s="73"/>
      <c r="AF228" s="73"/>
      <c r="AG228" s="73"/>
      <c r="AH228" s="73"/>
      <c r="AI228" s="73"/>
      <c r="AJ228" s="73"/>
    </row>
    <row r="229" spans="1:36" x14ac:dyDescent="0.25">
      <c r="A229" s="73"/>
      <c r="B229" s="73"/>
      <c r="C229" s="73"/>
      <c r="D229" s="73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  <c r="AA229" s="73"/>
      <c r="AB229" s="73"/>
      <c r="AC229" s="73"/>
      <c r="AD229" s="73"/>
      <c r="AE229" s="73"/>
      <c r="AF229" s="73"/>
      <c r="AG229" s="73"/>
      <c r="AH229" s="73"/>
      <c r="AI229" s="73"/>
      <c r="AJ229" s="73"/>
    </row>
    <row r="230" spans="1:36" x14ac:dyDescent="0.25">
      <c r="A230" s="73"/>
      <c r="B230" s="73"/>
      <c r="C230" s="73"/>
      <c r="D230" s="73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  <c r="AA230" s="73"/>
      <c r="AB230" s="73"/>
      <c r="AC230" s="73"/>
      <c r="AD230" s="73"/>
      <c r="AE230" s="73"/>
      <c r="AF230" s="73"/>
      <c r="AG230" s="73"/>
      <c r="AH230" s="73"/>
      <c r="AI230" s="73"/>
      <c r="AJ230" s="73"/>
    </row>
    <row r="231" spans="1:36" x14ac:dyDescent="0.25">
      <c r="A231" s="73"/>
      <c r="B231" s="73"/>
      <c r="C231" s="73"/>
      <c r="D231" s="73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  <c r="AD231" s="73"/>
      <c r="AE231" s="73"/>
      <c r="AF231" s="73"/>
      <c r="AG231" s="73"/>
      <c r="AH231" s="73"/>
      <c r="AI231" s="73"/>
      <c r="AJ231" s="73"/>
    </row>
    <row r="232" spans="1:36" x14ac:dyDescent="0.25">
      <c r="A232" s="73"/>
      <c r="B232" s="73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  <c r="AA232" s="73"/>
      <c r="AB232" s="73"/>
      <c r="AC232" s="73"/>
      <c r="AD232" s="73"/>
      <c r="AE232" s="73"/>
      <c r="AF232" s="73"/>
      <c r="AG232" s="73"/>
      <c r="AH232" s="73"/>
      <c r="AI232" s="73"/>
      <c r="AJ232" s="73"/>
    </row>
    <row r="233" spans="1:36" x14ac:dyDescent="0.25">
      <c r="A233" s="73"/>
      <c r="B233" s="73"/>
      <c r="C233" s="73"/>
      <c r="D233" s="73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3"/>
      <c r="AE233" s="73"/>
      <c r="AF233" s="73"/>
      <c r="AG233" s="73"/>
      <c r="AH233" s="73"/>
      <c r="AI233" s="73"/>
      <c r="AJ233" s="73"/>
    </row>
    <row r="234" spans="1:36" x14ac:dyDescent="0.25">
      <c r="A234" s="73"/>
      <c r="B234" s="73"/>
      <c r="C234" s="73"/>
      <c r="D234" s="73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  <c r="AA234" s="73"/>
      <c r="AB234" s="73"/>
      <c r="AC234" s="73"/>
      <c r="AD234" s="73"/>
      <c r="AE234" s="73"/>
      <c r="AF234" s="73"/>
      <c r="AG234" s="73"/>
      <c r="AH234" s="73"/>
      <c r="AI234" s="73"/>
      <c r="AJ234" s="73"/>
    </row>
    <row r="235" spans="1:36" x14ac:dyDescent="0.25">
      <c r="A235" s="73"/>
      <c r="B235" s="73"/>
      <c r="C235" s="73"/>
      <c r="D235" s="73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  <c r="AA235" s="73"/>
      <c r="AB235" s="73"/>
      <c r="AC235" s="73"/>
      <c r="AD235" s="73"/>
      <c r="AE235" s="73"/>
      <c r="AF235" s="73"/>
      <c r="AG235" s="73"/>
      <c r="AH235" s="73"/>
      <c r="AI235" s="73"/>
      <c r="AJ235" s="73"/>
    </row>
    <row r="236" spans="1:36" x14ac:dyDescent="0.25">
      <c r="A236" s="73"/>
      <c r="B236" s="73"/>
      <c r="C236" s="73"/>
      <c r="D236" s="73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  <c r="AA236" s="73"/>
      <c r="AB236" s="73"/>
      <c r="AC236" s="73"/>
      <c r="AD236" s="73"/>
      <c r="AE236" s="73"/>
      <c r="AF236" s="73"/>
      <c r="AG236" s="73"/>
      <c r="AH236" s="73"/>
      <c r="AI236" s="73"/>
      <c r="AJ236" s="73"/>
    </row>
    <row r="237" spans="1:36" x14ac:dyDescent="0.25">
      <c r="A237" s="73"/>
      <c r="B237" s="73"/>
      <c r="C237" s="73"/>
      <c r="D237" s="73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</row>
    <row r="238" spans="1:36" x14ac:dyDescent="0.25">
      <c r="A238" s="73"/>
      <c r="B238" s="73"/>
      <c r="C238" s="73"/>
      <c r="D238" s="7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3"/>
      <c r="AE238" s="73"/>
      <c r="AF238" s="73"/>
      <c r="AG238" s="73"/>
      <c r="AH238" s="73"/>
      <c r="AI238" s="73"/>
      <c r="AJ238" s="73"/>
    </row>
    <row r="239" spans="1:36" x14ac:dyDescent="0.25">
      <c r="A239" s="73"/>
      <c r="B239" s="73"/>
      <c r="C239" s="73"/>
      <c r="D239" s="73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  <c r="AA239" s="73"/>
      <c r="AB239" s="73"/>
      <c r="AC239" s="73"/>
      <c r="AD239" s="73"/>
      <c r="AE239" s="73"/>
      <c r="AF239" s="73"/>
      <c r="AG239" s="73"/>
      <c r="AH239" s="73"/>
      <c r="AI239" s="73"/>
      <c r="AJ239" s="73"/>
    </row>
    <row r="240" spans="1:36" x14ac:dyDescent="0.25">
      <c r="A240" s="73"/>
      <c r="B240" s="73"/>
      <c r="C240" s="73"/>
      <c r="D240" s="73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  <c r="AA240" s="73"/>
      <c r="AB240" s="73"/>
      <c r="AC240" s="73"/>
      <c r="AD240" s="73"/>
      <c r="AE240" s="73"/>
      <c r="AF240" s="73"/>
      <c r="AG240" s="73"/>
      <c r="AH240" s="73"/>
      <c r="AI240" s="73"/>
      <c r="AJ240" s="73"/>
    </row>
    <row r="241" spans="1:36" x14ac:dyDescent="0.25">
      <c r="A241" s="73"/>
      <c r="B241" s="73"/>
      <c r="C241" s="73"/>
      <c r="D241" s="73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  <c r="AA241" s="73"/>
      <c r="AB241" s="73"/>
      <c r="AC241" s="73"/>
      <c r="AD241" s="73"/>
      <c r="AE241" s="73"/>
      <c r="AF241" s="73"/>
      <c r="AG241" s="73"/>
      <c r="AH241" s="73"/>
      <c r="AI241" s="73"/>
      <c r="AJ241" s="73"/>
    </row>
    <row r="242" spans="1:36" x14ac:dyDescent="0.25">
      <c r="A242" s="73"/>
      <c r="B242" s="73"/>
      <c r="C242" s="73"/>
      <c r="D242" s="73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  <c r="AA242" s="73"/>
      <c r="AB242" s="73"/>
      <c r="AC242" s="73"/>
      <c r="AD242" s="73"/>
      <c r="AE242" s="73"/>
      <c r="AF242" s="73"/>
      <c r="AG242" s="73"/>
      <c r="AH242" s="73"/>
      <c r="AI242" s="73"/>
      <c r="AJ242" s="73"/>
    </row>
    <row r="243" spans="1:36" x14ac:dyDescent="0.25">
      <c r="A243" s="73"/>
      <c r="B243" s="73"/>
      <c r="C243" s="73"/>
      <c r="D243" s="73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  <c r="AA243" s="73"/>
      <c r="AB243" s="73"/>
      <c r="AC243" s="73"/>
      <c r="AD243" s="73"/>
      <c r="AE243" s="73"/>
      <c r="AF243" s="73"/>
      <c r="AG243" s="73"/>
      <c r="AH243" s="73"/>
      <c r="AI243" s="73"/>
      <c r="AJ243" s="73"/>
    </row>
    <row r="244" spans="1:36" x14ac:dyDescent="0.25">
      <c r="A244" s="73"/>
      <c r="B244" s="73"/>
      <c r="C244" s="73"/>
      <c r="D244" s="73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  <c r="AA244" s="73"/>
      <c r="AB244" s="73"/>
      <c r="AC244" s="73"/>
      <c r="AD244" s="73"/>
      <c r="AE244" s="73"/>
      <c r="AF244" s="73"/>
      <c r="AG244" s="73"/>
      <c r="AH244" s="73"/>
      <c r="AI244" s="73"/>
      <c r="AJ244" s="73"/>
    </row>
    <row r="245" spans="1:36" x14ac:dyDescent="0.25">
      <c r="A245" s="73"/>
      <c r="B245" s="73"/>
      <c r="C245" s="73"/>
      <c r="D245" s="73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  <c r="AA245" s="73"/>
      <c r="AB245" s="73"/>
      <c r="AC245" s="73"/>
      <c r="AD245" s="73"/>
      <c r="AE245" s="73"/>
      <c r="AF245" s="73"/>
      <c r="AG245" s="73"/>
      <c r="AH245" s="73"/>
      <c r="AI245" s="73"/>
      <c r="AJ245" s="73"/>
    </row>
    <row r="246" spans="1:36" x14ac:dyDescent="0.25">
      <c r="A246" s="73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  <c r="AA246" s="73"/>
      <c r="AB246" s="73"/>
      <c r="AC246" s="73"/>
      <c r="AD246" s="73"/>
      <c r="AE246" s="73"/>
      <c r="AF246" s="73"/>
      <c r="AG246" s="73"/>
      <c r="AH246" s="73"/>
      <c r="AI246" s="73"/>
      <c r="AJ246" s="73"/>
    </row>
    <row r="247" spans="1:36" x14ac:dyDescent="0.25">
      <c r="A247" s="73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  <c r="AA247" s="73"/>
      <c r="AB247" s="73"/>
      <c r="AC247" s="73"/>
      <c r="AD247" s="73"/>
      <c r="AE247" s="73"/>
      <c r="AF247" s="73"/>
      <c r="AG247" s="73"/>
      <c r="AH247" s="73"/>
      <c r="AI247" s="73"/>
      <c r="AJ247" s="73"/>
    </row>
    <row r="248" spans="1:36" x14ac:dyDescent="0.25">
      <c r="A248" s="73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  <c r="AD248" s="73"/>
      <c r="AE248" s="73"/>
      <c r="AF248" s="73"/>
      <c r="AG248" s="73"/>
      <c r="AH248" s="73"/>
      <c r="AI248" s="73"/>
      <c r="AJ248" s="73"/>
    </row>
    <row r="249" spans="1:36" x14ac:dyDescent="0.25">
      <c r="A249" s="73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  <c r="AA249" s="73"/>
      <c r="AB249" s="73"/>
      <c r="AC249" s="73"/>
      <c r="AD249" s="73"/>
      <c r="AE249" s="73"/>
      <c r="AF249" s="73"/>
      <c r="AG249" s="73"/>
      <c r="AH249" s="73"/>
      <c r="AI249" s="73"/>
      <c r="AJ249" s="73"/>
    </row>
    <row r="250" spans="1:36" x14ac:dyDescent="0.25">
      <c r="A250" s="73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  <c r="AA250" s="73"/>
      <c r="AB250" s="73"/>
      <c r="AC250" s="73"/>
      <c r="AD250" s="73"/>
      <c r="AE250" s="73"/>
      <c r="AF250" s="73"/>
      <c r="AG250" s="73"/>
      <c r="AH250" s="73"/>
      <c r="AI250" s="73"/>
      <c r="AJ250" s="73"/>
    </row>
    <row r="251" spans="1:36" x14ac:dyDescent="0.25">
      <c r="A251" s="73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  <c r="AA251" s="73"/>
      <c r="AB251" s="73"/>
      <c r="AC251" s="73"/>
      <c r="AD251" s="73"/>
      <c r="AE251" s="73"/>
      <c r="AF251" s="73"/>
      <c r="AG251" s="73"/>
      <c r="AH251" s="73"/>
      <c r="AI251" s="73"/>
      <c r="AJ251" s="73"/>
    </row>
    <row r="252" spans="1:36" x14ac:dyDescent="0.25">
      <c r="A252" s="73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  <c r="AA252" s="73"/>
      <c r="AB252" s="73"/>
      <c r="AC252" s="73"/>
      <c r="AD252" s="73"/>
      <c r="AE252" s="73"/>
      <c r="AF252" s="73"/>
      <c r="AG252" s="73"/>
      <c r="AH252" s="73"/>
      <c r="AI252" s="73"/>
      <c r="AJ252" s="73"/>
    </row>
    <row r="253" spans="1:36" x14ac:dyDescent="0.25">
      <c r="A253" s="73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  <c r="AA253" s="73"/>
      <c r="AB253" s="73"/>
      <c r="AC253" s="73"/>
      <c r="AD253" s="73"/>
      <c r="AE253" s="73"/>
      <c r="AF253" s="73"/>
      <c r="AG253" s="73"/>
      <c r="AH253" s="73"/>
      <c r="AI253" s="73"/>
      <c r="AJ253" s="73"/>
    </row>
    <row r="254" spans="1:36" x14ac:dyDescent="0.25">
      <c r="A254" s="73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  <c r="AA254" s="73"/>
      <c r="AB254" s="73"/>
      <c r="AC254" s="73"/>
      <c r="AD254" s="73"/>
      <c r="AE254" s="73"/>
      <c r="AF254" s="73"/>
      <c r="AG254" s="73"/>
      <c r="AH254" s="73"/>
      <c r="AI254" s="73"/>
      <c r="AJ254" s="73"/>
    </row>
    <row r="255" spans="1:36" x14ac:dyDescent="0.25">
      <c r="A255" s="73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  <c r="AA255" s="73"/>
      <c r="AB255" s="73"/>
      <c r="AC255" s="73"/>
      <c r="AD255" s="73"/>
      <c r="AE255" s="73"/>
      <c r="AF255" s="73"/>
      <c r="AG255" s="73"/>
      <c r="AH255" s="73"/>
      <c r="AI255" s="73"/>
      <c r="AJ255" s="73"/>
    </row>
    <row r="256" spans="1:36" x14ac:dyDescent="0.25">
      <c r="A256" s="73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  <c r="AA256" s="73"/>
      <c r="AB256" s="73"/>
      <c r="AC256" s="73"/>
      <c r="AD256" s="73"/>
      <c r="AE256" s="73"/>
      <c r="AF256" s="73"/>
      <c r="AG256" s="73"/>
      <c r="AH256" s="73"/>
      <c r="AI256" s="73"/>
      <c r="AJ256" s="73"/>
    </row>
    <row r="257" spans="1:36" x14ac:dyDescent="0.25">
      <c r="A257" s="73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  <c r="AA257" s="73"/>
      <c r="AB257" s="73"/>
      <c r="AC257" s="73"/>
      <c r="AD257" s="73"/>
      <c r="AE257" s="73"/>
      <c r="AF257" s="73"/>
      <c r="AG257" s="73"/>
      <c r="AH257" s="73"/>
      <c r="AI257" s="73"/>
      <c r="AJ257" s="73"/>
    </row>
    <row r="258" spans="1:36" x14ac:dyDescent="0.25">
      <c r="A258" s="73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  <c r="AD258" s="73"/>
      <c r="AE258" s="73"/>
      <c r="AF258" s="73"/>
      <c r="AG258" s="73"/>
      <c r="AH258" s="73"/>
      <c r="AI258" s="73"/>
      <c r="AJ258" s="73"/>
    </row>
    <row r="259" spans="1:36" x14ac:dyDescent="0.25">
      <c r="A259" s="73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  <c r="AA259" s="73"/>
      <c r="AB259" s="73"/>
      <c r="AC259" s="73"/>
      <c r="AD259" s="73"/>
      <c r="AE259" s="73"/>
      <c r="AF259" s="73"/>
      <c r="AG259" s="73"/>
      <c r="AH259" s="73"/>
      <c r="AI259" s="73"/>
      <c r="AJ259" s="73"/>
    </row>
    <row r="260" spans="1:36" x14ac:dyDescent="0.25">
      <c r="A260" s="73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  <c r="AA260" s="73"/>
      <c r="AB260" s="73"/>
      <c r="AC260" s="73"/>
      <c r="AD260" s="73"/>
      <c r="AE260" s="73"/>
      <c r="AF260" s="73"/>
      <c r="AG260" s="73"/>
      <c r="AH260" s="73"/>
      <c r="AI260" s="73"/>
      <c r="AJ260" s="73"/>
    </row>
    <row r="261" spans="1:36" x14ac:dyDescent="0.25">
      <c r="A261" s="73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  <c r="AA261" s="73"/>
      <c r="AB261" s="73"/>
      <c r="AC261" s="73"/>
      <c r="AD261" s="73"/>
      <c r="AE261" s="73"/>
      <c r="AF261" s="73"/>
      <c r="AG261" s="73"/>
      <c r="AH261" s="73"/>
      <c r="AI261" s="73"/>
      <c r="AJ261" s="73"/>
    </row>
    <row r="262" spans="1:36" x14ac:dyDescent="0.25">
      <c r="A262" s="73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  <c r="AA262" s="73"/>
      <c r="AB262" s="73"/>
      <c r="AC262" s="73"/>
      <c r="AD262" s="73"/>
      <c r="AE262" s="73"/>
      <c r="AF262" s="73"/>
      <c r="AG262" s="73"/>
      <c r="AH262" s="73"/>
      <c r="AI262" s="73"/>
      <c r="AJ262" s="73"/>
    </row>
    <row r="263" spans="1:36" x14ac:dyDescent="0.25">
      <c r="A263" s="73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  <c r="AA263" s="73"/>
      <c r="AB263" s="73"/>
      <c r="AC263" s="73"/>
      <c r="AD263" s="73"/>
      <c r="AE263" s="73"/>
      <c r="AF263" s="73"/>
      <c r="AG263" s="73"/>
      <c r="AH263" s="73"/>
      <c r="AI263" s="73"/>
      <c r="AJ263" s="73"/>
    </row>
    <row r="264" spans="1:36" x14ac:dyDescent="0.25">
      <c r="A264" s="73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  <c r="AA264" s="73"/>
      <c r="AB264" s="73"/>
      <c r="AC264" s="73"/>
      <c r="AD264" s="73"/>
      <c r="AE264" s="73"/>
      <c r="AF264" s="73"/>
      <c r="AG264" s="73"/>
      <c r="AH264" s="73"/>
      <c r="AI264" s="73"/>
      <c r="AJ264" s="73"/>
    </row>
    <row r="265" spans="1:36" x14ac:dyDescent="0.25">
      <c r="A265" s="73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  <c r="AA265" s="73"/>
      <c r="AB265" s="73"/>
      <c r="AC265" s="73"/>
      <c r="AD265" s="73"/>
      <c r="AE265" s="73"/>
      <c r="AF265" s="73"/>
      <c r="AG265" s="73"/>
      <c r="AH265" s="73"/>
      <c r="AI265" s="73"/>
      <c r="AJ265" s="73"/>
    </row>
    <row r="266" spans="1:36" x14ac:dyDescent="0.25">
      <c r="A266" s="73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  <c r="AA266" s="73"/>
      <c r="AB266" s="73"/>
      <c r="AC266" s="73"/>
      <c r="AD266" s="73"/>
      <c r="AE266" s="73"/>
      <c r="AF266" s="73"/>
      <c r="AG266" s="73"/>
      <c r="AH266" s="73"/>
      <c r="AI266" s="73"/>
      <c r="AJ266" s="73"/>
    </row>
    <row r="267" spans="1:36" x14ac:dyDescent="0.25">
      <c r="A267" s="73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  <c r="AA267" s="73"/>
      <c r="AB267" s="73"/>
      <c r="AC267" s="73"/>
      <c r="AD267" s="73"/>
      <c r="AE267" s="73"/>
      <c r="AF267" s="73"/>
      <c r="AG267" s="73"/>
      <c r="AH267" s="73"/>
      <c r="AI267" s="73"/>
      <c r="AJ267" s="73"/>
    </row>
    <row r="268" spans="1:36" x14ac:dyDescent="0.25">
      <c r="A268" s="73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  <c r="AA268" s="73"/>
      <c r="AB268" s="73"/>
      <c r="AC268" s="73"/>
      <c r="AD268" s="73"/>
      <c r="AE268" s="73"/>
      <c r="AF268" s="73"/>
      <c r="AG268" s="73"/>
      <c r="AH268" s="73"/>
      <c r="AI268" s="73"/>
      <c r="AJ268" s="73"/>
    </row>
    <row r="269" spans="1:36" x14ac:dyDescent="0.25">
      <c r="A269" s="73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  <c r="AA269" s="73"/>
      <c r="AB269" s="73"/>
      <c r="AC269" s="73"/>
      <c r="AD269" s="73"/>
      <c r="AE269" s="73"/>
      <c r="AF269" s="73"/>
      <c r="AG269" s="73"/>
      <c r="AH269" s="73"/>
      <c r="AI269" s="73"/>
      <c r="AJ269" s="73"/>
    </row>
    <row r="270" spans="1:36" x14ac:dyDescent="0.25">
      <c r="A270" s="73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  <c r="AA270" s="73"/>
      <c r="AB270" s="73"/>
      <c r="AC270" s="73"/>
      <c r="AD270" s="73"/>
      <c r="AE270" s="73"/>
      <c r="AF270" s="73"/>
      <c r="AG270" s="73"/>
      <c r="AH270" s="73"/>
      <c r="AI270" s="73"/>
      <c r="AJ270" s="73"/>
    </row>
    <row r="271" spans="1:36" x14ac:dyDescent="0.25">
      <c r="A271" s="73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  <c r="AA271" s="73"/>
      <c r="AB271" s="73"/>
      <c r="AC271" s="73"/>
      <c r="AD271" s="73"/>
      <c r="AE271" s="73"/>
      <c r="AF271" s="73"/>
      <c r="AG271" s="73"/>
      <c r="AH271" s="73"/>
      <c r="AI271" s="73"/>
      <c r="AJ271" s="73"/>
    </row>
    <row r="272" spans="1:36" x14ac:dyDescent="0.25">
      <c r="A272" s="73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  <c r="AA272" s="73"/>
      <c r="AB272" s="73"/>
      <c r="AC272" s="73"/>
      <c r="AD272" s="73"/>
      <c r="AE272" s="73"/>
      <c r="AF272" s="73"/>
      <c r="AG272" s="73"/>
      <c r="AH272" s="73"/>
      <c r="AI272" s="73"/>
      <c r="AJ272" s="73"/>
    </row>
    <row r="273" spans="1:36" x14ac:dyDescent="0.25">
      <c r="A273" s="73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  <c r="AA273" s="73"/>
      <c r="AB273" s="73"/>
      <c r="AC273" s="73"/>
      <c r="AD273" s="73"/>
      <c r="AE273" s="73"/>
      <c r="AF273" s="73"/>
      <c r="AG273" s="73"/>
      <c r="AH273" s="73"/>
      <c r="AI273" s="73"/>
      <c r="AJ273" s="73"/>
    </row>
    <row r="274" spans="1:36" x14ac:dyDescent="0.25">
      <c r="A274" s="73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  <c r="AA274" s="73"/>
      <c r="AB274" s="73"/>
      <c r="AC274" s="73"/>
      <c r="AD274" s="73"/>
      <c r="AE274" s="73"/>
      <c r="AF274" s="73"/>
      <c r="AG274" s="73"/>
      <c r="AH274" s="73"/>
      <c r="AI274" s="73"/>
      <c r="AJ274" s="73"/>
    </row>
    <row r="275" spans="1:36" x14ac:dyDescent="0.25">
      <c r="A275" s="73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3"/>
      <c r="AE275" s="73"/>
      <c r="AF275" s="73"/>
      <c r="AG275" s="73"/>
      <c r="AH275" s="73"/>
      <c r="AI275" s="73"/>
      <c r="AJ275" s="73"/>
    </row>
    <row r="276" spans="1:36" x14ac:dyDescent="0.25">
      <c r="A276" s="73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  <c r="AA276" s="73"/>
      <c r="AB276" s="73"/>
      <c r="AC276" s="73"/>
      <c r="AD276" s="73"/>
      <c r="AE276" s="73"/>
      <c r="AF276" s="73"/>
      <c r="AG276" s="73"/>
      <c r="AH276" s="73"/>
      <c r="AI276" s="73"/>
      <c r="AJ276" s="73"/>
    </row>
    <row r="277" spans="1:36" x14ac:dyDescent="0.25">
      <c r="A277" s="73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  <c r="AA277" s="73"/>
      <c r="AB277" s="73"/>
      <c r="AC277" s="73"/>
      <c r="AD277" s="73"/>
      <c r="AE277" s="73"/>
      <c r="AF277" s="73"/>
      <c r="AG277" s="73"/>
      <c r="AH277" s="73"/>
      <c r="AI277" s="73"/>
      <c r="AJ277" s="73"/>
    </row>
    <row r="278" spans="1:36" x14ac:dyDescent="0.25">
      <c r="A278" s="73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  <c r="AA278" s="73"/>
      <c r="AB278" s="73"/>
      <c r="AC278" s="73"/>
      <c r="AD278" s="73"/>
      <c r="AE278" s="73"/>
      <c r="AF278" s="73"/>
      <c r="AG278" s="73"/>
      <c r="AH278" s="73"/>
      <c r="AI278" s="73"/>
      <c r="AJ278" s="73"/>
    </row>
    <row r="279" spans="1:36" x14ac:dyDescent="0.25">
      <c r="A279" s="73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  <c r="AA279" s="73"/>
      <c r="AB279" s="73"/>
      <c r="AC279" s="73"/>
      <c r="AD279" s="73"/>
      <c r="AE279" s="73"/>
      <c r="AF279" s="73"/>
      <c r="AG279" s="73"/>
      <c r="AH279" s="73"/>
      <c r="AI279" s="73"/>
      <c r="AJ279" s="73"/>
    </row>
    <row r="280" spans="1:36" x14ac:dyDescent="0.25">
      <c r="A280" s="73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  <c r="AA280" s="73"/>
      <c r="AB280" s="73"/>
      <c r="AC280" s="73"/>
      <c r="AD280" s="73"/>
      <c r="AE280" s="73"/>
      <c r="AF280" s="73"/>
      <c r="AG280" s="73"/>
      <c r="AH280" s="73"/>
      <c r="AI280" s="73"/>
      <c r="AJ280" s="73"/>
    </row>
    <row r="281" spans="1:36" x14ac:dyDescent="0.25">
      <c r="A281" s="73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  <c r="AA281" s="73"/>
      <c r="AB281" s="73"/>
      <c r="AC281" s="73"/>
      <c r="AD281" s="73"/>
      <c r="AE281" s="73"/>
      <c r="AF281" s="73"/>
      <c r="AG281" s="73"/>
      <c r="AH281" s="73"/>
      <c r="AI281" s="73"/>
      <c r="AJ281" s="73"/>
    </row>
    <row r="282" spans="1:36" x14ac:dyDescent="0.25">
      <c r="A282" s="73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  <c r="AA282" s="73"/>
      <c r="AB282" s="73"/>
      <c r="AC282" s="73"/>
      <c r="AD282" s="73"/>
      <c r="AE282" s="73"/>
      <c r="AF282" s="73"/>
      <c r="AG282" s="73"/>
      <c r="AH282" s="73"/>
      <c r="AI282" s="73"/>
      <c r="AJ282" s="73"/>
    </row>
    <row r="283" spans="1:36" x14ac:dyDescent="0.25">
      <c r="A283" s="73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  <c r="AA283" s="73"/>
      <c r="AB283" s="73"/>
      <c r="AC283" s="73"/>
      <c r="AD283" s="73"/>
      <c r="AE283" s="73"/>
      <c r="AF283" s="73"/>
      <c r="AG283" s="73"/>
      <c r="AH283" s="73"/>
      <c r="AI283" s="73"/>
      <c r="AJ283" s="73"/>
    </row>
    <row r="284" spans="1:36" x14ac:dyDescent="0.25">
      <c r="A284" s="73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3"/>
      <c r="AH284" s="73"/>
      <c r="AI284" s="73"/>
      <c r="AJ284" s="73"/>
    </row>
    <row r="285" spans="1:36" x14ac:dyDescent="0.25">
      <c r="A285" s="73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  <c r="AA285" s="73"/>
      <c r="AB285" s="73"/>
      <c r="AC285" s="73"/>
      <c r="AD285" s="73"/>
      <c r="AE285" s="73"/>
      <c r="AF285" s="73"/>
      <c r="AG285" s="73"/>
      <c r="AH285" s="73"/>
      <c r="AI285" s="73"/>
      <c r="AJ285" s="73"/>
    </row>
    <row r="286" spans="1:36" x14ac:dyDescent="0.25">
      <c r="A286" s="73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  <c r="AA286" s="73"/>
      <c r="AB286" s="73"/>
      <c r="AC286" s="73"/>
      <c r="AD286" s="73"/>
      <c r="AE286" s="73"/>
      <c r="AF286" s="73"/>
      <c r="AG286" s="73"/>
      <c r="AH286" s="73"/>
      <c r="AI286" s="73"/>
      <c r="AJ286" s="73"/>
    </row>
    <row r="287" spans="1:36" x14ac:dyDescent="0.25">
      <c r="A287" s="73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  <c r="AA287" s="73"/>
      <c r="AB287" s="73"/>
      <c r="AC287" s="73"/>
      <c r="AD287" s="73"/>
      <c r="AE287" s="73"/>
      <c r="AF287" s="73"/>
      <c r="AG287" s="73"/>
      <c r="AH287" s="73"/>
      <c r="AI287" s="73"/>
      <c r="AJ287" s="73"/>
    </row>
    <row r="288" spans="1:36" x14ac:dyDescent="0.25">
      <c r="A288" s="73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  <c r="AA288" s="73"/>
      <c r="AB288" s="73"/>
      <c r="AC288" s="73"/>
      <c r="AD288" s="73"/>
      <c r="AE288" s="73"/>
      <c r="AF288" s="73"/>
      <c r="AG288" s="73"/>
      <c r="AH288" s="73"/>
      <c r="AI288" s="73"/>
      <c r="AJ288" s="73"/>
    </row>
    <row r="289" spans="1:36" x14ac:dyDescent="0.25">
      <c r="A289" s="73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  <c r="AA289" s="73"/>
      <c r="AB289" s="73"/>
      <c r="AC289" s="73"/>
      <c r="AD289" s="73"/>
      <c r="AE289" s="73"/>
      <c r="AF289" s="73"/>
      <c r="AG289" s="73"/>
      <c r="AH289" s="73"/>
      <c r="AI289" s="73"/>
      <c r="AJ289" s="73"/>
    </row>
    <row r="290" spans="1:36" x14ac:dyDescent="0.25">
      <c r="A290" s="73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3"/>
      <c r="AE290" s="73"/>
      <c r="AF290" s="73"/>
      <c r="AG290" s="73"/>
      <c r="AH290" s="73"/>
      <c r="AI290" s="73"/>
      <c r="AJ290" s="73"/>
    </row>
    <row r="291" spans="1:36" x14ac:dyDescent="0.25">
      <c r="A291" s="73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  <c r="AA291" s="73"/>
      <c r="AB291" s="73"/>
      <c r="AC291" s="73"/>
      <c r="AD291" s="73"/>
      <c r="AE291" s="73"/>
      <c r="AF291" s="73"/>
      <c r="AG291" s="73"/>
      <c r="AH291" s="73"/>
      <c r="AI291" s="73"/>
      <c r="AJ291" s="73"/>
    </row>
    <row r="292" spans="1:36" x14ac:dyDescent="0.25">
      <c r="A292" s="73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  <c r="AA292" s="73"/>
      <c r="AB292" s="73"/>
      <c r="AC292" s="73"/>
      <c r="AD292" s="73"/>
      <c r="AE292" s="73"/>
      <c r="AF292" s="73"/>
      <c r="AG292" s="73"/>
      <c r="AH292" s="73"/>
      <c r="AI292" s="73"/>
      <c r="AJ292" s="73"/>
    </row>
    <row r="293" spans="1:36" x14ac:dyDescent="0.25">
      <c r="A293" s="73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  <c r="AA293" s="73"/>
      <c r="AB293" s="73"/>
      <c r="AC293" s="73"/>
      <c r="AD293" s="73"/>
      <c r="AE293" s="73"/>
      <c r="AF293" s="73"/>
      <c r="AG293" s="73"/>
      <c r="AH293" s="73"/>
      <c r="AI293" s="73"/>
      <c r="AJ293" s="73"/>
    </row>
    <row r="294" spans="1:36" x14ac:dyDescent="0.25">
      <c r="A294" s="73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  <c r="AA294" s="73"/>
      <c r="AB294" s="73"/>
      <c r="AC294" s="73"/>
      <c r="AD294" s="73"/>
      <c r="AE294" s="73"/>
      <c r="AF294" s="73"/>
      <c r="AG294" s="73"/>
      <c r="AH294" s="73"/>
      <c r="AI294" s="73"/>
      <c r="AJ294" s="73"/>
    </row>
    <row r="295" spans="1:36" x14ac:dyDescent="0.25">
      <c r="A295" s="73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  <c r="AA295" s="73"/>
      <c r="AB295" s="73"/>
      <c r="AC295" s="73"/>
      <c r="AD295" s="73"/>
      <c r="AE295" s="73"/>
      <c r="AF295" s="73"/>
      <c r="AG295" s="73"/>
      <c r="AH295" s="73"/>
      <c r="AI295" s="73"/>
      <c r="AJ295" s="73"/>
    </row>
    <row r="296" spans="1:36" x14ac:dyDescent="0.25">
      <c r="A296" s="73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  <c r="AA296" s="73"/>
      <c r="AB296" s="73"/>
      <c r="AC296" s="73"/>
      <c r="AD296" s="73"/>
      <c r="AE296" s="73"/>
      <c r="AF296" s="73"/>
      <c r="AG296" s="73"/>
      <c r="AH296" s="73"/>
      <c r="AI296" s="73"/>
      <c r="AJ296" s="73"/>
    </row>
    <row r="297" spans="1:36" x14ac:dyDescent="0.25">
      <c r="A297" s="73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  <c r="AA297" s="73"/>
      <c r="AB297" s="73"/>
      <c r="AC297" s="73"/>
      <c r="AD297" s="73"/>
      <c r="AE297" s="73"/>
      <c r="AF297" s="73"/>
      <c r="AG297" s="73"/>
      <c r="AH297" s="73"/>
      <c r="AI297" s="73"/>
      <c r="AJ297" s="73"/>
    </row>
    <row r="298" spans="1:36" x14ac:dyDescent="0.25">
      <c r="A298" s="73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  <c r="AA298" s="73"/>
      <c r="AB298" s="73"/>
      <c r="AC298" s="73"/>
      <c r="AD298" s="73"/>
      <c r="AE298" s="73"/>
      <c r="AF298" s="73"/>
      <c r="AG298" s="73"/>
      <c r="AH298" s="73"/>
      <c r="AI298" s="73"/>
      <c r="AJ298" s="73"/>
    </row>
    <row r="299" spans="1:36" x14ac:dyDescent="0.25">
      <c r="A299" s="73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  <c r="AA299" s="73"/>
      <c r="AB299" s="73"/>
      <c r="AC299" s="73"/>
      <c r="AD299" s="73"/>
      <c r="AE299" s="73"/>
      <c r="AF299" s="73"/>
      <c r="AG299" s="73"/>
      <c r="AH299" s="73"/>
      <c r="AI299" s="73"/>
      <c r="AJ299" s="73"/>
    </row>
    <row r="300" spans="1:36" x14ac:dyDescent="0.25">
      <c r="A300" s="73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  <c r="AA300" s="73"/>
      <c r="AB300" s="73"/>
      <c r="AC300" s="73"/>
      <c r="AD300" s="73"/>
      <c r="AE300" s="73"/>
      <c r="AF300" s="73"/>
      <c r="AG300" s="73"/>
      <c r="AH300" s="73"/>
      <c r="AI300" s="73"/>
      <c r="AJ300" s="73"/>
    </row>
    <row r="301" spans="1:36" x14ac:dyDescent="0.25">
      <c r="A301" s="73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  <c r="AA301" s="73"/>
      <c r="AB301" s="73"/>
      <c r="AC301" s="73"/>
      <c r="AD301" s="73"/>
      <c r="AE301" s="73"/>
      <c r="AF301" s="73"/>
      <c r="AG301" s="73"/>
      <c r="AH301" s="73"/>
      <c r="AI301" s="73"/>
      <c r="AJ301" s="73"/>
    </row>
    <row r="302" spans="1:36" x14ac:dyDescent="0.25">
      <c r="A302" s="73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  <c r="AA302" s="73"/>
      <c r="AB302" s="73"/>
      <c r="AC302" s="73"/>
      <c r="AD302" s="73"/>
      <c r="AE302" s="73"/>
      <c r="AF302" s="73"/>
      <c r="AG302" s="73"/>
      <c r="AH302" s="73"/>
      <c r="AI302" s="73"/>
      <c r="AJ302" s="73"/>
    </row>
    <row r="303" spans="1:36" x14ac:dyDescent="0.25">
      <c r="A303" s="73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  <c r="AA303" s="73"/>
      <c r="AB303" s="73"/>
      <c r="AC303" s="73"/>
      <c r="AD303" s="73"/>
      <c r="AE303" s="73"/>
      <c r="AF303" s="73"/>
      <c r="AG303" s="73"/>
      <c r="AH303" s="73"/>
      <c r="AI303" s="73"/>
      <c r="AJ303" s="73"/>
    </row>
    <row r="304" spans="1:36" x14ac:dyDescent="0.25">
      <c r="A304" s="73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3"/>
      <c r="AE304" s="73"/>
      <c r="AF304" s="73"/>
      <c r="AG304" s="73"/>
      <c r="AH304" s="73"/>
      <c r="AI304" s="73"/>
      <c r="AJ304" s="73"/>
    </row>
    <row r="305" spans="1:36" x14ac:dyDescent="0.25">
      <c r="A305" s="73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  <c r="AA305" s="73"/>
      <c r="AB305" s="73"/>
      <c r="AC305" s="73"/>
      <c r="AD305" s="73"/>
      <c r="AE305" s="73"/>
      <c r="AF305" s="73"/>
      <c r="AG305" s="73"/>
      <c r="AH305" s="73"/>
      <c r="AI305" s="73"/>
      <c r="AJ305" s="73"/>
    </row>
    <row r="306" spans="1:36" x14ac:dyDescent="0.25">
      <c r="A306" s="73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  <c r="AA306" s="73"/>
      <c r="AB306" s="73"/>
      <c r="AC306" s="73"/>
      <c r="AD306" s="73"/>
      <c r="AE306" s="73"/>
      <c r="AF306" s="73"/>
      <c r="AG306" s="73"/>
      <c r="AH306" s="73"/>
      <c r="AI306" s="73"/>
      <c r="AJ306" s="73"/>
    </row>
    <row r="307" spans="1:36" x14ac:dyDescent="0.25">
      <c r="A307" s="73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  <c r="AA307" s="73"/>
      <c r="AB307" s="73"/>
      <c r="AC307" s="73"/>
      <c r="AD307" s="73"/>
      <c r="AE307" s="73"/>
      <c r="AF307" s="73"/>
      <c r="AG307" s="73"/>
      <c r="AH307" s="73"/>
      <c r="AI307" s="73"/>
      <c r="AJ307" s="73"/>
    </row>
    <row r="308" spans="1:36" x14ac:dyDescent="0.25">
      <c r="A308" s="73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  <c r="AA308" s="73"/>
      <c r="AB308" s="73"/>
      <c r="AC308" s="73"/>
      <c r="AD308" s="73"/>
      <c r="AE308" s="73"/>
      <c r="AF308" s="73"/>
      <c r="AG308" s="73"/>
      <c r="AH308" s="73"/>
      <c r="AI308" s="73"/>
      <c r="AJ308" s="73"/>
    </row>
    <row r="309" spans="1:36" x14ac:dyDescent="0.25">
      <c r="A309" s="73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  <c r="AA309" s="73"/>
      <c r="AB309" s="73"/>
      <c r="AC309" s="73"/>
      <c r="AD309" s="73"/>
      <c r="AE309" s="73"/>
      <c r="AF309" s="73"/>
      <c r="AG309" s="73"/>
      <c r="AH309" s="73"/>
      <c r="AI309" s="73"/>
      <c r="AJ309" s="73"/>
    </row>
    <row r="310" spans="1:36" x14ac:dyDescent="0.25">
      <c r="A310" s="73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  <c r="AA310" s="73"/>
      <c r="AB310" s="73"/>
      <c r="AC310" s="73"/>
      <c r="AD310" s="73"/>
      <c r="AE310" s="73"/>
      <c r="AF310" s="73"/>
      <c r="AG310" s="73"/>
      <c r="AH310" s="73"/>
      <c r="AI310" s="73"/>
      <c r="AJ310" s="73"/>
    </row>
    <row r="311" spans="1:36" x14ac:dyDescent="0.25">
      <c r="A311" s="73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  <c r="AA311" s="73"/>
      <c r="AB311" s="73"/>
      <c r="AC311" s="73"/>
      <c r="AD311" s="73"/>
      <c r="AE311" s="73"/>
      <c r="AF311" s="73"/>
      <c r="AG311" s="73"/>
      <c r="AH311" s="73"/>
      <c r="AI311" s="73"/>
      <c r="AJ311" s="73"/>
    </row>
    <row r="312" spans="1:36" x14ac:dyDescent="0.25">
      <c r="A312" s="73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  <c r="AA312" s="73"/>
      <c r="AB312" s="73"/>
      <c r="AC312" s="73"/>
      <c r="AD312" s="73"/>
      <c r="AE312" s="73"/>
      <c r="AF312" s="73"/>
      <c r="AG312" s="73"/>
      <c r="AH312" s="73"/>
      <c r="AI312" s="73"/>
      <c r="AJ312" s="73"/>
    </row>
    <row r="313" spans="1:36" x14ac:dyDescent="0.25">
      <c r="A313" s="73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  <c r="AA313" s="73"/>
      <c r="AB313" s="73"/>
      <c r="AC313" s="73"/>
      <c r="AD313" s="73"/>
      <c r="AE313" s="73"/>
      <c r="AF313" s="73"/>
      <c r="AG313" s="73"/>
      <c r="AH313" s="73"/>
      <c r="AI313" s="73"/>
      <c r="AJ313" s="73"/>
    </row>
    <row r="314" spans="1:36" x14ac:dyDescent="0.25">
      <c r="A314" s="73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  <c r="AA314" s="73"/>
      <c r="AB314" s="73"/>
      <c r="AC314" s="73"/>
      <c r="AD314" s="73"/>
      <c r="AE314" s="73"/>
      <c r="AF314" s="73"/>
      <c r="AG314" s="73"/>
      <c r="AH314" s="73"/>
      <c r="AI314" s="73"/>
      <c r="AJ314" s="73"/>
    </row>
    <row r="315" spans="1:36" x14ac:dyDescent="0.25">
      <c r="A315" s="73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3"/>
      <c r="AE315" s="73"/>
      <c r="AF315" s="73"/>
      <c r="AG315" s="73"/>
      <c r="AH315" s="73"/>
      <c r="AI315" s="73"/>
      <c r="AJ315" s="73"/>
    </row>
    <row r="316" spans="1:36" x14ac:dyDescent="0.25">
      <c r="A316" s="73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3"/>
      <c r="AE316" s="73"/>
      <c r="AF316" s="73"/>
      <c r="AG316" s="73"/>
      <c r="AH316" s="73"/>
      <c r="AI316" s="73"/>
      <c r="AJ316" s="73"/>
    </row>
    <row r="317" spans="1:36" x14ac:dyDescent="0.25">
      <c r="A317" s="73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</row>
    <row r="318" spans="1:36" x14ac:dyDescent="0.25">
      <c r="A318" s="73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  <c r="AA318" s="73"/>
      <c r="AB318" s="73"/>
      <c r="AC318" s="73"/>
      <c r="AD318" s="73"/>
      <c r="AE318" s="73"/>
      <c r="AF318" s="73"/>
      <c r="AG318" s="73"/>
      <c r="AH318" s="73"/>
      <c r="AI318" s="73"/>
      <c r="AJ318" s="73"/>
    </row>
    <row r="319" spans="1:36" x14ac:dyDescent="0.25">
      <c r="A319" s="73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  <c r="AA319" s="73"/>
      <c r="AB319" s="73"/>
      <c r="AC319" s="73"/>
      <c r="AD319" s="73"/>
      <c r="AE319" s="73"/>
      <c r="AF319" s="73"/>
      <c r="AG319" s="73"/>
      <c r="AH319" s="73"/>
      <c r="AI319" s="73"/>
      <c r="AJ319" s="73"/>
    </row>
    <row r="320" spans="1:36" x14ac:dyDescent="0.25">
      <c r="A320" s="73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3"/>
      <c r="AE320" s="73"/>
      <c r="AF320" s="73"/>
      <c r="AG320" s="73"/>
      <c r="AH320" s="73"/>
      <c r="AI320" s="73"/>
      <c r="AJ320" s="73"/>
    </row>
    <row r="321" spans="1:36" x14ac:dyDescent="0.25">
      <c r="A321" s="73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  <c r="AA321" s="73"/>
      <c r="AB321" s="73"/>
      <c r="AC321" s="73"/>
      <c r="AD321" s="73"/>
      <c r="AE321" s="73"/>
      <c r="AF321" s="73"/>
      <c r="AG321" s="73"/>
      <c r="AH321" s="73"/>
      <c r="AI321" s="73"/>
      <c r="AJ321" s="73"/>
    </row>
    <row r="322" spans="1:36" x14ac:dyDescent="0.25">
      <c r="A322" s="73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  <c r="AA322" s="73"/>
      <c r="AB322" s="73"/>
      <c r="AC322" s="73"/>
      <c r="AD322" s="73"/>
      <c r="AE322" s="73"/>
      <c r="AF322" s="73"/>
      <c r="AG322" s="73"/>
      <c r="AH322" s="73"/>
      <c r="AI322" s="73"/>
      <c r="AJ322" s="73"/>
    </row>
    <row r="323" spans="1:36" x14ac:dyDescent="0.25">
      <c r="A323" s="73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  <c r="AA323" s="73"/>
      <c r="AB323" s="73"/>
      <c r="AC323" s="73"/>
      <c r="AD323" s="73"/>
      <c r="AE323" s="73"/>
      <c r="AF323" s="73"/>
      <c r="AG323" s="73"/>
      <c r="AH323" s="73"/>
      <c r="AI323" s="73"/>
      <c r="AJ323" s="73"/>
    </row>
    <row r="324" spans="1:36" x14ac:dyDescent="0.25">
      <c r="A324" s="73"/>
      <c r="B324" s="73"/>
      <c r="C324" s="73"/>
      <c r="D324" s="73"/>
      <c r="E324" s="73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  <c r="AA324" s="73"/>
      <c r="AB324" s="73"/>
      <c r="AC324" s="73"/>
      <c r="AD324" s="73"/>
      <c r="AE324" s="73"/>
      <c r="AF324" s="73"/>
      <c r="AG324" s="73"/>
      <c r="AH324" s="73"/>
      <c r="AI324" s="73"/>
      <c r="AJ324" s="73"/>
    </row>
    <row r="325" spans="1:36" x14ac:dyDescent="0.25">
      <c r="A325" s="73"/>
      <c r="B325" s="73"/>
      <c r="C325" s="73"/>
      <c r="D325" s="73"/>
      <c r="E325" s="73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  <c r="AA325" s="73"/>
      <c r="AB325" s="73"/>
      <c r="AC325" s="73"/>
      <c r="AD325" s="73"/>
      <c r="AE325" s="73"/>
      <c r="AF325" s="73"/>
      <c r="AG325" s="73"/>
      <c r="AH325" s="73"/>
      <c r="AI325" s="73"/>
      <c r="AJ325" s="73"/>
    </row>
    <row r="326" spans="1:36" x14ac:dyDescent="0.25">
      <c r="A326" s="73"/>
      <c r="B326" s="73"/>
      <c r="C326" s="73"/>
      <c r="D326" s="73"/>
      <c r="E326" s="73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3"/>
      <c r="AE326" s="73"/>
      <c r="AF326" s="73"/>
      <c r="AG326" s="73"/>
      <c r="AH326" s="73"/>
      <c r="AI326" s="73"/>
      <c r="AJ326" s="73"/>
    </row>
    <row r="327" spans="1:36" x14ac:dyDescent="0.25">
      <c r="A327" s="73"/>
      <c r="B327" s="73"/>
      <c r="C327" s="73"/>
      <c r="D327" s="73"/>
      <c r="E327" s="73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  <c r="AA327" s="73"/>
      <c r="AB327" s="73"/>
      <c r="AC327" s="73"/>
      <c r="AD327" s="73"/>
      <c r="AE327" s="73"/>
      <c r="AF327" s="73"/>
      <c r="AG327" s="73"/>
      <c r="AH327" s="73"/>
      <c r="AI327" s="73"/>
      <c r="AJ327" s="73"/>
    </row>
    <row r="328" spans="1:36" x14ac:dyDescent="0.25">
      <c r="A328" s="73"/>
      <c r="B328" s="73"/>
      <c r="C328" s="73"/>
      <c r="D328" s="73"/>
      <c r="E328" s="73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  <c r="AA328" s="73"/>
      <c r="AB328" s="73"/>
      <c r="AC328" s="73"/>
      <c r="AD328" s="73"/>
      <c r="AE328" s="73"/>
      <c r="AF328" s="73"/>
      <c r="AG328" s="73"/>
      <c r="AH328" s="73"/>
      <c r="AI328" s="73"/>
      <c r="AJ328" s="73"/>
    </row>
    <row r="329" spans="1:36" x14ac:dyDescent="0.25">
      <c r="A329" s="73"/>
      <c r="B329" s="73"/>
      <c r="C329" s="73"/>
      <c r="D329" s="73"/>
      <c r="E329" s="73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3"/>
      <c r="AE329" s="73"/>
      <c r="AF329" s="73"/>
      <c r="AG329" s="73"/>
      <c r="AH329" s="73"/>
      <c r="AI329" s="73"/>
      <c r="AJ329" s="73"/>
    </row>
    <row r="330" spans="1:36" x14ac:dyDescent="0.25">
      <c r="A330" s="73"/>
      <c r="B330" s="73"/>
      <c r="C330" s="73"/>
      <c r="D330" s="73"/>
      <c r="E330" s="73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3"/>
      <c r="AE330" s="73"/>
      <c r="AF330" s="73"/>
      <c r="AG330" s="73"/>
      <c r="AH330" s="73"/>
      <c r="AI330" s="73"/>
      <c r="AJ330" s="73"/>
    </row>
    <row r="331" spans="1:36" x14ac:dyDescent="0.25">
      <c r="A331" s="73"/>
      <c r="B331" s="73"/>
      <c r="C331" s="73"/>
      <c r="D331" s="73"/>
      <c r="E331" s="73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3"/>
      <c r="AE331" s="73"/>
      <c r="AF331" s="73"/>
      <c r="AG331" s="73"/>
      <c r="AH331" s="73"/>
      <c r="AI331" s="73"/>
      <c r="AJ331" s="73"/>
    </row>
    <row r="332" spans="1:36" x14ac:dyDescent="0.25">
      <c r="A332" s="73"/>
      <c r="B332" s="73"/>
      <c r="C332" s="73"/>
      <c r="D332" s="73"/>
      <c r="E332" s="73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3"/>
      <c r="AE332" s="73"/>
      <c r="AF332" s="73"/>
      <c r="AG332" s="73"/>
      <c r="AH332" s="73"/>
      <c r="AI332" s="73"/>
      <c r="AJ332" s="73"/>
    </row>
    <row r="333" spans="1:36" x14ac:dyDescent="0.25">
      <c r="A333" s="73"/>
      <c r="B333" s="73"/>
      <c r="C333" s="73"/>
      <c r="D333" s="73"/>
      <c r="E333" s="73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3"/>
      <c r="AE333" s="73"/>
      <c r="AF333" s="73"/>
      <c r="AG333" s="73"/>
      <c r="AH333" s="73"/>
      <c r="AI333" s="73"/>
      <c r="AJ333" s="73"/>
    </row>
    <row r="334" spans="1:36" x14ac:dyDescent="0.25">
      <c r="A334" s="73"/>
      <c r="B334" s="73"/>
      <c r="C334" s="73"/>
      <c r="D334" s="73"/>
      <c r="E334" s="73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3"/>
      <c r="AE334" s="73"/>
      <c r="AF334" s="73"/>
      <c r="AG334" s="73"/>
      <c r="AH334" s="73"/>
      <c r="AI334" s="73"/>
      <c r="AJ334" s="73"/>
    </row>
    <row r="335" spans="1:36" x14ac:dyDescent="0.25">
      <c r="A335" s="73"/>
      <c r="B335" s="73"/>
      <c r="C335" s="73"/>
      <c r="D335" s="73"/>
      <c r="E335" s="73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3"/>
      <c r="AE335" s="73"/>
      <c r="AF335" s="73"/>
      <c r="AG335" s="73"/>
      <c r="AH335" s="73"/>
      <c r="AI335" s="73"/>
      <c r="AJ335" s="73"/>
    </row>
    <row r="336" spans="1:36" x14ac:dyDescent="0.25">
      <c r="A336" s="73"/>
      <c r="B336" s="73"/>
      <c r="C336" s="73"/>
      <c r="D336" s="73"/>
      <c r="E336" s="73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3"/>
      <c r="AE336" s="73"/>
      <c r="AF336" s="73"/>
      <c r="AG336" s="73"/>
      <c r="AH336" s="73"/>
      <c r="AI336" s="73"/>
      <c r="AJ336" s="73"/>
    </row>
    <row r="337" spans="1:36" x14ac:dyDescent="0.25">
      <c r="A337" s="73"/>
      <c r="B337" s="73"/>
      <c r="C337" s="73"/>
      <c r="D337" s="73"/>
      <c r="E337" s="73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3"/>
      <c r="AE337" s="73"/>
      <c r="AF337" s="73"/>
      <c r="AG337" s="73"/>
      <c r="AH337" s="73"/>
      <c r="AI337" s="73"/>
      <c r="AJ337" s="73"/>
    </row>
    <row r="338" spans="1:36" x14ac:dyDescent="0.25">
      <c r="A338" s="73"/>
      <c r="B338" s="73"/>
      <c r="C338" s="73"/>
      <c r="D338" s="73"/>
      <c r="E338" s="73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3"/>
      <c r="AE338" s="73"/>
      <c r="AF338" s="73"/>
      <c r="AG338" s="73"/>
      <c r="AH338" s="73"/>
      <c r="AI338" s="73"/>
      <c r="AJ338" s="73"/>
    </row>
    <row r="339" spans="1:36" x14ac:dyDescent="0.25">
      <c r="A339" s="73"/>
      <c r="B339" s="73"/>
      <c r="C339" s="73"/>
      <c r="D339" s="73"/>
      <c r="E339" s="73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3"/>
      <c r="AE339" s="73"/>
      <c r="AF339" s="73"/>
      <c r="AG339" s="73"/>
      <c r="AH339" s="73"/>
      <c r="AI339" s="73"/>
      <c r="AJ339" s="73"/>
    </row>
    <row r="340" spans="1:36" x14ac:dyDescent="0.25">
      <c r="A340" s="73"/>
      <c r="B340" s="73"/>
      <c r="C340" s="73"/>
      <c r="D340" s="7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73"/>
      <c r="AG340" s="73"/>
      <c r="AH340" s="73"/>
      <c r="AI340" s="73"/>
      <c r="AJ340" s="73"/>
    </row>
    <row r="341" spans="1:36" x14ac:dyDescent="0.25">
      <c r="A341" s="73"/>
      <c r="B341" s="73"/>
      <c r="C341" s="73"/>
      <c r="D341" s="73"/>
      <c r="E341" s="73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3"/>
      <c r="AE341" s="73"/>
      <c r="AF341" s="73"/>
      <c r="AG341" s="73"/>
      <c r="AH341" s="73"/>
      <c r="AI341" s="73"/>
      <c r="AJ341" s="73"/>
    </row>
    <row r="342" spans="1:36" x14ac:dyDescent="0.25">
      <c r="A342" s="73"/>
      <c r="B342" s="73"/>
      <c r="C342" s="73"/>
      <c r="D342" s="73"/>
      <c r="E342" s="73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3"/>
      <c r="AE342" s="73"/>
      <c r="AF342" s="73"/>
      <c r="AG342" s="73"/>
      <c r="AH342" s="73"/>
      <c r="AI342" s="73"/>
      <c r="AJ342" s="73"/>
    </row>
    <row r="343" spans="1:36" x14ac:dyDescent="0.25">
      <c r="A343" s="73"/>
      <c r="B343" s="73"/>
      <c r="C343" s="73"/>
      <c r="D343" s="73"/>
      <c r="E343" s="73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3"/>
      <c r="AE343" s="73"/>
      <c r="AF343" s="73"/>
      <c r="AG343" s="73"/>
      <c r="AH343" s="73"/>
      <c r="AI343" s="73"/>
      <c r="AJ343" s="73"/>
    </row>
    <row r="344" spans="1:36" x14ac:dyDescent="0.25">
      <c r="A344" s="73"/>
      <c r="B344" s="73"/>
      <c r="C344" s="73"/>
      <c r="D344" s="73"/>
      <c r="E344" s="73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3"/>
      <c r="AE344" s="73"/>
      <c r="AF344" s="73"/>
      <c r="AG344" s="73"/>
      <c r="AH344" s="73"/>
      <c r="AI344" s="73"/>
      <c r="AJ344" s="73"/>
    </row>
    <row r="345" spans="1:36" x14ac:dyDescent="0.25">
      <c r="A345" s="73"/>
      <c r="B345" s="73"/>
      <c r="C345" s="73"/>
      <c r="D345" s="73"/>
      <c r="E345" s="73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  <c r="AA345" s="73"/>
      <c r="AB345" s="73"/>
      <c r="AC345" s="73"/>
      <c r="AD345" s="73"/>
      <c r="AE345" s="73"/>
      <c r="AF345" s="73"/>
      <c r="AG345" s="73"/>
      <c r="AH345" s="73"/>
      <c r="AI345" s="73"/>
      <c r="AJ345" s="73"/>
    </row>
    <row r="346" spans="1:36" x14ac:dyDescent="0.25">
      <c r="A346" s="73"/>
      <c r="B346" s="73"/>
      <c r="C346" s="73"/>
      <c r="D346" s="73"/>
      <c r="E346" s="73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  <c r="AA346" s="73"/>
      <c r="AB346" s="73"/>
      <c r="AC346" s="73"/>
      <c r="AD346" s="73"/>
      <c r="AE346" s="73"/>
      <c r="AF346" s="73"/>
      <c r="AG346" s="73"/>
      <c r="AH346" s="73"/>
      <c r="AI346" s="73"/>
      <c r="AJ346" s="73"/>
    </row>
    <row r="347" spans="1:36" x14ac:dyDescent="0.25">
      <c r="A347" s="73"/>
      <c r="B347" s="73"/>
      <c r="C347" s="73"/>
      <c r="D347" s="73"/>
      <c r="E347" s="73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  <c r="AA347" s="73"/>
      <c r="AB347" s="73"/>
      <c r="AC347" s="73"/>
      <c r="AD347" s="73"/>
      <c r="AE347" s="73"/>
      <c r="AF347" s="73"/>
      <c r="AG347" s="73"/>
      <c r="AH347" s="73"/>
      <c r="AI347" s="73"/>
      <c r="AJ347" s="73"/>
    </row>
    <row r="348" spans="1:36" x14ac:dyDescent="0.25">
      <c r="A348" s="73"/>
      <c r="B348" s="73"/>
      <c r="C348" s="73"/>
      <c r="D348" s="7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3"/>
      <c r="AE348" s="73"/>
      <c r="AF348" s="73"/>
      <c r="AG348" s="73"/>
      <c r="AH348" s="73"/>
      <c r="AI348" s="73"/>
      <c r="AJ348" s="73"/>
    </row>
    <row r="349" spans="1:36" x14ac:dyDescent="0.25">
      <c r="A349" s="73"/>
      <c r="B349" s="73"/>
      <c r="C349" s="73"/>
      <c r="D349" s="73"/>
      <c r="E349" s="73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  <c r="AA349" s="73"/>
      <c r="AB349" s="73"/>
      <c r="AC349" s="73"/>
      <c r="AD349" s="73"/>
      <c r="AE349" s="73"/>
      <c r="AF349" s="73"/>
      <c r="AG349" s="73"/>
      <c r="AH349" s="73"/>
      <c r="AI349" s="73"/>
      <c r="AJ349" s="73"/>
    </row>
    <row r="350" spans="1:36" x14ac:dyDescent="0.25">
      <c r="A350" s="73"/>
      <c r="B350" s="73"/>
      <c r="C350" s="73"/>
      <c r="D350" s="73"/>
      <c r="E350" s="73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  <c r="AA350" s="73"/>
      <c r="AB350" s="73"/>
      <c r="AC350" s="73"/>
      <c r="AD350" s="73"/>
      <c r="AE350" s="73"/>
      <c r="AF350" s="73"/>
      <c r="AG350" s="73"/>
      <c r="AH350" s="73"/>
      <c r="AI350" s="73"/>
      <c r="AJ350" s="73"/>
    </row>
    <row r="351" spans="1:36" x14ac:dyDescent="0.25">
      <c r="A351" s="73"/>
      <c r="B351" s="73"/>
      <c r="C351" s="73"/>
      <c r="D351" s="73"/>
      <c r="E351" s="73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  <c r="AA351" s="73"/>
      <c r="AB351" s="73"/>
      <c r="AC351" s="73"/>
      <c r="AD351" s="73"/>
      <c r="AE351" s="73"/>
      <c r="AF351" s="73"/>
      <c r="AG351" s="73"/>
      <c r="AH351" s="73"/>
      <c r="AI351" s="73"/>
      <c r="AJ351" s="73"/>
    </row>
    <row r="352" spans="1:36" x14ac:dyDescent="0.25">
      <c r="A352" s="73"/>
      <c r="B352" s="73"/>
      <c r="C352" s="73"/>
      <c r="D352" s="73"/>
      <c r="E352" s="73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  <c r="AA352" s="73"/>
      <c r="AB352" s="73"/>
      <c r="AC352" s="73"/>
      <c r="AD352" s="73"/>
      <c r="AE352" s="73"/>
      <c r="AF352" s="73"/>
      <c r="AG352" s="73"/>
      <c r="AH352" s="73"/>
      <c r="AI352" s="73"/>
      <c r="AJ352" s="73"/>
    </row>
    <row r="353" spans="1:36" x14ac:dyDescent="0.25">
      <c r="A353" s="73"/>
      <c r="B353" s="73"/>
      <c r="C353" s="73"/>
      <c r="D353" s="73"/>
      <c r="E353" s="73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  <c r="AA353" s="73"/>
      <c r="AB353" s="73"/>
      <c r="AC353" s="73"/>
      <c r="AD353" s="73"/>
      <c r="AE353" s="73"/>
      <c r="AF353" s="73"/>
      <c r="AG353" s="73"/>
      <c r="AH353" s="73"/>
      <c r="AI353" s="73"/>
      <c r="AJ353" s="73"/>
    </row>
    <row r="354" spans="1:36" x14ac:dyDescent="0.25">
      <c r="A354" s="73"/>
      <c r="B354" s="73"/>
      <c r="C354" s="73"/>
      <c r="D354" s="73"/>
      <c r="E354" s="73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  <c r="AA354" s="73"/>
      <c r="AB354" s="73"/>
      <c r="AC354" s="73"/>
      <c r="AD354" s="73"/>
      <c r="AE354" s="73"/>
      <c r="AF354" s="73"/>
      <c r="AG354" s="73"/>
      <c r="AH354" s="73"/>
      <c r="AI354" s="73"/>
      <c r="AJ354" s="73"/>
    </row>
    <row r="355" spans="1:36" x14ac:dyDescent="0.25">
      <c r="A355" s="73"/>
      <c r="B355" s="73"/>
      <c r="C355" s="73"/>
      <c r="D355" s="73"/>
      <c r="E355" s="73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3"/>
      <c r="AE355" s="73"/>
      <c r="AF355" s="73"/>
      <c r="AG355" s="73"/>
      <c r="AH355" s="73"/>
      <c r="AI355" s="73"/>
      <c r="AJ355" s="73"/>
    </row>
    <row r="356" spans="1:36" x14ac:dyDescent="0.25">
      <c r="A356" s="73"/>
      <c r="B356" s="73"/>
      <c r="C356" s="73"/>
      <c r="D356" s="7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  <c r="AI356" s="73"/>
      <c r="AJ356" s="73"/>
    </row>
    <row r="357" spans="1:36" x14ac:dyDescent="0.25">
      <c r="A357" s="73"/>
      <c r="B357" s="73"/>
      <c r="C357" s="73"/>
      <c r="D357" s="73"/>
      <c r="E357" s="73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3"/>
      <c r="AE357" s="73"/>
      <c r="AF357" s="73"/>
      <c r="AG357" s="73"/>
      <c r="AH357" s="73"/>
      <c r="AI357" s="73"/>
      <c r="AJ357" s="73"/>
    </row>
    <row r="358" spans="1:36" x14ac:dyDescent="0.25">
      <c r="A358" s="73"/>
      <c r="B358" s="73"/>
      <c r="C358" s="73"/>
      <c r="D358" s="73"/>
      <c r="E358" s="73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3"/>
      <c r="AE358" s="73"/>
      <c r="AF358" s="73"/>
      <c r="AG358" s="73"/>
      <c r="AH358" s="73"/>
      <c r="AI358" s="73"/>
      <c r="AJ358" s="73"/>
    </row>
    <row r="359" spans="1:36" x14ac:dyDescent="0.25">
      <c r="A359" s="73"/>
      <c r="B359" s="73"/>
      <c r="C359" s="73"/>
      <c r="D359" s="73"/>
      <c r="E359" s="73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3"/>
      <c r="AE359" s="73"/>
      <c r="AF359" s="73"/>
      <c r="AG359" s="73"/>
      <c r="AH359" s="73"/>
      <c r="AI359" s="73"/>
      <c r="AJ359" s="73"/>
    </row>
    <row r="360" spans="1:36" x14ac:dyDescent="0.25">
      <c r="A360" s="73"/>
      <c r="B360" s="73"/>
      <c r="C360" s="73"/>
      <c r="D360" s="73"/>
      <c r="E360" s="73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3"/>
      <c r="AE360" s="73"/>
      <c r="AF360" s="73"/>
      <c r="AG360" s="73"/>
      <c r="AH360" s="73"/>
      <c r="AI360" s="73"/>
      <c r="AJ360" s="73"/>
    </row>
    <row r="361" spans="1:36" x14ac:dyDescent="0.25">
      <c r="A361" s="73"/>
      <c r="B361" s="73"/>
      <c r="C361" s="73"/>
      <c r="D361" s="73"/>
      <c r="E361" s="73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3"/>
      <c r="AE361" s="73"/>
      <c r="AF361" s="73"/>
      <c r="AG361" s="73"/>
      <c r="AH361" s="73"/>
      <c r="AI361" s="73"/>
      <c r="AJ361" s="73"/>
    </row>
    <row r="362" spans="1:36" x14ac:dyDescent="0.25">
      <c r="A362" s="73"/>
      <c r="B362" s="73"/>
      <c r="C362" s="73"/>
      <c r="D362" s="73"/>
      <c r="E362" s="73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3"/>
      <c r="AE362" s="73"/>
      <c r="AF362" s="73"/>
      <c r="AG362" s="73"/>
      <c r="AH362" s="73"/>
      <c r="AI362" s="73"/>
      <c r="AJ362" s="73"/>
    </row>
    <row r="363" spans="1:36" x14ac:dyDescent="0.25">
      <c r="A363" s="73"/>
      <c r="B363" s="73"/>
      <c r="C363" s="73"/>
      <c r="D363" s="73"/>
      <c r="E363" s="73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3"/>
      <c r="AE363" s="73"/>
      <c r="AF363" s="73"/>
      <c r="AG363" s="73"/>
      <c r="AH363" s="73"/>
      <c r="AI363" s="73"/>
      <c r="AJ363" s="73"/>
    </row>
    <row r="364" spans="1:36" x14ac:dyDescent="0.25">
      <c r="A364" s="73"/>
      <c r="B364" s="73"/>
      <c r="C364" s="73"/>
      <c r="D364" s="73"/>
      <c r="E364" s="73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3"/>
      <c r="AE364" s="73"/>
      <c r="AF364" s="73"/>
      <c r="AG364" s="73"/>
      <c r="AH364" s="73"/>
      <c r="AI364" s="73"/>
      <c r="AJ364" s="73"/>
    </row>
    <row r="365" spans="1:36" x14ac:dyDescent="0.25">
      <c r="A365" s="73"/>
      <c r="B365" s="73"/>
      <c r="C365" s="73"/>
      <c r="D365" s="7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  <c r="AI365" s="73"/>
      <c r="AJ365" s="73"/>
    </row>
    <row r="366" spans="1:36" x14ac:dyDescent="0.25">
      <c r="A366" s="73"/>
      <c r="B366" s="73"/>
      <c r="C366" s="73"/>
      <c r="D366" s="73"/>
      <c r="E366" s="73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3"/>
      <c r="AE366" s="73"/>
      <c r="AF366" s="73"/>
      <c r="AG366" s="73"/>
      <c r="AH366" s="73"/>
      <c r="AI366" s="73"/>
      <c r="AJ366" s="73"/>
    </row>
    <row r="367" spans="1:36" x14ac:dyDescent="0.25">
      <c r="A367" s="73"/>
      <c r="B367" s="73"/>
      <c r="C367" s="73"/>
      <c r="D367" s="73"/>
      <c r="E367" s="73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3"/>
      <c r="AE367" s="73"/>
      <c r="AF367" s="73"/>
      <c r="AG367" s="73"/>
      <c r="AH367" s="73"/>
      <c r="AI367" s="73"/>
      <c r="AJ367" s="73"/>
    </row>
    <row r="368" spans="1:36" x14ac:dyDescent="0.25">
      <c r="A368" s="73"/>
      <c r="B368" s="73"/>
      <c r="C368" s="73"/>
      <c r="D368" s="73"/>
      <c r="E368" s="73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3"/>
      <c r="AE368" s="73"/>
      <c r="AF368" s="73"/>
      <c r="AG368" s="73"/>
      <c r="AH368" s="73"/>
      <c r="AI368" s="73"/>
      <c r="AJ368" s="73"/>
    </row>
    <row r="369" spans="1:36" x14ac:dyDescent="0.25">
      <c r="A369" s="73"/>
      <c r="B369" s="73"/>
      <c r="C369" s="73"/>
      <c r="D369" s="73"/>
      <c r="E369" s="73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3"/>
      <c r="AE369" s="73"/>
      <c r="AF369" s="73"/>
      <c r="AG369" s="73"/>
      <c r="AH369" s="73"/>
      <c r="AI369" s="73"/>
      <c r="AJ369" s="73"/>
    </row>
    <row r="370" spans="1:36" x14ac:dyDescent="0.25">
      <c r="A370" s="73"/>
      <c r="B370" s="73"/>
      <c r="C370" s="73"/>
      <c r="D370" s="73"/>
      <c r="E370" s="73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3"/>
      <c r="AE370" s="73"/>
      <c r="AF370" s="73"/>
      <c r="AG370" s="73"/>
      <c r="AH370" s="73"/>
      <c r="AI370" s="73"/>
      <c r="AJ370" s="73"/>
    </row>
    <row r="371" spans="1:36" x14ac:dyDescent="0.25">
      <c r="A371" s="73"/>
      <c r="B371" s="73"/>
      <c r="C371" s="73"/>
      <c r="D371" s="73"/>
      <c r="E371" s="73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3"/>
      <c r="AE371" s="73"/>
      <c r="AF371" s="73"/>
      <c r="AG371" s="73"/>
      <c r="AH371" s="73"/>
      <c r="AI371" s="73"/>
      <c r="AJ371" s="73"/>
    </row>
    <row r="372" spans="1:36" x14ac:dyDescent="0.25">
      <c r="A372" s="73"/>
      <c r="B372" s="73"/>
      <c r="C372" s="73"/>
      <c r="D372" s="73"/>
      <c r="E372" s="73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3"/>
      <c r="AE372" s="73"/>
      <c r="AF372" s="73"/>
      <c r="AG372" s="73"/>
      <c r="AH372" s="73"/>
      <c r="AI372" s="73"/>
      <c r="AJ372" s="73"/>
    </row>
    <row r="373" spans="1:36" x14ac:dyDescent="0.25">
      <c r="A373" s="73"/>
      <c r="B373" s="73"/>
      <c r="C373" s="73"/>
      <c r="D373" s="7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  <c r="AI373" s="73"/>
      <c r="AJ373" s="73"/>
    </row>
    <row r="374" spans="1:36" x14ac:dyDescent="0.25">
      <c r="A374" s="73"/>
      <c r="B374" s="73"/>
      <c r="C374" s="73"/>
      <c r="D374" s="73"/>
      <c r="E374" s="73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3"/>
      <c r="AE374" s="73"/>
      <c r="AF374" s="73"/>
      <c r="AG374" s="73"/>
      <c r="AH374" s="73"/>
      <c r="AI374" s="73"/>
      <c r="AJ374" s="73"/>
    </row>
    <row r="375" spans="1:36" x14ac:dyDescent="0.25">
      <c r="A375" s="73"/>
      <c r="B375" s="73"/>
      <c r="C375" s="73"/>
      <c r="D375" s="73"/>
      <c r="E375" s="73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3"/>
      <c r="AE375" s="73"/>
      <c r="AF375" s="73"/>
      <c r="AG375" s="73"/>
      <c r="AH375" s="73"/>
      <c r="AI375" s="73"/>
      <c r="AJ375" s="73"/>
    </row>
    <row r="376" spans="1:36" x14ac:dyDescent="0.25">
      <c r="A376" s="73"/>
      <c r="B376" s="73"/>
      <c r="C376" s="73"/>
      <c r="D376" s="73"/>
      <c r="E376" s="73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3"/>
      <c r="AE376" s="73"/>
      <c r="AF376" s="73"/>
      <c r="AG376" s="73"/>
      <c r="AH376" s="73"/>
      <c r="AI376" s="73"/>
      <c r="AJ376" s="73"/>
    </row>
    <row r="377" spans="1:36" x14ac:dyDescent="0.25">
      <c r="A377" s="73"/>
      <c r="B377" s="73"/>
      <c r="C377" s="73"/>
      <c r="D377" s="73"/>
      <c r="E377" s="73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3"/>
      <c r="AE377" s="73"/>
      <c r="AF377" s="73"/>
      <c r="AG377" s="73"/>
      <c r="AH377" s="73"/>
      <c r="AI377" s="73"/>
      <c r="AJ377" s="73"/>
    </row>
    <row r="378" spans="1:36" x14ac:dyDescent="0.25">
      <c r="A378" s="73"/>
      <c r="B378" s="73"/>
      <c r="C378" s="73"/>
      <c r="D378" s="73"/>
      <c r="E378" s="73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3"/>
      <c r="AE378" s="73"/>
      <c r="AF378" s="73"/>
      <c r="AG378" s="73"/>
      <c r="AH378" s="73"/>
      <c r="AI378" s="73"/>
      <c r="AJ378" s="73"/>
    </row>
    <row r="379" spans="1:36" x14ac:dyDescent="0.25">
      <c r="A379" s="73"/>
      <c r="B379" s="73"/>
      <c r="C379" s="73"/>
      <c r="D379" s="73"/>
      <c r="E379" s="73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3"/>
      <c r="AE379" s="73"/>
      <c r="AF379" s="73"/>
      <c r="AG379" s="73"/>
      <c r="AH379" s="73"/>
      <c r="AI379" s="73"/>
      <c r="AJ379" s="73"/>
    </row>
    <row r="380" spans="1:36" x14ac:dyDescent="0.25">
      <c r="A380" s="73"/>
      <c r="B380" s="73"/>
      <c r="C380" s="73"/>
      <c r="D380" s="73"/>
      <c r="E380" s="73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3"/>
      <c r="AE380" s="73"/>
      <c r="AF380" s="73"/>
      <c r="AG380" s="73"/>
      <c r="AH380" s="73"/>
      <c r="AI380" s="73"/>
      <c r="AJ380" s="73"/>
    </row>
    <row r="381" spans="1:36" x14ac:dyDescent="0.25">
      <c r="A381" s="73"/>
      <c r="B381" s="73"/>
      <c r="C381" s="73"/>
      <c r="D381" s="7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  <c r="AI381" s="73"/>
      <c r="AJ381" s="73"/>
    </row>
    <row r="382" spans="1:36" x14ac:dyDescent="0.25">
      <c r="A382" s="73"/>
      <c r="B382" s="73"/>
      <c r="C382" s="73"/>
      <c r="D382" s="73"/>
      <c r="E382" s="73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3"/>
      <c r="AE382" s="73"/>
      <c r="AF382" s="73"/>
      <c r="AG382" s="73"/>
      <c r="AH382" s="73"/>
      <c r="AI382" s="73"/>
      <c r="AJ382" s="73"/>
    </row>
    <row r="383" spans="1:36" x14ac:dyDescent="0.25">
      <c r="A383" s="73"/>
      <c r="B383" s="73"/>
      <c r="C383" s="73"/>
      <c r="D383" s="73"/>
      <c r="E383" s="73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3"/>
      <c r="AE383" s="73"/>
      <c r="AF383" s="73"/>
      <c r="AG383" s="73"/>
      <c r="AH383" s="73"/>
      <c r="AI383" s="73"/>
      <c r="AJ383" s="73"/>
    </row>
    <row r="384" spans="1:36" x14ac:dyDescent="0.25">
      <c r="A384" s="73"/>
      <c r="B384" s="73"/>
      <c r="C384" s="73"/>
      <c r="D384" s="73"/>
      <c r="E384" s="73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3"/>
      <c r="AE384" s="73"/>
      <c r="AF384" s="73"/>
      <c r="AG384" s="73"/>
      <c r="AH384" s="73"/>
      <c r="AI384" s="73"/>
      <c r="AJ384" s="73"/>
    </row>
    <row r="385" spans="1:36" x14ac:dyDescent="0.25">
      <c r="A385" s="73"/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3"/>
      <c r="AE385" s="73"/>
      <c r="AF385" s="73"/>
      <c r="AG385" s="73"/>
      <c r="AH385" s="73"/>
      <c r="AI385" s="73"/>
      <c r="AJ385" s="73"/>
    </row>
    <row r="386" spans="1:36" x14ac:dyDescent="0.25">
      <c r="A386" s="73"/>
      <c r="B386" s="73"/>
      <c r="C386" s="73"/>
      <c r="D386" s="73"/>
      <c r="E386" s="73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3"/>
      <c r="AE386" s="73"/>
      <c r="AF386" s="73"/>
      <c r="AG386" s="73"/>
      <c r="AH386" s="73"/>
      <c r="AI386" s="73"/>
      <c r="AJ386" s="73"/>
    </row>
    <row r="387" spans="1:36" x14ac:dyDescent="0.25">
      <c r="A387" s="73"/>
      <c r="B387" s="73"/>
      <c r="C387" s="73"/>
      <c r="D387" s="73"/>
      <c r="E387" s="73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3"/>
      <c r="AE387" s="73"/>
      <c r="AF387" s="73"/>
      <c r="AG387" s="73"/>
      <c r="AH387" s="73"/>
      <c r="AI387" s="73"/>
      <c r="AJ387" s="73"/>
    </row>
    <row r="388" spans="1:36" x14ac:dyDescent="0.25">
      <c r="A388" s="73"/>
      <c r="B388" s="73"/>
      <c r="C388" s="73"/>
      <c r="D388" s="73"/>
      <c r="E388" s="73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3"/>
      <c r="AE388" s="73"/>
      <c r="AF388" s="73"/>
      <c r="AG388" s="73"/>
      <c r="AH388" s="73"/>
      <c r="AI388" s="73"/>
      <c r="AJ388" s="73"/>
    </row>
    <row r="389" spans="1:36" x14ac:dyDescent="0.25">
      <c r="A389" s="73"/>
      <c r="B389" s="73"/>
      <c r="C389" s="73"/>
      <c r="D389" s="7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  <c r="AI389" s="73"/>
      <c r="AJ389" s="73"/>
    </row>
    <row r="390" spans="1:36" x14ac:dyDescent="0.25">
      <c r="A390" s="73"/>
      <c r="B390" s="73"/>
      <c r="C390" s="73"/>
      <c r="D390" s="73"/>
      <c r="E390" s="73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3"/>
      <c r="AE390" s="73"/>
      <c r="AF390" s="73"/>
      <c r="AG390" s="73"/>
      <c r="AH390" s="73"/>
      <c r="AI390" s="73"/>
      <c r="AJ390" s="73"/>
    </row>
    <row r="391" spans="1:36" x14ac:dyDescent="0.25">
      <c r="A391" s="73"/>
      <c r="B391" s="73"/>
      <c r="C391" s="73"/>
      <c r="D391" s="73"/>
      <c r="E391" s="73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3"/>
      <c r="AE391" s="73"/>
      <c r="AF391" s="73"/>
      <c r="AG391" s="73"/>
      <c r="AH391" s="73"/>
      <c r="AI391" s="73"/>
      <c r="AJ391" s="73"/>
    </row>
    <row r="392" spans="1:36" x14ac:dyDescent="0.25">
      <c r="A392" s="73"/>
      <c r="B392" s="73"/>
      <c r="C392" s="73"/>
      <c r="D392" s="73"/>
      <c r="E392" s="73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3"/>
      <c r="AE392" s="73"/>
      <c r="AF392" s="73"/>
      <c r="AG392" s="73"/>
      <c r="AH392" s="73"/>
      <c r="AI392" s="73"/>
      <c r="AJ392" s="73"/>
    </row>
    <row r="393" spans="1:36" x14ac:dyDescent="0.25">
      <c r="A393" s="73"/>
      <c r="B393" s="73"/>
      <c r="C393" s="73"/>
      <c r="D393" s="73"/>
      <c r="E393" s="73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3"/>
      <c r="AE393" s="73"/>
      <c r="AF393" s="73"/>
      <c r="AG393" s="73"/>
      <c r="AH393" s="73"/>
      <c r="AI393" s="73"/>
      <c r="AJ393" s="73"/>
    </row>
    <row r="394" spans="1:36" x14ac:dyDescent="0.25">
      <c r="A394" s="73"/>
      <c r="B394" s="73"/>
      <c r="C394" s="73"/>
      <c r="D394" s="73"/>
      <c r="E394" s="73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</row>
    <row r="395" spans="1:36" x14ac:dyDescent="0.25">
      <c r="A395" s="73"/>
      <c r="B395" s="73"/>
      <c r="C395" s="73"/>
      <c r="D395" s="73"/>
      <c r="E395" s="73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</row>
    <row r="396" spans="1:36" x14ac:dyDescent="0.25">
      <c r="A396" s="73"/>
      <c r="B396" s="73"/>
      <c r="C396" s="73"/>
      <c r="D396" s="73"/>
      <c r="E396" s="73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73"/>
      <c r="AG396" s="73"/>
      <c r="AH396" s="73"/>
      <c r="AI396" s="73"/>
      <c r="AJ396" s="73"/>
    </row>
    <row r="397" spans="1:36" x14ac:dyDescent="0.25">
      <c r="A397" s="73"/>
      <c r="B397" s="73"/>
      <c r="C397" s="73"/>
      <c r="D397" s="73"/>
      <c r="E397" s="73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73"/>
      <c r="AG397" s="73"/>
      <c r="AH397" s="73"/>
      <c r="AI397" s="73"/>
      <c r="AJ397" s="73"/>
    </row>
    <row r="398" spans="1:36" x14ac:dyDescent="0.25">
      <c r="A398" s="73"/>
      <c r="B398" s="73"/>
      <c r="C398" s="73"/>
      <c r="D398" s="73"/>
      <c r="E398" s="73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73"/>
      <c r="AG398" s="73"/>
      <c r="AH398" s="73"/>
      <c r="AI398" s="73"/>
      <c r="AJ398" s="73"/>
    </row>
    <row r="399" spans="1:36" x14ac:dyDescent="0.25">
      <c r="A399" s="73"/>
      <c r="B399" s="73"/>
      <c r="C399" s="73"/>
      <c r="D399" s="73"/>
      <c r="E399" s="73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73"/>
      <c r="AG399" s="73"/>
      <c r="AH399" s="73"/>
      <c r="AI399" s="73"/>
      <c r="AJ399" s="73"/>
    </row>
    <row r="400" spans="1:36" x14ac:dyDescent="0.25">
      <c r="A400" s="73"/>
      <c r="B400" s="73"/>
      <c r="C400" s="73"/>
      <c r="D400" s="73"/>
      <c r="E400" s="73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73"/>
      <c r="AG400" s="73"/>
      <c r="AH400" s="73"/>
      <c r="AI400" s="73"/>
      <c r="AJ400" s="73"/>
    </row>
    <row r="401" spans="1:36" x14ac:dyDescent="0.25">
      <c r="A401" s="73"/>
      <c r="B401" s="73"/>
      <c r="C401" s="73"/>
      <c r="D401" s="73"/>
      <c r="E401" s="73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</row>
    <row r="402" spans="1:36" x14ac:dyDescent="0.25">
      <c r="A402" s="73"/>
      <c r="B402" s="73"/>
      <c r="C402" s="73"/>
      <c r="D402" s="73"/>
      <c r="E402" s="73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73"/>
      <c r="AG402" s="73"/>
      <c r="AH402" s="73"/>
      <c r="AI402" s="73"/>
      <c r="AJ402" s="73"/>
    </row>
    <row r="403" spans="1:36" x14ac:dyDescent="0.25">
      <c r="A403" s="73"/>
      <c r="B403" s="73"/>
      <c r="C403" s="73"/>
      <c r="D403" s="73"/>
      <c r="E403" s="73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73"/>
      <c r="AG403" s="73"/>
      <c r="AH403" s="73"/>
      <c r="AI403" s="73"/>
      <c r="AJ403" s="73"/>
    </row>
    <row r="404" spans="1:36" x14ac:dyDescent="0.25">
      <c r="A404" s="73"/>
      <c r="B404" s="73"/>
      <c r="C404" s="73"/>
      <c r="D404" s="73"/>
      <c r="E404" s="73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73"/>
      <c r="AG404" s="73"/>
      <c r="AH404" s="73"/>
      <c r="AI404" s="73"/>
      <c r="AJ404" s="73"/>
    </row>
    <row r="405" spans="1:36" x14ac:dyDescent="0.25">
      <c r="A405" s="73"/>
      <c r="B405" s="73"/>
      <c r="C405" s="73"/>
      <c r="D405" s="73"/>
      <c r="E405" s="73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</row>
    <row r="406" spans="1:36" x14ac:dyDescent="0.25">
      <c r="A406" s="73"/>
      <c r="B406" s="73"/>
      <c r="C406" s="73"/>
      <c r="D406" s="73"/>
      <c r="E406" s="73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</row>
    <row r="407" spans="1:36" x14ac:dyDescent="0.25">
      <c r="A407" s="73"/>
      <c r="B407" s="73"/>
      <c r="C407" s="73"/>
      <c r="D407" s="73"/>
      <c r="E407" s="73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73"/>
      <c r="AG407" s="73"/>
      <c r="AH407" s="73"/>
      <c r="AI407" s="73"/>
      <c r="AJ407" s="73"/>
    </row>
    <row r="408" spans="1:36" x14ac:dyDescent="0.25">
      <c r="A408" s="73"/>
      <c r="B408" s="73"/>
      <c r="C408" s="73"/>
      <c r="D408" s="7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  <c r="AI408" s="73"/>
      <c r="AJ408" s="73"/>
    </row>
    <row r="409" spans="1:36" x14ac:dyDescent="0.25">
      <c r="A409" s="73"/>
      <c r="B409" s="73"/>
      <c r="C409" s="73"/>
      <c r="D409" s="73"/>
      <c r="E409" s="73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73"/>
      <c r="AG409" s="73"/>
      <c r="AH409" s="73"/>
      <c r="AI409" s="73"/>
      <c r="AJ409" s="73"/>
    </row>
    <row r="410" spans="1:36" x14ac:dyDescent="0.25">
      <c r="A410" s="73"/>
      <c r="B410" s="73"/>
      <c r="C410" s="73"/>
      <c r="D410" s="73"/>
      <c r="E410" s="73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</row>
    <row r="411" spans="1:36" x14ac:dyDescent="0.25">
      <c r="A411" s="73"/>
      <c r="B411" s="73"/>
      <c r="C411" s="73"/>
      <c r="D411" s="73"/>
      <c r="E411" s="73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</row>
    <row r="412" spans="1:36" x14ac:dyDescent="0.25">
      <c r="A412" s="73"/>
      <c r="B412" s="73"/>
      <c r="C412" s="73"/>
      <c r="D412" s="73"/>
      <c r="E412" s="73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</row>
    <row r="413" spans="1:36" x14ac:dyDescent="0.25">
      <c r="A413" s="73"/>
      <c r="B413" s="73"/>
      <c r="C413" s="73"/>
      <c r="D413" s="73"/>
      <c r="E413" s="73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</row>
    <row r="414" spans="1:36" x14ac:dyDescent="0.25">
      <c r="A414" s="73"/>
      <c r="B414" s="73"/>
      <c r="C414" s="73"/>
      <c r="D414" s="73"/>
      <c r="E414" s="73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</row>
    <row r="415" spans="1:36" x14ac:dyDescent="0.25">
      <c r="A415" s="73"/>
      <c r="B415" s="73"/>
      <c r="C415" s="73"/>
      <c r="D415" s="73"/>
      <c r="E415" s="73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</row>
    <row r="416" spans="1:36" x14ac:dyDescent="0.25">
      <c r="A416" s="73"/>
      <c r="B416" s="73"/>
      <c r="C416" s="73"/>
      <c r="D416" s="7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</row>
    <row r="417" spans="1:36" x14ac:dyDescent="0.25">
      <c r="A417" s="73"/>
      <c r="B417" s="73"/>
      <c r="C417" s="73"/>
      <c r="D417" s="73"/>
      <c r="E417" s="73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</row>
    <row r="418" spans="1:36" x14ac:dyDescent="0.25">
      <c r="A418" s="73"/>
      <c r="B418" s="73"/>
      <c r="C418" s="73"/>
      <c r="D418" s="73"/>
      <c r="E418" s="73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</row>
    <row r="419" spans="1:36" x14ac:dyDescent="0.25">
      <c r="A419" s="73"/>
      <c r="B419" s="73"/>
      <c r="C419" s="73"/>
      <c r="D419" s="73"/>
      <c r="E419" s="73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</row>
    <row r="420" spans="1:36" x14ac:dyDescent="0.25">
      <c r="A420" s="73"/>
      <c r="B420" s="73"/>
      <c r="C420" s="73"/>
      <c r="D420" s="73"/>
      <c r="E420" s="73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</row>
    <row r="421" spans="1:36" x14ac:dyDescent="0.25">
      <c r="A421" s="73"/>
      <c r="B421" s="73"/>
      <c r="C421" s="73"/>
      <c r="D421" s="7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</row>
    <row r="422" spans="1:36" x14ac:dyDescent="0.25">
      <c r="A422" s="73"/>
      <c r="B422" s="73"/>
      <c r="C422" s="73"/>
      <c r="D422" s="73"/>
      <c r="E422" s="73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</row>
    <row r="423" spans="1:36" x14ac:dyDescent="0.25">
      <c r="A423" s="73"/>
      <c r="B423" s="73"/>
      <c r="C423" s="73"/>
      <c r="D423" s="73"/>
      <c r="E423" s="73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</row>
    <row r="424" spans="1:36" x14ac:dyDescent="0.25">
      <c r="A424" s="73"/>
      <c r="B424" s="73"/>
      <c r="C424" s="73"/>
      <c r="D424" s="73"/>
      <c r="E424" s="73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</row>
    <row r="425" spans="1:36" x14ac:dyDescent="0.25">
      <c r="A425" s="73"/>
      <c r="B425" s="73"/>
      <c r="C425" s="73"/>
      <c r="D425" s="73"/>
      <c r="E425" s="73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</row>
    <row r="426" spans="1:36" x14ac:dyDescent="0.25">
      <c r="A426" s="73"/>
      <c r="B426" s="73"/>
      <c r="C426" s="73"/>
      <c r="D426" s="73"/>
      <c r="E426" s="73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</row>
    <row r="427" spans="1:36" x14ac:dyDescent="0.25">
      <c r="A427" s="73"/>
      <c r="B427" s="73"/>
      <c r="C427" s="73"/>
      <c r="D427" s="73"/>
      <c r="E427" s="73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</row>
    <row r="428" spans="1:36" x14ac:dyDescent="0.25">
      <c r="A428" s="73"/>
      <c r="B428" s="73"/>
      <c r="C428" s="73"/>
      <c r="D428" s="73"/>
      <c r="E428" s="73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</row>
    <row r="429" spans="1:36" x14ac:dyDescent="0.25">
      <c r="A429" s="73"/>
      <c r="B429" s="73"/>
      <c r="C429" s="73"/>
      <c r="D429" s="73"/>
      <c r="E429" s="73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</row>
    <row r="430" spans="1:36" x14ac:dyDescent="0.25">
      <c r="A430" s="73"/>
      <c r="B430" s="73"/>
      <c r="C430" s="73"/>
      <c r="D430" s="73"/>
      <c r="E430" s="73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</row>
    <row r="431" spans="1:36" x14ac:dyDescent="0.25">
      <c r="A431" s="73"/>
      <c r="B431" s="73"/>
      <c r="C431" s="73"/>
      <c r="D431" s="73"/>
      <c r="E431" s="73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</row>
    <row r="432" spans="1:36" x14ac:dyDescent="0.25">
      <c r="A432" s="73"/>
      <c r="B432" s="73"/>
      <c r="C432" s="73"/>
      <c r="D432" s="73"/>
      <c r="E432" s="73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</row>
    <row r="433" spans="1:36" x14ac:dyDescent="0.25">
      <c r="A433" s="73"/>
      <c r="B433" s="73"/>
      <c r="C433" s="73"/>
      <c r="D433" s="73"/>
      <c r="E433" s="73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</row>
    <row r="434" spans="1:36" x14ac:dyDescent="0.25">
      <c r="A434" s="73"/>
      <c r="B434" s="73"/>
      <c r="C434" s="73"/>
      <c r="D434" s="73"/>
      <c r="E434" s="73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</row>
    <row r="435" spans="1:36" x14ac:dyDescent="0.25">
      <c r="A435" s="73"/>
      <c r="B435" s="73"/>
      <c r="C435" s="73"/>
      <c r="D435" s="73"/>
      <c r="E435" s="73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</row>
    <row r="436" spans="1:36" x14ac:dyDescent="0.25">
      <c r="A436" s="73"/>
      <c r="B436" s="73"/>
      <c r="C436" s="73"/>
      <c r="D436" s="73"/>
      <c r="E436" s="73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</row>
    <row r="437" spans="1:36" x14ac:dyDescent="0.25">
      <c r="A437" s="73"/>
      <c r="B437" s="73"/>
      <c r="C437" s="73"/>
      <c r="D437" s="73"/>
      <c r="E437" s="73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</row>
    <row r="438" spans="1:36" x14ac:dyDescent="0.25">
      <c r="A438" s="73"/>
      <c r="B438" s="73"/>
      <c r="C438" s="73"/>
      <c r="D438" s="73"/>
      <c r="E438" s="73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</row>
    <row r="439" spans="1:36" x14ac:dyDescent="0.25">
      <c r="A439" s="73"/>
      <c r="B439" s="73"/>
      <c r="C439" s="73"/>
      <c r="D439" s="73"/>
      <c r="E439" s="73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</row>
    <row r="440" spans="1:36" x14ac:dyDescent="0.25">
      <c r="A440" s="73"/>
      <c r="B440" s="73"/>
      <c r="C440" s="73"/>
      <c r="D440" s="73"/>
      <c r="E440" s="73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</row>
    <row r="441" spans="1:36" x14ac:dyDescent="0.25">
      <c r="A441" s="73"/>
      <c r="B441" s="73"/>
      <c r="C441" s="73"/>
      <c r="D441" s="73"/>
      <c r="E441" s="73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</row>
    <row r="442" spans="1:36" x14ac:dyDescent="0.25">
      <c r="A442" s="73"/>
      <c r="B442" s="73"/>
      <c r="C442" s="73"/>
      <c r="D442" s="73"/>
      <c r="E442" s="73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</row>
    <row r="443" spans="1:36" x14ac:dyDescent="0.25">
      <c r="A443" s="73"/>
      <c r="B443" s="73"/>
      <c r="C443" s="73"/>
      <c r="D443" s="73"/>
      <c r="E443" s="73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</row>
    <row r="444" spans="1:36" x14ac:dyDescent="0.25">
      <c r="A444" s="73"/>
      <c r="B444" s="73"/>
      <c r="C444" s="73"/>
      <c r="D444" s="73"/>
      <c r="E444" s="73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</row>
    <row r="445" spans="1:36" x14ac:dyDescent="0.25">
      <c r="A445" s="73"/>
      <c r="B445" s="73"/>
      <c r="C445" s="73"/>
      <c r="D445" s="73"/>
      <c r="E445" s="73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</row>
    <row r="446" spans="1:36" x14ac:dyDescent="0.25">
      <c r="A446" s="73"/>
      <c r="B446" s="73"/>
      <c r="C446" s="73"/>
      <c r="D446" s="73"/>
      <c r="E446" s="73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</row>
    <row r="447" spans="1:36" x14ac:dyDescent="0.25">
      <c r="A447" s="73"/>
      <c r="B447" s="73"/>
      <c r="C447" s="73"/>
      <c r="D447" s="73"/>
      <c r="E447" s="73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</row>
    <row r="448" spans="1:36" x14ac:dyDescent="0.25">
      <c r="A448" s="73"/>
      <c r="B448" s="73"/>
      <c r="C448" s="73"/>
      <c r="D448" s="73"/>
      <c r="E448" s="73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</row>
    <row r="449" spans="1:36" x14ac:dyDescent="0.25">
      <c r="A449" s="73"/>
      <c r="B449" s="73"/>
      <c r="C449" s="73"/>
      <c r="D449" s="73"/>
      <c r="E449" s="73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</row>
    <row r="450" spans="1:36" x14ac:dyDescent="0.25">
      <c r="A450" s="73"/>
      <c r="B450" s="73"/>
      <c r="C450" s="73"/>
      <c r="D450" s="73"/>
      <c r="E450" s="73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</row>
    <row r="451" spans="1:36" x14ac:dyDescent="0.25">
      <c r="A451" s="73"/>
      <c r="B451" s="73"/>
      <c r="C451" s="73"/>
      <c r="D451" s="73"/>
      <c r="E451" s="73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</row>
    <row r="452" spans="1:36" x14ac:dyDescent="0.25">
      <c r="A452" s="73"/>
      <c r="B452" s="73"/>
      <c r="C452" s="73"/>
      <c r="D452" s="73"/>
      <c r="E452" s="73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</row>
    <row r="453" spans="1:36" x14ac:dyDescent="0.25">
      <c r="A453" s="73"/>
      <c r="B453" s="73"/>
      <c r="C453" s="73"/>
      <c r="D453" s="73"/>
      <c r="E453" s="73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</row>
    <row r="454" spans="1:36" x14ac:dyDescent="0.25">
      <c r="A454" s="73"/>
      <c r="B454" s="73"/>
      <c r="C454" s="73"/>
      <c r="D454" s="73"/>
      <c r="E454" s="73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</row>
    <row r="455" spans="1:36" x14ac:dyDescent="0.25">
      <c r="A455" s="73"/>
      <c r="B455" s="73"/>
      <c r="C455" s="73"/>
      <c r="D455" s="73"/>
      <c r="E455" s="73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</row>
    <row r="456" spans="1:36" x14ac:dyDescent="0.25">
      <c r="A456" s="73"/>
      <c r="B456" s="73"/>
      <c r="C456" s="73"/>
      <c r="D456" s="73"/>
      <c r="E456" s="73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</row>
    <row r="457" spans="1:36" x14ac:dyDescent="0.25">
      <c r="A457" s="73"/>
      <c r="B457" s="73"/>
      <c r="C457" s="73"/>
      <c r="D457" s="73"/>
      <c r="E457" s="73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</row>
    <row r="458" spans="1:36" x14ac:dyDescent="0.25">
      <c r="A458" s="73"/>
      <c r="B458" s="73"/>
      <c r="C458" s="73"/>
      <c r="D458" s="73"/>
      <c r="E458" s="73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</row>
    <row r="459" spans="1:36" x14ac:dyDescent="0.25">
      <c r="A459" s="73"/>
      <c r="B459" s="73"/>
      <c r="C459" s="73"/>
      <c r="D459" s="73"/>
      <c r="E459" s="73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</row>
    <row r="460" spans="1:36" x14ac:dyDescent="0.25">
      <c r="A460" s="73"/>
      <c r="B460" s="73"/>
      <c r="C460" s="73"/>
      <c r="D460" s="73"/>
      <c r="E460" s="73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</row>
    <row r="461" spans="1:36" x14ac:dyDescent="0.25">
      <c r="A461" s="73"/>
      <c r="B461" s="73"/>
      <c r="C461" s="73"/>
      <c r="D461" s="73"/>
      <c r="E461" s="73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</row>
    <row r="462" spans="1:36" x14ac:dyDescent="0.25">
      <c r="A462" s="73"/>
      <c r="B462" s="73"/>
      <c r="C462" s="73"/>
      <c r="D462" s="73"/>
      <c r="E462" s="73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</row>
    <row r="463" spans="1:36" x14ac:dyDescent="0.25">
      <c r="A463" s="73"/>
      <c r="B463" s="73"/>
      <c r="C463" s="73"/>
      <c r="D463" s="73"/>
      <c r="E463" s="73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</row>
    <row r="464" spans="1:36" x14ac:dyDescent="0.25">
      <c r="A464" s="73"/>
      <c r="B464" s="73"/>
      <c r="C464" s="73"/>
      <c r="D464" s="73"/>
      <c r="E464" s="73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</row>
    <row r="465" spans="1:36" x14ac:dyDescent="0.25">
      <c r="A465" s="73"/>
      <c r="B465" s="73"/>
      <c r="C465" s="73"/>
      <c r="D465" s="73"/>
      <c r="E465" s="73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</row>
    <row r="466" spans="1:36" x14ac:dyDescent="0.25">
      <c r="A466" s="73"/>
      <c r="B466" s="73"/>
      <c r="C466" s="73"/>
      <c r="D466" s="73"/>
      <c r="E466" s="73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</row>
    <row r="467" spans="1:36" x14ac:dyDescent="0.25">
      <c r="A467" s="73"/>
      <c r="B467" s="73"/>
      <c r="C467" s="73"/>
      <c r="D467" s="73"/>
      <c r="E467" s="73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</row>
    <row r="468" spans="1:36" x14ac:dyDescent="0.25">
      <c r="A468" s="73"/>
      <c r="B468" s="73"/>
      <c r="C468" s="73"/>
      <c r="D468" s="73"/>
      <c r="E468" s="73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</row>
    <row r="469" spans="1:36" x14ac:dyDescent="0.25">
      <c r="A469" s="73"/>
      <c r="B469" s="73"/>
      <c r="C469" s="73"/>
      <c r="D469" s="73"/>
      <c r="E469" s="73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</row>
    <row r="470" spans="1:36" x14ac:dyDescent="0.25">
      <c r="A470" s="73"/>
      <c r="B470" s="73"/>
      <c r="C470" s="73"/>
      <c r="D470" s="73"/>
      <c r="E470" s="73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</row>
    <row r="471" spans="1:36" x14ac:dyDescent="0.25">
      <c r="A471" s="73"/>
      <c r="B471" s="73"/>
      <c r="C471" s="73"/>
      <c r="D471" s="73"/>
      <c r="E471" s="73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</row>
    <row r="472" spans="1:36" x14ac:dyDescent="0.25">
      <c r="A472" s="73"/>
      <c r="B472" s="73"/>
      <c r="C472" s="73"/>
      <c r="D472" s="73"/>
      <c r="E472" s="73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</row>
    <row r="473" spans="1:36" x14ac:dyDescent="0.25">
      <c r="A473" s="73"/>
      <c r="B473" s="73"/>
      <c r="C473" s="73"/>
      <c r="D473" s="73"/>
      <c r="E473" s="73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</row>
    <row r="474" spans="1:36" x14ac:dyDescent="0.25">
      <c r="A474" s="73"/>
      <c r="B474" s="73"/>
      <c r="C474" s="73"/>
      <c r="D474" s="73"/>
      <c r="E474" s="73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</row>
    <row r="475" spans="1:36" x14ac:dyDescent="0.25">
      <c r="A475" s="73"/>
      <c r="B475" s="73"/>
      <c r="C475" s="73"/>
      <c r="D475" s="73"/>
      <c r="E475" s="73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</row>
    <row r="476" spans="1:36" x14ac:dyDescent="0.25">
      <c r="A476" s="73"/>
      <c r="B476" s="73"/>
      <c r="C476" s="73"/>
      <c r="D476" s="73"/>
      <c r="E476" s="73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</row>
    <row r="477" spans="1:36" x14ac:dyDescent="0.25">
      <c r="A477" s="73"/>
      <c r="B477" s="73"/>
      <c r="C477" s="73"/>
      <c r="D477" s="73"/>
      <c r="E477" s="73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</row>
    <row r="478" spans="1:36" x14ac:dyDescent="0.25">
      <c r="A478" s="73"/>
      <c r="B478" s="73"/>
      <c r="C478" s="73"/>
      <c r="D478" s="73"/>
      <c r="E478" s="73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</row>
    <row r="479" spans="1:36" x14ac:dyDescent="0.25">
      <c r="A479" s="73"/>
      <c r="B479" s="73"/>
      <c r="C479" s="73"/>
      <c r="D479" s="73"/>
      <c r="E479" s="73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</row>
    <row r="480" spans="1:36" x14ac:dyDescent="0.25">
      <c r="A480" s="73"/>
      <c r="B480" s="73"/>
      <c r="C480" s="73"/>
      <c r="D480" s="73"/>
      <c r="E480" s="73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</row>
    <row r="481" spans="1:36" x14ac:dyDescent="0.25">
      <c r="A481" s="73"/>
      <c r="B481" s="73"/>
      <c r="C481" s="73"/>
      <c r="D481" s="73"/>
      <c r="E481" s="73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</row>
    <row r="482" spans="1:36" x14ac:dyDescent="0.25">
      <c r="A482" s="73"/>
      <c r="B482" s="73"/>
      <c r="C482" s="73"/>
      <c r="D482" s="73"/>
      <c r="E482" s="73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</row>
    <row r="483" spans="1:36" x14ac:dyDescent="0.25">
      <c r="A483" s="73"/>
      <c r="B483" s="73"/>
      <c r="C483" s="73"/>
      <c r="D483" s="73"/>
      <c r="E483" s="73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</row>
    <row r="484" spans="1:36" x14ac:dyDescent="0.25">
      <c r="A484" s="73"/>
      <c r="B484" s="73"/>
      <c r="C484" s="73"/>
      <c r="D484" s="73"/>
      <c r="E484" s="73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</row>
    <row r="485" spans="1:36" x14ac:dyDescent="0.25">
      <c r="A485" s="73"/>
      <c r="B485" s="73"/>
      <c r="C485" s="73"/>
      <c r="D485" s="73"/>
      <c r="E485" s="73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</row>
    <row r="486" spans="1:36" x14ac:dyDescent="0.25">
      <c r="A486" s="73"/>
      <c r="B486" s="73"/>
      <c r="C486" s="73"/>
      <c r="D486" s="73"/>
      <c r="E486" s="73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</row>
    <row r="487" spans="1:36" x14ac:dyDescent="0.25">
      <c r="A487" s="73"/>
      <c r="B487" s="73"/>
      <c r="C487" s="73"/>
      <c r="D487" s="73"/>
      <c r="E487" s="73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</row>
    <row r="488" spans="1:36" x14ac:dyDescent="0.25">
      <c r="A488" s="73"/>
      <c r="B488" s="73"/>
      <c r="C488" s="73"/>
      <c r="D488" s="73"/>
      <c r="E488" s="73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</row>
    <row r="489" spans="1:36" x14ac:dyDescent="0.25">
      <c r="A489" s="73"/>
      <c r="B489" s="73"/>
      <c r="C489" s="73"/>
      <c r="D489" s="73"/>
      <c r="E489" s="73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</row>
    <row r="490" spans="1:36" x14ac:dyDescent="0.25">
      <c r="A490" s="73"/>
      <c r="B490" s="73"/>
      <c r="C490" s="73"/>
      <c r="D490" s="73"/>
      <c r="E490" s="73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</row>
    <row r="491" spans="1:36" x14ac:dyDescent="0.25">
      <c r="A491" s="73"/>
      <c r="B491" s="73"/>
      <c r="C491" s="73"/>
      <c r="D491" s="73"/>
      <c r="E491" s="73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</row>
    <row r="492" spans="1:36" x14ac:dyDescent="0.25">
      <c r="A492" s="73"/>
      <c r="B492" s="73"/>
      <c r="C492" s="73"/>
      <c r="D492" s="73"/>
      <c r="E492" s="73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</row>
    <row r="493" spans="1:36" x14ac:dyDescent="0.25">
      <c r="A493" s="73"/>
      <c r="B493" s="73"/>
      <c r="C493" s="73"/>
      <c r="D493" s="73"/>
      <c r="E493" s="73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</row>
    <row r="494" spans="1:36" x14ac:dyDescent="0.25">
      <c r="A494" s="73"/>
      <c r="B494" s="73"/>
      <c r="C494" s="73"/>
      <c r="D494" s="73"/>
      <c r="E494" s="73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</row>
    <row r="495" spans="1:36" x14ac:dyDescent="0.25">
      <c r="A495" s="73"/>
      <c r="B495" s="73"/>
      <c r="C495" s="73"/>
      <c r="D495" s="73"/>
      <c r="E495" s="73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</row>
    <row r="496" spans="1:36" x14ac:dyDescent="0.25">
      <c r="A496" s="73"/>
      <c r="B496" s="73"/>
      <c r="C496" s="73"/>
      <c r="D496" s="73"/>
      <c r="E496" s="73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</row>
    <row r="497" spans="1:36" x14ac:dyDescent="0.25">
      <c r="A497" s="73"/>
      <c r="B497" s="73"/>
      <c r="C497" s="73"/>
      <c r="D497" s="73"/>
      <c r="E497" s="73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</row>
    <row r="498" spans="1:36" x14ac:dyDescent="0.25">
      <c r="A498" s="73"/>
      <c r="B498" s="73"/>
      <c r="C498" s="73"/>
      <c r="D498" s="73"/>
      <c r="E498" s="73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</row>
    <row r="499" spans="1:36" x14ac:dyDescent="0.25">
      <c r="A499" s="73"/>
      <c r="B499" s="73"/>
      <c r="C499" s="73"/>
      <c r="D499" s="73"/>
      <c r="E499" s="73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</row>
    <row r="500" spans="1:36" x14ac:dyDescent="0.25">
      <c r="A500" s="73"/>
      <c r="B500" s="73"/>
      <c r="C500" s="73"/>
      <c r="D500" s="73"/>
      <c r="E500" s="73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</row>
    <row r="501" spans="1:36" x14ac:dyDescent="0.25">
      <c r="A501" s="73"/>
      <c r="B501" s="73"/>
      <c r="C501" s="73"/>
      <c r="D501" s="73"/>
      <c r="E501" s="73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</row>
    <row r="502" spans="1:36" x14ac:dyDescent="0.25">
      <c r="A502" s="73"/>
      <c r="B502" s="73"/>
      <c r="C502" s="73"/>
      <c r="D502" s="73"/>
      <c r="E502" s="73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</row>
    <row r="503" spans="1:36" x14ac:dyDescent="0.25">
      <c r="A503" s="73"/>
      <c r="B503" s="73"/>
      <c r="C503" s="73"/>
      <c r="D503" s="73"/>
      <c r="E503" s="73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</row>
    <row r="504" spans="1:36" x14ac:dyDescent="0.25">
      <c r="A504" s="73"/>
      <c r="B504" s="73"/>
      <c r="C504" s="73"/>
      <c r="D504" s="73"/>
      <c r="E504" s="73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</row>
    <row r="505" spans="1:36" x14ac:dyDescent="0.25">
      <c r="A505" s="73"/>
      <c r="B505" s="73"/>
      <c r="C505" s="73"/>
      <c r="D505" s="73"/>
      <c r="E505" s="73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</row>
    <row r="506" spans="1:36" x14ac:dyDescent="0.25">
      <c r="A506" s="73"/>
      <c r="B506" s="73"/>
      <c r="C506" s="73"/>
      <c r="D506" s="73"/>
      <c r="E506" s="73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</row>
    <row r="507" spans="1:36" x14ac:dyDescent="0.25">
      <c r="A507" s="73"/>
      <c r="B507" s="73"/>
      <c r="C507" s="73"/>
      <c r="D507" s="73"/>
      <c r="E507" s="73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</row>
    <row r="508" spans="1:36" x14ac:dyDescent="0.25">
      <c r="A508" s="73"/>
      <c r="B508" s="73"/>
      <c r="C508" s="73"/>
      <c r="D508" s="73"/>
      <c r="E508" s="73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</row>
    <row r="509" spans="1:36" x14ac:dyDescent="0.25">
      <c r="A509" s="73"/>
      <c r="B509" s="73"/>
      <c r="C509" s="73"/>
      <c r="D509" s="73"/>
      <c r="E509" s="73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</row>
    <row r="510" spans="1:36" x14ac:dyDescent="0.25">
      <c r="A510" s="73"/>
      <c r="B510" s="73"/>
      <c r="C510" s="73"/>
      <c r="D510" s="73"/>
      <c r="E510" s="73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</row>
    <row r="511" spans="1:36" x14ac:dyDescent="0.25">
      <c r="A511" s="73"/>
      <c r="B511" s="73"/>
      <c r="C511" s="73"/>
      <c r="D511" s="73"/>
      <c r="E511" s="73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</row>
    <row r="512" spans="1:36" x14ac:dyDescent="0.25">
      <c r="A512" s="73"/>
      <c r="B512" s="73"/>
      <c r="C512" s="73"/>
      <c r="D512" s="73"/>
      <c r="E512" s="73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</row>
    <row r="513" spans="1:36" x14ac:dyDescent="0.25">
      <c r="A513" s="73"/>
      <c r="B513" s="73"/>
      <c r="C513" s="73"/>
      <c r="D513" s="73"/>
      <c r="E513" s="73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</row>
    <row r="514" spans="1:36" x14ac:dyDescent="0.25">
      <c r="A514" s="73"/>
      <c r="B514" s="73"/>
      <c r="C514" s="73"/>
      <c r="D514" s="73"/>
      <c r="E514" s="73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</row>
    <row r="515" spans="1:36" x14ac:dyDescent="0.25">
      <c r="A515" s="73"/>
      <c r="B515" s="73"/>
      <c r="C515" s="73"/>
      <c r="D515" s="73"/>
      <c r="E515" s="73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</row>
    <row r="516" spans="1:36" x14ac:dyDescent="0.25">
      <c r="A516" s="73"/>
      <c r="B516" s="73"/>
      <c r="C516" s="73"/>
      <c r="D516" s="73"/>
      <c r="E516" s="73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</row>
    <row r="517" spans="1:36" x14ac:dyDescent="0.25">
      <c r="A517" s="73"/>
      <c r="B517" s="73"/>
      <c r="C517" s="73"/>
      <c r="D517" s="73"/>
      <c r="E517" s="73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</row>
    <row r="518" spans="1:36" x14ac:dyDescent="0.25">
      <c r="A518" s="73"/>
      <c r="B518" s="73"/>
      <c r="C518" s="73"/>
      <c r="D518" s="73"/>
      <c r="E518" s="73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</row>
    <row r="519" spans="1:36" x14ac:dyDescent="0.25">
      <c r="A519" s="73"/>
      <c r="B519" s="73"/>
      <c r="C519" s="73"/>
      <c r="D519" s="73"/>
      <c r="E519" s="73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</row>
    <row r="520" spans="1:36" x14ac:dyDescent="0.25">
      <c r="A520" s="73"/>
      <c r="B520" s="73"/>
      <c r="C520" s="73"/>
      <c r="D520" s="73"/>
      <c r="E520" s="73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</row>
    <row r="521" spans="1:36" x14ac:dyDescent="0.25">
      <c r="A521" s="73"/>
      <c r="B521" s="73"/>
      <c r="C521" s="73"/>
      <c r="D521" s="73"/>
      <c r="E521" s="73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</row>
    <row r="522" spans="1:36" x14ac:dyDescent="0.25">
      <c r="A522" s="73"/>
      <c r="B522" s="73"/>
      <c r="C522" s="73"/>
      <c r="D522" s="73"/>
      <c r="E522" s="73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</row>
    <row r="523" spans="1:36" x14ac:dyDescent="0.25">
      <c r="A523" s="73"/>
      <c r="B523" s="73"/>
      <c r="C523" s="73"/>
      <c r="D523" s="73"/>
      <c r="E523" s="73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</row>
    <row r="524" spans="1:36" x14ac:dyDescent="0.25">
      <c r="A524" s="73"/>
      <c r="B524" s="73"/>
      <c r="C524" s="73"/>
      <c r="D524" s="73"/>
      <c r="E524" s="73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</row>
    <row r="525" spans="1:36" x14ac:dyDescent="0.25">
      <c r="A525" s="73"/>
      <c r="B525" s="73"/>
      <c r="C525" s="73"/>
      <c r="D525" s="73"/>
      <c r="E525" s="73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</row>
    <row r="526" spans="1:36" x14ac:dyDescent="0.25">
      <c r="A526" s="73"/>
      <c r="B526" s="73"/>
      <c r="C526" s="73"/>
      <c r="D526" s="73"/>
      <c r="E526" s="73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</row>
    <row r="527" spans="1:36" x14ac:dyDescent="0.25">
      <c r="A527" s="73"/>
      <c r="B527" s="73"/>
      <c r="C527" s="73"/>
      <c r="D527" s="73"/>
      <c r="E527" s="73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</row>
    <row r="528" spans="1:36" x14ac:dyDescent="0.25">
      <c r="A528" s="73"/>
      <c r="B528" s="73"/>
      <c r="C528" s="73"/>
      <c r="D528" s="73"/>
      <c r="E528" s="73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</row>
    <row r="529" spans="1:36" x14ac:dyDescent="0.25">
      <c r="A529" s="73"/>
      <c r="B529" s="73"/>
      <c r="C529" s="73"/>
      <c r="D529" s="73"/>
      <c r="E529" s="73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</row>
    <row r="530" spans="1:36" x14ac:dyDescent="0.25">
      <c r="A530" s="73"/>
      <c r="B530" s="73"/>
      <c r="C530" s="73"/>
      <c r="D530" s="73"/>
      <c r="E530" s="73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</row>
    <row r="531" spans="1:36" x14ac:dyDescent="0.25">
      <c r="A531" s="73"/>
      <c r="B531" s="73"/>
      <c r="C531" s="73"/>
      <c r="D531" s="73"/>
      <c r="E531" s="73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</row>
    <row r="532" spans="1:36" x14ac:dyDescent="0.25">
      <c r="A532" s="73"/>
      <c r="B532" s="73"/>
      <c r="C532" s="73"/>
      <c r="D532" s="73"/>
      <c r="E532" s="73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</row>
    <row r="533" spans="1:36" x14ac:dyDescent="0.25">
      <c r="A533" s="73"/>
      <c r="B533" s="73"/>
      <c r="C533" s="73"/>
      <c r="D533" s="73"/>
      <c r="E533" s="73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</row>
    <row r="534" spans="1:36" x14ac:dyDescent="0.25">
      <c r="A534" s="73"/>
      <c r="B534" s="73"/>
      <c r="C534" s="73"/>
      <c r="D534" s="73"/>
      <c r="E534" s="73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</row>
    <row r="535" spans="1:36" x14ac:dyDescent="0.25">
      <c r="A535" s="73"/>
      <c r="B535" s="73"/>
      <c r="C535" s="73"/>
      <c r="D535" s="73"/>
      <c r="E535" s="73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</row>
    <row r="536" spans="1:36" x14ac:dyDescent="0.25">
      <c r="A536" s="73"/>
      <c r="B536" s="73"/>
      <c r="C536" s="73"/>
      <c r="D536" s="73"/>
      <c r="E536" s="73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</row>
    <row r="537" spans="1:36" x14ac:dyDescent="0.25">
      <c r="A537" s="73"/>
      <c r="B537" s="73"/>
      <c r="C537" s="73"/>
      <c r="D537" s="73"/>
      <c r="E537" s="73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</row>
    <row r="538" spans="1:36" x14ac:dyDescent="0.25">
      <c r="A538" s="73"/>
      <c r="B538" s="73"/>
      <c r="C538" s="73"/>
      <c r="D538" s="73"/>
      <c r="E538" s="73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</row>
    <row r="539" spans="1:36" x14ac:dyDescent="0.25">
      <c r="A539" s="73"/>
      <c r="B539" s="73"/>
      <c r="C539" s="73"/>
      <c r="D539" s="73"/>
      <c r="E539" s="73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</row>
    <row r="540" spans="1:36" x14ac:dyDescent="0.25">
      <c r="A540" s="73"/>
      <c r="B540" s="73"/>
      <c r="C540" s="73"/>
      <c r="D540" s="73"/>
      <c r="E540" s="73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73"/>
      <c r="AG540" s="73"/>
      <c r="AH540" s="73"/>
      <c r="AI540" s="73"/>
      <c r="AJ540" s="73"/>
    </row>
    <row r="541" spans="1:36" x14ac:dyDescent="0.25">
      <c r="A541" s="73"/>
      <c r="B541" s="73"/>
      <c r="C541" s="73"/>
      <c r="D541" s="73"/>
      <c r="E541" s="73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73"/>
      <c r="AG541" s="73"/>
      <c r="AH541" s="73"/>
      <c r="AI541" s="73"/>
      <c r="AJ541" s="73"/>
    </row>
    <row r="542" spans="1:36" x14ac:dyDescent="0.25">
      <c r="A542" s="73"/>
      <c r="B542" s="73"/>
      <c r="C542" s="73"/>
      <c r="D542" s="73"/>
      <c r="E542" s="73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73"/>
      <c r="AG542" s="73"/>
      <c r="AH542" s="73"/>
      <c r="AI542" s="73"/>
      <c r="AJ542" s="73"/>
    </row>
    <row r="543" spans="1:36" x14ac:dyDescent="0.25">
      <c r="A543" s="73"/>
      <c r="B543" s="73"/>
      <c r="C543" s="73"/>
      <c r="D543" s="73"/>
      <c r="E543" s="73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73"/>
      <c r="AG543" s="73"/>
      <c r="AH543" s="73"/>
      <c r="AI543" s="73"/>
      <c r="AJ543" s="73"/>
    </row>
    <row r="544" spans="1:36" x14ac:dyDescent="0.25">
      <c r="A544" s="73"/>
      <c r="B544" s="73"/>
      <c r="C544" s="73"/>
      <c r="D544" s="73"/>
      <c r="E544" s="73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73"/>
      <c r="AG544" s="73"/>
      <c r="AH544" s="73"/>
      <c r="AI544" s="73"/>
      <c r="AJ544" s="73"/>
    </row>
    <row r="545" spans="1:36" x14ac:dyDescent="0.25">
      <c r="A545" s="73"/>
      <c r="B545" s="73"/>
      <c r="C545" s="73"/>
      <c r="D545" s="73"/>
      <c r="E545" s="73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73"/>
      <c r="AG545" s="73"/>
      <c r="AH545" s="73"/>
      <c r="AI545" s="73"/>
      <c r="AJ545" s="73"/>
    </row>
    <row r="546" spans="1:36" x14ac:dyDescent="0.25">
      <c r="A546" s="73"/>
      <c r="B546" s="73"/>
      <c r="C546" s="73"/>
      <c r="D546" s="73"/>
      <c r="E546" s="73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73"/>
      <c r="AG546" s="73"/>
      <c r="AH546" s="73"/>
      <c r="AI546" s="73"/>
      <c r="AJ546" s="73"/>
    </row>
    <row r="547" spans="1:36" x14ac:dyDescent="0.25">
      <c r="A547" s="73"/>
      <c r="B547" s="73"/>
      <c r="C547" s="73"/>
      <c r="D547" s="73"/>
      <c r="E547" s="73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  <c r="AJ547" s="73"/>
    </row>
    <row r="548" spans="1:36" x14ac:dyDescent="0.25">
      <c r="A548" s="73"/>
      <c r="B548" s="73"/>
      <c r="C548" s="73"/>
      <c r="D548" s="73"/>
      <c r="E548" s="73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73"/>
      <c r="AG548" s="73"/>
      <c r="AH548" s="73"/>
      <c r="AI548" s="73"/>
      <c r="AJ548" s="73"/>
    </row>
    <row r="549" spans="1:36" x14ac:dyDescent="0.25">
      <c r="A549" s="73"/>
      <c r="B549" s="73"/>
      <c r="C549" s="73"/>
      <c r="D549" s="73"/>
      <c r="E549" s="73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3"/>
      <c r="AE549" s="73"/>
      <c r="AF549" s="73"/>
      <c r="AG549" s="73"/>
      <c r="AH549" s="73"/>
      <c r="AI549" s="73"/>
      <c r="AJ549" s="73"/>
    </row>
    <row r="550" spans="1:36" x14ac:dyDescent="0.25">
      <c r="A550" s="73"/>
      <c r="B550" s="73"/>
      <c r="C550" s="73"/>
      <c r="D550" s="73"/>
      <c r="E550" s="73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3"/>
      <c r="AE550" s="73"/>
      <c r="AF550" s="73"/>
      <c r="AG550" s="73"/>
      <c r="AH550" s="73"/>
      <c r="AI550" s="73"/>
      <c r="AJ550" s="73"/>
    </row>
    <row r="551" spans="1:36" x14ac:dyDescent="0.25">
      <c r="A551" s="73"/>
      <c r="B551" s="73"/>
      <c r="C551" s="73"/>
      <c r="D551" s="73"/>
      <c r="E551" s="73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3"/>
      <c r="AE551" s="73"/>
      <c r="AF551" s="73"/>
      <c r="AG551" s="73"/>
      <c r="AH551" s="73"/>
      <c r="AI551" s="73"/>
      <c r="AJ551" s="73"/>
    </row>
    <row r="552" spans="1:36" x14ac:dyDescent="0.25">
      <c r="A552" s="73"/>
      <c r="B552" s="73"/>
      <c r="C552" s="73"/>
      <c r="D552" s="73"/>
      <c r="E552" s="73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3"/>
      <c r="AE552" s="73"/>
      <c r="AF552" s="73"/>
      <c r="AG552" s="73"/>
      <c r="AH552" s="73"/>
      <c r="AI552" s="73"/>
      <c r="AJ552" s="73"/>
    </row>
    <row r="553" spans="1:36" x14ac:dyDescent="0.25">
      <c r="A553" s="73"/>
      <c r="B553" s="73"/>
      <c r="C553" s="73"/>
      <c r="D553" s="73"/>
      <c r="E553" s="73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3"/>
      <c r="AE553" s="73"/>
      <c r="AF553" s="73"/>
      <c r="AG553" s="73"/>
      <c r="AH553" s="73"/>
      <c r="AI553" s="73"/>
      <c r="AJ553" s="73"/>
    </row>
    <row r="554" spans="1:36" x14ac:dyDescent="0.25">
      <c r="A554" s="73"/>
      <c r="B554" s="73"/>
      <c r="C554" s="73"/>
      <c r="D554" s="73"/>
      <c r="E554" s="73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3"/>
      <c r="AE554" s="73"/>
      <c r="AF554" s="73"/>
      <c r="AG554" s="73"/>
      <c r="AH554" s="73"/>
      <c r="AI554" s="73"/>
      <c r="AJ554" s="73"/>
    </row>
    <row r="555" spans="1:36" x14ac:dyDescent="0.25">
      <c r="A555" s="73"/>
      <c r="B555" s="73"/>
      <c r="C555" s="73"/>
      <c r="D555" s="73"/>
      <c r="E555" s="73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3"/>
      <c r="AE555" s="73"/>
      <c r="AF555" s="73"/>
      <c r="AG555" s="73"/>
      <c r="AH555" s="73"/>
      <c r="AI555" s="73"/>
      <c r="AJ555" s="73"/>
    </row>
    <row r="556" spans="1:36" x14ac:dyDescent="0.25">
      <c r="A556" s="73"/>
      <c r="B556" s="73"/>
      <c r="C556" s="73"/>
      <c r="D556" s="73"/>
      <c r="E556" s="73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3"/>
      <c r="AE556" s="73"/>
      <c r="AF556" s="73"/>
      <c r="AG556" s="73"/>
      <c r="AH556" s="73"/>
      <c r="AI556" s="73"/>
      <c r="AJ556" s="73"/>
    </row>
    <row r="557" spans="1:36" x14ac:dyDescent="0.25">
      <c r="A557" s="73"/>
      <c r="B557" s="73"/>
      <c r="C557" s="73"/>
      <c r="D557" s="73"/>
      <c r="E557" s="73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3"/>
      <c r="AE557" s="73"/>
      <c r="AF557" s="73"/>
      <c r="AG557" s="73"/>
      <c r="AH557" s="73"/>
      <c r="AI557" s="73"/>
      <c r="AJ557" s="73"/>
    </row>
    <row r="558" spans="1:36" x14ac:dyDescent="0.25">
      <c r="A558" s="73"/>
      <c r="B558" s="73"/>
      <c r="C558" s="73"/>
      <c r="D558" s="73"/>
      <c r="E558" s="73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3"/>
      <c r="AE558" s="73"/>
      <c r="AF558" s="73"/>
      <c r="AG558" s="73"/>
      <c r="AH558" s="73"/>
      <c r="AI558" s="73"/>
      <c r="AJ558" s="73"/>
    </row>
    <row r="559" spans="1:36" x14ac:dyDescent="0.25">
      <c r="A559" s="73"/>
      <c r="B559" s="73"/>
      <c r="C559" s="73"/>
      <c r="D559" s="73"/>
      <c r="E559" s="73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3"/>
      <c r="AE559" s="73"/>
      <c r="AF559" s="73"/>
      <c r="AG559" s="73"/>
      <c r="AH559" s="73"/>
      <c r="AI559" s="73"/>
      <c r="AJ559" s="73"/>
    </row>
    <row r="560" spans="1:36" x14ac:dyDescent="0.25">
      <c r="A560" s="73"/>
      <c r="B560" s="73"/>
      <c r="C560" s="73"/>
      <c r="D560" s="73"/>
      <c r="E560" s="73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3"/>
      <c r="AE560" s="73"/>
      <c r="AF560" s="73"/>
      <c r="AG560" s="73"/>
      <c r="AH560" s="73"/>
      <c r="AI560" s="73"/>
      <c r="AJ560" s="73"/>
    </row>
    <row r="561" spans="1:36" x14ac:dyDescent="0.25">
      <c r="A561" s="73"/>
      <c r="B561" s="73"/>
      <c r="C561" s="73"/>
      <c r="D561" s="73"/>
      <c r="E561" s="73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3"/>
      <c r="AE561" s="73"/>
      <c r="AF561" s="73"/>
      <c r="AG561" s="73"/>
      <c r="AH561" s="73"/>
      <c r="AI561" s="73"/>
      <c r="AJ561" s="73"/>
    </row>
    <row r="562" spans="1:36" x14ac:dyDescent="0.25">
      <c r="A562" s="73"/>
      <c r="B562" s="73"/>
      <c r="C562" s="73"/>
      <c r="D562" s="73"/>
      <c r="E562" s="73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3"/>
      <c r="AE562" s="73"/>
      <c r="AF562" s="73"/>
      <c r="AG562" s="73"/>
      <c r="AH562" s="73"/>
      <c r="AI562" s="73"/>
      <c r="AJ562" s="73"/>
    </row>
    <row r="563" spans="1:36" x14ac:dyDescent="0.25">
      <c r="A563" s="73"/>
      <c r="B563" s="73"/>
      <c r="C563" s="73"/>
      <c r="D563" s="73"/>
      <c r="E563" s="73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3"/>
      <c r="AE563" s="73"/>
      <c r="AF563" s="73"/>
      <c r="AG563" s="73"/>
      <c r="AH563" s="73"/>
      <c r="AI563" s="73"/>
      <c r="AJ563" s="73"/>
    </row>
    <row r="564" spans="1:36" x14ac:dyDescent="0.25">
      <c r="A564" s="73"/>
      <c r="B564" s="73"/>
      <c r="C564" s="73"/>
      <c r="D564" s="73"/>
      <c r="E564" s="73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  <c r="AJ564" s="73"/>
    </row>
    <row r="565" spans="1:36" x14ac:dyDescent="0.25">
      <c r="A565" s="73"/>
      <c r="B565" s="73"/>
      <c r="C565" s="73"/>
      <c r="D565" s="73"/>
      <c r="E565" s="73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3"/>
      <c r="AE565" s="73"/>
      <c r="AF565" s="73"/>
      <c r="AG565" s="73"/>
      <c r="AH565" s="73"/>
      <c r="AI565" s="73"/>
      <c r="AJ565" s="73"/>
    </row>
    <row r="566" spans="1:36" x14ac:dyDescent="0.25">
      <c r="A566" s="73"/>
      <c r="B566" s="73"/>
      <c r="C566" s="73"/>
      <c r="D566" s="73"/>
      <c r="E566" s="73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3"/>
      <c r="AE566" s="73"/>
      <c r="AF566" s="73"/>
      <c r="AG566" s="73"/>
      <c r="AH566" s="73"/>
      <c r="AI566" s="73"/>
      <c r="AJ566" s="73"/>
    </row>
    <row r="567" spans="1:36" x14ac:dyDescent="0.25">
      <c r="A567" s="73"/>
      <c r="B567" s="73"/>
      <c r="C567" s="73"/>
      <c r="D567" s="73"/>
      <c r="E567" s="73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3"/>
      <c r="AE567" s="73"/>
      <c r="AF567" s="73"/>
      <c r="AG567" s="73"/>
      <c r="AH567" s="73"/>
      <c r="AI567" s="73"/>
      <c r="AJ567" s="73"/>
    </row>
    <row r="568" spans="1:36" x14ac:dyDescent="0.25">
      <c r="A568" s="73"/>
      <c r="B568" s="73"/>
      <c r="C568" s="73"/>
      <c r="D568" s="73"/>
      <c r="E568" s="73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3"/>
      <c r="AE568" s="73"/>
      <c r="AF568" s="73"/>
      <c r="AG568" s="73"/>
      <c r="AH568" s="73"/>
      <c r="AI568" s="73"/>
      <c r="AJ568" s="73"/>
    </row>
    <row r="569" spans="1:36" x14ac:dyDescent="0.25">
      <c r="A569" s="73"/>
      <c r="B569" s="73"/>
      <c r="C569" s="73"/>
      <c r="D569" s="73"/>
      <c r="E569" s="73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3"/>
      <c r="AE569" s="73"/>
      <c r="AF569" s="73"/>
      <c r="AG569" s="73"/>
      <c r="AH569" s="73"/>
      <c r="AI569" s="73"/>
      <c r="AJ569" s="73"/>
    </row>
    <row r="570" spans="1:36" x14ac:dyDescent="0.25">
      <c r="A570" s="73"/>
      <c r="B570" s="73"/>
      <c r="C570" s="73"/>
      <c r="D570" s="73"/>
      <c r="E570" s="73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73"/>
      <c r="AG570" s="73"/>
      <c r="AH570" s="73"/>
      <c r="AI570" s="73"/>
      <c r="AJ570" s="73"/>
    </row>
    <row r="571" spans="1:36" x14ac:dyDescent="0.25">
      <c r="A571" s="73"/>
      <c r="B571" s="73"/>
      <c r="C571" s="73"/>
      <c r="D571" s="73"/>
      <c r="E571" s="73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73"/>
      <c r="AG571" s="73"/>
      <c r="AH571" s="73"/>
      <c r="AI571" s="73"/>
      <c r="AJ571" s="73"/>
    </row>
    <row r="572" spans="1:36" x14ac:dyDescent="0.25">
      <c r="A572" s="73"/>
      <c r="B572" s="73"/>
      <c r="C572" s="73"/>
      <c r="D572" s="73"/>
      <c r="E572" s="73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73"/>
      <c r="AG572" s="73"/>
      <c r="AH572" s="73"/>
      <c r="AI572" s="73"/>
      <c r="AJ572" s="73"/>
    </row>
    <row r="573" spans="1:36" x14ac:dyDescent="0.25">
      <c r="A573" s="73"/>
      <c r="B573" s="73"/>
      <c r="C573" s="73"/>
      <c r="D573" s="73"/>
      <c r="E573" s="73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73"/>
      <c r="AG573" s="73"/>
      <c r="AH573" s="73"/>
      <c r="AI573" s="73"/>
      <c r="AJ573" s="73"/>
    </row>
    <row r="574" spans="1:36" x14ac:dyDescent="0.25">
      <c r="A574" s="73"/>
      <c r="B574" s="73"/>
      <c r="C574" s="73"/>
      <c r="D574" s="73"/>
      <c r="E574" s="73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73"/>
      <c r="AG574" s="73"/>
      <c r="AH574" s="73"/>
      <c r="AI574" s="73"/>
      <c r="AJ574" s="73"/>
    </row>
    <row r="575" spans="1:36" x14ac:dyDescent="0.25">
      <c r="A575" s="73"/>
      <c r="B575" s="73"/>
      <c r="C575" s="73"/>
      <c r="D575" s="73"/>
      <c r="E575" s="73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73"/>
      <c r="AG575" s="73"/>
      <c r="AH575" s="73"/>
      <c r="AI575" s="73"/>
      <c r="AJ575" s="73"/>
    </row>
    <row r="576" spans="1:36" x14ac:dyDescent="0.25">
      <c r="A576" s="73"/>
      <c r="B576" s="73"/>
      <c r="C576" s="73"/>
      <c r="D576" s="73"/>
      <c r="E576" s="73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3"/>
      <c r="AE576" s="73"/>
      <c r="AF576" s="73"/>
      <c r="AG576" s="73"/>
      <c r="AH576" s="73"/>
      <c r="AI576" s="73"/>
      <c r="AJ576" s="73"/>
    </row>
    <row r="577" spans="1:36" x14ac:dyDescent="0.25">
      <c r="A577" s="73"/>
      <c r="B577" s="73"/>
      <c r="C577" s="73"/>
      <c r="D577" s="73"/>
      <c r="E577" s="73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3"/>
      <c r="AE577" s="73"/>
      <c r="AF577" s="73"/>
      <c r="AG577" s="73"/>
      <c r="AH577" s="73"/>
      <c r="AI577" s="73"/>
      <c r="AJ577" s="73"/>
    </row>
    <row r="578" spans="1:36" x14ac:dyDescent="0.25">
      <c r="A578" s="73"/>
      <c r="B578" s="73"/>
      <c r="C578" s="73"/>
      <c r="D578" s="73"/>
      <c r="E578" s="73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3"/>
      <c r="AE578" s="73"/>
      <c r="AF578" s="73"/>
      <c r="AG578" s="73"/>
      <c r="AH578" s="73"/>
      <c r="AI578" s="73"/>
      <c r="AJ578" s="73"/>
    </row>
    <row r="579" spans="1:36" x14ac:dyDescent="0.25">
      <c r="A579" s="73"/>
      <c r="B579" s="73"/>
      <c r="C579" s="73"/>
      <c r="D579" s="73"/>
      <c r="E579" s="73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3"/>
      <c r="AE579" s="73"/>
      <c r="AF579" s="73"/>
      <c r="AG579" s="73"/>
      <c r="AH579" s="73"/>
      <c r="AI579" s="73"/>
      <c r="AJ579" s="73"/>
    </row>
    <row r="580" spans="1:36" x14ac:dyDescent="0.25">
      <c r="A580" s="73"/>
      <c r="B580" s="73"/>
      <c r="C580" s="73"/>
      <c r="D580" s="73"/>
      <c r="E580" s="73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3"/>
      <c r="AE580" s="73"/>
      <c r="AF580" s="73"/>
      <c r="AG580" s="73"/>
      <c r="AH580" s="73"/>
      <c r="AI580" s="73"/>
      <c r="AJ580" s="73"/>
    </row>
    <row r="581" spans="1:36" x14ac:dyDescent="0.25">
      <c r="A581" s="73"/>
      <c r="B581" s="73"/>
      <c r="C581" s="73"/>
      <c r="D581" s="73"/>
      <c r="E581" s="73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  <c r="AJ581" s="73"/>
    </row>
    <row r="582" spans="1:36" x14ac:dyDescent="0.25">
      <c r="A582" s="73"/>
      <c r="B582" s="73"/>
      <c r="C582" s="73"/>
      <c r="D582" s="73"/>
      <c r="E582" s="73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3"/>
      <c r="AE582" s="73"/>
      <c r="AF582" s="73"/>
      <c r="AG582" s="73"/>
      <c r="AH582" s="73"/>
      <c r="AI582" s="73"/>
      <c r="AJ582" s="73"/>
    </row>
    <row r="583" spans="1:36" x14ac:dyDescent="0.25">
      <c r="A583" s="73"/>
      <c r="B583" s="73"/>
      <c r="C583" s="73"/>
      <c r="D583" s="73"/>
      <c r="E583" s="73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3"/>
      <c r="AE583" s="73"/>
      <c r="AF583" s="73"/>
      <c r="AG583" s="73"/>
      <c r="AH583" s="73"/>
      <c r="AI583" s="73"/>
      <c r="AJ583" s="73"/>
    </row>
    <row r="584" spans="1:36" x14ac:dyDescent="0.25">
      <c r="A584" s="73"/>
      <c r="B584" s="73"/>
      <c r="C584" s="73"/>
      <c r="D584" s="73"/>
      <c r="E584" s="73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3"/>
      <c r="AE584" s="73"/>
      <c r="AF584" s="73"/>
      <c r="AG584" s="73"/>
      <c r="AH584" s="73"/>
      <c r="AI584" s="73"/>
      <c r="AJ584" s="73"/>
    </row>
    <row r="585" spans="1:36" x14ac:dyDescent="0.25">
      <c r="A585" s="73"/>
      <c r="B585" s="73"/>
      <c r="C585" s="73"/>
      <c r="D585" s="73"/>
      <c r="E585" s="73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3"/>
      <c r="AE585" s="73"/>
      <c r="AF585" s="73"/>
      <c r="AG585" s="73"/>
      <c r="AH585" s="73"/>
      <c r="AI585" s="73"/>
      <c r="AJ585" s="73"/>
    </row>
    <row r="586" spans="1:36" x14ac:dyDescent="0.25">
      <c r="A586" s="73"/>
      <c r="B586" s="73"/>
      <c r="C586" s="73"/>
      <c r="D586" s="73"/>
      <c r="E586" s="73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3"/>
      <c r="AE586" s="73"/>
      <c r="AF586" s="73"/>
      <c r="AG586" s="73"/>
      <c r="AH586" s="73"/>
      <c r="AI586" s="73"/>
      <c r="AJ586" s="73"/>
    </row>
    <row r="587" spans="1:36" x14ac:dyDescent="0.25">
      <c r="A587" s="73"/>
      <c r="B587" s="73"/>
      <c r="C587" s="73"/>
      <c r="D587" s="73"/>
      <c r="E587" s="73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73"/>
      <c r="AG587" s="73"/>
      <c r="AH587" s="73"/>
      <c r="AI587" s="73"/>
      <c r="AJ587" s="73"/>
    </row>
    <row r="588" spans="1:36" x14ac:dyDescent="0.25">
      <c r="A588" s="73"/>
      <c r="B588" s="73"/>
      <c r="C588" s="73"/>
      <c r="D588" s="73"/>
      <c r="E588" s="73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73"/>
      <c r="AG588" s="73"/>
      <c r="AH588" s="73"/>
      <c r="AI588" s="73"/>
      <c r="AJ588" s="73"/>
    </row>
    <row r="589" spans="1:36" x14ac:dyDescent="0.25">
      <c r="A589" s="73"/>
      <c r="B589" s="73"/>
      <c r="C589" s="73"/>
      <c r="D589" s="73"/>
      <c r="E589" s="73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73"/>
      <c r="AG589" s="73"/>
      <c r="AH589" s="73"/>
      <c r="AI589" s="73"/>
      <c r="AJ589" s="73"/>
    </row>
    <row r="590" spans="1:36" x14ac:dyDescent="0.25">
      <c r="A590" s="73"/>
      <c r="B590" s="73"/>
      <c r="C590" s="73"/>
      <c r="D590" s="73"/>
      <c r="E590" s="73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73"/>
      <c r="AG590" s="73"/>
      <c r="AH590" s="73"/>
      <c r="AI590" s="73"/>
      <c r="AJ590" s="73"/>
    </row>
    <row r="591" spans="1:36" x14ac:dyDescent="0.25">
      <c r="A591" s="73"/>
      <c r="B591" s="73"/>
      <c r="C591" s="73"/>
      <c r="D591" s="73"/>
      <c r="E591" s="73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73"/>
      <c r="AG591" s="73"/>
      <c r="AH591" s="73"/>
      <c r="AI591" s="73"/>
      <c r="AJ591" s="73"/>
    </row>
    <row r="592" spans="1:36" x14ac:dyDescent="0.25">
      <c r="A592" s="73"/>
      <c r="B592" s="73"/>
      <c r="C592" s="73"/>
      <c r="D592" s="73"/>
      <c r="E592" s="73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73"/>
      <c r="AG592" s="73"/>
      <c r="AH592" s="73"/>
      <c r="AI592" s="73"/>
      <c r="AJ592" s="73"/>
    </row>
    <row r="593" spans="1:36" x14ac:dyDescent="0.25">
      <c r="A593" s="73"/>
      <c r="B593" s="73"/>
      <c r="C593" s="73"/>
      <c r="D593" s="73"/>
      <c r="E593" s="73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73"/>
      <c r="AG593" s="73"/>
      <c r="AH593" s="73"/>
      <c r="AI593" s="73"/>
      <c r="AJ593" s="73"/>
    </row>
    <row r="594" spans="1:36" x14ac:dyDescent="0.25">
      <c r="A594" s="73"/>
      <c r="B594" s="73"/>
      <c r="C594" s="73"/>
      <c r="D594" s="73"/>
      <c r="E594" s="73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73"/>
      <c r="AG594" s="73"/>
      <c r="AH594" s="73"/>
      <c r="AI594" s="73"/>
      <c r="AJ594" s="73"/>
    </row>
    <row r="595" spans="1:36" x14ac:dyDescent="0.25">
      <c r="A595" s="73"/>
      <c r="B595" s="73"/>
      <c r="C595" s="73"/>
      <c r="D595" s="73"/>
      <c r="E595" s="73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73"/>
      <c r="AG595" s="73"/>
      <c r="AH595" s="73"/>
      <c r="AI595" s="73"/>
      <c r="AJ595" s="73"/>
    </row>
    <row r="596" spans="1:36" x14ac:dyDescent="0.25">
      <c r="A596" s="73"/>
      <c r="B596" s="73"/>
      <c r="C596" s="73"/>
      <c r="D596" s="73"/>
      <c r="E596" s="73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73"/>
      <c r="AG596" s="73"/>
      <c r="AH596" s="73"/>
      <c r="AI596" s="73"/>
      <c r="AJ596" s="73"/>
    </row>
    <row r="597" spans="1:36" x14ac:dyDescent="0.25">
      <c r="A597" s="73"/>
      <c r="B597" s="73"/>
      <c r="C597" s="73"/>
      <c r="D597" s="73"/>
      <c r="E597" s="73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73"/>
      <c r="AG597" s="73"/>
      <c r="AH597" s="73"/>
      <c r="AI597" s="73"/>
      <c r="AJ597" s="73"/>
    </row>
    <row r="598" spans="1:36" x14ac:dyDescent="0.25">
      <c r="A598" s="73"/>
      <c r="B598" s="73"/>
      <c r="C598" s="73"/>
      <c r="D598" s="73"/>
      <c r="E598" s="73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  <c r="AJ598" s="73"/>
    </row>
    <row r="599" spans="1:36" x14ac:dyDescent="0.25">
      <c r="A599" s="73"/>
      <c r="B599" s="73"/>
      <c r="C599" s="73"/>
      <c r="D599" s="73"/>
      <c r="E599" s="73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73"/>
      <c r="AG599" s="73"/>
      <c r="AH599" s="73"/>
      <c r="AI599" s="73"/>
      <c r="AJ599" s="73"/>
    </row>
    <row r="600" spans="1:36" x14ac:dyDescent="0.25">
      <c r="A600" s="73"/>
      <c r="B600" s="73"/>
      <c r="C600" s="73"/>
      <c r="D600" s="73"/>
      <c r="E600" s="73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73"/>
      <c r="AG600" s="73"/>
      <c r="AH600" s="73"/>
      <c r="AI600" s="73"/>
      <c r="AJ600" s="73"/>
    </row>
    <row r="601" spans="1:36" x14ac:dyDescent="0.25">
      <c r="A601" s="73"/>
      <c r="B601" s="73"/>
      <c r="C601" s="73"/>
      <c r="D601" s="73"/>
      <c r="E601" s="73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73"/>
      <c r="AG601" s="73"/>
      <c r="AH601" s="73"/>
      <c r="AI601" s="73"/>
      <c r="AJ601" s="73"/>
    </row>
    <row r="602" spans="1:36" x14ac:dyDescent="0.25">
      <c r="A602" s="73"/>
      <c r="B602" s="73"/>
      <c r="C602" s="73"/>
      <c r="D602" s="73"/>
      <c r="E602" s="73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73"/>
      <c r="AG602" s="73"/>
      <c r="AH602" s="73"/>
      <c r="AI602" s="73"/>
      <c r="AJ602" s="73"/>
    </row>
    <row r="603" spans="1:36" x14ac:dyDescent="0.25">
      <c r="A603" s="73"/>
      <c r="B603" s="73"/>
      <c r="C603" s="73"/>
      <c r="D603" s="73"/>
      <c r="E603" s="73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  <c r="AJ603" s="73"/>
    </row>
    <row r="604" spans="1:36" x14ac:dyDescent="0.25">
      <c r="A604" s="73"/>
      <c r="B604" s="73"/>
      <c r="C604" s="73"/>
      <c r="D604" s="73"/>
      <c r="E604" s="73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73"/>
      <c r="AG604" s="73"/>
      <c r="AH604" s="73"/>
      <c r="AI604" s="73"/>
      <c r="AJ604" s="73"/>
    </row>
    <row r="605" spans="1:36" x14ac:dyDescent="0.25">
      <c r="A605" s="73"/>
      <c r="B605" s="73"/>
      <c r="C605" s="73"/>
      <c r="D605" s="73"/>
      <c r="E605" s="73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73"/>
      <c r="AG605" s="73"/>
      <c r="AH605" s="73"/>
      <c r="AI605" s="73"/>
      <c r="AJ605" s="73"/>
    </row>
    <row r="606" spans="1:36" x14ac:dyDescent="0.25">
      <c r="A606" s="73"/>
      <c r="B606" s="73"/>
      <c r="C606" s="73"/>
      <c r="D606" s="73"/>
      <c r="E606" s="73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73"/>
      <c r="AG606" s="73"/>
      <c r="AH606" s="73"/>
      <c r="AI606" s="73"/>
      <c r="AJ606" s="73"/>
    </row>
    <row r="607" spans="1:36" x14ac:dyDescent="0.25">
      <c r="A607" s="73"/>
      <c r="B607" s="73"/>
      <c r="C607" s="73"/>
      <c r="D607" s="73"/>
      <c r="E607" s="73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73"/>
      <c r="AG607" s="73"/>
      <c r="AH607" s="73"/>
      <c r="AI607" s="73"/>
      <c r="AJ607" s="73"/>
    </row>
    <row r="608" spans="1:36" x14ac:dyDescent="0.25">
      <c r="A608" s="73"/>
      <c r="B608" s="73"/>
      <c r="C608" s="73"/>
      <c r="D608" s="73"/>
      <c r="E608" s="73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73"/>
      <c r="AG608" s="73"/>
      <c r="AH608" s="73"/>
      <c r="AI608" s="73"/>
      <c r="AJ608" s="73"/>
    </row>
    <row r="609" spans="1:36" x14ac:dyDescent="0.25">
      <c r="A609" s="73"/>
      <c r="B609" s="73"/>
      <c r="C609" s="73"/>
      <c r="D609" s="73"/>
      <c r="E609" s="73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73"/>
      <c r="AG609" s="73"/>
      <c r="AH609" s="73"/>
      <c r="AI609" s="73"/>
      <c r="AJ609" s="73"/>
    </row>
    <row r="610" spans="1:36" x14ac:dyDescent="0.25">
      <c r="A610" s="73"/>
      <c r="B610" s="73"/>
      <c r="C610" s="73"/>
      <c r="D610" s="73"/>
      <c r="E610" s="73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73"/>
      <c r="AG610" s="73"/>
      <c r="AH610" s="73"/>
      <c r="AI610" s="73"/>
      <c r="AJ610" s="73"/>
    </row>
    <row r="611" spans="1:36" x14ac:dyDescent="0.25">
      <c r="A611" s="73"/>
      <c r="B611" s="73"/>
      <c r="C611" s="73"/>
      <c r="D611" s="73"/>
      <c r="E611" s="73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73"/>
      <c r="AG611" s="73"/>
      <c r="AH611" s="73"/>
      <c r="AI611" s="73"/>
      <c r="AJ611" s="73"/>
    </row>
    <row r="612" spans="1:36" x14ac:dyDescent="0.25">
      <c r="A612" s="73"/>
      <c r="B612" s="73"/>
      <c r="C612" s="73"/>
      <c r="D612" s="73"/>
      <c r="E612" s="73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73"/>
      <c r="AG612" s="73"/>
      <c r="AH612" s="73"/>
      <c r="AI612" s="73"/>
      <c r="AJ612" s="73"/>
    </row>
    <row r="613" spans="1:36" x14ac:dyDescent="0.25">
      <c r="A613" s="73"/>
      <c r="B613" s="73"/>
      <c r="C613" s="73"/>
      <c r="D613" s="73"/>
      <c r="E613" s="73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73"/>
      <c r="AG613" s="73"/>
      <c r="AH613" s="73"/>
      <c r="AI613" s="73"/>
      <c r="AJ613" s="73"/>
    </row>
    <row r="614" spans="1:36" x14ac:dyDescent="0.25">
      <c r="A614" s="73"/>
      <c r="B614" s="73"/>
      <c r="C614" s="73"/>
      <c r="D614" s="73"/>
      <c r="E614" s="73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73"/>
      <c r="AG614" s="73"/>
      <c r="AH614" s="73"/>
      <c r="AI614" s="73"/>
      <c r="AJ614" s="73"/>
    </row>
    <row r="615" spans="1:36" x14ac:dyDescent="0.25">
      <c r="A615" s="73"/>
      <c r="B615" s="73"/>
      <c r="C615" s="73"/>
      <c r="D615" s="73"/>
      <c r="E615" s="73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  <c r="AJ615" s="73"/>
    </row>
    <row r="616" spans="1:36" x14ac:dyDescent="0.25">
      <c r="A616" s="73"/>
      <c r="B616" s="73"/>
      <c r="C616" s="73"/>
      <c r="D616" s="73"/>
      <c r="E616" s="73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73"/>
      <c r="AG616" s="73"/>
      <c r="AH616" s="73"/>
      <c r="AI616" s="73"/>
      <c r="AJ616" s="73"/>
    </row>
    <row r="617" spans="1:36" x14ac:dyDescent="0.25">
      <c r="A617" s="73"/>
      <c r="B617" s="73"/>
      <c r="C617" s="73"/>
      <c r="D617" s="73"/>
      <c r="E617" s="73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73"/>
      <c r="AG617" s="73"/>
      <c r="AH617" s="73"/>
      <c r="AI617" s="73"/>
      <c r="AJ617" s="73"/>
    </row>
    <row r="618" spans="1:36" x14ac:dyDescent="0.25">
      <c r="A618" s="73"/>
      <c r="B618" s="73"/>
      <c r="C618" s="73"/>
      <c r="D618" s="73"/>
      <c r="E618" s="73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73"/>
      <c r="AG618" s="73"/>
      <c r="AH618" s="73"/>
      <c r="AI618" s="73"/>
      <c r="AJ618" s="73"/>
    </row>
    <row r="619" spans="1:36" x14ac:dyDescent="0.25">
      <c r="A619" s="73"/>
      <c r="B619" s="73"/>
      <c r="C619" s="73"/>
      <c r="D619" s="73"/>
      <c r="E619" s="73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73"/>
      <c r="AG619" s="73"/>
      <c r="AH619" s="73"/>
      <c r="AI619" s="73"/>
      <c r="AJ619" s="73"/>
    </row>
    <row r="620" spans="1:36" x14ac:dyDescent="0.25">
      <c r="A620" s="73"/>
      <c r="B620" s="73"/>
      <c r="C620" s="73"/>
      <c r="D620" s="73"/>
      <c r="E620" s="73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73"/>
      <c r="AG620" s="73"/>
      <c r="AH620" s="73"/>
      <c r="AI620" s="73"/>
      <c r="AJ620" s="73"/>
    </row>
    <row r="621" spans="1:36" x14ac:dyDescent="0.25">
      <c r="A621" s="73"/>
      <c r="B621" s="73"/>
      <c r="C621" s="73"/>
      <c r="D621" s="73"/>
      <c r="E621" s="73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73"/>
      <c r="AG621" s="73"/>
      <c r="AH621" s="73"/>
      <c r="AI621" s="73"/>
      <c r="AJ621" s="73"/>
    </row>
    <row r="622" spans="1:36" x14ac:dyDescent="0.25">
      <c r="A622" s="73"/>
      <c r="B622" s="73"/>
      <c r="C622" s="73"/>
      <c r="D622" s="73"/>
      <c r="E622" s="73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73"/>
      <c r="AG622" s="73"/>
      <c r="AH622" s="73"/>
      <c r="AI622" s="73"/>
      <c r="AJ622" s="73"/>
    </row>
    <row r="623" spans="1:36" x14ac:dyDescent="0.25">
      <c r="A623" s="73"/>
      <c r="B623" s="73"/>
      <c r="C623" s="73"/>
      <c r="D623" s="73"/>
      <c r="E623" s="73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73"/>
      <c r="AG623" s="73"/>
      <c r="AH623" s="73"/>
      <c r="AI623" s="73"/>
      <c r="AJ623" s="73"/>
    </row>
    <row r="624" spans="1:36" x14ac:dyDescent="0.25">
      <c r="A624" s="73"/>
      <c r="B624" s="73"/>
      <c r="C624" s="73"/>
      <c r="D624" s="73"/>
      <c r="E624" s="73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73"/>
      <c r="AG624" s="73"/>
      <c r="AH624" s="73"/>
      <c r="AI624" s="73"/>
      <c r="AJ624" s="73"/>
    </row>
    <row r="625" spans="1:36" x14ac:dyDescent="0.25">
      <c r="A625" s="73"/>
      <c r="B625" s="73"/>
      <c r="C625" s="73"/>
      <c r="D625" s="73"/>
      <c r="E625" s="73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73"/>
      <c r="AG625" s="73"/>
      <c r="AH625" s="73"/>
      <c r="AI625" s="73"/>
      <c r="AJ625" s="73"/>
    </row>
    <row r="626" spans="1:36" x14ac:dyDescent="0.25">
      <c r="A626" s="73"/>
      <c r="B626" s="73"/>
      <c r="C626" s="73"/>
      <c r="D626" s="73"/>
      <c r="E626" s="73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73"/>
      <c r="AG626" s="73"/>
      <c r="AH626" s="73"/>
      <c r="AI626" s="73"/>
      <c r="AJ626" s="73"/>
    </row>
    <row r="627" spans="1:36" x14ac:dyDescent="0.25">
      <c r="A627" s="73"/>
      <c r="B627" s="73"/>
      <c r="C627" s="73"/>
      <c r="D627" s="73"/>
      <c r="E627" s="73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73"/>
      <c r="AG627" s="73"/>
      <c r="AH627" s="73"/>
      <c r="AI627" s="73"/>
      <c r="AJ627" s="73"/>
    </row>
    <row r="628" spans="1:36" x14ac:dyDescent="0.25">
      <c r="A628" s="73"/>
      <c r="B628" s="73"/>
      <c r="C628" s="73"/>
      <c r="D628" s="73"/>
      <c r="E628" s="73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73"/>
      <c r="AG628" s="73"/>
      <c r="AH628" s="73"/>
      <c r="AI628" s="73"/>
      <c r="AJ628" s="73"/>
    </row>
    <row r="629" spans="1:36" x14ac:dyDescent="0.25">
      <c r="A629" s="73"/>
      <c r="B629" s="73"/>
      <c r="C629" s="73"/>
      <c r="D629" s="73"/>
      <c r="E629" s="73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73"/>
      <c r="AG629" s="73"/>
      <c r="AH629" s="73"/>
      <c r="AI629" s="73"/>
      <c r="AJ629" s="73"/>
    </row>
    <row r="630" spans="1:36" x14ac:dyDescent="0.25">
      <c r="A630" s="73"/>
      <c r="B630" s="73"/>
      <c r="C630" s="73"/>
      <c r="D630" s="73"/>
      <c r="E630" s="73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73"/>
      <c r="AG630" s="73"/>
      <c r="AH630" s="73"/>
      <c r="AI630" s="73"/>
      <c r="AJ630" s="73"/>
    </row>
    <row r="631" spans="1:36" x14ac:dyDescent="0.25">
      <c r="A631" s="73"/>
      <c r="B631" s="73"/>
      <c r="C631" s="73"/>
      <c r="D631" s="73"/>
      <c r="E631" s="73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73"/>
      <c r="AG631" s="73"/>
      <c r="AH631" s="73"/>
      <c r="AI631" s="73"/>
      <c r="AJ631" s="73"/>
    </row>
    <row r="632" spans="1:36" x14ac:dyDescent="0.25">
      <c r="A632" s="73"/>
      <c r="B632" s="73"/>
      <c r="C632" s="73"/>
      <c r="D632" s="73"/>
      <c r="E632" s="73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  <c r="AJ632" s="73"/>
    </row>
    <row r="633" spans="1:36" x14ac:dyDescent="0.25">
      <c r="A633" s="73"/>
      <c r="B633" s="73"/>
      <c r="C633" s="73"/>
      <c r="D633" s="73"/>
      <c r="E633" s="73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73"/>
      <c r="AG633" s="73"/>
      <c r="AH633" s="73"/>
      <c r="AI633" s="73"/>
      <c r="AJ633" s="73"/>
    </row>
    <row r="634" spans="1:36" x14ac:dyDescent="0.25">
      <c r="A634" s="73"/>
      <c r="B634" s="73"/>
      <c r="C634" s="73"/>
      <c r="D634" s="73"/>
      <c r="E634" s="73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73"/>
      <c r="AG634" s="73"/>
      <c r="AH634" s="73"/>
      <c r="AI634" s="73"/>
      <c r="AJ634" s="73"/>
    </row>
    <row r="635" spans="1:36" x14ac:dyDescent="0.25">
      <c r="A635" s="73"/>
      <c r="B635" s="73"/>
      <c r="C635" s="73"/>
      <c r="D635" s="73"/>
      <c r="E635" s="73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73"/>
      <c r="AG635" s="73"/>
      <c r="AH635" s="73"/>
      <c r="AI635" s="73"/>
      <c r="AJ635" s="73"/>
    </row>
    <row r="636" spans="1:36" x14ac:dyDescent="0.25">
      <c r="A636" s="73"/>
      <c r="B636" s="73"/>
      <c r="C636" s="73"/>
      <c r="D636" s="73"/>
      <c r="E636" s="73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73"/>
      <c r="AG636" s="73"/>
      <c r="AH636" s="73"/>
      <c r="AI636" s="73"/>
      <c r="AJ636" s="73"/>
    </row>
    <row r="637" spans="1:36" x14ac:dyDescent="0.25">
      <c r="A637" s="73"/>
      <c r="B637" s="73"/>
      <c r="C637" s="73"/>
      <c r="D637" s="73"/>
      <c r="E637" s="73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73"/>
      <c r="AG637" s="73"/>
      <c r="AH637" s="73"/>
      <c r="AI637" s="73"/>
      <c r="AJ637" s="73"/>
    </row>
    <row r="638" spans="1:36" x14ac:dyDescent="0.25">
      <c r="A638" s="73"/>
      <c r="B638" s="73"/>
      <c r="C638" s="73"/>
      <c r="D638" s="73"/>
      <c r="E638" s="73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73"/>
      <c r="AG638" s="73"/>
      <c r="AH638" s="73"/>
      <c r="AI638" s="73"/>
      <c r="AJ638" s="73"/>
    </row>
    <row r="639" spans="1:36" x14ac:dyDescent="0.25">
      <c r="A639" s="73"/>
      <c r="B639" s="73"/>
      <c r="C639" s="73"/>
      <c r="D639" s="73"/>
      <c r="E639" s="73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73"/>
      <c r="AG639" s="73"/>
      <c r="AH639" s="73"/>
      <c r="AI639" s="73"/>
      <c r="AJ639" s="73"/>
    </row>
    <row r="640" spans="1:36" x14ac:dyDescent="0.25">
      <c r="A640" s="73"/>
      <c r="B640" s="73"/>
      <c r="C640" s="73"/>
      <c r="D640" s="73"/>
      <c r="E640" s="73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73"/>
      <c r="AG640" s="73"/>
      <c r="AH640" s="73"/>
      <c r="AI640" s="73"/>
      <c r="AJ640" s="73"/>
    </row>
    <row r="641" spans="1:36" x14ac:dyDescent="0.25">
      <c r="A641" s="73"/>
      <c r="B641" s="73"/>
      <c r="C641" s="73"/>
      <c r="D641" s="73"/>
      <c r="E641" s="73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73"/>
      <c r="AG641" s="73"/>
      <c r="AH641" s="73"/>
      <c r="AI641" s="73"/>
      <c r="AJ641" s="73"/>
    </row>
    <row r="642" spans="1:36" x14ac:dyDescent="0.25">
      <c r="A642" s="73"/>
      <c r="B642" s="73"/>
      <c r="C642" s="73"/>
      <c r="D642" s="73"/>
      <c r="E642" s="73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73"/>
      <c r="AG642" s="73"/>
      <c r="AH642" s="73"/>
      <c r="AI642" s="73"/>
      <c r="AJ642" s="73"/>
    </row>
    <row r="643" spans="1:36" x14ac:dyDescent="0.25">
      <c r="A643" s="73"/>
      <c r="B643" s="73"/>
      <c r="C643" s="73"/>
      <c r="D643" s="73"/>
      <c r="E643" s="73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73"/>
      <c r="AG643" s="73"/>
      <c r="AH643" s="73"/>
      <c r="AI643" s="73"/>
      <c r="AJ643" s="73"/>
    </row>
    <row r="644" spans="1:36" x14ac:dyDescent="0.25">
      <c r="A644" s="73"/>
      <c r="B644" s="73"/>
      <c r="C644" s="73"/>
      <c r="D644" s="73"/>
      <c r="E644" s="73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73"/>
      <c r="AG644" s="73"/>
      <c r="AH644" s="73"/>
      <c r="AI644" s="73"/>
      <c r="AJ644" s="73"/>
    </row>
    <row r="645" spans="1:36" x14ac:dyDescent="0.25">
      <c r="A645" s="73"/>
      <c r="B645" s="73"/>
      <c r="C645" s="73"/>
      <c r="D645" s="73"/>
      <c r="E645" s="73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73"/>
      <c r="AG645" s="73"/>
      <c r="AH645" s="73"/>
      <c r="AI645" s="73"/>
      <c r="AJ645" s="73"/>
    </row>
    <row r="646" spans="1:36" x14ac:dyDescent="0.25">
      <c r="A646" s="73"/>
      <c r="B646" s="73"/>
      <c r="C646" s="73"/>
      <c r="D646" s="73"/>
      <c r="E646" s="73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73"/>
      <c r="AG646" s="73"/>
      <c r="AH646" s="73"/>
      <c r="AI646" s="73"/>
      <c r="AJ646" s="73"/>
    </row>
    <row r="647" spans="1:36" x14ac:dyDescent="0.25">
      <c r="A647" s="73"/>
      <c r="B647" s="73"/>
      <c r="C647" s="73"/>
      <c r="D647" s="73"/>
      <c r="E647" s="73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73"/>
      <c r="AG647" s="73"/>
      <c r="AH647" s="73"/>
      <c r="AI647" s="73"/>
      <c r="AJ647" s="73"/>
    </row>
    <row r="648" spans="1:36" x14ac:dyDescent="0.25">
      <c r="A648" s="73"/>
      <c r="B648" s="73"/>
      <c r="C648" s="73"/>
      <c r="D648" s="73"/>
      <c r="E648" s="73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73"/>
      <c r="AG648" s="73"/>
      <c r="AH648" s="73"/>
      <c r="AI648" s="73"/>
      <c r="AJ648" s="73"/>
    </row>
    <row r="649" spans="1:36" x14ac:dyDescent="0.25">
      <c r="A649" s="73"/>
      <c r="B649" s="73"/>
      <c r="C649" s="73"/>
      <c r="D649" s="73"/>
      <c r="E649" s="73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  <c r="AJ649" s="73"/>
    </row>
    <row r="650" spans="1:36" x14ac:dyDescent="0.25">
      <c r="A650" s="73"/>
      <c r="B650" s="73"/>
      <c r="C650" s="73"/>
      <c r="D650" s="73"/>
      <c r="E650" s="73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73"/>
      <c r="AG650" s="73"/>
      <c r="AH650" s="73"/>
      <c r="AI650" s="73"/>
      <c r="AJ650" s="73"/>
    </row>
    <row r="651" spans="1:36" x14ac:dyDescent="0.25">
      <c r="A651" s="73"/>
      <c r="B651" s="73"/>
      <c r="C651" s="73"/>
      <c r="D651" s="73"/>
      <c r="E651" s="73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73"/>
      <c r="AG651" s="73"/>
      <c r="AH651" s="73"/>
      <c r="AI651" s="73"/>
      <c r="AJ651" s="73"/>
    </row>
    <row r="652" spans="1:36" x14ac:dyDescent="0.25">
      <c r="A652" s="73"/>
      <c r="B652" s="73"/>
      <c r="C652" s="73"/>
      <c r="D652" s="73"/>
      <c r="E652" s="73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73"/>
      <c r="AG652" s="73"/>
      <c r="AH652" s="73"/>
      <c r="AI652" s="73"/>
      <c r="AJ652" s="73"/>
    </row>
    <row r="653" spans="1:36" x14ac:dyDescent="0.25">
      <c r="A653" s="73"/>
      <c r="B653" s="73"/>
      <c r="C653" s="73"/>
      <c r="D653" s="73"/>
      <c r="E653" s="73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73"/>
      <c r="AG653" s="73"/>
      <c r="AH653" s="73"/>
      <c r="AI653" s="73"/>
      <c r="AJ653" s="73"/>
    </row>
    <row r="654" spans="1:36" x14ac:dyDescent="0.25">
      <c r="A654" s="73"/>
      <c r="B654" s="73"/>
      <c r="C654" s="73"/>
      <c r="D654" s="73"/>
      <c r="E654" s="73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73"/>
      <c r="AG654" s="73"/>
      <c r="AH654" s="73"/>
      <c r="AI654" s="73"/>
      <c r="AJ654" s="73"/>
    </row>
    <row r="655" spans="1:36" x14ac:dyDescent="0.25">
      <c r="A655" s="73"/>
      <c r="B655" s="73"/>
      <c r="C655" s="73"/>
      <c r="D655" s="73"/>
      <c r="E655" s="73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73"/>
      <c r="AG655" s="73"/>
      <c r="AH655" s="73"/>
      <c r="AI655" s="73"/>
      <c r="AJ655" s="73"/>
    </row>
    <row r="656" spans="1:36" x14ac:dyDescent="0.25">
      <c r="A656" s="73"/>
      <c r="B656" s="73"/>
      <c r="C656" s="73"/>
      <c r="D656" s="73"/>
      <c r="E656" s="73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73"/>
      <c r="AG656" s="73"/>
      <c r="AH656" s="73"/>
      <c r="AI656" s="73"/>
      <c r="AJ656" s="73"/>
    </row>
    <row r="657" spans="1:36" x14ac:dyDescent="0.25">
      <c r="A657" s="73"/>
      <c r="B657" s="73"/>
      <c r="C657" s="73"/>
      <c r="D657" s="73"/>
      <c r="E657" s="73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73"/>
      <c r="AG657" s="73"/>
      <c r="AH657" s="73"/>
      <c r="AI657" s="73"/>
      <c r="AJ657" s="73"/>
    </row>
    <row r="658" spans="1:36" x14ac:dyDescent="0.25">
      <c r="A658" s="73"/>
      <c r="B658" s="73"/>
      <c r="C658" s="73"/>
      <c r="D658" s="73"/>
      <c r="E658" s="73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73"/>
      <c r="AG658" s="73"/>
      <c r="AH658" s="73"/>
      <c r="AI658" s="73"/>
      <c r="AJ658" s="73"/>
    </row>
    <row r="659" spans="1:36" x14ac:dyDescent="0.25">
      <c r="A659" s="73"/>
      <c r="B659" s="73"/>
      <c r="C659" s="73"/>
      <c r="D659" s="73"/>
      <c r="E659" s="73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73"/>
      <c r="AG659" s="73"/>
      <c r="AH659" s="73"/>
      <c r="AI659" s="73"/>
      <c r="AJ659" s="73"/>
    </row>
    <row r="660" spans="1:36" x14ac:dyDescent="0.25">
      <c r="A660" s="73"/>
      <c r="B660" s="73"/>
      <c r="C660" s="73"/>
      <c r="D660" s="73"/>
      <c r="E660" s="73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73"/>
      <c r="AG660" s="73"/>
      <c r="AH660" s="73"/>
      <c r="AI660" s="73"/>
      <c r="AJ660" s="73"/>
    </row>
    <row r="661" spans="1:36" x14ac:dyDescent="0.25">
      <c r="A661" s="73"/>
      <c r="B661" s="73"/>
      <c r="C661" s="73"/>
      <c r="D661" s="73"/>
      <c r="E661" s="73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73"/>
      <c r="AG661" s="73"/>
      <c r="AH661" s="73"/>
      <c r="AI661" s="73"/>
      <c r="AJ661" s="73"/>
    </row>
    <row r="662" spans="1:36" x14ac:dyDescent="0.25">
      <c r="A662" s="73"/>
      <c r="B662" s="73"/>
      <c r="C662" s="73"/>
      <c r="D662" s="73"/>
      <c r="E662" s="73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73"/>
      <c r="AG662" s="73"/>
      <c r="AH662" s="73"/>
      <c r="AI662" s="73"/>
      <c r="AJ662" s="73"/>
    </row>
    <row r="663" spans="1:36" x14ac:dyDescent="0.25">
      <c r="A663" s="73"/>
      <c r="B663" s="73"/>
      <c r="C663" s="73"/>
      <c r="D663" s="73"/>
      <c r="E663" s="73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73"/>
      <c r="AG663" s="73"/>
      <c r="AH663" s="73"/>
      <c r="AI663" s="73"/>
      <c r="AJ663" s="73"/>
    </row>
    <row r="664" spans="1:36" x14ac:dyDescent="0.25">
      <c r="A664" s="73"/>
      <c r="B664" s="73"/>
      <c r="C664" s="73"/>
      <c r="D664" s="73"/>
      <c r="E664" s="73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73"/>
      <c r="AG664" s="73"/>
      <c r="AH664" s="73"/>
      <c r="AI664" s="73"/>
      <c r="AJ664" s="73"/>
    </row>
    <row r="665" spans="1:36" x14ac:dyDescent="0.25">
      <c r="A665" s="73"/>
      <c r="B665" s="73"/>
      <c r="C665" s="73"/>
      <c r="D665" s="73"/>
      <c r="E665" s="73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73"/>
      <c r="AG665" s="73"/>
      <c r="AH665" s="73"/>
      <c r="AI665" s="73"/>
      <c r="AJ665" s="73"/>
    </row>
    <row r="666" spans="1:36" x14ac:dyDescent="0.25">
      <c r="A666" s="73"/>
      <c r="B666" s="73"/>
      <c r="C666" s="73"/>
      <c r="D666" s="73"/>
      <c r="E666" s="73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  <c r="AJ666" s="73"/>
    </row>
    <row r="667" spans="1:36" x14ac:dyDescent="0.25">
      <c r="A667" s="73"/>
      <c r="B667" s="73"/>
      <c r="C667" s="73"/>
      <c r="D667" s="73"/>
      <c r="E667" s="73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73"/>
      <c r="AG667" s="73"/>
      <c r="AH667" s="73"/>
      <c r="AI667" s="73"/>
      <c r="AJ667" s="73"/>
    </row>
    <row r="668" spans="1:36" x14ac:dyDescent="0.25">
      <c r="A668" s="73"/>
      <c r="B668" s="73"/>
      <c r="C668" s="73"/>
      <c r="D668" s="73"/>
      <c r="E668" s="73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73"/>
      <c r="AG668" s="73"/>
      <c r="AH668" s="73"/>
      <c r="AI668" s="73"/>
      <c r="AJ668" s="73"/>
    </row>
    <row r="669" spans="1:36" x14ac:dyDescent="0.25">
      <c r="A669" s="73"/>
      <c r="B669" s="73"/>
      <c r="C669" s="73"/>
      <c r="D669" s="73"/>
      <c r="E669" s="73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73"/>
      <c r="AG669" s="73"/>
      <c r="AH669" s="73"/>
      <c r="AI669" s="73"/>
      <c r="AJ669" s="73"/>
    </row>
    <row r="670" spans="1:36" x14ac:dyDescent="0.25">
      <c r="A670" s="73"/>
      <c r="B670" s="73"/>
      <c r="C670" s="73"/>
      <c r="D670" s="73"/>
      <c r="E670" s="73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73"/>
      <c r="AG670" s="73"/>
      <c r="AH670" s="73"/>
      <c r="AI670" s="73"/>
      <c r="AJ670" s="73"/>
    </row>
    <row r="671" spans="1:36" x14ac:dyDescent="0.25">
      <c r="A671" s="73"/>
      <c r="B671" s="73"/>
      <c r="C671" s="73"/>
      <c r="D671" s="73"/>
      <c r="E671" s="73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73"/>
      <c r="AG671" s="73"/>
      <c r="AH671" s="73"/>
      <c r="AI671" s="73"/>
      <c r="AJ671" s="73"/>
    </row>
    <row r="672" spans="1:36" x14ac:dyDescent="0.25">
      <c r="A672" s="73"/>
      <c r="B672" s="73"/>
      <c r="C672" s="73"/>
      <c r="D672" s="73"/>
      <c r="E672" s="73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73"/>
      <c r="AG672" s="73"/>
      <c r="AH672" s="73"/>
      <c r="AI672" s="73"/>
      <c r="AJ672" s="73"/>
    </row>
    <row r="673" spans="1:36" x14ac:dyDescent="0.25">
      <c r="A673" s="73"/>
      <c r="B673" s="73"/>
      <c r="C673" s="73"/>
      <c r="D673" s="73"/>
      <c r="E673" s="73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73"/>
      <c r="AG673" s="73"/>
      <c r="AH673" s="73"/>
      <c r="AI673" s="73"/>
      <c r="AJ673" s="73"/>
    </row>
    <row r="674" spans="1:36" x14ac:dyDescent="0.25">
      <c r="A674" s="73"/>
      <c r="B674" s="73"/>
      <c r="C674" s="73"/>
      <c r="D674" s="73"/>
      <c r="E674" s="73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73"/>
      <c r="AG674" s="73"/>
      <c r="AH674" s="73"/>
      <c r="AI674" s="73"/>
      <c r="AJ674" s="73"/>
    </row>
    <row r="675" spans="1:36" x14ac:dyDescent="0.25">
      <c r="A675" s="73"/>
      <c r="B675" s="73"/>
      <c r="C675" s="73"/>
      <c r="D675" s="73"/>
      <c r="E675" s="73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73"/>
      <c r="AG675" s="73"/>
      <c r="AH675" s="73"/>
      <c r="AI675" s="73"/>
      <c r="AJ675" s="73"/>
    </row>
    <row r="676" spans="1:36" x14ac:dyDescent="0.25">
      <c r="A676" s="73"/>
      <c r="B676" s="73"/>
      <c r="C676" s="73"/>
      <c r="D676" s="73"/>
      <c r="E676" s="73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73"/>
      <c r="AG676" s="73"/>
      <c r="AH676" s="73"/>
      <c r="AI676" s="73"/>
      <c r="AJ676" s="73"/>
    </row>
    <row r="677" spans="1:36" x14ac:dyDescent="0.25">
      <c r="A677" s="73"/>
      <c r="B677" s="73"/>
      <c r="C677" s="73"/>
      <c r="D677" s="73"/>
      <c r="E677" s="73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73"/>
      <c r="AG677" s="73"/>
      <c r="AH677" s="73"/>
      <c r="AI677" s="73"/>
      <c r="AJ677" s="73"/>
    </row>
    <row r="678" spans="1:36" x14ac:dyDescent="0.25">
      <c r="A678" s="73"/>
      <c r="B678" s="73"/>
      <c r="C678" s="73"/>
      <c r="D678" s="73"/>
      <c r="E678" s="73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73"/>
      <c r="AG678" s="73"/>
      <c r="AH678" s="73"/>
      <c r="AI678" s="73"/>
      <c r="AJ678" s="73"/>
    </row>
    <row r="679" spans="1:36" x14ac:dyDescent="0.25">
      <c r="A679" s="73"/>
      <c r="B679" s="73"/>
      <c r="C679" s="73"/>
      <c r="D679" s="73"/>
      <c r="E679" s="73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73"/>
      <c r="AG679" s="73"/>
      <c r="AH679" s="73"/>
      <c r="AI679" s="73"/>
      <c r="AJ679" s="73"/>
    </row>
    <row r="680" spans="1:36" x14ac:dyDescent="0.25">
      <c r="A680" s="73"/>
      <c r="B680" s="73"/>
      <c r="C680" s="73"/>
      <c r="D680" s="73"/>
      <c r="E680" s="73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73"/>
      <c r="AG680" s="73"/>
      <c r="AH680" s="73"/>
      <c r="AI680" s="73"/>
      <c r="AJ680" s="73"/>
    </row>
    <row r="681" spans="1:36" x14ac:dyDescent="0.25">
      <c r="A681" s="73"/>
      <c r="B681" s="73"/>
      <c r="C681" s="73"/>
      <c r="D681" s="73"/>
      <c r="E681" s="73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  <c r="AA681" s="73"/>
      <c r="AB681" s="73"/>
      <c r="AC681" s="73"/>
      <c r="AD681" s="73"/>
      <c r="AE681" s="73"/>
      <c r="AF681" s="73"/>
      <c r="AG681" s="73"/>
      <c r="AH681" s="73"/>
      <c r="AI681" s="73"/>
      <c r="AJ681" s="73"/>
    </row>
    <row r="682" spans="1:36" x14ac:dyDescent="0.25">
      <c r="A682" s="73"/>
      <c r="B682" s="73"/>
      <c r="C682" s="73"/>
      <c r="D682" s="73"/>
      <c r="E682" s="73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  <c r="AA682" s="73"/>
      <c r="AB682" s="73"/>
      <c r="AC682" s="73"/>
      <c r="AD682" s="73"/>
      <c r="AE682" s="73"/>
      <c r="AF682" s="73"/>
      <c r="AG682" s="73"/>
      <c r="AH682" s="73"/>
      <c r="AI682" s="73"/>
      <c r="AJ682" s="73"/>
    </row>
    <row r="683" spans="1:36" x14ac:dyDescent="0.25">
      <c r="A683" s="73"/>
      <c r="B683" s="73"/>
      <c r="C683" s="73"/>
      <c r="D683" s="73"/>
      <c r="E683" s="73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  <c r="AA683" s="73"/>
      <c r="AB683" s="73"/>
      <c r="AC683" s="73"/>
      <c r="AD683" s="73"/>
      <c r="AE683" s="73"/>
      <c r="AF683" s="73"/>
      <c r="AG683" s="73"/>
      <c r="AH683" s="73"/>
      <c r="AI683" s="73"/>
      <c r="AJ683" s="73"/>
    </row>
    <row r="684" spans="1:36" x14ac:dyDescent="0.25">
      <c r="A684" s="73"/>
      <c r="B684" s="73"/>
      <c r="C684" s="73"/>
      <c r="D684" s="73"/>
      <c r="E684" s="73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  <c r="AA684" s="73"/>
      <c r="AB684" s="73"/>
      <c r="AC684" s="73"/>
      <c r="AD684" s="73"/>
      <c r="AE684" s="73"/>
      <c r="AF684" s="73"/>
      <c r="AG684" s="73"/>
      <c r="AH684" s="73"/>
      <c r="AI684" s="73"/>
      <c r="AJ684" s="73"/>
    </row>
    <row r="685" spans="1:36" x14ac:dyDescent="0.25">
      <c r="A685" s="73"/>
      <c r="B685" s="73"/>
      <c r="C685" s="73"/>
      <c r="D685" s="73"/>
      <c r="E685" s="73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  <c r="AA685" s="73"/>
      <c r="AB685" s="73"/>
      <c r="AC685" s="73"/>
      <c r="AD685" s="73"/>
      <c r="AE685" s="73"/>
      <c r="AF685" s="73"/>
      <c r="AG685" s="73"/>
      <c r="AH685" s="73"/>
      <c r="AI685" s="73"/>
      <c r="AJ685" s="73"/>
    </row>
    <row r="686" spans="1:36" x14ac:dyDescent="0.25">
      <c r="A686" s="73"/>
      <c r="B686" s="73"/>
      <c r="C686" s="73"/>
      <c r="D686" s="73"/>
      <c r="E686" s="73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  <c r="AA686" s="73"/>
      <c r="AB686" s="73"/>
      <c r="AC686" s="73"/>
      <c r="AD686" s="73"/>
      <c r="AE686" s="73"/>
      <c r="AF686" s="73"/>
      <c r="AG686" s="73"/>
      <c r="AH686" s="73"/>
      <c r="AI686" s="73"/>
      <c r="AJ686" s="73"/>
    </row>
    <row r="687" spans="1:36" x14ac:dyDescent="0.25">
      <c r="A687" s="73"/>
      <c r="B687" s="73"/>
      <c r="C687" s="73"/>
      <c r="D687" s="73"/>
      <c r="E687" s="73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  <c r="AA687" s="73"/>
      <c r="AB687" s="73"/>
      <c r="AC687" s="73"/>
      <c r="AD687" s="73"/>
      <c r="AE687" s="73"/>
      <c r="AF687" s="73"/>
      <c r="AG687" s="73"/>
      <c r="AH687" s="73"/>
      <c r="AI687" s="73"/>
      <c r="AJ687" s="73"/>
    </row>
    <row r="688" spans="1:36" x14ac:dyDescent="0.25">
      <c r="A688" s="73"/>
      <c r="B688" s="73"/>
      <c r="C688" s="73"/>
      <c r="D688" s="73"/>
      <c r="E688" s="73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  <c r="AA688" s="73"/>
      <c r="AB688" s="73"/>
      <c r="AC688" s="73"/>
      <c r="AD688" s="73"/>
      <c r="AE688" s="73"/>
      <c r="AF688" s="73"/>
      <c r="AG688" s="73"/>
      <c r="AH688" s="73"/>
      <c r="AI688" s="73"/>
      <c r="AJ688" s="73"/>
    </row>
    <row r="689" spans="1:36" x14ac:dyDescent="0.25">
      <c r="A689" s="73"/>
      <c r="B689" s="73"/>
      <c r="C689" s="73"/>
      <c r="D689" s="73"/>
      <c r="E689" s="73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  <c r="AA689" s="73"/>
      <c r="AB689" s="73"/>
      <c r="AC689" s="73"/>
      <c r="AD689" s="73"/>
      <c r="AE689" s="73"/>
      <c r="AF689" s="73"/>
      <c r="AG689" s="73"/>
      <c r="AH689" s="73"/>
      <c r="AI689" s="73"/>
      <c r="AJ689" s="73"/>
    </row>
    <row r="690" spans="1:36" x14ac:dyDescent="0.25">
      <c r="A690" s="73"/>
      <c r="B690" s="73"/>
      <c r="C690" s="73"/>
      <c r="D690" s="73"/>
      <c r="E690" s="73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  <c r="AA690" s="73"/>
      <c r="AB690" s="73"/>
      <c r="AC690" s="73"/>
      <c r="AD690" s="73"/>
      <c r="AE690" s="73"/>
      <c r="AF690" s="73"/>
      <c r="AG690" s="73"/>
      <c r="AH690" s="73"/>
      <c r="AI690" s="73"/>
      <c r="AJ690" s="73"/>
    </row>
    <row r="691" spans="1:36" x14ac:dyDescent="0.25">
      <c r="A691" s="73"/>
      <c r="B691" s="73"/>
      <c r="C691" s="73"/>
      <c r="D691" s="73"/>
      <c r="E691" s="73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  <c r="AA691" s="73"/>
      <c r="AB691" s="73"/>
      <c r="AC691" s="73"/>
      <c r="AD691" s="73"/>
      <c r="AE691" s="73"/>
      <c r="AF691" s="73"/>
      <c r="AG691" s="73"/>
      <c r="AH691" s="73"/>
      <c r="AI691" s="73"/>
      <c r="AJ691" s="73"/>
    </row>
    <row r="692" spans="1:36" x14ac:dyDescent="0.25">
      <c r="A692" s="73"/>
      <c r="B692" s="73"/>
      <c r="C692" s="73"/>
      <c r="D692" s="73"/>
      <c r="E692" s="73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  <c r="AA692" s="73"/>
      <c r="AB692" s="73"/>
      <c r="AC692" s="73"/>
      <c r="AD692" s="73"/>
      <c r="AE692" s="73"/>
      <c r="AF692" s="73"/>
      <c r="AG692" s="73"/>
      <c r="AH692" s="73"/>
      <c r="AI692" s="73"/>
      <c r="AJ692" s="73"/>
    </row>
    <row r="693" spans="1:36" x14ac:dyDescent="0.25">
      <c r="A693" s="73"/>
      <c r="B693" s="73"/>
      <c r="C693" s="73"/>
      <c r="D693" s="73"/>
      <c r="E693" s="73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  <c r="AA693" s="73"/>
      <c r="AB693" s="73"/>
      <c r="AC693" s="73"/>
      <c r="AD693" s="73"/>
      <c r="AE693" s="73"/>
      <c r="AF693" s="73"/>
      <c r="AG693" s="73"/>
      <c r="AH693" s="73"/>
      <c r="AI693" s="73"/>
      <c r="AJ693" s="73"/>
    </row>
    <row r="694" spans="1:36" x14ac:dyDescent="0.25">
      <c r="A694" s="73"/>
      <c r="B694" s="73"/>
      <c r="C694" s="73"/>
      <c r="D694" s="73"/>
      <c r="E694" s="73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  <c r="AA694" s="73"/>
      <c r="AB694" s="73"/>
      <c r="AC694" s="73"/>
      <c r="AD694" s="73"/>
      <c r="AE694" s="73"/>
      <c r="AF694" s="73"/>
      <c r="AG694" s="73"/>
      <c r="AH694" s="73"/>
      <c r="AI694" s="73"/>
      <c r="AJ694" s="73"/>
    </row>
    <row r="695" spans="1:36" x14ac:dyDescent="0.25">
      <c r="A695" s="73"/>
      <c r="B695" s="73"/>
      <c r="C695" s="73"/>
      <c r="D695" s="73"/>
      <c r="E695" s="73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  <c r="AA695" s="73"/>
      <c r="AB695" s="73"/>
      <c r="AC695" s="73"/>
      <c r="AD695" s="73"/>
      <c r="AE695" s="73"/>
      <c r="AF695" s="73"/>
      <c r="AG695" s="73"/>
      <c r="AH695" s="73"/>
      <c r="AI695" s="73"/>
      <c r="AJ695" s="73"/>
    </row>
    <row r="696" spans="1:36" x14ac:dyDescent="0.25">
      <c r="A696" s="73"/>
      <c r="B696" s="73"/>
      <c r="C696" s="73"/>
      <c r="D696" s="73"/>
      <c r="E696" s="73"/>
      <c r="F696" s="73"/>
      <c r="G696" s="73"/>
      <c r="H696" s="73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  <c r="AA696" s="73"/>
      <c r="AB696" s="73"/>
      <c r="AC696" s="73"/>
      <c r="AD696" s="73"/>
      <c r="AE696" s="73"/>
      <c r="AF696" s="73"/>
      <c r="AG696" s="73"/>
      <c r="AH696" s="73"/>
      <c r="AI696" s="73"/>
      <c r="AJ696" s="73"/>
    </row>
    <row r="697" spans="1:36" x14ac:dyDescent="0.25">
      <c r="A697" s="73"/>
      <c r="B697" s="73"/>
      <c r="C697" s="73"/>
      <c r="D697" s="73"/>
      <c r="E697" s="73"/>
      <c r="F697" s="73"/>
      <c r="G697" s="73"/>
      <c r="H697" s="73"/>
      <c r="I697" s="73"/>
      <c r="J697" s="73"/>
      <c r="K697" s="73"/>
      <c r="L697" s="73"/>
      <c r="M697" s="73"/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  <c r="AA697" s="73"/>
      <c r="AB697" s="73"/>
      <c r="AC697" s="73"/>
      <c r="AD697" s="73"/>
      <c r="AE697" s="73"/>
      <c r="AF697" s="73"/>
      <c r="AG697" s="73"/>
      <c r="AH697" s="73"/>
      <c r="AI697" s="73"/>
      <c r="AJ697" s="73"/>
    </row>
    <row r="698" spans="1:36" x14ac:dyDescent="0.25">
      <c r="A698" s="73"/>
      <c r="B698" s="73"/>
      <c r="C698" s="73"/>
      <c r="D698" s="73"/>
      <c r="E698" s="73"/>
      <c r="F698" s="73"/>
      <c r="G698" s="73"/>
      <c r="H698" s="73"/>
      <c r="I698" s="73"/>
      <c r="J698" s="73"/>
      <c r="K698" s="73"/>
      <c r="L698" s="73"/>
      <c r="M698" s="73"/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  <c r="AA698" s="73"/>
      <c r="AB698" s="73"/>
      <c r="AC698" s="73"/>
      <c r="AD698" s="73"/>
      <c r="AE698" s="73"/>
      <c r="AF698" s="73"/>
      <c r="AG698" s="73"/>
      <c r="AH698" s="73"/>
      <c r="AI698" s="73"/>
      <c r="AJ698" s="73"/>
    </row>
    <row r="699" spans="1:36" x14ac:dyDescent="0.25">
      <c r="A699" s="73"/>
      <c r="B699" s="73"/>
      <c r="C699" s="73"/>
      <c r="D699" s="73"/>
      <c r="E699" s="73"/>
      <c r="F699" s="73"/>
      <c r="G699" s="73"/>
      <c r="H699" s="73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  <c r="AA699" s="73"/>
      <c r="AB699" s="73"/>
      <c r="AC699" s="73"/>
      <c r="AD699" s="73"/>
      <c r="AE699" s="73"/>
      <c r="AF699" s="73"/>
      <c r="AG699" s="73"/>
      <c r="AH699" s="73"/>
      <c r="AI699" s="73"/>
      <c r="AJ699" s="73"/>
    </row>
    <row r="700" spans="1:36" x14ac:dyDescent="0.25">
      <c r="A700" s="73"/>
      <c r="B700" s="73"/>
      <c r="C700" s="73"/>
      <c r="D700" s="73"/>
      <c r="E700" s="73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  <c r="AA700" s="73"/>
      <c r="AB700" s="73"/>
      <c r="AC700" s="73"/>
      <c r="AD700" s="73"/>
      <c r="AE700" s="73"/>
      <c r="AF700" s="73"/>
      <c r="AG700" s="73"/>
      <c r="AH700" s="73"/>
      <c r="AI700" s="73"/>
      <c r="AJ700" s="73"/>
    </row>
    <row r="701" spans="1:36" x14ac:dyDescent="0.25">
      <c r="A701" s="73"/>
      <c r="B701" s="73"/>
      <c r="C701" s="73"/>
      <c r="D701" s="73"/>
      <c r="E701" s="73"/>
      <c r="F701" s="73"/>
      <c r="G701" s="73"/>
      <c r="H701" s="73"/>
      <c r="I701" s="73"/>
      <c r="J701" s="73"/>
      <c r="K701" s="73"/>
      <c r="L701" s="73"/>
      <c r="M701" s="73"/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  <c r="AA701" s="73"/>
      <c r="AB701" s="73"/>
      <c r="AC701" s="73"/>
      <c r="AD701" s="73"/>
      <c r="AE701" s="73"/>
      <c r="AF701" s="73"/>
      <c r="AG701" s="73"/>
      <c r="AH701" s="73"/>
      <c r="AI701" s="73"/>
      <c r="AJ701" s="73"/>
    </row>
    <row r="702" spans="1:36" x14ac:dyDescent="0.25">
      <c r="A702" s="73"/>
      <c r="B702" s="73"/>
      <c r="C702" s="73"/>
      <c r="D702" s="73"/>
      <c r="E702" s="73"/>
      <c r="F702" s="73"/>
      <c r="G702" s="73"/>
      <c r="H702" s="73"/>
      <c r="I702" s="73"/>
      <c r="J702" s="73"/>
      <c r="K702" s="73"/>
      <c r="L702" s="73"/>
      <c r="M702" s="73"/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  <c r="AA702" s="73"/>
      <c r="AB702" s="73"/>
      <c r="AC702" s="73"/>
      <c r="AD702" s="73"/>
      <c r="AE702" s="73"/>
      <c r="AF702" s="73"/>
      <c r="AG702" s="73"/>
      <c r="AH702" s="73"/>
      <c r="AI702" s="73"/>
      <c r="AJ702" s="73"/>
    </row>
    <row r="703" spans="1:36" x14ac:dyDescent="0.25">
      <c r="A703" s="73"/>
      <c r="B703" s="73"/>
      <c r="C703" s="73"/>
      <c r="D703" s="73"/>
      <c r="E703" s="73"/>
      <c r="F703" s="73"/>
      <c r="G703" s="73"/>
      <c r="H703" s="73"/>
      <c r="I703" s="73"/>
      <c r="J703" s="73"/>
      <c r="K703" s="73"/>
      <c r="L703" s="73"/>
      <c r="M703" s="73"/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  <c r="AA703" s="73"/>
      <c r="AB703" s="73"/>
      <c r="AC703" s="73"/>
      <c r="AD703" s="73"/>
      <c r="AE703" s="73"/>
      <c r="AF703" s="73"/>
      <c r="AG703" s="73"/>
      <c r="AH703" s="73"/>
      <c r="AI703" s="73"/>
      <c r="AJ703" s="73"/>
    </row>
    <row r="704" spans="1:36" x14ac:dyDescent="0.25">
      <c r="A704" s="73"/>
      <c r="B704" s="73"/>
      <c r="C704" s="73"/>
      <c r="D704" s="73"/>
      <c r="E704" s="73"/>
      <c r="F704" s="73"/>
      <c r="G704" s="73"/>
      <c r="H704" s="73"/>
      <c r="I704" s="73"/>
      <c r="J704" s="73"/>
      <c r="K704" s="73"/>
      <c r="L704" s="73"/>
      <c r="M704" s="73"/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  <c r="AA704" s="73"/>
      <c r="AB704" s="73"/>
      <c r="AC704" s="73"/>
      <c r="AD704" s="73"/>
      <c r="AE704" s="73"/>
      <c r="AF704" s="73"/>
      <c r="AG704" s="73"/>
      <c r="AH704" s="73"/>
      <c r="AI704" s="73"/>
      <c r="AJ704" s="73"/>
    </row>
    <row r="705" spans="1:36" x14ac:dyDescent="0.25">
      <c r="A705" s="73"/>
      <c r="B705" s="73"/>
      <c r="C705" s="73"/>
      <c r="D705" s="73"/>
      <c r="E705" s="73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  <c r="AA705" s="73"/>
      <c r="AB705" s="73"/>
      <c r="AC705" s="73"/>
      <c r="AD705" s="73"/>
      <c r="AE705" s="73"/>
      <c r="AF705" s="73"/>
      <c r="AG705" s="73"/>
      <c r="AH705" s="73"/>
      <c r="AI705" s="73"/>
      <c r="AJ705" s="73"/>
    </row>
    <row r="706" spans="1:36" x14ac:dyDescent="0.25">
      <c r="A706" s="73"/>
      <c r="B706" s="73"/>
      <c r="C706" s="73"/>
      <c r="D706" s="73"/>
      <c r="E706" s="73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  <c r="AA706" s="73"/>
      <c r="AB706" s="73"/>
      <c r="AC706" s="73"/>
      <c r="AD706" s="73"/>
      <c r="AE706" s="73"/>
      <c r="AF706" s="73"/>
      <c r="AG706" s="73"/>
      <c r="AH706" s="73"/>
      <c r="AI706" s="73"/>
      <c r="AJ706" s="73"/>
    </row>
    <row r="707" spans="1:36" x14ac:dyDescent="0.25">
      <c r="A707" s="73"/>
      <c r="B707" s="73"/>
      <c r="C707" s="73"/>
      <c r="D707" s="73"/>
      <c r="E707" s="73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  <c r="AA707" s="73"/>
      <c r="AB707" s="73"/>
      <c r="AC707" s="73"/>
      <c r="AD707" s="73"/>
      <c r="AE707" s="73"/>
      <c r="AF707" s="73"/>
      <c r="AG707" s="73"/>
      <c r="AH707" s="73"/>
      <c r="AI707" s="73"/>
      <c r="AJ707" s="73"/>
    </row>
    <row r="708" spans="1:36" x14ac:dyDescent="0.25">
      <c r="A708" s="73"/>
      <c r="B708" s="73"/>
      <c r="C708" s="73"/>
      <c r="D708" s="73"/>
      <c r="E708" s="73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  <c r="AA708" s="73"/>
      <c r="AB708" s="73"/>
      <c r="AC708" s="73"/>
      <c r="AD708" s="73"/>
      <c r="AE708" s="73"/>
      <c r="AF708" s="73"/>
      <c r="AG708" s="73"/>
      <c r="AH708" s="73"/>
      <c r="AI708" s="73"/>
      <c r="AJ708" s="73"/>
    </row>
    <row r="709" spans="1:36" x14ac:dyDescent="0.25">
      <c r="A709" s="73"/>
      <c r="B709" s="73"/>
      <c r="C709" s="73"/>
      <c r="D709" s="73"/>
      <c r="E709" s="73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  <c r="AA709" s="73"/>
      <c r="AB709" s="73"/>
      <c r="AC709" s="73"/>
      <c r="AD709" s="73"/>
      <c r="AE709" s="73"/>
      <c r="AF709" s="73"/>
      <c r="AG709" s="73"/>
      <c r="AH709" s="73"/>
      <c r="AI709" s="73"/>
      <c r="AJ709" s="73"/>
    </row>
    <row r="710" spans="1:36" x14ac:dyDescent="0.25">
      <c r="A710" s="73"/>
      <c r="B710" s="73"/>
      <c r="C710" s="73"/>
      <c r="D710" s="73"/>
      <c r="E710" s="73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  <c r="AA710" s="73"/>
      <c r="AB710" s="73"/>
      <c r="AC710" s="73"/>
      <c r="AD710" s="73"/>
      <c r="AE710" s="73"/>
      <c r="AF710" s="73"/>
      <c r="AG710" s="73"/>
      <c r="AH710" s="73"/>
      <c r="AI710" s="73"/>
      <c r="AJ710" s="73"/>
    </row>
    <row r="711" spans="1:36" x14ac:dyDescent="0.25">
      <c r="A711" s="73"/>
      <c r="B711" s="73"/>
      <c r="C711" s="73"/>
      <c r="D711" s="73"/>
      <c r="E711" s="73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  <c r="AA711" s="73"/>
      <c r="AB711" s="73"/>
      <c r="AC711" s="73"/>
      <c r="AD711" s="73"/>
      <c r="AE711" s="73"/>
      <c r="AF711" s="73"/>
      <c r="AG711" s="73"/>
      <c r="AH711" s="73"/>
      <c r="AI711" s="73"/>
      <c r="AJ711" s="73"/>
    </row>
    <row r="712" spans="1:36" x14ac:dyDescent="0.25">
      <c r="A712" s="73"/>
      <c r="B712" s="73"/>
      <c r="C712" s="73"/>
      <c r="D712" s="73"/>
      <c r="E712" s="73"/>
      <c r="F712" s="73"/>
      <c r="G712" s="73"/>
      <c r="H712" s="73"/>
      <c r="I712" s="73"/>
      <c r="J712" s="73"/>
      <c r="K712" s="73"/>
      <c r="L712" s="73"/>
      <c r="M712" s="73"/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  <c r="AA712" s="73"/>
      <c r="AB712" s="73"/>
      <c r="AC712" s="73"/>
      <c r="AD712" s="73"/>
      <c r="AE712" s="73"/>
      <c r="AF712" s="73"/>
      <c r="AG712" s="73"/>
      <c r="AH712" s="73"/>
      <c r="AI712" s="73"/>
      <c r="AJ712" s="73"/>
    </row>
    <row r="713" spans="1:36" x14ac:dyDescent="0.25">
      <c r="A713" s="73"/>
      <c r="B713" s="73"/>
      <c r="C713" s="73"/>
      <c r="D713" s="73"/>
      <c r="E713" s="73"/>
      <c r="F713" s="73"/>
      <c r="G713" s="73"/>
      <c r="H713" s="73"/>
      <c r="I713" s="73"/>
      <c r="J713" s="73"/>
      <c r="K713" s="73"/>
      <c r="L713" s="73"/>
      <c r="M713" s="73"/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  <c r="AA713" s="73"/>
      <c r="AB713" s="73"/>
      <c r="AC713" s="73"/>
      <c r="AD713" s="73"/>
      <c r="AE713" s="73"/>
      <c r="AF713" s="73"/>
      <c r="AG713" s="73"/>
      <c r="AH713" s="73"/>
      <c r="AI713" s="73"/>
      <c r="AJ713" s="73"/>
    </row>
    <row r="714" spans="1:36" x14ac:dyDescent="0.25">
      <c r="A714" s="73"/>
      <c r="B714" s="73"/>
      <c r="C714" s="73"/>
      <c r="D714" s="73"/>
      <c r="E714" s="73"/>
      <c r="F714" s="73"/>
      <c r="G714" s="73"/>
      <c r="H714" s="73"/>
      <c r="I714" s="73"/>
      <c r="J714" s="73"/>
      <c r="K714" s="73"/>
      <c r="L714" s="73"/>
      <c r="M714" s="73"/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  <c r="AA714" s="73"/>
      <c r="AB714" s="73"/>
      <c r="AC714" s="73"/>
      <c r="AD714" s="73"/>
      <c r="AE714" s="73"/>
      <c r="AF714" s="73"/>
      <c r="AG714" s="73"/>
      <c r="AH714" s="73"/>
      <c r="AI714" s="73"/>
      <c r="AJ714" s="73"/>
    </row>
    <row r="715" spans="1:36" x14ac:dyDescent="0.25">
      <c r="A715" s="73"/>
      <c r="B715" s="73"/>
      <c r="C715" s="73"/>
      <c r="D715" s="73"/>
      <c r="E715" s="73"/>
      <c r="F715" s="73"/>
      <c r="G715" s="73"/>
      <c r="H715" s="73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  <c r="AA715" s="73"/>
      <c r="AB715" s="73"/>
      <c r="AC715" s="73"/>
      <c r="AD715" s="73"/>
      <c r="AE715" s="73"/>
      <c r="AF715" s="73"/>
      <c r="AG715" s="73"/>
      <c r="AH715" s="73"/>
      <c r="AI715" s="73"/>
      <c r="AJ715" s="73"/>
    </row>
    <row r="716" spans="1:36" x14ac:dyDescent="0.25">
      <c r="A716" s="73"/>
      <c r="B716" s="73"/>
      <c r="C716" s="73"/>
      <c r="D716" s="73"/>
      <c r="E716" s="73"/>
      <c r="F716" s="73"/>
      <c r="G716" s="73"/>
      <c r="H716" s="73"/>
      <c r="I716" s="73"/>
      <c r="J716" s="73"/>
      <c r="K716" s="73"/>
      <c r="L716" s="73"/>
      <c r="M716" s="73"/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  <c r="AA716" s="73"/>
      <c r="AB716" s="73"/>
      <c r="AC716" s="73"/>
      <c r="AD716" s="73"/>
      <c r="AE716" s="73"/>
      <c r="AF716" s="73"/>
      <c r="AG716" s="73"/>
      <c r="AH716" s="73"/>
      <c r="AI716" s="73"/>
      <c r="AJ716" s="73"/>
    </row>
    <row r="717" spans="1:36" x14ac:dyDescent="0.25">
      <c r="A717" s="73"/>
      <c r="B717" s="73"/>
      <c r="C717" s="73"/>
      <c r="D717" s="73"/>
      <c r="E717" s="73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  <c r="AA717" s="73"/>
      <c r="AB717" s="73"/>
      <c r="AC717" s="73"/>
      <c r="AD717" s="73"/>
      <c r="AE717" s="73"/>
      <c r="AF717" s="73"/>
      <c r="AG717" s="73"/>
      <c r="AH717" s="73"/>
      <c r="AI717" s="73"/>
      <c r="AJ717" s="73"/>
    </row>
    <row r="718" spans="1:36" x14ac:dyDescent="0.25">
      <c r="A718" s="73"/>
      <c r="B718" s="73"/>
      <c r="C718" s="73"/>
      <c r="D718" s="73"/>
      <c r="E718" s="73"/>
      <c r="F718" s="73"/>
      <c r="G718" s="73"/>
      <c r="H718" s="73"/>
      <c r="I718" s="73"/>
      <c r="J718" s="73"/>
      <c r="K718" s="73"/>
      <c r="L718" s="73"/>
      <c r="M718" s="73"/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  <c r="AA718" s="73"/>
      <c r="AB718" s="73"/>
      <c r="AC718" s="73"/>
      <c r="AD718" s="73"/>
      <c r="AE718" s="73"/>
      <c r="AF718" s="73"/>
      <c r="AG718" s="73"/>
      <c r="AH718" s="73"/>
      <c r="AI718" s="73"/>
      <c r="AJ718" s="73"/>
    </row>
    <row r="719" spans="1:36" x14ac:dyDescent="0.25">
      <c r="A719" s="73"/>
      <c r="B719" s="73"/>
      <c r="C719" s="73"/>
      <c r="D719" s="73"/>
      <c r="E719" s="73"/>
      <c r="F719" s="73"/>
      <c r="G719" s="73"/>
      <c r="H719" s="73"/>
      <c r="I719" s="73"/>
      <c r="J719" s="73"/>
      <c r="K719" s="73"/>
      <c r="L719" s="73"/>
      <c r="M719" s="73"/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  <c r="AA719" s="73"/>
      <c r="AB719" s="73"/>
      <c r="AC719" s="73"/>
      <c r="AD719" s="73"/>
      <c r="AE719" s="73"/>
      <c r="AF719" s="73"/>
      <c r="AG719" s="73"/>
      <c r="AH719" s="73"/>
      <c r="AI719" s="73"/>
      <c r="AJ719" s="73"/>
    </row>
    <row r="720" spans="1:36" x14ac:dyDescent="0.25">
      <c r="A720" s="73"/>
      <c r="B720" s="73"/>
      <c r="C720" s="73"/>
      <c r="D720" s="73"/>
      <c r="E720" s="73"/>
      <c r="F720" s="73"/>
      <c r="G720" s="73"/>
      <c r="H720" s="73"/>
      <c r="I720" s="73"/>
      <c r="J720" s="73"/>
      <c r="K720" s="73"/>
      <c r="L720" s="73"/>
      <c r="M720" s="73"/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  <c r="AA720" s="73"/>
      <c r="AB720" s="73"/>
      <c r="AC720" s="73"/>
      <c r="AD720" s="73"/>
      <c r="AE720" s="73"/>
      <c r="AF720" s="73"/>
      <c r="AG720" s="73"/>
      <c r="AH720" s="73"/>
      <c r="AI720" s="73"/>
      <c r="AJ720" s="73"/>
    </row>
    <row r="721" spans="1:36" x14ac:dyDescent="0.25">
      <c r="A721" s="73"/>
      <c r="B721" s="73"/>
      <c r="C721" s="73"/>
      <c r="D721" s="73"/>
      <c r="E721" s="73"/>
      <c r="F721" s="73"/>
      <c r="G721" s="73"/>
      <c r="H721" s="73"/>
      <c r="I721" s="73"/>
      <c r="J721" s="73"/>
      <c r="K721" s="73"/>
      <c r="L721" s="73"/>
      <c r="M721" s="73"/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  <c r="AA721" s="73"/>
      <c r="AB721" s="73"/>
      <c r="AC721" s="73"/>
      <c r="AD721" s="73"/>
      <c r="AE721" s="73"/>
      <c r="AF721" s="73"/>
      <c r="AG721" s="73"/>
      <c r="AH721" s="73"/>
      <c r="AI721" s="73"/>
      <c r="AJ721" s="73"/>
    </row>
    <row r="722" spans="1:36" x14ac:dyDescent="0.25">
      <c r="A722" s="73"/>
      <c r="B722" s="73"/>
      <c r="C722" s="73"/>
      <c r="D722" s="73"/>
      <c r="E722" s="73"/>
      <c r="F722" s="73"/>
      <c r="G722" s="73"/>
      <c r="H722" s="73"/>
      <c r="I722" s="73"/>
      <c r="J722" s="73"/>
      <c r="K722" s="73"/>
      <c r="L722" s="73"/>
      <c r="M722" s="73"/>
      <c r="N722" s="73"/>
      <c r="O722" s="73"/>
      <c r="P722" s="73"/>
      <c r="Q722" s="73"/>
      <c r="R722" s="73"/>
      <c r="S722" s="73"/>
      <c r="T722" s="73"/>
      <c r="U722" s="73"/>
      <c r="V722" s="73"/>
      <c r="W722" s="73"/>
      <c r="X722" s="73"/>
      <c r="Y722" s="73"/>
      <c r="Z722" s="73"/>
      <c r="AA722" s="73"/>
      <c r="AB722" s="73"/>
      <c r="AC722" s="73"/>
      <c r="AD722" s="73"/>
      <c r="AE722" s="73"/>
      <c r="AF722" s="73"/>
      <c r="AG722" s="73"/>
      <c r="AH722" s="73"/>
      <c r="AI722" s="73"/>
      <c r="AJ722" s="73"/>
    </row>
    <row r="723" spans="1:36" x14ac:dyDescent="0.25">
      <c r="A723" s="73"/>
      <c r="B723" s="73"/>
      <c r="C723" s="73"/>
      <c r="D723" s="73"/>
      <c r="E723" s="73"/>
      <c r="F723" s="73"/>
      <c r="G723" s="73"/>
      <c r="H723" s="73"/>
      <c r="I723" s="73"/>
      <c r="J723" s="73"/>
      <c r="K723" s="73"/>
      <c r="L723" s="73"/>
      <c r="M723" s="73"/>
      <c r="N723" s="73"/>
      <c r="O723" s="73"/>
      <c r="P723" s="73"/>
      <c r="Q723" s="73"/>
      <c r="R723" s="73"/>
      <c r="S723" s="73"/>
      <c r="T723" s="73"/>
      <c r="U723" s="73"/>
      <c r="V723" s="73"/>
      <c r="W723" s="73"/>
      <c r="X723" s="73"/>
      <c r="Y723" s="73"/>
      <c r="Z723" s="73"/>
      <c r="AA723" s="73"/>
      <c r="AB723" s="73"/>
      <c r="AC723" s="73"/>
      <c r="AD723" s="73"/>
      <c r="AE723" s="73"/>
      <c r="AF723" s="73"/>
      <c r="AG723" s="73"/>
      <c r="AH723" s="73"/>
      <c r="AI723" s="73"/>
      <c r="AJ723" s="73"/>
    </row>
    <row r="724" spans="1:36" x14ac:dyDescent="0.25">
      <c r="A724" s="73"/>
      <c r="B724" s="73"/>
      <c r="C724" s="73"/>
      <c r="D724" s="73"/>
      <c r="E724" s="73"/>
      <c r="F724" s="73"/>
      <c r="G724" s="73"/>
      <c r="H724" s="73"/>
      <c r="I724" s="73"/>
      <c r="J724" s="73"/>
      <c r="K724" s="73"/>
      <c r="L724" s="73"/>
      <c r="M724" s="73"/>
      <c r="N724" s="73"/>
      <c r="O724" s="73"/>
      <c r="P724" s="73"/>
      <c r="Q724" s="73"/>
      <c r="R724" s="73"/>
      <c r="S724" s="73"/>
      <c r="T724" s="73"/>
      <c r="U724" s="73"/>
      <c r="V724" s="73"/>
      <c r="W724" s="73"/>
      <c r="X724" s="73"/>
      <c r="Y724" s="73"/>
      <c r="Z724" s="73"/>
      <c r="AA724" s="73"/>
      <c r="AB724" s="73"/>
      <c r="AC724" s="73"/>
      <c r="AD724" s="73"/>
      <c r="AE724" s="73"/>
      <c r="AF724" s="73"/>
      <c r="AG724" s="73"/>
      <c r="AH724" s="73"/>
      <c r="AI724" s="73"/>
      <c r="AJ724" s="73"/>
    </row>
    <row r="725" spans="1:36" x14ac:dyDescent="0.25">
      <c r="A725" s="73"/>
      <c r="B725" s="73"/>
      <c r="C725" s="73"/>
      <c r="D725" s="73"/>
      <c r="E725" s="73"/>
      <c r="F725" s="73"/>
      <c r="G725" s="73"/>
      <c r="H725" s="73"/>
      <c r="I725" s="73"/>
      <c r="J725" s="73"/>
      <c r="K725" s="73"/>
      <c r="L725" s="73"/>
      <c r="M725" s="73"/>
      <c r="N725" s="73"/>
      <c r="O725" s="73"/>
      <c r="P725" s="73"/>
      <c r="Q725" s="73"/>
      <c r="R725" s="73"/>
      <c r="S725" s="73"/>
      <c r="T725" s="73"/>
      <c r="U725" s="73"/>
      <c r="V725" s="73"/>
      <c r="W725" s="73"/>
      <c r="X725" s="73"/>
      <c r="Y725" s="73"/>
      <c r="Z725" s="73"/>
      <c r="AA725" s="73"/>
      <c r="AB725" s="73"/>
      <c r="AC725" s="73"/>
      <c r="AD725" s="73"/>
      <c r="AE725" s="73"/>
      <c r="AF725" s="73"/>
      <c r="AG725" s="73"/>
      <c r="AH725" s="73"/>
      <c r="AI725" s="73"/>
      <c r="AJ725" s="73"/>
    </row>
    <row r="726" spans="1:36" x14ac:dyDescent="0.25">
      <c r="A726" s="73"/>
      <c r="B726" s="73"/>
      <c r="C726" s="73"/>
      <c r="D726" s="73"/>
      <c r="E726" s="73"/>
      <c r="F726" s="73"/>
      <c r="G726" s="73"/>
      <c r="H726" s="73"/>
      <c r="I726" s="73"/>
      <c r="J726" s="73"/>
      <c r="K726" s="73"/>
      <c r="L726" s="73"/>
      <c r="M726" s="73"/>
      <c r="N726" s="73"/>
      <c r="O726" s="73"/>
      <c r="P726" s="73"/>
      <c r="Q726" s="73"/>
      <c r="R726" s="73"/>
      <c r="S726" s="73"/>
      <c r="T726" s="73"/>
      <c r="U726" s="73"/>
      <c r="V726" s="73"/>
      <c r="W726" s="73"/>
      <c r="X726" s="73"/>
      <c r="Y726" s="73"/>
      <c r="Z726" s="73"/>
      <c r="AA726" s="73"/>
      <c r="AB726" s="73"/>
      <c r="AC726" s="73"/>
      <c r="AD726" s="73"/>
      <c r="AE726" s="73"/>
      <c r="AF726" s="73"/>
      <c r="AG726" s="73"/>
      <c r="AH726" s="73"/>
      <c r="AI726" s="73"/>
      <c r="AJ726" s="73"/>
    </row>
    <row r="727" spans="1:36" x14ac:dyDescent="0.25">
      <c r="A727" s="73"/>
      <c r="B727" s="73"/>
      <c r="C727" s="73"/>
      <c r="D727" s="73"/>
      <c r="E727" s="73"/>
      <c r="F727" s="73"/>
      <c r="G727" s="73"/>
      <c r="H727" s="73"/>
      <c r="I727" s="73"/>
      <c r="J727" s="73"/>
      <c r="K727" s="73"/>
      <c r="L727" s="73"/>
      <c r="M727" s="73"/>
      <c r="N727" s="73"/>
      <c r="O727" s="73"/>
      <c r="P727" s="73"/>
      <c r="Q727" s="73"/>
      <c r="R727" s="73"/>
      <c r="S727" s="73"/>
      <c r="T727" s="73"/>
      <c r="U727" s="73"/>
      <c r="V727" s="73"/>
      <c r="W727" s="73"/>
      <c r="X727" s="73"/>
      <c r="Y727" s="73"/>
      <c r="Z727" s="73"/>
      <c r="AA727" s="73"/>
      <c r="AB727" s="73"/>
      <c r="AC727" s="73"/>
      <c r="AD727" s="73"/>
      <c r="AE727" s="73"/>
      <c r="AF727" s="73"/>
      <c r="AG727" s="73"/>
      <c r="AH727" s="73"/>
      <c r="AI727" s="73"/>
      <c r="AJ727" s="73"/>
    </row>
    <row r="728" spans="1:36" x14ac:dyDescent="0.25">
      <c r="A728" s="73"/>
      <c r="B728" s="73"/>
      <c r="C728" s="73"/>
      <c r="D728" s="73"/>
      <c r="E728" s="73"/>
      <c r="F728" s="73"/>
      <c r="G728" s="73"/>
      <c r="H728" s="73"/>
      <c r="I728" s="73"/>
      <c r="J728" s="73"/>
      <c r="K728" s="73"/>
      <c r="L728" s="73"/>
      <c r="M728" s="73"/>
      <c r="N728" s="73"/>
      <c r="O728" s="73"/>
      <c r="P728" s="73"/>
      <c r="Q728" s="73"/>
      <c r="R728" s="73"/>
      <c r="S728" s="73"/>
      <c r="T728" s="73"/>
      <c r="U728" s="73"/>
      <c r="V728" s="73"/>
      <c r="W728" s="73"/>
      <c r="X728" s="73"/>
      <c r="Y728" s="73"/>
      <c r="Z728" s="73"/>
      <c r="AA728" s="73"/>
      <c r="AB728" s="73"/>
      <c r="AC728" s="73"/>
      <c r="AD728" s="73"/>
      <c r="AE728" s="73"/>
      <c r="AF728" s="73"/>
      <c r="AG728" s="73"/>
      <c r="AH728" s="73"/>
      <c r="AI728" s="73"/>
      <c r="AJ728" s="73"/>
    </row>
    <row r="729" spans="1:36" x14ac:dyDescent="0.25">
      <c r="A729" s="73"/>
      <c r="B729" s="73"/>
      <c r="C729" s="73"/>
      <c r="D729" s="73"/>
      <c r="E729" s="73"/>
      <c r="F729" s="73"/>
      <c r="G729" s="73"/>
      <c r="H729" s="73"/>
      <c r="I729" s="73"/>
      <c r="J729" s="73"/>
      <c r="K729" s="73"/>
      <c r="L729" s="73"/>
      <c r="M729" s="73"/>
      <c r="N729" s="73"/>
      <c r="O729" s="73"/>
      <c r="P729" s="73"/>
      <c r="Q729" s="73"/>
      <c r="R729" s="73"/>
      <c r="S729" s="73"/>
      <c r="T729" s="73"/>
      <c r="U729" s="73"/>
      <c r="V729" s="73"/>
      <c r="W729" s="73"/>
      <c r="X729" s="73"/>
      <c r="Y729" s="73"/>
      <c r="Z729" s="73"/>
      <c r="AA729" s="73"/>
      <c r="AB729" s="73"/>
      <c r="AC729" s="73"/>
      <c r="AD729" s="73"/>
      <c r="AE729" s="73"/>
      <c r="AF729" s="73"/>
      <c r="AG729" s="73"/>
      <c r="AH729" s="73"/>
      <c r="AI729" s="73"/>
      <c r="AJ729" s="73"/>
    </row>
    <row r="730" spans="1:36" x14ac:dyDescent="0.25">
      <c r="A730" s="73"/>
      <c r="B730" s="73"/>
      <c r="C730" s="73"/>
      <c r="D730" s="73"/>
      <c r="E730" s="73"/>
      <c r="F730" s="73"/>
      <c r="G730" s="73"/>
      <c r="H730" s="73"/>
      <c r="I730" s="73"/>
      <c r="J730" s="73"/>
      <c r="K730" s="73"/>
      <c r="L730" s="73"/>
      <c r="M730" s="73"/>
      <c r="N730" s="73"/>
      <c r="O730" s="73"/>
      <c r="P730" s="73"/>
      <c r="Q730" s="73"/>
      <c r="R730" s="73"/>
      <c r="S730" s="73"/>
      <c r="T730" s="73"/>
      <c r="U730" s="73"/>
      <c r="V730" s="73"/>
      <c r="W730" s="73"/>
      <c r="X730" s="73"/>
      <c r="Y730" s="73"/>
      <c r="Z730" s="73"/>
      <c r="AA730" s="73"/>
      <c r="AB730" s="73"/>
      <c r="AC730" s="73"/>
      <c r="AD730" s="73"/>
      <c r="AE730" s="73"/>
      <c r="AF730" s="73"/>
      <c r="AG730" s="73"/>
      <c r="AH730" s="73"/>
      <c r="AI730" s="73"/>
      <c r="AJ730" s="73"/>
    </row>
    <row r="731" spans="1:36" x14ac:dyDescent="0.25">
      <c r="A731" s="73"/>
      <c r="B731" s="73"/>
      <c r="C731" s="73"/>
      <c r="D731" s="73"/>
      <c r="E731" s="73"/>
      <c r="F731" s="73"/>
      <c r="G731" s="73"/>
      <c r="H731" s="73"/>
      <c r="I731" s="73"/>
      <c r="J731" s="73"/>
      <c r="K731" s="73"/>
      <c r="L731" s="73"/>
      <c r="M731" s="73"/>
      <c r="N731" s="73"/>
      <c r="O731" s="73"/>
      <c r="P731" s="73"/>
      <c r="Q731" s="73"/>
      <c r="R731" s="73"/>
      <c r="S731" s="73"/>
      <c r="T731" s="73"/>
      <c r="U731" s="73"/>
      <c r="V731" s="73"/>
      <c r="W731" s="73"/>
      <c r="X731" s="73"/>
      <c r="Y731" s="73"/>
      <c r="Z731" s="73"/>
      <c r="AA731" s="73"/>
      <c r="AB731" s="73"/>
      <c r="AC731" s="73"/>
      <c r="AD731" s="73"/>
      <c r="AE731" s="73"/>
      <c r="AF731" s="73"/>
      <c r="AG731" s="73"/>
      <c r="AH731" s="73"/>
      <c r="AI731" s="73"/>
      <c r="AJ731" s="73"/>
    </row>
    <row r="732" spans="1:36" x14ac:dyDescent="0.25">
      <c r="A732" s="73"/>
      <c r="B732" s="73"/>
      <c r="C732" s="73"/>
      <c r="D732" s="73"/>
      <c r="E732" s="73"/>
      <c r="F732" s="73"/>
      <c r="G732" s="73"/>
      <c r="H732" s="73"/>
      <c r="I732" s="73"/>
      <c r="J732" s="73"/>
      <c r="K732" s="73"/>
      <c r="L732" s="73"/>
      <c r="M732" s="73"/>
      <c r="N732" s="73"/>
      <c r="O732" s="73"/>
      <c r="P732" s="73"/>
      <c r="Q732" s="73"/>
      <c r="R732" s="73"/>
      <c r="S732" s="73"/>
      <c r="T732" s="73"/>
      <c r="U732" s="73"/>
      <c r="V732" s="73"/>
      <c r="W732" s="73"/>
      <c r="X732" s="73"/>
      <c r="Y732" s="73"/>
      <c r="Z732" s="73"/>
      <c r="AA732" s="73"/>
      <c r="AB732" s="73"/>
      <c r="AC732" s="73"/>
      <c r="AD732" s="73"/>
      <c r="AE732" s="73"/>
      <c r="AF732" s="73"/>
      <c r="AG732" s="73"/>
      <c r="AH732" s="73"/>
      <c r="AI732" s="73"/>
      <c r="AJ732" s="73"/>
    </row>
    <row r="733" spans="1:36" x14ac:dyDescent="0.25">
      <c r="A733" s="73"/>
      <c r="B733" s="73"/>
      <c r="C733" s="73"/>
      <c r="D733" s="73"/>
      <c r="E733" s="73"/>
      <c r="F733" s="73"/>
      <c r="G733" s="73"/>
      <c r="H733" s="73"/>
      <c r="I733" s="73"/>
      <c r="J733" s="73"/>
      <c r="K733" s="73"/>
      <c r="L733" s="73"/>
      <c r="M733" s="73"/>
      <c r="N733" s="73"/>
      <c r="O733" s="73"/>
      <c r="P733" s="73"/>
      <c r="Q733" s="73"/>
      <c r="R733" s="73"/>
      <c r="S733" s="73"/>
      <c r="T733" s="73"/>
      <c r="U733" s="73"/>
      <c r="V733" s="73"/>
      <c r="W733" s="73"/>
      <c r="X733" s="73"/>
      <c r="Y733" s="73"/>
      <c r="Z733" s="73"/>
      <c r="AA733" s="73"/>
      <c r="AB733" s="73"/>
      <c r="AC733" s="73"/>
      <c r="AD733" s="73"/>
      <c r="AE733" s="73"/>
      <c r="AF733" s="73"/>
      <c r="AG733" s="73"/>
      <c r="AH733" s="73"/>
      <c r="AI733" s="73"/>
      <c r="AJ733" s="73"/>
    </row>
    <row r="734" spans="1:36" x14ac:dyDescent="0.25">
      <c r="A734" s="73"/>
      <c r="B734" s="73"/>
      <c r="C734" s="73"/>
      <c r="D734" s="73"/>
      <c r="E734" s="73"/>
      <c r="F734" s="73"/>
      <c r="G734" s="73"/>
      <c r="H734" s="73"/>
      <c r="I734" s="73"/>
      <c r="J734" s="73"/>
      <c r="K734" s="73"/>
      <c r="L734" s="73"/>
      <c r="M734" s="73"/>
      <c r="N734" s="73"/>
      <c r="O734" s="73"/>
      <c r="P734" s="73"/>
      <c r="Q734" s="73"/>
      <c r="R734" s="73"/>
      <c r="S734" s="73"/>
      <c r="T734" s="73"/>
      <c r="U734" s="73"/>
      <c r="V734" s="73"/>
      <c r="W734" s="73"/>
      <c r="X734" s="73"/>
      <c r="Y734" s="73"/>
      <c r="Z734" s="73"/>
      <c r="AA734" s="73"/>
      <c r="AB734" s="73"/>
      <c r="AC734" s="73"/>
      <c r="AD734" s="73"/>
      <c r="AE734" s="73"/>
      <c r="AF734" s="73"/>
      <c r="AG734" s="73"/>
      <c r="AH734" s="73"/>
      <c r="AI734" s="73"/>
      <c r="AJ734" s="73"/>
    </row>
    <row r="735" spans="1:36" x14ac:dyDescent="0.25">
      <c r="A735" s="73"/>
      <c r="B735" s="73"/>
      <c r="C735" s="73"/>
      <c r="D735" s="73"/>
      <c r="E735" s="73"/>
      <c r="F735" s="73"/>
      <c r="G735" s="73"/>
      <c r="H735" s="73"/>
      <c r="I735" s="73"/>
      <c r="J735" s="73"/>
      <c r="K735" s="73"/>
      <c r="L735" s="73"/>
      <c r="M735" s="73"/>
      <c r="N735" s="73"/>
      <c r="O735" s="73"/>
      <c r="P735" s="73"/>
      <c r="Q735" s="73"/>
      <c r="R735" s="73"/>
      <c r="S735" s="73"/>
      <c r="T735" s="73"/>
      <c r="U735" s="73"/>
      <c r="V735" s="73"/>
      <c r="W735" s="73"/>
      <c r="X735" s="73"/>
      <c r="Y735" s="73"/>
      <c r="Z735" s="73"/>
      <c r="AA735" s="73"/>
      <c r="AB735" s="73"/>
      <c r="AC735" s="73"/>
      <c r="AD735" s="73"/>
      <c r="AE735" s="73"/>
      <c r="AF735" s="73"/>
      <c r="AG735" s="73"/>
      <c r="AH735" s="73"/>
      <c r="AI735" s="73"/>
      <c r="AJ735" s="73"/>
    </row>
    <row r="736" spans="1:36" x14ac:dyDescent="0.25">
      <c r="A736" s="73"/>
      <c r="B736" s="73"/>
      <c r="C736" s="73"/>
      <c r="D736" s="73"/>
      <c r="E736" s="73"/>
      <c r="F736" s="73"/>
      <c r="G736" s="73"/>
      <c r="H736" s="73"/>
      <c r="I736" s="73"/>
      <c r="J736" s="73"/>
      <c r="K736" s="73"/>
      <c r="L736" s="73"/>
      <c r="M736" s="73"/>
      <c r="N736" s="73"/>
      <c r="O736" s="73"/>
      <c r="P736" s="73"/>
      <c r="Q736" s="73"/>
      <c r="R736" s="73"/>
      <c r="S736" s="73"/>
      <c r="T736" s="73"/>
      <c r="U736" s="73"/>
      <c r="V736" s="73"/>
      <c r="W736" s="73"/>
      <c r="X736" s="73"/>
      <c r="Y736" s="73"/>
      <c r="Z736" s="73"/>
      <c r="AA736" s="73"/>
      <c r="AB736" s="73"/>
      <c r="AC736" s="73"/>
      <c r="AD736" s="73"/>
      <c r="AE736" s="73"/>
      <c r="AF736" s="73"/>
      <c r="AG736" s="73"/>
      <c r="AH736" s="73"/>
      <c r="AI736" s="73"/>
      <c r="AJ736" s="73"/>
    </row>
    <row r="737" spans="1:36" x14ac:dyDescent="0.25">
      <c r="A737" s="73"/>
      <c r="B737" s="73"/>
      <c r="C737" s="73"/>
      <c r="D737" s="73"/>
      <c r="E737" s="73"/>
      <c r="F737" s="73"/>
      <c r="G737" s="73"/>
      <c r="H737" s="73"/>
      <c r="I737" s="73"/>
      <c r="J737" s="73"/>
      <c r="K737" s="73"/>
      <c r="L737" s="73"/>
      <c r="M737" s="73"/>
      <c r="N737" s="73"/>
      <c r="O737" s="73"/>
      <c r="P737" s="73"/>
      <c r="Q737" s="73"/>
      <c r="R737" s="73"/>
      <c r="S737" s="73"/>
      <c r="T737" s="73"/>
      <c r="U737" s="73"/>
      <c r="V737" s="73"/>
      <c r="W737" s="73"/>
      <c r="X737" s="73"/>
      <c r="Y737" s="73"/>
      <c r="Z737" s="73"/>
      <c r="AA737" s="73"/>
      <c r="AB737" s="73"/>
      <c r="AC737" s="73"/>
      <c r="AD737" s="73"/>
      <c r="AE737" s="73"/>
      <c r="AF737" s="73"/>
      <c r="AG737" s="73"/>
      <c r="AH737" s="73"/>
      <c r="AI737" s="73"/>
      <c r="AJ737" s="73"/>
    </row>
    <row r="738" spans="1:36" x14ac:dyDescent="0.25">
      <c r="A738" s="73"/>
      <c r="B738" s="73"/>
      <c r="C738" s="73"/>
      <c r="D738" s="73"/>
      <c r="E738" s="73"/>
      <c r="F738" s="73"/>
      <c r="G738" s="73"/>
      <c r="H738" s="73"/>
      <c r="I738" s="73"/>
      <c r="J738" s="73"/>
      <c r="K738" s="73"/>
      <c r="L738" s="73"/>
      <c r="M738" s="73"/>
      <c r="N738" s="73"/>
      <c r="O738" s="73"/>
      <c r="P738" s="73"/>
      <c r="Q738" s="73"/>
      <c r="R738" s="73"/>
      <c r="S738" s="73"/>
      <c r="T738" s="73"/>
      <c r="U738" s="73"/>
      <c r="V738" s="73"/>
      <c r="W738" s="73"/>
      <c r="X738" s="73"/>
      <c r="Y738" s="73"/>
      <c r="Z738" s="73"/>
      <c r="AA738" s="73"/>
      <c r="AB738" s="73"/>
      <c r="AC738" s="73"/>
      <c r="AD738" s="73"/>
      <c r="AE738" s="73"/>
      <c r="AF738" s="73"/>
      <c r="AG738" s="73"/>
      <c r="AH738" s="73"/>
      <c r="AI738" s="73"/>
      <c r="AJ738" s="73"/>
    </row>
    <row r="739" spans="1:36" x14ac:dyDescent="0.25">
      <c r="A739" s="73"/>
      <c r="B739" s="73"/>
      <c r="C739" s="73"/>
      <c r="D739" s="73"/>
      <c r="E739" s="73"/>
      <c r="F739" s="73"/>
      <c r="G739" s="73"/>
      <c r="H739" s="73"/>
      <c r="I739" s="73"/>
      <c r="J739" s="73"/>
      <c r="K739" s="73"/>
      <c r="L739" s="73"/>
      <c r="M739" s="73"/>
      <c r="N739" s="73"/>
      <c r="O739" s="73"/>
      <c r="P739" s="73"/>
      <c r="Q739" s="73"/>
      <c r="R739" s="73"/>
      <c r="S739" s="73"/>
      <c r="T739" s="73"/>
      <c r="U739" s="73"/>
      <c r="V739" s="73"/>
      <c r="W739" s="73"/>
      <c r="X739" s="73"/>
      <c r="Y739" s="73"/>
      <c r="Z739" s="73"/>
      <c r="AA739" s="73"/>
      <c r="AB739" s="73"/>
      <c r="AC739" s="73"/>
      <c r="AD739" s="73"/>
      <c r="AE739" s="73"/>
      <c r="AF739" s="73"/>
      <c r="AG739" s="73"/>
      <c r="AH739" s="73"/>
      <c r="AI739" s="73"/>
      <c r="AJ739" s="73"/>
    </row>
    <row r="740" spans="1:36" x14ac:dyDescent="0.25">
      <c r="A740" s="73"/>
      <c r="B740" s="73"/>
      <c r="C740" s="73"/>
      <c r="D740" s="73"/>
      <c r="E740" s="73"/>
      <c r="F740" s="73"/>
      <c r="G740" s="73"/>
      <c r="H740" s="73"/>
      <c r="I740" s="73"/>
      <c r="J740" s="73"/>
      <c r="K740" s="73"/>
      <c r="L740" s="73"/>
      <c r="M740" s="73"/>
      <c r="N740" s="73"/>
      <c r="O740" s="73"/>
      <c r="P740" s="73"/>
      <c r="Q740" s="73"/>
      <c r="R740" s="73"/>
      <c r="S740" s="73"/>
      <c r="T740" s="73"/>
      <c r="U740" s="73"/>
      <c r="V740" s="73"/>
      <c r="W740" s="73"/>
      <c r="X740" s="73"/>
      <c r="Y740" s="73"/>
      <c r="Z740" s="73"/>
      <c r="AA740" s="73"/>
      <c r="AB740" s="73"/>
      <c r="AC740" s="73"/>
      <c r="AD740" s="73"/>
      <c r="AE740" s="73"/>
      <c r="AF740" s="73"/>
      <c r="AG740" s="73"/>
      <c r="AH740" s="73"/>
      <c r="AI740" s="73"/>
      <c r="AJ740" s="73"/>
    </row>
    <row r="741" spans="1:36" x14ac:dyDescent="0.25">
      <c r="A741" s="73"/>
      <c r="B741" s="73"/>
      <c r="C741" s="73"/>
      <c r="D741" s="73"/>
      <c r="E741" s="73"/>
      <c r="F741" s="73"/>
      <c r="G741" s="73"/>
      <c r="H741" s="73"/>
      <c r="I741" s="73"/>
      <c r="J741" s="73"/>
      <c r="K741" s="73"/>
      <c r="L741" s="73"/>
      <c r="M741" s="73"/>
      <c r="N741" s="73"/>
      <c r="O741" s="73"/>
      <c r="P741" s="73"/>
      <c r="Q741" s="73"/>
      <c r="R741" s="73"/>
      <c r="S741" s="73"/>
      <c r="T741" s="73"/>
      <c r="U741" s="73"/>
      <c r="V741" s="73"/>
      <c r="W741" s="73"/>
      <c r="X741" s="73"/>
      <c r="Y741" s="73"/>
      <c r="Z741" s="73"/>
      <c r="AA741" s="73"/>
      <c r="AB741" s="73"/>
      <c r="AC741" s="73"/>
      <c r="AD741" s="73"/>
      <c r="AE741" s="73"/>
      <c r="AF741" s="73"/>
      <c r="AG741" s="73"/>
      <c r="AH741" s="73"/>
      <c r="AI741" s="73"/>
      <c r="AJ741" s="73"/>
    </row>
    <row r="742" spans="1:36" x14ac:dyDescent="0.25">
      <c r="A742" s="73"/>
      <c r="B742" s="73"/>
      <c r="C742" s="73"/>
      <c r="D742" s="73"/>
      <c r="E742" s="73"/>
      <c r="F742" s="73"/>
      <c r="G742" s="73"/>
      <c r="H742" s="73"/>
      <c r="I742" s="73"/>
      <c r="J742" s="73"/>
      <c r="K742" s="73"/>
      <c r="L742" s="73"/>
      <c r="M742" s="73"/>
      <c r="N742" s="73"/>
      <c r="O742" s="73"/>
      <c r="P742" s="73"/>
      <c r="Q742" s="73"/>
      <c r="R742" s="73"/>
      <c r="S742" s="73"/>
      <c r="T742" s="73"/>
      <c r="U742" s="73"/>
      <c r="V742" s="73"/>
      <c r="W742" s="73"/>
      <c r="X742" s="73"/>
      <c r="Y742" s="73"/>
      <c r="Z742" s="73"/>
      <c r="AA742" s="73"/>
      <c r="AB742" s="73"/>
      <c r="AC742" s="73"/>
      <c r="AD742" s="73"/>
      <c r="AE742" s="73"/>
      <c r="AF742" s="73"/>
      <c r="AG742" s="73"/>
      <c r="AH742" s="73"/>
      <c r="AI742" s="73"/>
      <c r="AJ742" s="73"/>
    </row>
    <row r="743" spans="1:36" x14ac:dyDescent="0.25">
      <c r="A743" s="73"/>
      <c r="B743" s="73"/>
      <c r="C743" s="73"/>
      <c r="D743" s="73"/>
      <c r="E743" s="73"/>
      <c r="F743" s="73"/>
      <c r="G743" s="73"/>
      <c r="H743" s="73"/>
      <c r="I743" s="73"/>
      <c r="J743" s="73"/>
      <c r="K743" s="73"/>
      <c r="L743" s="73"/>
      <c r="M743" s="73"/>
      <c r="N743" s="73"/>
      <c r="O743" s="73"/>
      <c r="P743" s="73"/>
      <c r="Q743" s="73"/>
      <c r="R743" s="73"/>
      <c r="S743" s="73"/>
      <c r="T743" s="73"/>
      <c r="U743" s="73"/>
      <c r="V743" s="73"/>
      <c r="W743" s="73"/>
      <c r="X743" s="73"/>
      <c r="Y743" s="73"/>
      <c r="Z743" s="73"/>
      <c r="AA743" s="73"/>
      <c r="AB743" s="73"/>
      <c r="AC743" s="73"/>
      <c r="AD743" s="73"/>
      <c r="AE743" s="73"/>
      <c r="AF743" s="73"/>
      <c r="AG743" s="73"/>
      <c r="AH743" s="73"/>
      <c r="AI743" s="73"/>
      <c r="AJ743" s="73"/>
    </row>
    <row r="744" spans="1:36" x14ac:dyDescent="0.25">
      <c r="A744" s="73"/>
      <c r="B744" s="73"/>
      <c r="C744" s="73"/>
      <c r="D744" s="73"/>
      <c r="E744" s="73"/>
      <c r="F744" s="73"/>
      <c r="G744" s="73"/>
      <c r="H744" s="73"/>
      <c r="I744" s="73"/>
      <c r="J744" s="73"/>
      <c r="K744" s="73"/>
      <c r="L744" s="73"/>
      <c r="M744" s="73"/>
      <c r="N744" s="73"/>
      <c r="O744" s="73"/>
      <c r="P744" s="73"/>
      <c r="Q744" s="73"/>
      <c r="R744" s="73"/>
      <c r="S744" s="73"/>
      <c r="T744" s="73"/>
      <c r="U744" s="73"/>
      <c r="V744" s="73"/>
      <c r="W744" s="73"/>
      <c r="X744" s="73"/>
      <c r="Y744" s="73"/>
      <c r="Z744" s="73"/>
      <c r="AA744" s="73"/>
      <c r="AB744" s="73"/>
      <c r="AC744" s="73"/>
      <c r="AD744" s="73"/>
      <c r="AE744" s="73"/>
      <c r="AF744" s="73"/>
      <c r="AG744" s="73"/>
      <c r="AH744" s="73"/>
      <c r="AI744" s="73"/>
      <c r="AJ744" s="73"/>
    </row>
    <row r="745" spans="1:36" x14ac:dyDescent="0.25">
      <c r="A745" s="73"/>
      <c r="B745" s="73"/>
      <c r="C745" s="73"/>
      <c r="D745" s="73"/>
      <c r="E745" s="73"/>
      <c r="F745" s="73"/>
      <c r="G745" s="73"/>
      <c r="H745" s="73"/>
      <c r="I745" s="73"/>
      <c r="J745" s="73"/>
      <c r="K745" s="73"/>
      <c r="L745" s="73"/>
      <c r="M745" s="73"/>
      <c r="N745" s="73"/>
      <c r="O745" s="73"/>
      <c r="P745" s="73"/>
      <c r="Q745" s="73"/>
      <c r="R745" s="73"/>
      <c r="S745" s="73"/>
      <c r="T745" s="73"/>
      <c r="U745" s="73"/>
      <c r="V745" s="73"/>
      <c r="W745" s="73"/>
      <c r="X745" s="73"/>
      <c r="Y745" s="73"/>
      <c r="Z745" s="73"/>
      <c r="AA745" s="73"/>
      <c r="AB745" s="73"/>
      <c r="AC745" s="73"/>
      <c r="AD745" s="73"/>
      <c r="AE745" s="73"/>
      <c r="AF745" s="73"/>
      <c r="AG745" s="73"/>
      <c r="AH745" s="73"/>
      <c r="AI745" s="73"/>
      <c r="AJ745" s="73"/>
    </row>
    <row r="746" spans="1:36" x14ac:dyDescent="0.25">
      <c r="A746" s="73"/>
      <c r="B746" s="73"/>
      <c r="C746" s="73"/>
      <c r="D746" s="73"/>
      <c r="E746" s="73"/>
      <c r="F746" s="73"/>
      <c r="G746" s="73"/>
      <c r="H746" s="73"/>
      <c r="I746" s="73"/>
      <c r="J746" s="73"/>
      <c r="K746" s="73"/>
      <c r="L746" s="73"/>
      <c r="M746" s="73"/>
      <c r="N746" s="73"/>
      <c r="O746" s="73"/>
      <c r="P746" s="73"/>
      <c r="Q746" s="73"/>
      <c r="R746" s="73"/>
      <c r="S746" s="73"/>
      <c r="T746" s="73"/>
      <c r="U746" s="73"/>
      <c r="V746" s="73"/>
      <c r="W746" s="73"/>
      <c r="X746" s="73"/>
      <c r="Y746" s="73"/>
      <c r="Z746" s="73"/>
      <c r="AA746" s="73"/>
      <c r="AB746" s="73"/>
      <c r="AC746" s="73"/>
      <c r="AD746" s="73"/>
      <c r="AE746" s="73"/>
      <c r="AF746" s="73"/>
      <c r="AG746" s="73"/>
      <c r="AH746" s="73"/>
      <c r="AI746" s="73"/>
      <c r="AJ746" s="73"/>
    </row>
    <row r="747" spans="1:36" x14ac:dyDescent="0.25">
      <c r="A747" s="73"/>
      <c r="B747" s="73"/>
      <c r="C747" s="73"/>
      <c r="D747" s="73"/>
      <c r="E747" s="73"/>
      <c r="F747" s="73"/>
      <c r="G747" s="73"/>
      <c r="H747" s="73"/>
      <c r="I747" s="73"/>
      <c r="J747" s="73"/>
      <c r="K747" s="73"/>
      <c r="L747" s="73"/>
      <c r="M747" s="73"/>
      <c r="N747" s="73"/>
      <c r="O747" s="73"/>
      <c r="P747" s="73"/>
      <c r="Q747" s="73"/>
      <c r="R747" s="73"/>
      <c r="S747" s="73"/>
      <c r="T747" s="73"/>
      <c r="U747" s="73"/>
      <c r="V747" s="73"/>
      <c r="W747" s="73"/>
      <c r="X747" s="73"/>
      <c r="Y747" s="73"/>
      <c r="Z747" s="73"/>
      <c r="AA747" s="73"/>
      <c r="AB747" s="73"/>
      <c r="AC747" s="73"/>
      <c r="AD747" s="73"/>
      <c r="AE747" s="73"/>
      <c r="AF747" s="73"/>
      <c r="AG747" s="73"/>
      <c r="AH747" s="73"/>
      <c r="AI747" s="73"/>
      <c r="AJ747" s="73"/>
    </row>
    <row r="748" spans="1:36" x14ac:dyDescent="0.25">
      <c r="A748" s="73"/>
      <c r="B748" s="73"/>
      <c r="C748" s="73"/>
      <c r="D748" s="73"/>
      <c r="E748" s="73"/>
      <c r="F748" s="73"/>
      <c r="G748" s="73"/>
      <c r="H748" s="73"/>
      <c r="I748" s="73"/>
      <c r="J748" s="73"/>
      <c r="K748" s="73"/>
      <c r="L748" s="73"/>
      <c r="M748" s="73"/>
      <c r="N748" s="73"/>
      <c r="O748" s="73"/>
      <c r="P748" s="73"/>
      <c r="Q748" s="73"/>
      <c r="R748" s="73"/>
      <c r="S748" s="73"/>
      <c r="T748" s="73"/>
      <c r="U748" s="73"/>
      <c r="V748" s="73"/>
      <c r="W748" s="73"/>
      <c r="X748" s="73"/>
      <c r="Y748" s="73"/>
      <c r="Z748" s="73"/>
      <c r="AA748" s="73"/>
      <c r="AB748" s="73"/>
      <c r="AC748" s="73"/>
      <c r="AD748" s="73"/>
      <c r="AE748" s="73"/>
      <c r="AF748" s="73"/>
      <c r="AG748" s="73"/>
      <c r="AH748" s="73"/>
      <c r="AI748" s="73"/>
      <c r="AJ748" s="73"/>
    </row>
    <row r="749" spans="1:36" x14ac:dyDescent="0.25">
      <c r="A749" s="73"/>
      <c r="B749" s="73"/>
      <c r="C749" s="73"/>
      <c r="D749" s="73"/>
      <c r="E749" s="73"/>
      <c r="F749" s="73"/>
      <c r="G749" s="73"/>
      <c r="H749" s="73"/>
      <c r="I749" s="73"/>
      <c r="J749" s="73"/>
      <c r="K749" s="73"/>
      <c r="L749" s="73"/>
      <c r="M749" s="73"/>
      <c r="N749" s="73"/>
      <c r="O749" s="73"/>
      <c r="P749" s="73"/>
      <c r="Q749" s="73"/>
      <c r="R749" s="73"/>
      <c r="S749" s="73"/>
      <c r="T749" s="73"/>
      <c r="U749" s="73"/>
      <c r="V749" s="73"/>
      <c r="W749" s="73"/>
      <c r="X749" s="73"/>
      <c r="Y749" s="73"/>
      <c r="Z749" s="73"/>
      <c r="AA749" s="73"/>
      <c r="AB749" s="73"/>
      <c r="AC749" s="73"/>
      <c r="AD749" s="73"/>
      <c r="AE749" s="73"/>
      <c r="AF749" s="73"/>
      <c r="AG749" s="73"/>
      <c r="AH749" s="73"/>
      <c r="AI749" s="73"/>
      <c r="AJ749" s="73"/>
    </row>
    <row r="750" spans="1:36" x14ac:dyDescent="0.25">
      <c r="A750" s="73"/>
      <c r="B750" s="73"/>
      <c r="C750" s="73"/>
      <c r="D750" s="73"/>
      <c r="E750" s="73"/>
      <c r="F750" s="73"/>
      <c r="G750" s="73"/>
      <c r="H750" s="73"/>
      <c r="I750" s="73"/>
      <c r="J750" s="73"/>
      <c r="K750" s="73"/>
      <c r="L750" s="73"/>
      <c r="M750" s="73"/>
      <c r="N750" s="73"/>
      <c r="O750" s="73"/>
      <c r="P750" s="73"/>
      <c r="Q750" s="73"/>
      <c r="R750" s="73"/>
      <c r="S750" s="73"/>
      <c r="T750" s="73"/>
      <c r="U750" s="73"/>
      <c r="V750" s="73"/>
      <c r="W750" s="73"/>
      <c r="X750" s="73"/>
      <c r="Y750" s="73"/>
      <c r="Z750" s="73"/>
      <c r="AA750" s="73"/>
      <c r="AB750" s="73"/>
      <c r="AC750" s="73"/>
      <c r="AD750" s="73"/>
      <c r="AE750" s="73"/>
      <c r="AF750" s="73"/>
      <c r="AG750" s="73"/>
      <c r="AH750" s="73"/>
      <c r="AI750" s="73"/>
      <c r="AJ750" s="73"/>
    </row>
    <row r="751" spans="1:36" x14ac:dyDescent="0.25">
      <c r="A751" s="73"/>
      <c r="B751" s="73"/>
      <c r="C751" s="73"/>
      <c r="D751" s="73"/>
      <c r="E751" s="73"/>
      <c r="F751" s="73"/>
      <c r="G751" s="73"/>
      <c r="H751" s="73"/>
      <c r="I751" s="73"/>
      <c r="J751" s="73"/>
      <c r="K751" s="73"/>
      <c r="L751" s="73"/>
      <c r="M751" s="73"/>
      <c r="N751" s="73"/>
      <c r="O751" s="73"/>
      <c r="P751" s="73"/>
      <c r="Q751" s="73"/>
      <c r="R751" s="73"/>
      <c r="S751" s="73"/>
      <c r="T751" s="73"/>
      <c r="U751" s="73"/>
      <c r="V751" s="73"/>
      <c r="W751" s="73"/>
      <c r="X751" s="73"/>
      <c r="Y751" s="73"/>
      <c r="Z751" s="73"/>
      <c r="AA751" s="73"/>
      <c r="AB751" s="73"/>
      <c r="AC751" s="73"/>
      <c r="AD751" s="73"/>
      <c r="AE751" s="73"/>
      <c r="AF751" s="73"/>
      <c r="AG751" s="73"/>
      <c r="AH751" s="73"/>
      <c r="AI751" s="73"/>
      <c r="AJ751" s="73"/>
    </row>
    <row r="752" spans="1:36" x14ac:dyDescent="0.25">
      <c r="A752" s="73"/>
      <c r="B752" s="73"/>
      <c r="C752" s="73"/>
      <c r="D752" s="73"/>
      <c r="E752" s="73"/>
      <c r="F752" s="73"/>
      <c r="G752" s="73"/>
      <c r="H752" s="73"/>
      <c r="I752" s="73"/>
      <c r="J752" s="73"/>
      <c r="K752" s="73"/>
      <c r="L752" s="73"/>
      <c r="M752" s="73"/>
      <c r="N752" s="73"/>
      <c r="O752" s="73"/>
      <c r="P752" s="73"/>
      <c r="Q752" s="73"/>
      <c r="R752" s="73"/>
      <c r="S752" s="73"/>
      <c r="T752" s="73"/>
      <c r="U752" s="73"/>
      <c r="V752" s="73"/>
      <c r="W752" s="73"/>
      <c r="X752" s="73"/>
      <c r="Y752" s="73"/>
      <c r="Z752" s="73"/>
      <c r="AA752" s="73"/>
      <c r="AB752" s="73"/>
      <c r="AC752" s="73"/>
      <c r="AD752" s="73"/>
      <c r="AE752" s="73"/>
      <c r="AF752" s="73"/>
      <c r="AG752" s="73"/>
      <c r="AH752" s="73"/>
      <c r="AI752" s="73"/>
      <c r="AJ752" s="73"/>
    </row>
    <row r="753" spans="1:36" x14ac:dyDescent="0.25">
      <c r="A753" s="73"/>
      <c r="B753" s="73"/>
      <c r="C753" s="73"/>
      <c r="D753" s="73"/>
      <c r="E753" s="73"/>
      <c r="F753" s="73"/>
      <c r="G753" s="73"/>
      <c r="H753" s="73"/>
      <c r="I753" s="73"/>
      <c r="J753" s="73"/>
      <c r="K753" s="73"/>
      <c r="L753" s="73"/>
      <c r="M753" s="73"/>
      <c r="N753" s="73"/>
      <c r="O753" s="73"/>
      <c r="P753" s="73"/>
      <c r="Q753" s="73"/>
      <c r="R753" s="73"/>
      <c r="S753" s="73"/>
      <c r="T753" s="73"/>
      <c r="U753" s="73"/>
      <c r="V753" s="73"/>
      <c r="W753" s="73"/>
      <c r="X753" s="73"/>
      <c r="Y753" s="73"/>
      <c r="Z753" s="73"/>
      <c r="AA753" s="73"/>
      <c r="AB753" s="73"/>
      <c r="AC753" s="73"/>
      <c r="AD753" s="73"/>
      <c r="AE753" s="73"/>
      <c r="AF753" s="73"/>
      <c r="AG753" s="73"/>
      <c r="AH753" s="73"/>
      <c r="AI753" s="73"/>
      <c r="AJ753" s="73"/>
    </row>
    <row r="754" spans="1:36" x14ac:dyDescent="0.25">
      <c r="A754" s="73"/>
      <c r="B754" s="73"/>
      <c r="C754" s="73"/>
      <c r="D754" s="73"/>
      <c r="E754" s="73"/>
      <c r="F754" s="73"/>
      <c r="G754" s="73"/>
      <c r="H754" s="73"/>
      <c r="I754" s="73"/>
      <c r="J754" s="73"/>
      <c r="K754" s="73"/>
      <c r="L754" s="73"/>
      <c r="M754" s="73"/>
      <c r="N754" s="73"/>
      <c r="O754" s="73"/>
      <c r="P754" s="73"/>
      <c r="Q754" s="73"/>
      <c r="R754" s="73"/>
      <c r="S754" s="73"/>
      <c r="T754" s="73"/>
      <c r="U754" s="73"/>
      <c r="V754" s="73"/>
      <c r="W754" s="73"/>
      <c r="X754" s="73"/>
      <c r="Y754" s="73"/>
      <c r="Z754" s="73"/>
      <c r="AA754" s="73"/>
      <c r="AB754" s="73"/>
      <c r="AC754" s="73"/>
      <c r="AD754" s="73"/>
      <c r="AE754" s="73"/>
      <c r="AF754" s="73"/>
      <c r="AG754" s="73"/>
      <c r="AH754" s="73"/>
      <c r="AI754" s="73"/>
      <c r="AJ754" s="73"/>
    </row>
    <row r="755" spans="1:36" x14ac:dyDescent="0.25">
      <c r="A755" s="73"/>
      <c r="B755" s="73"/>
      <c r="C755" s="73"/>
      <c r="D755" s="73"/>
      <c r="E755" s="73"/>
      <c r="F755" s="73"/>
      <c r="G755" s="73"/>
      <c r="H755" s="73"/>
      <c r="I755" s="73"/>
      <c r="J755" s="73"/>
      <c r="K755" s="73"/>
      <c r="L755" s="73"/>
      <c r="M755" s="73"/>
      <c r="N755" s="73"/>
      <c r="O755" s="73"/>
      <c r="P755" s="73"/>
      <c r="Q755" s="73"/>
      <c r="R755" s="73"/>
      <c r="S755" s="73"/>
      <c r="T755" s="73"/>
      <c r="U755" s="73"/>
      <c r="V755" s="73"/>
      <c r="W755" s="73"/>
      <c r="X755" s="73"/>
      <c r="Y755" s="73"/>
      <c r="Z755" s="73"/>
      <c r="AA755" s="73"/>
      <c r="AB755" s="73"/>
      <c r="AC755" s="73"/>
      <c r="AD755" s="73"/>
      <c r="AE755" s="73"/>
      <c r="AF755" s="73"/>
      <c r="AG755" s="73"/>
      <c r="AH755" s="73"/>
      <c r="AI755" s="73"/>
      <c r="AJ755" s="73"/>
    </row>
    <row r="756" spans="1:36" x14ac:dyDescent="0.25">
      <c r="A756" s="73"/>
      <c r="B756" s="73"/>
      <c r="C756" s="73"/>
      <c r="D756" s="73"/>
      <c r="E756" s="73"/>
      <c r="F756" s="73"/>
      <c r="G756" s="73"/>
      <c r="H756" s="73"/>
      <c r="I756" s="73"/>
      <c r="J756" s="73"/>
      <c r="K756" s="73"/>
      <c r="L756" s="73"/>
      <c r="M756" s="73"/>
      <c r="N756" s="73"/>
      <c r="O756" s="73"/>
      <c r="P756" s="73"/>
      <c r="Q756" s="73"/>
      <c r="R756" s="73"/>
      <c r="S756" s="73"/>
      <c r="T756" s="73"/>
      <c r="U756" s="73"/>
      <c r="V756" s="73"/>
      <c r="W756" s="73"/>
      <c r="X756" s="73"/>
      <c r="Y756" s="73"/>
      <c r="Z756" s="73"/>
      <c r="AA756" s="73"/>
      <c r="AB756" s="73"/>
      <c r="AC756" s="73"/>
      <c r="AD756" s="73"/>
      <c r="AE756" s="73"/>
      <c r="AF756" s="73"/>
      <c r="AG756" s="73"/>
      <c r="AH756" s="73"/>
      <c r="AI756" s="73"/>
      <c r="AJ756" s="73"/>
    </row>
    <row r="757" spans="1:36" x14ac:dyDescent="0.25">
      <c r="A757" s="73"/>
      <c r="B757" s="73"/>
      <c r="C757" s="73"/>
      <c r="D757" s="73"/>
      <c r="E757" s="73"/>
      <c r="F757" s="73"/>
      <c r="G757" s="73"/>
      <c r="H757" s="73"/>
      <c r="I757" s="73"/>
      <c r="J757" s="73"/>
      <c r="K757" s="73"/>
      <c r="L757" s="73"/>
      <c r="M757" s="73"/>
      <c r="N757" s="73"/>
      <c r="O757" s="73"/>
      <c r="P757" s="73"/>
      <c r="Q757" s="73"/>
      <c r="R757" s="73"/>
      <c r="S757" s="73"/>
      <c r="T757" s="73"/>
      <c r="U757" s="73"/>
      <c r="V757" s="73"/>
      <c r="W757" s="73"/>
      <c r="X757" s="73"/>
      <c r="Y757" s="73"/>
      <c r="Z757" s="73"/>
      <c r="AA757" s="73"/>
      <c r="AB757" s="73"/>
      <c r="AC757" s="73"/>
      <c r="AD757" s="73"/>
      <c r="AE757" s="73"/>
      <c r="AF757" s="73"/>
      <c r="AG757" s="73"/>
      <c r="AH757" s="73"/>
      <c r="AI757" s="73"/>
      <c r="AJ757" s="73"/>
    </row>
    <row r="758" spans="1:36" x14ac:dyDescent="0.25">
      <c r="A758" s="73"/>
      <c r="B758" s="73"/>
      <c r="C758" s="73"/>
      <c r="D758" s="73"/>
      <c r="E758" s="73"/>
      <c r="F758" s="73"/>
      <c r="G758" s="73"/>
      <c r="H758" s="73"/>
      <c r="I758" s="73"/>
      <c r="J758" s="73"/>
      <c r="K758" s="73"/>
      <c r="L758" s="73"/>
      <c r="M758" s="73"/>
      <c r="N758" s="73"/>
      <c r="O758" s="73"/>
      <c r="P758" s="73"/>
      <c r="Q758" s="73"/>
      <c r="R758" s="73"/>
      <c r="S758" s="73"/>
      <c r="T758" s="73"/>
      <c r="U758" s="73"/>
      <c r="V758" s="73"/>
      <c r="W758" s="73"/>
      <c r="X758" s="73"/>
      <c r="Y758" s="73"/>
      <c r="Z758" s="73"/>
      <c r="AA758" s="73"/>
      <c r="AB758" s="73"/>
      <c r="AC758" s="73"/>
      <c r="AD758" s="73"/>
      <c r="AE758" s="73"/>
      <c r="AF758" s="73"/>
      <c r="AG758" s="73"/>
      <c r="AH758" s="73"/>
      <c r="AI758" s="73"/>
      <c r="AJ758" s="73"/>
    </row>
    <row r="759" spans="1:36" x14ac:dyDescent="0.25">
      <c r="A759" s="73"/>
      <c r="B759" s="73"/>
      <c r="C759" s="73"/>
      <c r="D759" s="73"/>
      <c r="E759" s="73"/>
      <c r="F759" s="73"/>
      <c r="G759" s="73"/>
      <c r="H759" s="73"/>
      <c r="I759" s="73"/>
      <c r="J759" s="73"/>
      <c r="K759" s="73"/>
      <c r="L759" s="73"/>
      <c r="M759" s="73"/>
      <c r="N759" s="73"/>
      <c r="O759" s="73"/>
      <c r="P759" s="73"/>
      <c r="Q759" s="73"/>
      <c r="R759" s="73"/>
      <c r="S759" s="73"/>
      <c r="T759" s="73"/>
      <c r="U759" s="73"/>
      <c r="V759" s="73"/>
      <c r="W759" s="73"/>
      <c r="X759" s="73"/>
      <c r="Y759" s="73"/>
      <c r="Z759" s="73"/>
      <c r="AA759" s="73"/>
      <c r="AB759" s="73"/>
      <c r="AC759" s="73"/>
      <c r="AD759" s="73"/>
      <c r="AE759" s="73"/>
      <c r="AF759" s="73"/>
      <c r="AG759" s="73"/>
      <c r="AH759" s="73"/>
      <c r="AI759" s="73"/>
      <c r="AJ759" s="73"/>
    </row>
    <row r="760" spans="1:36" x14ac:dyDescent="0.25">
      <c r="A760" s="73"/>
      <c r="B760" s="73"/>
      <c r="C760" s="73"/>
      <c r="D760" s="73"/>
      <c r="E760" s="73"/>
      <c r="F760" s="73"/>
      <c r="G760" s="73"/>
      <c r="H760" s="73"/>
      <c r="I760" s="73"/>
      <c r="J760" s="73"/>
      <c r="K760" s="73"/>
      <c r="L760" s="73"/>
      <c r="M760" s="73"/>
      <c r="N760" s="73"/>
      <c r="O760" s="73"/>
      <c r="P760" s="73"/>
      <c r="Q760" s="73"/>
      <c r="R760" s="73"/>
      <c r="S760" s="73"/>
      <c r="T760" s="73"/>
      <c r="U760" s="73"/>
      <c r="V760" s="73"/>
      <c r="W760" s="73"/>
      <c r="X760" s="73"/>
      <c r="Y760" s="73"/>
      <c r="Z760" s="73"/>
      <c r="AA760" s="73"/>
      <c r="AB760" s="73"/>
      <c r="AC760" s="73"/>
      <c r="AD760" s="73"/>
      <c r="AE760" s="73"/>
      <c r="AF760" s="73"/>
      <c r="AG760" s="73"/>
      <c r="AH760" s="73"/>
      <c r="AI760" s="73"/>
      <c r="AJ760" s="73"/>
    </row>
    <row r="761" spans="1:36" x14ac:dyDescent="0.25">
      <c r="A761" s="73"/>
      <c r="B761" s="73"/>
      <c r="C761" s="73"/>
      <c r="D761" s="73"/>
      <c r="E761" s="73"/>
      <c r="F761" s="73"/>
      <c r="G761" s="73"/>
      <c r="H761" s="73"/>
      <c r="I761" s="73"/>
      <c r="J761" s="73"/>
      <c r="K761" s="73"/>
      <c r="L761" s="73"/>
      <c r="M761" s="73"/>
      <c r="N761" s="73"/>
      <c r="O761" s="73"/>
      <c r="P761" s="73"/>
      <c r="Q761" s="73"/>
      <c r="R761" s="73"/>
      <c r="S761" s="73"/>
      <c r="T761" s="73"/>
      <c r="U761" s="73"/>
      <c r="V761" s="73"/>
      <c r="W761" s="73"/>
      <c r="X761" s="73"/>
      <c r="Y761" s="73"/>
      <c r="Z761" s="73"/>
      <c r="AA761" s="73"/>
      <c r="AB761" s="73"/>
      <c r="AC761" s="73"/>
      <c r="AD761" s="73"/>
      <c r="AE761" s="73"/>
      <c r="AF761" s="73"/>
      <c r="AG761" s="73"/>
      <c r="AH761" s="73"/>
      <c r="AI761" s="73"/>
      <c r="AJ761" s="73"/>
    </row>
    <row r="762" spans="1:36" x14ac:dyDescent="0.25">
      <c r="A762" s="73"/>
      <c r="B762" s="73"/>
      <c r="C762" s="73"/>
      <c r="D762" s="73"/>
      <c r="E762" s="73"/>
      <c r="F762" s="73"/>
      <c r="G762" s="73"/>
      <c r="H762" s="73"/>
      <c r="I762" s="73"/>
      <c r="J762" s="73"/>
      <c r="K762" s="73"/>
      <c r="L762" s="73"/>
      <c r="M762" s="73"/>
      <c r="N762" s="73"/>
      <c r="O762" s="73"/>
      <c r="P762" s="73"/>
      <c r="Q762" s="73"/>
      <c r="R762" s="73"/>
      <c r="S762" s="73"/>
      <c r="T762" s="73"/>
      <c r="U762" s="73"/>
      <c r="V762" s="73"/>
      <c r="W762" s="73"/>
      <c r="X762" s="73"/>
      <c r="Y762" s="73"/>
      <c r="Z762" s="73"/>
      <c r="AA762" s="73"/>
      <c r="AB762" s="73"/>
      <c r="AC762" s="73"/>
      <c r="AD762" s="73"/>
      <c r="AE762" s="73"/>
      <c r="AF762" s="73"/>
      <c r="AG762" s="73"/>
      <c r="AH762" s="73"/>
      <c r="AI762" s="73"/>
      <c r="AJ762" s="73"/>
    </row>
    <row r="763" spans="1:36" x14ac:dyDescent="0.25">
      <c r="A763" s="73"/>
      <c r="B763" s="73"/>
      <c r="C763" s="73"/>
      <c r="D763" s="73"/>
      <c r="E763" s="73"/>
      <c r="F763" s="73"/>
      <c r="G763" s="73"/>
      <c r="H763" s="73"/>
      <c r="I763" s="73"/>
      <c r="J763" s="73"/>
      <c r="K763" s="73"/>
      <c r="L763" s="73"/>
      <c r="M763" s="73"/>
      <c r="N763" s="73"/>
      <c r="O763" s="73"/>
      <c r="P763" s="73"/>
      <c r="Q763" s="73"/>
      <c r="R763" s="73"/>
      <c r="S763" s="73"/>
      <c r="T763" s="73"/>
      <c r="U763" s="73"/>
      <c r="V763" s="73"/>
      <c r="W763" s="73"/>
      <c r="X763" s="73"/>
      <c r="Y763" s="73"/>
      <c r="Z763" s="73"/>
      <c r="AA763" s="73"/>
      <c r="AB763" s="73"/>
      <c r="AC763" s="73"/>
      <c r="AD763" s="73"/>
      <c r="AE763" s="73"/>
      <c r="AF763" s="73"/>
      <c r="AG763" s="73"/>
      <c r="AH763" s="73"/>
      <c r="AI763" s="73"/>
      <c r="AJ763" s="73"/>
    </row>
    <row r="764" spans="1:36" x14ac:dyDescent="0.25">
      <c r="A764" s="73"/>
      <c r="B764" s="73"/>
      <c r="C764" s="73"/>
      <c r="D764" s="73"/>
      <c r="E764" s="73"/>
      <c r="F764" s="73"/>
      <c r="G764" s="73"/>
      <c r="H764" s="73"/>
      <c r="I764" s="73"/>
      <c r="J764" s="73"/>
      <c r="K764" s="73"/>
      <c r="L764" s="73"/>
      <c r="M764" s="73"/>
      <c r="N764" s="73"/>
      <c r="O764" s="73"/>
      <c r="P764" s="73"/>
      <c r="Q764" s="73"/>
      <c r="R764" s="73"/>
      <c r="S764" s="73"/>
      <c r="T764" s="73"/>
      <c r="U764" s="73"/>
      <c r="V764" s="73"/>
      <c r="W764" s="73"/>
      <c r="X764" s="73"/>
      <c r="Y764" s="73"/>
      <c r="Z764" s="73"/>
      <c r="AA764" s="73"/>
      <c r="AB764" s="73"/>
      <c r="AC764" s="73"/>
      <c r="AD764" s="73"/>
      <c r="AE764" s="73"/>
      <c r="AF764" s="73"/>
      <c r="AG764" s="73"/>
      <c r="AH764" s="73"/>
      <c r="AI764" s="73"/>
      <c r="AJ764" s="73"/>
    </row>
    <row r="765" spans="1:36" x14ac:dyDescent="0.25">
      <c r="A765" s="73"/>
      <c r="B765" s="73"/>
      <c r="C765" s="73"/>
      <c r="D765" s="73"/>
      <c r="E765" s="73"/>
      <c r="F765" s="73"/>
      <c r="G765" s="73"/>
      <c r="H765" s="73"/>
      <c r="I765" s="73"/>
      <c r="J765" s="73"/>
      <c r="K765" s="73"/>
      <c r="L765" s="73"/>
      <c r="M765" s="73"/>
      <c r="N765" s="73"/>
      <c r="O765" s="73"/>
      <c r="P765" s="73"/>
      <c r="Q765" s="73"/>
      <c r="R765" s="73"/>
      <c r="S765" s="73"/>
      <c r="T765" s="73"/>
      <c r="U765" s="73"/>
      <c r="V765" s="73"/>
      <c r="W765" s="73"/>
      <c r="X765" s="73"/>
      <c r="Y765" s="73"/>
      <c r="Z765" s="73"/>
      <c r="AA765" s="73"/>
      <c r="AB765" s="73"/>
      <c r="AC765" s="73"/>
      <c r="AD765" s="73"/>
      <c r="AE765" s="73"/>
      <c r="AF765" s="73"/>
      <c r="AG765" s="73"/>
      <c r="AH765" s="73"/>
      <c r="AI765" s="73"/>
      <c r="AJ765" s="73"/>
    </row>
    <row r="766" spans="1:36" x14ac:dyDescent="0.25">
      <c r="A766" s="73"/>
      <c r="B766" s="73"/>
      <c r="C766" s="73"/>
      <c r="D766" s="73"/>
      <c r="E766" s="73"/>
      <c r="F766" s="73"/>
      <c r="G766" s="73"/>
      <c r="H766" s="73"/>
      <c r="I766" s="73"/>
      <c r="J766" s="73"/>
      <c r="K766" s="73"/>
      <c r="L766" s="73"/>
      <c r="M766" s="73"/>
      <c r="N766" s="73"/>
      <c r="O766" s="73"/>
      <c r="P766" s="73"/>
      <c r="Q766" s="73"/>
      <c r="R766" s="73"/>
      <c r="S766" s="73"/>
      <c r="T766" s="73"/>
      <c r="U766" s="73"/>
      <c r="V766" s="73"/>
      <c r="W766" s="73"/>
      <c r="X766" s="73"/>
      <c r="Y766" s="73"/>
      <c r="Z766" s="73"/>
      <c r="AA766" s="73"/>
      <c r="AB766" s="73"/>
      <c r="AC766" s="73"/>
      <c r="AD766" s="73"/>
      <c r="AE766" s="73"/>
      <c r="AF766" s="73"/>
      <c r="AG766" s="73"/>
      <c r="AH766" s="73"/>
      <c r="AI766" s="73"/>
      <c r="AJ766" s="73"/>
    </row>
    <row r="767" spans="1:36" x14ac:dyDescent="0.25">
      <c r="A767" s="73"/>
      <c r="B767" s="73"/>
      <c r="C767" s="73"/>
      <c r="D767" s="73"/>
      <c r="E767" s="73"/>
      <c r="F767" s="73"/>
      <c r="G767" s="73"/>
      <c r="H767" s="73"/>
      <c r="I767" s="73"/>
      <c r="J767" s="73"/>
      <c r="K767" s="73"/>
      <c r="L767" s="73"/>
      <c r="M767" s="73"/>
      <c r="N767" s="73"/>
      <c r="O767" s="73"/>
      <c r="P767" s="73"/>
      <c r="Q767" s="73"/>
      <c r="R767" s="73"/>
      <c r="S767" s="73"/>
      <c r="T767" s="73"/>
      <c r="U767" s="73"/>
      <c r="V767" s="73"/>
      <c r="W767" s="73"/>
      <c r="X767" s="73"/>
      <c r="Y767" s="73"/>
      <c r="Z767" s="73"/>
      <c r="AA767" s="73"/>
      <c r="AB767" s="73"/>
      <c r="AC767" s="73"/>
      <c r="AD767" s="73"/>
      <c r="AE767" s="73"/>
      <c r="AF767" s="73"/>
      <c r="AG767" s="73"/>
      <c r="AH767" s="73"/>
      <c r="AI767" s="73"/>
      <c r="AJ767" s="73"/>
    </row>
    <row r="768" spans="1:36" x14ac:dyDescent="0.25">
      <c r="A768" s="73"/>
      <c r="B768" s="73"/>
      <c r="C768" s="73"/>
      <c r="D768" s="73"/>
      <c r="E768" s="73"/>
      <c r="F768" s="73"/>
      <c r="G768" s="73"/>
      <c r="H768" s="73"/>
      <c r="I768" s="73"/>
      <c r="J768" s="73"/>
      <c r="K768" s="73"/>
      <c r="L768" s="73"/>
      <c r="M768" s="73"/>
      <c r="N768" s="73"/>
      <c r="O768" s="73"/>
      <c r="P768" s="73"/>
      <c r="Q768" s="73"/>
      <c r="R768" s="73"/>
      <c r="S768" s="73"/>
      <c r="T768" s="73"/>
      <c r="U768" s="73"/>
      <c r="V768" s="73"/>
      <c r="W768" s="73"/>
      <c r="X768" s="73"/>
      <c r="Y768" s="73"/>
      <c r="Z768" s="73"/>
      <c r="AA768" s="73"/>
      <c r="AB768" s="73"/>
      <c r="AC768" s="73"/>
      <c r="AD768" s="73"/>
      <c r="AE768" s="73"/>
      <c r="AF768" s="73"/>
      <c r="AG768" s="73"/>
      <c r="AH768" s="73"/>
      <c r="AI768" s="73"/>
      <c r="AJ768" s="73"/>
    </row>
    <row r="769" spans="1:36" x14ac:dyDescent="0.25">
      <c r="A769" s="73"/>
      <c r="B769" s="73"/>
      <c r="C769" s="73"/>
      <c r="D769" s="73"/>
      <c r="E769" s="73"/>
      <c r="F769" s="73"/>
      <c r="G769" s="73"/>
      <c r="H769" s="73"/>
      <c r="I769" s="73"/>
      <c r="J769" s="73"/>
      <c r="K769" s="73"/>
      <c r="L769" s="73"/>
      <c r="M769" s="73"/>
      <c r="N769" s="73"/>
      <c r="O769" s="73"/>
      <c r="P769" s="73"/>
      <c r="Q769" s="73"/>
      <c r="R769" s="73"/>
      <c r="S769" s="73"/>
      <c r="T769" s="73"/>
      <c r="U769" s="73"/>
      <c r="V769" s="73"/>
      <c r="W769" s="73"/>
      <c r="X769" s="73"/>
      <c r="Y769" s="73"/>
      <c r="Z769" s="73"/>
      <c r="AA769" s="73"/>
      <c r="AB769" s="73"/>
      <c r="AC769" s="73"/>
      <c r="AD769" s="73"/>
      <c r="AE769" s="73"/>
      <c r="AF769" s="73"/>
      <c r="AG769" s="73"/>
      <c r="AH769" s="73"/>
      <c r="AI769" s="73"/>
      <c r="AJ769" s="73"/>
    </row>
    <row r="770" spans="1:36" x14ac:dyDescent="0.25">
      <c r="A770" s="73"/>
      <c r="B770" s="73"/>
      <c r="C770" s="73"/>
      <c r="D770" s="73"/>
      <c r="E770" s="73"/>
      <c r="F770" s="73"/>
      <c r="G770" s="73"/>
      <c r="H770" s="73"/>
      <c r="I770" s="73"/>
      <c r="J770" s="73"/>
      <c r="K770" s="73"/>
      <c r="L770" s="73"/>
      <c r="M770" s="73"/>
      <c r="N770" s="73"/>
      <c r="O770" s="73"/>
      <c r="P770" s="73"/>
      <c r="Q770" s="73"/>
      <c r="R770" s="73"/>
      <c r="S770" s="73"/>
      <c r="T770" s="73"/>
      <c r="U770" s="73"/>
      <c r="V770" s="73"/>
      <c r="W770" s="73"/>
      <c r="X770" s="73"/>
      <c r="Y770" s="73"/>
      <c r="Z770" s="73"/>
      <c r="AA770" s="73"/>
      <c r="AB770" s="73"/>
      <c r="AC770" s="73"/>
      <c r="AD770" s="73"/>
      <c r="AE770" s="73"/>
      <c r="AF770" s="73"/>
      <c r="AG770" s="73"/>
      <c r="AH770" s="73"/>
      <c r="AI770" s="73"/>
      <c r="AJ770" s="73"/>
    </row>
    <row r="771" spans="1:36" x14ac:dyDescent="0.25">
      <c r="A771" s="73"/>
      <c r="B771" s="73"/>
      <c r="C771" s="73"/>
      <c r="D771" s="73"/>
      <c r="E771" s="73"/>
      <c r="F771" s="73"/>
      <c r="G771" s="73"/>
      <c r="H771" s="73"/>
      <c r="I771" s="73"/>
      <c r="J771" s="73"/>
      <c r="K771" s="73"/>
      <c r="L771" s="73"/>
      <c r="M771" s="73"/>
      <c r="N771" s="73"/>
      <c r="O771" s="73"/>
      <c r="P771" s="73"/>
      <c r="Q771" s="73"/>
      <c r="R771" s="73"/>
      <c r="S771" s="73"/>
      <c r="T771" s="73"/>
      <c r="U771" s="73"/>
      <c r="V771" s="73"/>
      <c r="W771" s="73"/>
      <c r="X771" s="73"/>
      <c r="Y771" s="73"/>
      <c r="Z771" s="73"/>
      <c r="AA771" s="73"/>
      <c r="AB771" s="73"/>
      <c r="AC771" s="73"/>
      <c r="AD771" s="73"/>
      <c r="AE771" s="73"/>
      <c r="AF771" s="73"/>
      <c r="AG771" s="73"/>
      <c r="AH771" s="73"/>
      <c r="AI771" s="73"/>
      <c r="AJ771" s="73"/>
    </row>
    <row r="772" spans="1:36" x14ac:dyDescent="0.25">
      <c r="A772" s="73"/>
      <c r="B772" s="73"/>
      <c r="C772" s="73"/>
      <c r="D772" s="73"/>
      <c r="E772" s="73"/>
      <c r="F772" s="73"/>
      <c r="G772" s="73"/>
      <c r="H772" s="73"/>
      <c r="I772" s="73"/>
      <c r="J772" s="73"/>
      <c r="K772" s="73"/>
      <c r="L772" s="73"/>
      <c r="M772" s="73"/>
      <c r="N772" s="73"/>
      <c r="O772" s="73"/>
      <c r="P772" s="73"/>
      <c r="Q772" s="73"/>
      <c r="R772" s="73"/>
      <c r="S772" s="73"/>
      <c r="T772" s="73"/>
      <c r="U772" s="73"/>
      <c r="V772" s="73"/>
      <c r="W772" s="73"/>
      <c r="X772" s="73"/>
      <c r="Y772" s="73"/>
      <c r="Z772" s="73"/>
      <c r="AA772" s="73"/>
      <c r="AB772" s="73"/>
      <c r="AC772" s="73"/>
      <c r="AD772" s="73"/>
      <c r="AE772" s="73"/>
      <c r="AF772" s="73"/>
      <c r="AG772" s="73"/>
      <c r="AH772" s="73"/>
      <c r="AI772" s="73"/>
      <c r="AJ772" s="73"/>
    </row>
    <row r="773" spans="1:36" x14ac:dyDescent="0.25">
      <c r="A773" s="73"/>
      <c r="B773" s="73"/>
      <c r="C773" s="73"/>
      <c r="D773" s="73"/>
      <c r="E773" s="73"/>
      <c r="F773" s="73"/>
      <c r="G773" s="73"/>
      <c r="H773" s="73"/>
      <c r="I773" s="73"/>
      <c r="J773" s="73"/>
      <c r="K773" s="73"/>
      <c r="L773" s="73"/>
      <c r="M773" s="73"/>
      <c r="N773" s="73"/>
      <c r="O773" s="73"/>
      <c r="P773" s="73"/>
      <c r="Q773" s="73"/>
      <c r="R773" s="73"/>
      <c r="S773" s="73"/>
      <c r="T773" s="73"/>
      <c r="U773" s="73"/>
      <c r="V773" s="73"/>
      <c r="W773" s="73"/>
      <c r="X773" s="73"/>
      <c r="Y773" s="73"/>
      <c r="Z773" s="73"/>
      <c r="AA773" s="73"/>
      <c r="AB773" s="73"/>
      <c r="AC773" s="73"/>
      <c r="AD773" s="73"/>
      <c r="AE773" s="73"/>
      <c r="AF773" s="73"/>
      <c r="AG773" s="73"/>
      <c r="AH773" s="73"/>
      <c r="AI773" s="73"/>
      <c r="AJ773" s="73"/>
    </row>
    <row r="774" spans="1:36" x14ac:dyDescent="0.25">
      <c r="A774" s="73"/>
      <c r="B774" s="73"/>
      <c r="C774" s="73"/>
      <c r="D774" s="73"/>
      <c r="E774" s="73"/>
      <c r="F774" s="73"/>
      <c r="G774" s="73"/>
      <c r="H774" s="73"/>
      <c r="I774" s="73"/>
      <c r="J774" s="73"/>
      <c r="K774" s="73"/>
      <c r="L774" s="73"/>
      <c r="M774" s="73"/>
      <c r="N774" s="73"/>
      <c r="O774" s="73"/>
      <c r="P774" s="73"/>
      <c r="Q774" s="73"/>
      <c r="R774" s="73"/>
      <c r="S774" s="73"/>
      <c r="T774" s="73"/>
      <c r="U774" s="73"/>
      <c r="V774" s="73"/>
      <c r="W774" s="73"/>
      <c r="X774" s="73"/>
      <c r="Y774" s="73"/>
      <c r="Z774" s="73"/>
      <c r="AA774" s="73"/>
      <c r="AB774" s="73"/>
      <c r="AC774" s="73"/>
      <c r="AD774" s="73"/>
      <c r="AE774" s="73"/>
      <c r="AF774" s="73"/>
      <c r="AG774" s="73"/>
      <c r="AH774" s="73"/>
      <c r="AI774" s="73"/>
      <c r="AJ774" s="73"/>
    </row>
    <row r="775" spans="1:36" x14ac:dyDescent="0.25">
      <c r="A775" s="73"/>
      <c r="B775" s="73"/>
      <c r="C775" s="73"/>
      <c r="D775" s="73"/>
      <c r="E775" s="73"/>
      <c r="F775" s="73"/>
      <c r="G775" s="73"/>
      <c r="H775" s="73"/>
      <c r="I775" s="73"/>
      <c r="J775" s="73"/>
      <c r="K775" s="73"/>
      <c r="L775" s="73"/>
      <c r="M775" s="73"/>
      <c r="N775" s="73"/>
      <c r="O775" s="73"/>
      <c r="P775" s="73"/>
      <c r="Q775" s="73"/>
      <c r="R775" s="73"/>
      <c r="S775" s="73"/>
      <c r="T775" s="73"/>
      <c r="U775" s="73"/>
      <c r="V775" s="73"/>
      <c r="W775" s="73"/>
      <c r="X775" s="73"/>
      <c r="Y775" s="73"/>
      <c r="Z775" s="73"/>
      <c r="AA775" s="73"/>
      <c r="AB775" s="73"/>
      <c r="AC775" s="73"/>
      <c r="AD775" s="73"/>
      <c r="AE775" s="73"/>
      <c r="AF775" s="73"/>
      <c r="AG775" s="73"/>
      <c r="AH775" s="73"/>
      <c r="AI775" s="73"/>
      <c r="AJ775" s="73"/>
    </row>
    <row r="776" spans="1:36" x14ac:dyDescent="0.25">
      <c r="A776" s="73"/>
      <c r="B776" s="73"/>
      <c r="C776" s="73"/>
      <c r="D776" s="73"/>
      <c r="E776" s="73"/>
      <c r="F776" s="73"/>
      <c r="G776" s="73"/>
      <c r="H776" s="73"/>
      <c r="I776" s="73"/>
      <c r="J776" s="73"/>
      <c r="K776" s="73"/>
      <c r="L776" s="73"/>
      <c r="M776" s="73"/>
      <c r="N776" s="73"/>
      <c r="O776" s="73"/>
      <c r="P776" s="73"/>
      <c r="Q776" s="73"/>
      <c r="R776" s="73"/>
      <c r="S776" s="73"/>
      <c r="T776" s="73"/>
      <c r="U776" s="73"/>
      <c r="V776" s="73"/>
      <c r="W776" s="73"/>
      <c r="X776" s="73"/>
      <c r="Y776" s="73"/>
      <c r="Z776" s="73"/>
      <c r="AA776" s="73"/>
      <c r="AB776" s="73"/>
      <c r="AC776" s="73"/>
      <c r="AD776" s="73"/>
      <c r="AE776" s="73"/>
      <c r="AF776" s="73"/>
      <c r="AG776" s="73"/>
      <c r="AH776" s="73"/>
      <c r="AI776" s="73"/>
      <c r="AJ776" s="73"/>
    </row>
    <row r="777" spans="1:36" x14ac:dyDescent="0.25">
      <c r="A777" s="73"/>
      <c r="B777" s="73"/>
      <c r="C777" s="73"/>
      <c r="D777" s="73"/>
      <c r="E777" s="73"/>
      <c r="F777" s="73"/>
      <c r="G777" s="73"/>
      <c r="H777" s="73"/>
      <c r="I777" s="73"/>
      <c r="J777" s="73"/>
      <c r="K777" s="73"/>
      <c r="L777" s="73"/>
      <c r="M777" s="73"/>
      <c r="N777" s="73"/>
      <c r="O777" s="73"/>
      <c r="P777" s="73"/>
      <c r="Q777" s="73"/>
      <c r="R777" s="73"/>
      <c r="S777" s="73"/>
      <c r="T777" s="73"/>
      <c r="U777" s="73"/>
      <c r="V777" s="73"/>
      <c r="W777" s="73"/>
      <c r="X777" s="73"/>
      <c r="Y777" s="73"/>
      <c r="Z777" s="73"/>
      <c r="AA777" s="73"/>
      <c r="AB777" s="73"/>
      <c r="AC777" s="73"/>
      <c r="AD777" s="73"/>
      <c r="AE777" s="73"/>
      <c r="AF777" s="73"/>
      <c r="AG777" s="73"/>
      <c r="AH777" s="73"/>
      <c r="AI777" s="73"/>
      <c r="AJ777" s="73"/>
    </row>
    <row r="778" spans="1:36" x14ac:dyDescent="0.25">
      <c r="A778" s="73"/>
      <c r="B778" s="73"/>
      <c r="C778" s="73"/>
      <c r="D778" s="73"/>
      <c r="E778" s="73"/>
      <c r="F778" s="73"/>
      <c r="G778" s="73"/>
      <c r="H778" s="73"/>
      <c r="I778" s="73"/>
      <c r="J778" s="73"/>
      <c r="K778" s="73"/>
      <c r="L778" s="73"/>
      <c r="M778" s="73"/>
      <c r="N778" s="73"/>
      <c r="O778" s="73"/>
      <c r="P778" s="73"/>
      <c r="Q778" s="73"/>
      <c r="R778" s="73"/>
      <c r="S778" s="73"/>
      <c r="T778" s="73"/>
      <c r="U778" s="73"/>
      <c r="V778" s="73"/>
      <c r="W778" s="73"/>
      <c r="X778" s="73"/>
      <c r="Y778" s="73"/>
      <c r="Z778" s="73"/>
      <c r="AA778" s="73"/>
      <c r="AB778" s="73"/>
      <c r="AC778" s="73"/>
      <c r="AD778" s="73"/>
      <c r="AE778" s="73"/>
      <c r="AF778" s="73"/>
      <c r="AG778" s="73"/>
      <c r="AH778" s="73"/>
      <c r="AI778" s="73"/>
      <c r="AJ778" s="73"/>
    </row>
    <row r="779" spans="1:36" x14ac:dyDescent="0.25">
      <c r="A779" s="73"/>
      <c r="B779" s="73"/>
      <c r="C779" s="73"/>
      <c r="D779" s="73"/>
      <c r="E779" s="73"/>
      <c r="F779" s="73"/>
      <c r="G779" s="73"/>
      <c r="H779" s="73"/>
      <c r="I779" s="73"/>
      <c r="J779" s="73"/>
      <c r="K779" s="73"/>
      <c r="L779" s="73"/>
      <c r="M779" s="73"/>
      <c r="N779" s="73"/>
      <c r="O779" s="73"/>
      <c r="P779" s="73"/>
      <c r="Q779" s="73"/>
      <c r="R779" s="73"/>
      <c r="S779" s="73"/>
      <c r="T779" s="73"/>
      <c r="U779" s="73"/>
      <c r="V779" s="73"/>
      <c r="W779" s="73"/>
      <c r="X779" s="73"/>
      <c r="Y779" s="73"/>
      <c r="Z779" s="73"/>
      <c r="AA779" s="73"/>
      <c r="AB779" s="73"/>
      <c r="AC779" s="73"/>
      <c r="AD779" s="73"/>
      <c r="AE779" s="73"/>
      <c r="AF779" s="73"/>
      <c r="AG779" s="73"/>
      <c r="AH779" s="73"/>
      <c r="AI779" s="73"/>
      <c r="AJ779" s="73"/>
    </row>
    <row r="780" spans="1:36" x14ac:dyDescent="0.25">
      <c r="A780" s="73"/>
      <c r="B780" s="73"/>
      <c r="C780" s="73"/>
      <c r="D780" s="73"/>
      <c r="E780" s="73"/>
      <c r="F780" s="73"/>
      <c r="G780" s="73"/>
      <c r="H780" s="73"/>
      <c r="I780" s="73"/>
      <c r="J780" s="73"/>
      <c r="K780" s="73"/>
      <c r="L780" s="73"/>
      <c r="M780" s="73"/>
      <c r="N780" s="73"/>
      <c r="O780" s="73"/>
      <c r="P780" s="73"/>
      <c r="Q780" s="73"/>
      <c r="R780" s="73"/>
      <c r="S780" s="73"/>
      <c r="T780" s="73"/>
      <c r="U780" s="73"/>
      <c r="V780" s="73"/>
      <c r="W780" s="73"/>
      <c r="X780" s="73"/>
      <c r="Y780" s="73"/>
      <c r="Z780" s="73"/>
      <c r="AA780" s="73"/>
      <c r="AB780" s="73"/>
      <c r="AC780" s="73"/>
      <c r="AD780" s="73"/>
      <c r="AE780" s="73"/>
      <c r="AF780" s="73"/>
      <c r="AG780" s="73"/>
      <c r="AH780" s="73"/>
      <c r="AI780" s="73"/>
      <c r="AJ780" s="73"/>
    </row>
    <row r="781" spans="1:36" x14ac:dyDescent="0.25">
      <c r="A781" s="73"/>
      <c r="B781" s="73"/>
      <c r="C781" s="73"/>
      <c r="D781" s="73"/>
      <c r="E781" s="73"/>
      <c r="F781" s="73"/>
      <c r="G781" s="73"/>
      <c r="H781" s="73"/>
      <c r="I781" s="73"/>
      <c r="J781" s="73"/>
      <c r="K781" s="73"/>
      <c r="L781" s="73"/>
      <c r="M781" s="73"/>
      <c r="N781" s="73"/>
      <c r="O781" s="73"/>
      <c r="P781" s="73"/>
      <c r="Q781" s="73"/>
      <c r="R781" s="73"/>
      <c r="S781" s="73"/>
      <c r="T781" s="73"/>
      <c r="U781" s="73"/>
      <c r="V781" s="73"/>
      <c r="W781" s="73"/>
      <c r="X781" s="73"/>
      <c r="Y781" s="73"/>
      <c r="Z781" s="73"/>
      <c r="AA781" s="73"/>
      <c r="AB781" s="73"/>
      <c r="AC781" s="73"/>
      <c r="AD781" s="73"/>
      <c r="AE781" s="73"/>
      <c r="AF781" s="73"/>
      <c r="AG781" s="73"/>
      <c r="AH781" s="73"/>
      <c r="AI781" s="73"/>
      <c r="AJ781" s="73"/>
    </row>
    <row r="782" spans="1:36" x14ac:dyDescent="0.25">
      <c r="A782" s="73"/>
      <c r="B782" s="73"/>
      <c r="C782" s="73"/>
      <c r="D782" s="73"/>
      <c r="E782" s="73"/>
      <c r="F782" s="73"/>
      <c r="G782" s="73"/>
      <c r="H782" s="73"/>
      <c r="I782" s="73"/>
      <c r="J782" s="73"/>
      <c r="K782" s="73"/>
      <c r="L782" s="73"/>
      <c r="M782" s="73"/>
      <c r="N782" s="73"/>
      <c r="O782" s="73"/>
      <c r="P782" s="73"/>
      <c r="Q782" s="73"/>
      <c r="R782" s="73"/>
      <c r="S782" s="73"/>
      <c r="T782" s="73"/>
      <c r="U782" s="73"/>
      <c r="V782" s="73"/>
      <c r="W782" s="73"/>
      <c r="X782" s="73"/>
      <c r="Y782" s="73"/>
      <c r="Z782" s="73"/>
      <c r="AA782" s="73"/>
      <c r="AB782" s="73"/>
      <c r="AC782" s="73"/>
      <c r="AD782" s="73"/>
      <c r="AE782" s="73"/>
      <c r="AF782" s="73"/>
      <c r="AG782" s="73"/>
      <c r="AH782" s="73"/>
      <c r="AI782" s="73"/>
      <c r="AJ782" s="73"/>
    </row>
    <row r="783" spans="1:36" x14ac:dyDescent="0.25">
      <c r="A783" s="73"/>
      <c r="B783" s="73"/>
      <c r="C783" s="73"/>
      <c r="D783" s="73"/>
      <c r="E783" s="73"/>
      <c r="F783" s="73"/>
      <c r="G783" s="73"/>
      <c r="H783" s="73"/>
      <c r="I783" s="73"/>
      <c r="J783" s="73"/>
      <c r="K783" s="73"/>
      <c r="L783" s="73"/>
      <c r="M783" s="73"/>
      <c r="N783" s="73"/>
      <c r="O783" s="73"/>
      <c r="P783" s="73"/>
      <c r="Q783" s="73"/>
      <c r="R783" s="73"/>
      <c r="S783" s="73"/>
      <c r="T783" s="73"/>
      <c r="U783" s="73"/>
      <c r="V783" s="73"/>
      <c r="W783" s="73"/>
      <c r="X783" s="73"/>
      <c r="Y783" s="73"/>
      <c r="Z783" s="73"/>
      <c r="AA783" s="73"/>
      <c r="AB783" s="73"/>
      <c r="AC783" s="73"/>
      <c r="AD783" s="73"/>
      <c r="AE783" s="73"/>
      <c r="AF783" s="73"/>
      <c r="AG783" s="73"/>
      <c r="AH783" s="73"/>
      <c r="AI783" s="73"/>
      <c r="AJ783" s="73"/>
    </row>
    <row r="784" spans="1:36" x14ac:dyDescent="0.25">
      <c r="A784" s="73"/>
      <c r="B784" s="73"/>
      <c r="C784" s="73"/>
      <c r="D784" s="73"/>
      <c r="E784" s="73"/>
      <c r="F784" s="73"/>
      <c r="G784" s="73"/>
      <c r="H784" s="73"/>
      <c r="I784" s="73"/>
      <c r="J784" s="73"/>
      <c r="K784" s="73"/>
      <c r="L784" s="73"/>
      <c r="M784" s="73"/>
      <c r="N784" s="73"/>
      <c r="O784" s="73"/>
      <c r="P784" s="73"/>
      <c r="Q784" s="73"/>
      <c r="R784" s="73"/>
      <c r="S784" s="73"/>
      <c r="T784" s="73"/>
      <c r="U784" s="73"/>
      <c r="V784" s="73"/>
      <c r="W784" s="73"/>
      <c r="X784" s="73"/>
      <c r="Y784" s="73"/>
      <c r="Z784" s="73"/>
      <c r="AA784" s="73"/>
      <c r="AB784" s="73"/>
      <c r="AC784" s="73"/>
      <c r="AD784" s="73"/>
      <c r="AE784" s="73"/>
      <c r="AF784" s="73"/>
      <c r="AG784" s="73"/>
      <c r="AH784" s="73"/>
      <c r="AI784" s="73"/>
      <c r="AJ784" s="73"/>
    </row>
    <row r="785" spans="1:36" x14ac:dyDescent="0.25">
      <c r="A785" s="73"/>
      <c r="B785" s="73"/>
      <c r="C785" s="73"/>
      <c r="D785" s="73"/>
      <c r="E785" s="73"/>
      <c r="F785" s="73"/>
      <c r="G785" s="73"/>
      <c r="H785" s="73"/>
      <c r="I785" s="73"/>
      <c r="J785" s="73"/>
      <c r="K785" s="73"/>
      <c r="L785" s="73"/>
      <c r="M785" s="73"/>
      <c r="N785" s="73"/>
      <c r="O785" s="73"/>
      <c r="P785" s="73"/>
      <c r="Q785" s="73"/>
      <c r="R785" s="73"/>
      <c r="S785" s="73"/>
      <c r="T785" s="73"/>
      <c r="U785" s="73"/>
      <c r="V785" s="73"/>
      <c r="W785" s="73"/>
      <c r="X785" s="73"/>
      <c r="Y785" s="73"/>
      <c r="Z785" s="73"/>
      <c r="AA785" s="73"/>
      <c r="AB785" s="73"/>
      <c r="AC785" s="73"/>
      <c r="AD785" s="73"/>
      <c r="AE785" s="73"/>
      <c r="AF785" s="73"/>
      <c r="AG785" s="73"/>
      <c r="AH785" s="73"/>
      <c r="AI785" s="73"/>
      <c r="AJ785" s="73"/>
    </row>
    <row r="786" spans="1:36" x14ac:dyDescent="0.25">
      <c r="A786" s="73"/>
      <c r="B786" s="73"/>
      <c r="C786" s="73"/>
      <c r="D786" s="73"/>
      <c r="E786" s="73"/>
      <c r="F786" s="73"/>
      <c r="G786" s="73"/>
      <c r="H786" s="73"/>
      <c r="I786" s="73"/>
      <c r="J786" s="73"/>
      <c r="K786" s="73"/>
      <c r="L786" s="73"/>
      <c r="M786" s="73"/>
      <c r="N786" s="73"/>
      <c r="O786" s="73"/>
      <c r="P786" s="73"/>
      <c r="Q786" s="73"/>
      <c r="R786" s="73"/>
      <c r="S786" s="73"/>
      <c r="T786" s="73"/>
      <c r="U786" s="73"/>
      <c r="V786" s="73"/>
      <c r="W786" s="73"/>
      <c r="X786" s="73"/>
      <c r="Y786" s="73"/>
      <c r="Z786" s="73"/>
      <c r="AA786" s="73"/>
      <c r="AB786" s="73"/>
      <c r="AC786" s="73"/>
      <c r="AD786" s="73"/>
      <c r="AE786" s="73"/>
      <c r="AF786" s="73"/>
      <c r="AG786" s="73"/>
      <c r="AH786" s="73"/>
      <c r="AI786" s="73"/>
      <c r="AJ786" s="73"/>
    </row>
    <row r="787" spans="1:36" x14ac:dyDescent="0.25">
      <c r="A787" s="73"/>
      <c r="B787" s="73"/>
      <c r="C787" s="73"/>
      <c r="D787" s="73"/>
      <c r="E787" s="73"/>
      <c r="F787" s="73"/>
      <c r="G787" s="73"/>
      <c r="H787" s="73"/>
      <c r="I787" s="73"/>
      <c r="J787" s="73"/>
      <c r="K787" s="73"/>
      <c r="L787" s="73"/>
      <c r="M787" s="73"/>
      <c r="N787" s="73"/>
      <c r="O787" s="73"/>
      <c r="P787" s="73"/>
      <c r="Q787" s="73"/>
      <c r="R787" s="73"/>
      <c r="S787" s="73"/>
      <c r="T787" s="73"/>
      <c r="U787" s="73"/>
      <c r="V787" s="73"/>
      <c r="W787" s="73"/>
      <c r="X787" s="73"/>
      <c r="Y787" s="73"/>
      <c r="Z787" s="73"/>
      <c r="AA787" s="73"/>
      <c r="AB787" s="73"/>
      <c r="AC787" s="73"/>
      <c r="AD787" s="73"/>
      <c r="AE787" s="73"/>
      <c r="AF787" s="73"/>
      <c r="AG787" s="73"/>
      <c r="AH787" s="73"/>
      <c r="AI787" s="73"/>
      <c r="AJ787" s="73"/>
    </row>
    <row r="788" spans="1:36" x14ac:dyDescent="0.25">
      <c r="A788" s="73"/>
      <c r="B788" s="73"/>
      <c r="C788" s="73"/>
      <c r="D788" s="73"/>
      <c r="E788" s="73"/>
      <c r="F788" s="73"/>
      <c r="G788" s="73"/>
      <c r="H788" s="73"/>
      <c r="I788" s="73"/>
      <c r="J788" s="73"/>
      <c r="K788" s="73"/>
      <c r="L788" s="73"/>
      <c r="M788" s="73"/>
      <c r="N788" s="73"/>
      <c r="O788" s="73"/>
      <c r="P788" s="73"/>
      <c r="Q788" s="73"/>
      <c r="R788" s="73"/>
      <c r="S788" s="73"/>
      <c r="T788" s="73"/>
      <c r="U788" s="73"/>
      <c r="V788" s="73"/>
      <c r="W788" s="73"/>
      <c r="X788" s="73"/>
      <c r="Y788" s="73"/>
      <c r="Z788" s="73"/>
      <c r="AA788" s="73"/>
      <c r="AB788" s="73"/>
      <c r="AC788" s="73"/>
      <c r="AD788" s="73"/>
      <c r="AE788" s="73"/>
      <c r="AF788" s="73"/>
      <c r="AG788" s="73"/>
      <c r="AH788" s="73"/>
      <c r="AI788" s="73"/>
      <c r="AJ788" s="73"/>
    </row>
    <row r="789" spans="1:36" x14ac:dyDescent="0.25">
      <c r="A789" s="73"/>
      <c r="B789" s="73"/>
      <c r="C789" s="73"/>
      <c r="D789" s="73"/>
      <c r="E789" s="73"/>
      <c r="F789" s="73"/>
      <c r="G789" s="73"/>
      <c r="H789" s="73"/>
      <c r="I789" s="73"/>
      <c r="J789" s="73"/>
      <c r="K789" s="73"/>
      <c r="L789" s="73"/>
      <c r="M789" s="73"/>
      <c r="N789" s="73"/>
      <c r="O789" s="73"/>
      <c r="P789" s="73"/>
      <c r="Q789" s="73"/>
      <c r="R789" s="73"/>
      <c r="S789" s="73"/>
      <c r="T789" s="73"/>
      <c r="U789" s="73"/>
      <c r="V789" s="73"/>
      <c r="W789" s="73"/>
      <c r="X789" s="73"/>
      <c r="Y789" s="73"/>
      <c r="Z789" s="73"/>
      <c r="AA789" s="73"/>
      <c r="AB789" s="73"/>
      <c r="AC789" s="73"/>
      <c r="AD789" s="73"/>
      <c r="AE789" s="73"/>
      <c r="AF789" s="73"/>
      <c r="AG789" s="73"/>
      <c r="AH789" s="73"/>
      <c r="AI789" s="73"/>
      <c r="AJ789" s="73"/>
    </row>
    <row r="790" spans="1:36" x14ac:dyDescent="0.25">
      <c r="A790" s="73"/>
      <c r="B790" s="73"/>
      <c r="C790" s="73"/>
      <c r="D790" s="73"/>
      <c r="E790" s="73"/>
      <c r="F790" s="73"/>
      <c r="G790" s="73"/>
      <c r="H790" s="73"/>
      <c r="I790" s="73"/>
      <c r="J790" s="73"/>
      <c r="K790" s="73"/>
      <c r="L790" s="73"/>
      <c r="M790" s="73"/>
      <c r="N790" s="73"/>
      <c r="O790" s="73"/>
      <c r="P790" s="73"/>
      <c r="Q790" s="73"/>
      <c r="R790" s="73"/>
      <c r="S790" s="73"/>
      <c r="T790" s="73"/>
      <c r="U790" s="73"/>
      <c r="V790" s="73"/>
      <c r="W790" s="73"/>
      <c r="X790" s="73"/>
      <c r="Y790" s="73"/>
      <c r="Z790" s="73"/>
      <c r="AA790" s="73"/>
      <c r="AB790" s="73"/>
      <c r="AC790" s="73"/>
      <c r="AD790" s="73"/>
      <c r="AE790" s="73"/>
      <c r="AF790" s="73"/>
      <c r="AG790" s="73"/>
      <c r="AH790" s="73"/>
      <c r="AI790" s="73"/>
      <c r="AJ790" s="73"/>
    </row>
    <row r="791" spans="1:36" x14ac:dyDescent="0.25">
      <c r="A791" s="73"/>
      <c r="B791" s="73"/>
      <c r="C791" s="73"/>
      <c r="D791" s="73"/>
      <c r="E791" s="73"/>
      <c r="F791" s="73"/>
      <c r="G791" s="73"/>
      <c r="H791" s="73"/>
      <c r="I791" s="73"/>
      <c r="J791" s="73"/>
      <c r="K791" s="73"/>
      <c r="L791" s="73"/>
      <c r="M791" s="73"/>
      <c r="N791" s="73"/>
      <c r="O791" s="73"/>
      <c r="P791" s="73"/>
      <c r="Q791" s="73"/>
      <c r="R791" s="73"/>
      <c r="S791" s="73"/>
      <c r="T791" s="73"/>
      <c r="U791" s="73"/>
      <c r="V791" s="73"/>
      <c r="W791" s="73"/>
      <c r="X791" s="73"/>
      <c r="Y791" s="73"/>
      <c r="Z791" s="73"/>
      <c r="AA791" s="73"/>
      <c r="AB791" s="73"/>
      <c r="AC791" s="73"/>
      <c r="AD791" s="73"/>
      <c r="AE791" s="73"/>
      <c r="AF791" s="73"/>
      <c r="AG791" s="73"/>
      <c r="AH791" s="73"/>
      <c r="AI791" s="73"/>
      <c r="AJ791" s="73"/>
    </row>
    <row r="792" spans="1:36" x14ac:dyDescent="0.25">
      <c r="A792" s="73"/>
      <c r="B792" s="73"/>
      <c r="C792" s="73"/>
      <c r="D792" s="73"/>
      <c r="E792" s="73"/>
      <c r="F792" s="73"/>
      <c r="G792" s="73"/>
      <c r="H792" s="73"/>
      <c r="I792" s="73"/>
      <c r="J792" s="73"/>
      <c r="K792" s="73"/>
      <c r="L792" s="73"/>
      <c r="M792" s="73"/>
      <c r="N792" s="73"/>
      <c r="O792" s="73"/>
      <c r="P792" s="73"/>
      <c r="Q792" s="73"/>
      <c r="R792" s="73"/>
      <c r="S792" s="73"/>
      <c r="T792" s="73"/>
      <c r="U792" s="73"/>
      <c r="V792" s="73"/>
      <c r="W792" s="73"/>
      <c r="X792" s="73"/>
      <c r="Y792" s="73"/>
      <c r="Z792" s="73"/>
      <c r="AA792" s="73"/>
      <c r="AB792" s="73"/>
      <c r="AC792" s="73"/>
      <c r="AD792" s="73"/>
      <c r="AE792" s="73"/>
      <c r="AF792" s="73"/>
      <c r="AG792" s="73"/>
      <c r="AH792" s="73"/>
      <c r="AI792" s="73"/>
      <c r="AJ792" s="73"/>
    </row>
    <row r="793" spans="1:36" x14ac:dyDescent="0.25">
      <c r="A793" s="73"/>
      <c r="B793" s="73"/>
      <c r="C793" s="73"/>
      <c r="D793" s="73"/>
      <c r="E793" s="73"/>
      <c r="F793" s="73"/>
      <c r="G793" s="73"/>
      <c r="H793" s="73"/>
      <c r="I793" s="73"/>
      <c r="J793" s="73"/>
      <c r="K793" s="73"/>
      <c r="L793" s="73"/>
      <c r="M793" s="73"/>
      <c r="N793" s="73"/>
      <c r="O793" s="73"/>
      <c r="P793" s="73"/>
      <c r="Q793" s="73"/>
      <c r="R793" s="73"/>
      <c r="S793" s="73"/>
      <c r="T793" s="73"/>
      <c r="U793" s="73"/>
      <c r="V793" s="73"/>
      <c r="W793" s="73"/>
      <c r="X793" s="73"/>
      <c r="Y793" s="73"/>
      <c r="Z793" s="73"/>
      <c r="AA793" s="73"/>
      <c r="AB793" s="73"/>
      <c r="AC793" s="73"/>
      <c r="AD793" s="73"/>
      <c r="AE793" s="73"/>
      <c r="AF793" s="73"/>
      <c r="AG793" s="73"/>
      <c r="AH793" s="73"/>
      <c r="AI793" s="73"/>
      <c r="AJ793" s="73"/>
    </row>
    <row r="794" spans="1:36" x14ac:dyDescent="0.25">
      <c r="A794" s="73"/>
      <c r="B794" s="73"/>
      <c r="C794" s="73"/>
      <c r="D794" s="73"/>
      <c r="E794" s="73"/>
      <c r="F794" s="73"/>
      <c r="G794" s="73"/>
      <c r="H794" s="73"/>
      <c r="I794" s="73"/>
      <c r="J794" s="73"/>
      <c r="K794" s="73"/>
      <c r="L794" s="73"/>
      <c r="M794" s="73"/>
      <c r="N794" s="73"/>
      <c r="O794" s="73"/>
      <c r="P794" s="73"/>
      <c r="Q794" s="73"/>
      <c r="R794" s="73"/>
      <c r="S794" s="73"/>
      <c r="T794" s="73"/>
      <c r="U794" s="73"/>
      <c r="V794" s="73"/>
      <c r="W794" s="73"/>
      <c r="X794" s="73"/>
      <c r="Y794" s="73"/>
      <c r="Z794" s="73"/>
      <c r="AA794" s="73"/>
      <c r="AB794" s="73"/>
      <c r="AC794" s="73"/>
      <c r="AD794" s="73"/>
      <c r="AE794" s="73"/>
      <c r="AF794" s="73"/>
      <c r="AG794" s="73"/>
      <c r="AH794" s="73"/>
      <c r="AI794" s="73"/>
      <c r="AJ794" s="73"/>
    </row>
    <row r="795" spans="1:36" x14ac:dyDescent="0.25">
      <c r="A795" s="73"/>
      <c r="B795" s="73"/>
      <c r="C795" s="73"/>
      <c r="D795" s="73"/>
      <c r="E795" s="73"/>
      <c r="F795" s="73"/>
      <c r="G795" s="73"/>
      <c r="H795" s="73"/>
      <c r="I795" s="73"/>
      <c r="J795" s="73"/>
      <c r="K795" s="73"/>
      <c r="L795" s="73"/>
      <c r="M795" s="73"/>
      <c r="N795" s="73"/>
      <c r="O795" s="73"/>
      <c r="P795" s="73"/>
      <c r="Q795" s="73"/>
      <c r="R795" s="73"/>
      <c r="S795" s="73"/>
      <c r="T795" s="73"/>
      <c r="U795" s="73"/>
      <c r="V795" s="73"/>
      <c r="W795" s="73"/>
      <c r="X795" s="73"/>
      <c r="Y795" s="73"/>
      <c r="Z795" s="73"/>
      <c r="AA795" s="73"/>
      <c r="AB795" s="73"/>
      <c r="AC795" s="73"/>
      <c r="AD795" s="73"/>
      <c r="AE795" s="73"/>
      <c r="AF795" s="73"/>
      <c r="AG795" s="73"/>
      <c r="AH795" s="73"/>
      <c r="AI795" s="73"/>
      <c r="AJ795" s="73"/>
    </row>
    <row r="796" spans="1:36" x14ac:dyDescent="0.25">
      <c r="A796" s="73"/>
      <c r="B796" s="73"/>
      <c r="C796" s="73"/>
      <c r="D796" s="73"/>
      <c r="E796" s="73"/>
      <c r="F796" s="73"/>
      <c r="G796" s="73"/>
      <c r="H796" s="73"/>
      <c r="I796" s="73"/>
      <c r="J796" s="73"/>
      <c r="K796" s="73"/>
      <c r="L796" s="73"/>
      <c r="M796" s="73"/>
      <c r="N796" s="73"/>
      <c r="O796" s="73"/>
      <c r="P796" s="73"/>
      <c r="Q796" s="73"/>
      <c r="R796" s="73"/>
      <c r="S796" s="73"/>
      <c r="T796" s="73"/>
      <c r="U796" s="73"/>
      <c r="V796" s="73"/>
      <c r="W796" s="73"/>
      <c r="X796" s="73"/>
      <c r="Y796" s="73"/>
      <c r="Z796" s="73"/>
      <c r="AA796" s="73"/>
      <c r="AB796" s="73"/>
      <c r="AC796" s="73"/>
      <c r="AD796" s="73"/>
      <c r="AE796" s="73"/>
      <c r="AF796" s="73"/>
      <c r="AG796" s="73"/>
      <c r="AH796" s="73"/>
      <c r="AI796" s="73"/>
      <c r="AJ796" s="73"/>
    </row>
    <row r="797" spans="1:36" x14ac:dyDescent="0.25">
      <c r="A797" s="73"/>
      <c r="B797" s="73"/>
      <c r="C797" s="73"/>
      <c r="D797" s="73"/>
      <c r="E797" s="73"/>
      <c r="F797" s="73"/>
      <c r="G797" s="73"/>
      <c r="H797" s="73"/>
      <c r="I797" s="73"/>
      <c r="J797" s="73"/>
      <c r="K797" s="73"/>
      <c r="L797" s="73"/>
      <c r="M797" s="73"/>
      <c r="N797" s="73"/>
      <c r="O797" s="73"/>
      <c r="P797" s="73"/>
      <c r="Q797" s="73"/>
      <c r="R797" s="73"/>
      <c r="S797" s="73"/>
      <c r="T797" s="73"/>
      <c r="U797" s="73"/>
      <c r="V797" s="73"/>
      <c r="W797" s="73"/>
      <c r="X797" s="73"/>
      <c r="Y797" s="73"/>
      <c r="Z797" s="73"/>
      <c r="AA797" s="73"/>
      <c r="AB797" s="73"/>
      <c r="AC797" s="73"/>
      <c r="AD797" s="73"/>
      <c r="AE797" s="73"/>
      <c r="AF797" s="73"/>
      <c r="AG797" s="73"/>
      <c r="AH797" s="73"/>
      <c r="AI797" s="73"/>
      <c r="AJ797" s="73"/>
    </row>
    <row r="798" spans="1:36" x14ac:dyDescent="0.25">
      <c r="A798" s="73"/>
      <c r="B798" s="73"/>
      <c r="C798" s="73"/>
      <c r="D798" s="73"/>
      <c r="E798" s="73"/>
      <c r="F798" s="73"/>
      <c r="G798" s="73"/>
      <c r="H798" s="73"/>
      <c r="I798" s="73"/>
      <c r="J798" s="73"/>
      <c r="K798" s="73"/>
      <c r="L798" s="73"/>
      <c r="M798" s="73"/>
      <c r="N798" s="73"/>
      <c r="O798" s="73"/>
      <c r="P798" s="73"/>
      <c r="Q798" s="73"/>
      <c r="R798" s="73"/>
      <c r="S798" s="73"/>
      <c r="T798" s="73"/>
      <c r="U798" s="73"/>
      <c r="V798" s="73"/>
      <c r="W798" s="73"/>
      <c r="X798" s="73"/>
      <c r="Y798" s="73"/>
      <c r="Z798" s="73"/>
      <c r="AA798" s="73"/>
      <c r="AB798" s="73"/>
      <c r="AC798" s="73"/>
      <c r="AD798" s="73"/>
      <c r="AE798" s="73"/>
      <c r="AF798" s="73"/>
      <c r="AG798" s="73"/>
      <c r="AH798" s="73"/>
      <c r="AI798" s="73"/>
      <c r="AJ798" s="73"/>
    </row>
    <row r="799" spans="1:36" x14ac:dyDescent="0.25">
      <c r="A799" s="73"/>
      <c r="B799" s="73"/>
      <c r="C799" s="73"/>
      <c r="D799" s="73"/>
      <c r="E799" s="73"/>
      <c r="F799" s="73"/>
      <c r="G799" s="73"/>
      <c r="H799" s="73"/>
      <c r="I799" s="73"/>
      <c r="J799" s="73"/>
      <c r="K799" s="73"/>
      <c r="L799" s="73"/>
      <c r="M799" s="73"/>
      <c r="N799" s="73"/>
      <c r="O799" s="73"/>
      <c r="P799" s="73"/>
      <c r="Q799" s="73"/>
      <c r="R799" s="73"/>
      <c r="S799" s="73"/>
      <c r="T799" s="73"/>
      <c r="U799" s="73"/>
      <c r="V799" s="73"/>
      <c r="W799" s="73"/>
      <c r="X799" s="73"/>
      <c r="Y799" s="73"/>
      <c r="Z799" s="73"/>
      <c r="AA799" s="73"/>
      <c r="AB799" s="73"/>
      <c r="AC799" s="73"/>
      <c r="AD799" s="73"/>
      <c r="AE799" s="73"/>
      <c r="AF799" s="73"/>
      <c r="AG799" s="73"/>
      <c r="AH799" s="73"/>
      <c r="AI799" s="73"/>
      <c r="AJ799" s="73"/>
    </row>
    <row r="800" spans="1:36" x14ac:dyDescent="0.25">
      <c r="A800" s="73"/>
      <c r="B800" s="73"/>
      <c r="C800" s="73"/>
      <c r="D800" s="73"/>
      <c r="E800" s="73"/>
      <c r="F800" s="73"/>
      <c r="G800" s="73"/>
      <c r="H800" s="73"/>
      <c r="I800" s="73"/>
      <c r="J800" s="73"/>
      <c r="K800" s="73"/>
      <c r="L800" s="73"/>
      <c r="M800" s="73"/>
      <c r="N800" s="73"/>
      <c r="O800" s="73"/>
      <c r="P800" s="73"/>
      <c r="Q800" s="73"/>
      <c r="R800" s="73"/>
      <c r="S800" s="73"/>
      <c r="T800" s="73"/>
      <c r="U800" s="73"/>
      <c r="V800" s="73"/>
      <c r="W800" s="73"/>
      <c r="X800" s="73"/>
      <c r="Y800" s="73"/>
      <c r="Z800" s="73"/>
      <c r="AA800" s="73"/>
      <c r="AB800" s="73"/>
      <c r="AC800" s="73"/>
      <c r="AD800" s="73"/>
      <c r="AE800" s="73"/>
      <c r="AF800" s="73"/>
      <c r="AG800" s="73"/>
      <c r="AH800" s="73"/>
      <c r="AI800" s="73"/>
      <c r="AJ800" s="73"/>
    </row>
    <row r="801" spans="1:36" x14ac:dyDescent="0.25">
      <c r="A801" s="73"/>
      <c r="B801" s="73"/>
      <c r="C801" s="73"/>
      <c r="D801" s="73"/>
      <c r="E801" s="73"/>
      <c r="F801" s="73"/>
      <c r="G801" s="73"/>
      <c r="H801" s="73"/>
      <c r="I801" s="73"/>
      <c r="J801" s="73"/>
      <c r="K801" s="73"/>
      <c r="L801" s="73"/>
      <c r="M801" s="73"/>
      <c r="N801" s="73"/>
      <c r="O801" s="73"/>
      <c r="P801" s="73"/>
      <c r="Q801" s="73"/>
      <c r="R801" s="73"/>
      <c r="S801" s="73"/>
      <c r="T801" s="73"/>
      <c r="U801" s="73"/>
      <c r="V801" s="73"/>
      <c r="W801" s="73"/>
      <c r="X801" s="73"/>
      <c r="Y801" s="73"/>
      <c r="Z801" s="73"/>
      <c r="AA801" s="73"/>
      <c r="AB801" s="73"/>
      <c r="AC801" s="73"/>
      <c r="AD801" s="73"/>
      <c r="AE801" s="73"/>
      <c r="AF801" s="73"/>
      <c r="AG801" s="73"/>
      <c r="AH801" s="73"/>
      <c r="AI801" s="73"/>
      <c r="AJ801" s="73"/>
    </row>
    <row r="802" spans="1:36" x14ac:dyDescent="0.25">
      <c r="A802" s="73"/>
      <c r="B802" s="73"/>
      <c r="C802" s="73"/>
      <c r="D802" s="73"/>
      <c r="E802" s="73"/>
      <c r="F802" s="73"/>
      <c r="G802" s="73"/>
      <c r="H802" s="73"/>
      <c r="I802" s="73"/>
      <c r="J802" s="73"/>
      <c r="K802" s="73"/>
      <c r="L802" s="73"/>
      <c r="M802" s="73"/>
      <c r="N802" s="73"/>
      <c r="O802" s="73"/>
      <c r="P802" s="73"/>
      <c r="Q802" s="73"/>
      <c r="R802" s="73"/>
      <c r="S802" s="73"/>
      <c r="T802" s="73"/>
      <c r="U802" s="73"/>
      <c r="V802" s="73"/>
      <c r="W802" s="73"/>
      <c r="X802" s="73"/>
      <c r="Y802" s="73"/>
      <c r="Z802" s="73"/>
      <c r="AA802" s="73"/>
      <c r="AB802" s="73"/>
      <c r="AC802" s="73"/>
      <c r="AD802" s="73"/>
      <c r="AE802" s="73"/>
      <c r="AF802" s="73"/>
      <c r="AG802" s="73"/>
      <c r="AH802" s="73"/>
      <c r="AI802" s="73"/>
      <c r="AJ802" s="73"/>
    </row>
    <row r="803" spans="1:36" x14ac:dyDescent="0.25">
      <c r="A803" s="73"/>
      <c r="B803" s="73"/>
      <c r="C803" s="73"/>
      <c r="D803" s="73"/>
      <c r="E803" s="73"/>
      <c r="F803" s="73"/>
      <c r="G803" s="73"/>
      <c r="H803" s="73"/>
      <c r="I803" s="73"/>
      <c r="J803" s="73"/>
      <c r="K803" s="73"/>
      <c r="L803" s="73"/>
      <c r="M803" s="73"/>
      <c r="N803" s="73"/>
      <c r="O803" s="73"/>
      <c r="P803" s="73"/>
      <c r="Q803" s="73"/>
      <c r="R803" s="73"/>
      <c r="S803" s="73"/>
      <c r="T803" s="73"/>
      <c r="U803" s="73"/>
      <c r="V803" s="73"/>
      <c r="W803" s="73"/>
      <c r="X803" s="73"/>
      <c r="Y803" s="73"/>
      <c r="Z803" s="73"/>
      <c r="AA803" s="73"/>
      <c r="AB803" s="73"/>
      <c r="AC803" s="73"/>
      <c r="AD803" s="73"/>
      <c r="AE803" s="73"/>
      <c r="AF803" s="73"/>
      <c r="AG803" s="73"/>
      <c r="AH803" s="73"/>
      <c r="AI803" s="73"/>
      <c r="AJ803" s="73"/>
    </row>
    <row r="804" spans="1:36" x14ac:dyDescent="0.25">
      <c r="A804" s="73"/>
      <c r="B804" s="73"/>
      <c r="C804" s="73"/>
      <c r="D804" s="73"/>
      <c r="E804" s="73"/>
      <c r="F804" s="73"/>
      <c r="G804" s="73"/>
      <c r="H804" s="73"/>
      <c r="I804" s="73"/>
      <c r="J804" s="73"/>
      <c r="K804" s="73"/>
      <c r="L804" s="73"/>
      <c r="M804" s="73"/>
      <c r="N804" s="73"/>
      <c r="O804" s="73"/>
      <c r="P804" s="73"/>
      <c r="Q804" s="73"/>
      <c r="R804" s="73"/>
      <c r="S804" s="73"/>
      <c r="T804" s="73"/>
      <c r="U804" s="73"/>
      <c r="V804" s="73"/>
      <c r="W804" s="73"/>
      <c r="X804" s="73"/>
      <c r="Y804" s="73"/>
      <c r="Z804" s="73"/>
      <c r="AA804" s="73"/>
      <c r="AB804" s="73"/>
      <c r="AC804" s="73"/>
      <c r="AD804" s="73"/>
      <c r="AE804" s="73"/>
      <c r="AF804" s="73"/>
      <c r="AG804" s="73"/>
      <c r="AH804" s="73"/>
      <c r="AI804" s="73"/>
      <c r="AJ804" s="73"/>
    </row>
    <row r="805" spans="1:36" x14ac:dyDescent="0.25">
      <c r="A805" s="73"/>
      <c r="B805" s="73"/>
      <c r="C805" s="73"/>
      <c r="D805" s="73"/>
      <c r="E805" s="73"/>
      <c r="F805" s="73"/>
      <c r="G805" s="73"/>
      <c r="H805" s="73"/>
      <c r="I805" s="73"/>
      <c r="J805" s="73"/>
      <c r="K805" s="73"/>
      <c r="L805" s="73"/>
      <c r="M805" s="73"/>
      <c r="N805" s="73"/>
      <c r="O805" s="73"/>
      <c r="P805" s="73"/>
      <c r="Q805" s="73"/>
      <c r="R805" s="73"/>
      <c r="S805" s="73"/>
      <c r="T805" s="73"/>
      <c r="U805" s="73"/>
      <c r="V805" s="73"/>
      <c r="W805" s="73"/>
      <c r="X805" s="73"/>
      <c r="Y805" s="73"/>
      <c r="Z805" s="73"/>
      <c r="AA805" s="73"/>
      <c r="AB805" s="73"/>
      <c r="AC805" s="73"/>
      <c r="AD805" s="73"/>
      <c r="AE805" s="73"/>
      <c r="AF805" s="73"/>
      <c r="AG805" s="73"/>
      <c r="AH805" s="73"/>
      <c r="AI805" s="73"/>
      <c r="AJ805" s="73"/>
    </row>
    <row r="806" spans="1:36" x14ac:dyDescent="0.25">
      <c r="A806" s="73"/>
      <c r="B806" s="73"/>
      <c r="C806" s="73"/>
      <c r="D806" s="73"/>
      <c r="E806" s="73"/>
      <c r="F806" s="73"/>
      <c r="G806" s="73"/>
      <c r="H806" s="73"/>
      <c r="I806" s="73"/>
      <c r="J806" s="73"/>
      <c r="K806" s="73"/>
      <c r="L806" s="73"/>
      <c r="M806" s="73"/>
      <c r="N806" s="73"/>
      <c r="O806" s="73"/>
      <c r="P806" s="73"/>
      <c r="Q806" s="73"/>
      <c r="R806" s="73"/>
      <c r="S806" s="73"/>
      <c r="T806" s="73"/>
      <c r="U806" s="73"/>
      <c r="V806" s="73"/>
      <c r="W806" s="73"/>
      <c r="X806" s="73"/>
      <c r="Y806" s="73"/>
      <c r="Z806" s="73"/>
      <c r="AA806" s="73"/>
      <c r="AB806" s="73"/>
      <c r="AC806" s="73"/>
      <c r="AD806" s="73"/>
      <c r="AE806" s="73"/>
      <c r="AF806" s="73"/>
      <c r="AG806" s="73"/>
      <c r="AH806" s="73"/>
      <c r="AI806" s="73"/>
      <c r="AJ806" s="73"/>
    </row>
    <row r="807" spans="1:36" x14ac:dyDescent="0.25">
      <c r="A807" s="73"/>
      <c r="B807" s="73"/>
      <c r="C807" s="73"/>
      <c r="D807" s="73"/>
      <c r="E807" s="73"/>
      <c r="F807" s="73"/>
      <c r="G807" s="73"/>
      <c r="H807" s="73"/>
      <c r="I807" s="73"/>
      <c r="J807" s="73"/>
      <c r="K807" s="73"/>
      <c r="L807" s="73"/>
      <c r="M807" s="73"/>
      <c r="N807" s="73"/>
      <c r="O807" s="73"/>
      <c r="P807" s="73"/>
      <c r="Q807" s="73"/>
      <c r="R807" s="73"/>
      <c r="S807" s="73"/>
      <c r="T807" s="73"/>
      <c r="U807" s="73"/>
      <c r="V807" s="73"/>
      <c r="W807" s="73"/>
      <c r="X807" s="73"/>
      <c r="Y807" s="73"/>
      <c r="Z807" s="73"/>
      <c r="AA807" s="73"/>
      <c r="AB807" s="73"/>
      <c r="AC807" s="73"/>
      <c r="AD807" s="73"/>
      <c r="AE807" s="73"/>
      <c r="AF807" s="73"/>
      <c r="AG807" s="73"/>
      <c r="AH807" s="73"/>
      <c r="AI807" s="73"/>
      <c r="AJ807" s="73"/>
    </row>
    <row r="808" spans="1:36" x14ac:dyDescent="0.25">
      <c r="A808" s="73"/>
      <c r="B808" s="73"/>
      <c r="C808" s="73"/>
      <c r="D808" s="73"/>
      <c r="E808" s="73"/>
      <c r="F808" s="73"/>
      <c r="G808" s="73"/>
      <c r="H808" s="73"/>
      <c r="I808" s="73"/>
      <c r="J808" s="73"/>
      <c r="K808" s="73"/>
      <c r="L808" s="73"/>
      <c r="M808" s="73"/>
      <c r="N808" s="73"/>
      <c r="O808" s="73"/>
      <c r="P808" s="73"/>
      <c r="Q808" s="73"/>
      <c r="R808" s="73"/>
      <c r="S808" s="73"/>
      <c r="T808" s="73"/>
      <c r="U808" s="73"/>
      <c r="V808" s="73"/>
      <c r="W808" s="73"/>
      <c r="X808" s="73"/>
      <c r="Y808" s="73"/>
      <c r="Z808" s="73"/>
      <c r="AA808" s="73"/>
      <c r="AB808" s="73"/>
      <c r="AC808" s="73"/>
      <c r="AD808" s="73"/>
      <c r="AE808" s="73"/>
      <c r="AF808" s="73"/>
      <c r="AG808" s="73"/>
      <c r="AH808" s="73"/>
      <c r="AI808" s="73"/>
      <c r="AJ808" s="73"/>
    </row>
    <row r="809" spans="1:36" x14ac:dyDescent="0.25">
      <c r="A809" s="73"/>
      <c r="B809" s="73"/>
      <c r="C809" s="73"/>
      <c r="D809" s="73"/>
      <c r="E809" s="73"/>
      <c r="F809" s="73"/>
      <c r="G809" s="73"/>
      <c r="H809" s="73"/>
      <c r="I809" s="73"/>
      <c r="J809" s="73"/>
      <c r="K809" s="73"/>
      <c r="L809" s="73"/>
      <c r="M809" s="73"/>
      <c r="N809" s="73"/>
      <c r="O809" s="73"/>
      <c r="P809" s="73"/>
      <c r="Q809" s="73"/>
      <c r="R809" s="73"/>
      <c r="S809" s="73"/>
      <c r="T809" s="73"/>
      <c r="U809" s="73"/>
      <c r="V809" s="73"/>
      <c r="W809" s="73"/>
      <c r="X809" s="73"/>
      <c r="Y809" s="73"/>
      <c r="Z809" s="73"/>
      <c r="AA809" s="73"/>
      <c r="AB809" s="73"/>
      <c r="AC809" s="73"/>
      <c r="AD809" s="73"/>
      <c r="AE809" s="73"/>
      <c r="AF809" s="73"/>
      <c r="AG809" s="73"/>
      <c r="AH809" s="73"/>
      <c r="AI809" s="73"/>
      <c r="AJ809" s="73"/>
    </row>
    <row r="810" spans="1:36" x14ac:dyDescent="0.25">
      <c r="A810" s="73"/>
      <c r="B810" s="73"/>
      <c r="C810" s="73"/>
      <c r="D810" s="73"/>
      <c r="E810" s="73"/>
      <c r="F810" s="73"/>
      <c r="G810" s="73"/>
      <c r="H810" s="73"/>
      <c r="I810" s="73"/>
      <c r="J810" s="73"/>
      <c r="K810" s="73"/>
      <c r="L810" s="73"/>
      <c r="M810" s="73"/>
      <c r="N810" s="73"/>
      <c r="O810" s="73"/>
      <c r="P810" s="73"/>
      <c r="Q810" s="73"/>
      <c r="R810" s="73"/>
      <c r="S810" s="73"/>
      <c r="T810" s="73"/>
      <c r="U810" s="73"/>
      <c r="V810" s="73"/>
      <c r="W810" s="73"/>
      <c r="X810" s="73"/>
      <c r="Y810" s="73"/>
      <c r="Z810" s="73"/>
      <c r="AA810" s="73"/>
      <c r="AB810" s="73"/>
      <c r="AC810" s="73"/>
      <c r="AD810" s="73"/>
      <c r="AE810" s="73"/>
      <c r="AF810" s="73"/>
      <c r="AG810" s="73"/>
      <c r="AH810" s="73"/>
      <c r="AI810" s="73"/>
      <c r="AJ810" s="73"/>
    </row>
    <row r="811" spans="1:36" x14ac:dyDescent="0.25">
      <c r="A811" s="73"/>
      <c r="B811" s="73"/>
      <c r="C811" s="73"/>
      <c r="D811" s="73"/>
      <c r="E811" s="73"/>
      <c r="F811" s="73"/>
      <c r="G811" s="73"/>
      <c r="H811" s="73"/>
      <c r="I811" s="73"/>
      <c r="J811" s="73"/>
      <c r="K811" s="73"/>
      <c r="L811" s="73"/>
      <c r="M811" s="73"/>
      <c r="N811" s="73"/>
      <c r="O811" s="73"/>
      <c r="P811" s="73"/>
      <c r="Q811" s="73"/>
      <c r="R811" s="73"/>
      <c r="S811" s="73"/>
      <c r="T811" s="73"/>
      <c r="U811" s="73"/>
      <c r="V811" s="73"/>
      <c r="W811" s="73"/>
      <c r="X811" s="73"/>
      <c r="Y811" s="73"/>
      <c r="Z811" s="73"/>
      <c r="AA811" s="73"/>
      <c r="AB811" s="73"/>
      <c r="AC811" s="73"/>
      <c r="AD811" s="73"/>
      <c r="AE811" s="73"/>
      <c r="AF811" s="73"/>
      <c r="AG811" s="73"/>
      <c r="AH811" s="73"/>
      <c r="AI811" s="73"/>
      <c r="AJ811" s="73"/>
    </row>
    <row r="812" spans="1:36" x14ac:dyDescent="0.25">
      <c r="A812" s="73"/>
      <c r="B812" s="73"/>
      <c r="C812" s="73"/>
      <c r="D812" s="73"/>
      <c r="E812" s="73"/>
      <c r="F812" s="73"/>
      <c r="G812" s="73"/>
      <c r="H812" s="73"/>
      <c r="I812" s="73"/>
      <c r="J812" s="73"/>
      <c r="K812" s="73"/>
      <c r="L812" s="73"/>
      <c r="M812" s="73"/>
      <c r="N812" s="73"/>
      <c r="O812" s="73"/>
      <c r="P812" s="73"/>
      <c r="Q812" s="73"/>
      <c r="R812" s="73"/>
      <c r="S812" s="73"/>
      <c r="T812" s="73"/>
      <c r="U812" s="73"/>
      <c r="V812" s="73"/>
      <c r="W812" s="73"/>
      <c r="X812" s="73"/>
      <c r="Y812" s="73"/>
      <c r="Z812" s="73"/>
      <c r="AA812" s="73"/>
      <c r="AB812" s="73"/>
      <c r="AC812" s="73"/>
      <c r="AD812" s="73"/>
      <c r="AE812" s="73"/>
      <c r="AF812" s="73"/>
      <c r="AG812" s="73"/>
      <c r="AH812" s="73"/>
      <c r="AI812" s="73"/>
      <c r="AJ812" s="73"/>
    </row>
    <row r="813" spans="1:36" x14ac:dyDescent="0.25">
      <c r="A813" s="73"/>
      <c r="B813" s="73"/>
      <c r="C813" s="73"/>
      <c r="D813" s="73"/>
      <c r="E813" s="73"/>
      <c r="F813" s="73"/>
      <c r="G813" s="73"/>
      <c r="H813" s="73"/>
      <c r="I813" s="73"/>
      <c r="J813" s="73"/>
      <c r="K813" s="73"/>
      <c r="L813" s="73"/>
      <c r="M813" s="73"/>
      <c r="N813" s="73"/>
      <c r="O813" s="73"/>
      <c r="P813" s="73"/>
      <c r="Q813" s="73"/>
      <c r="R813" s="73"/>
      <c r="S813" s="73"/>
      <c r="T813" s="73"/>
      <c r="U813" s="73"/>
      <c r="V813" s="73"/>
      <c r="W813" s="73"/>
      <c r="X813" s="73"/>
      <c r="Y813" s="73"/>
      <c r="Z813" s="73"/>
      <c r="AA813" s="73"/>
      <c r="AB813" s="73"/>
      <c r="AC813" s="73"/>
      <c r="AD813" s="73"/>
      <c r="AE813" s="73"/>
      <c r="AF813" s="73"/>
      <c r="AG813" s="73"/>
      <c r="AH813" s="73"/>
      <c r="AI813" s="73"/>
      <c r="AJ813" s="73"/>
    </row>
    <row r="814" spans="1:36" x14ac:dyDescent="0.25">
      <c r="A814" s="73"/>
      <c r="B814" s="73"/>
      <c r="C814" s="73"/>
      <c r="D814" s="73"/>
      <c r="E814" s="73"/>
      <c r="F814" s="73"/>
      <c r="G814" s="73"/>
      <c r="H814" s="73"/>
      <c r="I814" s="73"/>
      <c r="J814" s="73"/>
      <c r="K814" s="73"/>
      <c r="L814" s="73"/>
      <c r="M814" s="73"/>
      <c r="N814" s="73"/>
      <c r="O814" s="73"/>
      <c r="P814" s="73"/>
      <c r="Q814" s="73"/>
      <c r="R814" s="73"/>
      <c r="S814" s="73"/>
      <c r="T814" s="73"/>
      <c r="U814" s="73"/>
      <c r="V814" s="73"/>
      <c r="W814" s="73"/>
      <c r="X814" s="73"/>
      <c r="Y814" s="73"/>
      <c r="Z814" s="73"/>
      <c r="AA814" s="73"/>
      <c r="AB814" s="73"/>
      <c r="AC814" s="73"/>
      <c r="AD814" s="73"/>
      <c r="AE814" s="73"/>
      <c r="AF814" s="73"/>
      <c r="AG814" s="73"/>
      <c r="AH814" s="73"/>
      <c r="AI814" s="73"/>
      <c r="AJ814" s="73"/>
    </row>
    <row r="815" spans="1:36" x14ac:dyDescent="0.25">
      <c r="A815" s="73"/>
      <c r="B815" s="73"/>
      <c r="C815" s="73"/>
      <c r="D815" s="73"/>
      <c r="E815" s="73"/>
      <c r="F815" s="73"/>
      <c r="G815" s="73"/>
      <c r="H815" s="73"/>
      <c r="I815" s="73"/>
      <c r="J815" s="73"/>
      <c r="K815" s="73"/>
      <c r="L815" s="73"/>
      <c r="M815" s="73"/>
      <c r="N815" s="73"/>
      <c r="O815" s="73"/>
      <c r="P815" s="73"/>
      <c r="Q815" s="73"/>
      <c r="R815" s="73"/>
      <c r="S815" s="73"/>
      <c r="T815" s="73"/>
      <c r="U815" s="73"/>
      <c r="V815" s="73"/>
      <c r="W815" s="73"/>
      <c r="X815" s="73"/>
      <c r="Y815" s="73"/>
      <c r="Z815" s="73"/>
      <c r="AA815" s="73"/>
      <c r="AB815" s="73"/>
      <c r="AC815" s="73"/>
      <c r="AD815" s="73"/>
      <c r="AE815" s="73"/>
      <c r="AF815" s="73"/>
      <c r="AG815" s="73"/>
      <c r="AH815" s="73"/>
      <c r="AI815" s="73"/>
      <c r="AJ815" s="73"/>
    </row>
    <row r="816" spans="1:36" x14ac:dyDescent="0.25">
      <c r="A816" s="73"/>
      <c r="B816" s="73"/>
      <c r="C816" s="73"/>
      <c r="D816" s="73"/>
      <c r="E816" s="73"/>
      <c r="F816" s="73"/>
      <c r="G816" s="73"/>
      <c r="H816" s="73"/>
      <c r="I816" s="73"/>
      <c r="J816" s="73"/>
      <c r="K816" s="73"/>
      <c r="L816" s="73"/>
      <c r="M816" s="73"/>
      <c r="N816" s="73"/>
      <c r="O816" s="73"/>
      <c r="P816" s="73"/>
      <c r="Q816" s="73"/>
      <c r="R816" s="73"/>
      <c r="S816" s="73"/>
      <c r="T816" s="73"/>
      <c r="U816" s="73"/>
      <c r="V816" s="73"/>
      <c r="W816" s="73"/>
      <c r="X816" s="73"/>
      <c r="Y816" s="73"/>
      <c r="Z816" s="73"/>
      <c r="AA816" s="73"/>
      <c r="AB816" s="73"/>
      <c r="AC816" s="73"/>
      <c r="AD816" s="73"/>
      <c r="AE816" s="73"/>
      <c r="AF816" s="73"/>
      <c r="AG816" s="73"/>
      <c r="AH816" s="73"/>
      <c r="AI816" s="73"/>
      <c r="AJ816" s="73"/>
    </row>
    <row r="817" spans="1:36" x14ac:dyDescent="0.25">
      <c r="A817" s="73"/>
      <c r="B817" s="73"/>
      <c r="C817" s="73"/>
      <c r="D817" s="73"/>
      <c r="E817" s="73"/>
      <c r="F817" s="73"/>
      <c r="G817" s="73"/>
      <c r="H817" s="73"/>
      <c r="I817" s="73"/>
      <c r="J817" s="73"/>
      <c r="K817" s="73"/>
      <c r="L817" s="73"/>
      <c r="M817" s="73"/>
      <c r="N817" s="73"/>
      <c r="O817" s="73"/>
      <c r="P817" s="73"/>
      <c r="Q817" s="73"/>
      <c r="R817" s="73"/>
      <c r="S817" s="73"/>
      <c r="T817" s="73"/>
      <c r="U817" s="73"/>
      <c r="V817" s="73"/>
      <c r="W817" s="73"/>
      <c r="X817" s="73"/>
      <c r="Y817" s="73"/>
      <c r="Z817" s="73"/>
      <c r="AA817" s="73"/>
      <c r="AB817" s="73"/>
      <c r="AC817" s="73"/>
      <c r="AD817" s="73"/>
      <c r="AE817" s="73"/>
      <c r="AF817" s="73"/>
      <c r="AG817" s="73"/>
      <c r="AH817" s="73"/>
      <c r="AI817" s="73"/>
      <c r="AJ817" s="73"/>
    </row>
    <row r="818" spans="1:36" x14ac:dyDescent="0.25">
      <c r="A818" s="73"/>
      <c r="B818" s="73"/>
      <c r="C818" s="73"/>
      <c r="D818" s="73"/>
      <c r="E818" s="73"/>
      <c r="F818" s="73"/>
      <c r="G818" s="73"/>
      <c r="H818" s="73"/>
      <c r="I818" s="73"/>
      <c r="J818" s="73"/>
      <c r="K818" s="73"/>
      <c r="L818" s="73"/>
      <c r="M818" s="73"/>
      <c r="N818" s="73"/>
      <c r="O818" s="73"/>
      <c r="P818" s="73"/>
      <c r="Q818" s="73"/>
      <c r="R818" s="73"/>
      <c r="S818" s="73"/>
      <c r="T818" s="73"/>
      <c r="U818" s="73"/>
      <c r="V818" s="73"/>
      <c r="W818" s="73"/>
      <c r="X818" s="73"/>
      <c r="Y818" s="73"/>
      <c r="Z818" s="73"/>
      <c r="AA818" s="73"/>
      <c r="AB818" s="73"/>
      <c r="AC818" s="73"/>
      <c r="AD818" s="73"/>
      <c r="AE818" s="73"/>
      <c r="AF818" s="73"/>
      <c r="AG818" s="73"/>
      <c r="AH818" s="73"/>
      <c r="AI818" s="73"/>
      <c r="AJ818" s="73"/>
    </row>
    <row r="819" spans="1:36" x14ac:dyDescent="0.25">
      <c r="A819" s="73"/>
      <c r="B819" s="73"/>
      <c r="C819" s="73"/>
      <c r="D819" s="73"/>
      <c r="E819" s="73"/>
      <c r="F819" s="73"/>
      <c r="G819" s="73"/>
      <c r="H819" s="73"/>
      <c r="I819" s="73"/>
      <c r="J819" s="73"/>
      <c r="K819" s="73"/>
      <c r="L819" s="73"/>
      <c r="M819" s="73"/>
      <c r="N819" s="73"/>
      <c r="O819" s="73"/>
      <c r="P819" s="73"/>
      <c r="Q819" s="73"/>
      <c r="R819" s="73"/>
      <c r="S819" s="73"/>
      <c r="T819" s="73"/>
      <c r="U819" s="73"/>
      <c r="V819" s="73"/>
      <c r="W819" s="73"/>
      <c r="X819" s="73"/>
      <c r="Y819" s="73"/>
      <c r="Z819" s="73"/>
      <c r="AA819" s="73"/>
      <c r="AB819" s="73"/>
      <c r="AC819" s="73"/>
      <c r="AD819" s="73"/>
      <c r="AE819" s="73"/>
      <c r="AF819" s="73"/>
      <c r="AG819" s="73"/>
      <c r="AH819" s="73"/>
      <c r="AI819" s="73"/>
      <c r="AJ819" s="73"/>
    </row>
    <row r="820" spans="1:36" x14ac:dyDescent="0.25">
      <c r="A820" s="73"/>
      <c r="B820" s="73"/>
      <c r="C820" s="73"/>
      <c r="D820" s="73"/>
      <c r="E820" s="73"/>
      <c r="F820" s="73"/>
      <c r="G820" s="73"/>
      <c r="H820" s="73"/>
      <c r="I820" s="73"/>
      <c r="J820" s="73"/>
      <c r="K820" s="73"/>
      <c r="L820" s="73"/>
      <c r="M820" s="73"/>
      <c r="N820" s="73"/>
      <c r="O820" s="73"/>
      <c r="P820" s="73"/>
      <c r="Q820" s="73"/>
      <c r="R820" s="73"/>
      <c r="S820" s="73"/>
      <c r="T820" s="73"/>
      <c r="U820" s="73"/>
      <c r="V820" s="73"/>
      <c r="W820" s="73"/>
      <c r="X820" s="73"/>
      <c r="Y820" s="73"/>
      <c r="Z820" s="73"/>
      <c r="AA820" s="73"/>
      <c r="AB820" s="73"/>
      <c r="AC820" s="73"/>
      <c r="AD820" s="73"/>
      <c r="AE820" s="73"/>
      <c r="AF820" s="73"/>
      <c r="AG820" s="73"/>
      <c r="AH820" s="73"/>
      <c r="AI820" s="73"/>
      <c r="AJ820" s="73"/>
    </row>
    <row r="821" spans="1:36" x14ac:dyDescent="0.25">
      <c r="A821" s="73"/>
      <c r="B821" s="73"/>
      <c r="C821" s="73"/>
      <c r="D821" s="73"/>
      <c r="E821" s="73"/>
      <c r="F821" s="73"/>
      <c r="G821" s="73"/>
      <c r="H821" s="73"/>
      <c r="I821" s="73"/>
      <c r="J821" s="73"/>
      <c r="K821" s="73"/>
      <c r="L821" s="73"/>
      <c r="M821" s="73"/>
      <c r="N821" s="73"/>
      <c r="O821" s="73"/>
      <c r="P821" s="73"/>
      <c r="Q821" s="73"/>
      <c r="R821" s="73"/>
      <c r="S821" s="73"/>
      <c r="T821" s="73"/>
      <c r="U821" s="73"/>
      <c r="V821" s="73"/>
      <c r="W821" s="73"/>
      <c r="X821" s="73"/>
      <c r="Y821" s="73"/>
      <c r="Z821" s="73"/>
      <c r="AA821" s="73"/>
      <c r="AB821" s="73"/>
      <c r="AC821" s="73"/>
      <c r="AD821" s="73"/>
      <c r="AE821" s="73"/>
      <c r="AF821" s="73"/>
      <c r="AG821" s="73"/>
      <c r="AH821" s="73"/>
      <c r="AI821" s="73"/>
      <c r="AJ821" s="73"/>
    </row>
    <row r="822" spans="1:36" x14ac:dyDescent="0.25">
      <c r="A822" s="73"/>
      <c r="B822" s="73"/>
      <c r="C822" s="73"/>
      <c r="D822" s="73"/>
      <c r="E822" s="73"/>
      <c r="F822" s="73"/>
      <c r="G822" s="73"/>
      <c r="H822" s="73"/>
      <c r="I822" s="73"/>
      <c r="J822" s="73"/>
      <c r="K822" s="73"/>
      <c r="L822" s="73"/>
      <c r="M822" s="73"/>
      <c r="N822" s="73"/>
      <c r="O822" s="73"/>
      <c r="P822" s="73"/>
      <c r="Q822" s="73"/>
      <c r="R822" s="73"/>
      <c r="S822" s="73"/>
      <c r="T822" s="73"/>
      <c r="U822" s="73"/>
      <c r="V822" s="73"/>
      <c r="W822" s="73"/>
      <c r="X822" s="73"/>
      <c r="Y822" s="73"/>
      <c r="Z822" s="73"/>
      <c r="AA822" s="73"/>
      <c r="AB822" s="73"/>
      <c r="AC822" s="73"/>
      <c r="AD822" s="73"/>
      <c r="AE822" s="73"/>
      <c r="AF822" s="73"/>
      <c r="AG822" s="73"/>
      <c r="AH822" s="73"/>
      <c r="AI822" s="73"/>
      <c r="AJ822" s="73"/>
    </row>
    <row r="823" spans="1:36" x14ac:dyDescent="0.25">
      <c r="A823" s="73"/>
      <c r="B823" s="73"/>
      <c r="C823" s="73"/>
      <c r="D823" s="73"/>
      <c r="E823" s="73"/>
      <c r="F823" s="73"/>
      <c r="G823" s="73"/>
      <c r="H823" s="73"/>
      <c r="I823" s="73"/>
      <c r="J823" s="73"/>
      <c r="K823" s="73"/>
      <c r="L823" s="73"/>
      <c r="M823" s="73"/>
      <c r="N823" s="73"/>
      <c r="O823" s="73"/>
      <c r="P823" s="73"/>
      <c r="Q823" s="73"/>
      <c r="R823" s="73"/>
      <c r="S823" s="73"/>
      <c r="T823" s="73"/>
      <c r="U823" s="73"/>
      <c r="V823" s="73"/>
      <c r="W823" s="73"/>
      <c r="X823" s="73"/>
      <c r="Y823" s="73"/>
      <c r="Z823" s="73"/>
      <c r="AA823" s="73"/>
      <c r="AB823" s="73"/>
      <c r="AC823" s="73"/>
      <c r="AD823" s="73"/>
      <c r="AE823" s="73"/>
      <c r="AF823" s="73"/>
      <c r="AG823" s="73"/>
      <c r="AH823" s="73"/>
      <c r="AI823" s="73"/>
      <c r="AJ823" s="73"/>
    </row>
    <row r="824" spans="1:36" x14ac:dyDescent="0.25">
      <c r="A824" s="73"/>
      <c r="B824" s="73"/>
      <c r="C824" s="73"/>
      <c r="D824" s="73"/>
      <c r="E824" s="73"/>
      <c r="F824" s="73"/>
      <c r="G824" s="73"/>
      <c r="H824" s="73"/>
      <c r="I824" s="73"/>
      <c r="J824" s="73"/>
      <c r="K824" s="73"/>
      <c r="L824" s="73"/>
      <c r="M824" s="73"/>
      <c r="N824" s="73"/>
      <c r="O824" s="73"/>
      <c r="P824" s="73"/>
      <c r="Q824" s="73"/>
      <c r="R824" s="73"/>
      <c r="S824" s="73"/>
      <c r="T824" s="73"/>
      <c r="U824" s="73"/>
      <c r="V824" s="73"/>
      <c r="W824" s="73"/>
      <c r="X824" s="73"/>
      <c r="Y824" s="73"/>
      <c r="Z824" s="73"/>
      <c r="AA824" s="73"/>
      <c r="AB824" s="73"/>
      <c r="AC824" s="73"/>
      <c r="AD824" s="73"/>
      <c r="AE824" s="73"/>
      <c r="AF824" s="73"/>
      <c r="AG824" s="73"/>
      <c r="AH824" s="73"/>
      <c r="AI824" s="73"/>
      <c r="AJ824" s="73"/>
    </row>
    <row r="825" spans="1:36" x14ac:dyDescent="0.25">
      <c r="A825" s="73"/>
      <c r="B825" s="73"/>
      <c r="C825" s="73"/>
      <c r="D825" s="73"/>
      <c r="E825" s="73"/>
      <c r="F825" s="73"/>
      <c r="G825" s="73"/>
      <c r="H825" s="73"/>
      <c r="I825" s="73"/>
      <c r="J825" s="73"/>
      <c r="K825" s="73"/>
      <c r="L825" s="73"/>
      <c r="M825" s="73"/>
      <c r="N825" s="73"/>
      <c r="O825" s="73"/>
      <c r="P825" s="73"/>
      <c r="Q825" s="73"/>
      <c r="R825" s="73"/>
      <c r="S825" s="73"/>
      <c r="T825" s="73"/>
      <c r="U825" s="73"/>
      <c r="V825" s="73"/>
      <c r="W825" s="73"/>
      <c r="X825" s="73"/>
      <c r="Y825" s="73"/>
      <c r="Z825" s="73"/>
      <c r="AA825" s="73"/>
      <c r="AB825" s="73"/>
      <c r="AC825" s="73"/>
      <c r="AD825" s="73"/>
      <c r="AE825" s="73"/>
      <c r="AF825" s="73"/>
      <c r="AG825" s="73"/>
      <c r="AH825" s="73"/>
      <c r="AI825" s="73"/>
      <c r="AJ825" s="73"/>
    </row>
    <row r="826" spans="1:36" x14ac:dyDescent="0.25">
      <c r="A826" s="73"/>
      <c r="B826" s="73"/>
      <c r="C826" s="73"/>
      <c r="D826" s="73"/>
      <c r="E826" s="73"/>
      <c r="F826" s="73"/>
      <c r="G826" s="73"/>
      <c r="H826" s="73"/>
      <c r="I826" s="73"/>
      <c r="J826" s="73"/>
      <c r="K826" s="73"/>
      <c r="L826" s="73"/>
      <c r="M826" s="73"/>
      <c r="N826" s="73"/>
      <c r="O826" s="73"/>
      <c r="P826" s="73"/>
      <c r="Q826" s="73"/>
      <c r="R826" s="73"/>
      <c r="S826" s="73"/>
      <c r="T826" s="73"/>
      <c r="U826" s="73"/>
      <c r="V826" s="73"/>
      <c r="W826" s="73"/>
      <c r="X826" s="73"/>
      <c r="Y826" s="73"/>
      <c r="Z826" s="73"/>
      <c r="AA826" s="73"/>
      <c r="AB826" s="73"/>
      <c r="AC826" s="73"/>
      <c r="AD826" s="73"/>
      <c r="AE826" s="73"/>
      <c r="AF826" s="73"/>
      <c r="AG826" s="73"/>
      <c r="AH826" s="73"/>
      <c r="AI826" s="73"/>
      <c r="AJ826" s="73"/>
    </row>
    <row r="827" spans="1:36" x14ac:dyDescent="0.25">
      <c r="A827" s="73"/>
      <c r="B827" s="73"/>
      <c r="C827" s="73"/>
      <c r="D827" s="73"/>
      <c r="E827" s="73"/>
      <c r="F827" s="73"/>
      <c r="G827" s="73"/>
      <c r="H827" s="73"/>
      <c r="I827" s="73"/>
      <c r="J827" s="73"/>
      <c r="K827" s="73"/>
      <c r="L827" s="73"/>
      <c r="M827" s="73"/>
      <c r="N827" s="73"/>
      <c r="O827" s="73"/>
      <c r="P827" s="73"/>
      <c r="Q827" s="73"/>
      <c r="R827" s="73"/>
      <c r="S827" s="73"/>
      <c r="T827" s="73"/>
      <c r="U827" s="73"/>
      <c r="V827" s="73"/>
      <c r="W827" s="73"/>
      <c r="X827" s="73"/>
      <c r="Y827" s="73"/>
      <c r="Z827" s="73"/>
      <c r="AA827" s="73"/>
      <c r="AB827" s="73"/>
      <c r="AC827" s="73"/>
      <c r="AD827" s="73"/>
      <c r="AE827" s="73"/>
      <c r="AF827" s="73"/>
      <c r="AG827" s="73"/>
      <c r="AH827" s="73"/>
      <c r="AI827" s="73"/>
      <c r="AJ827" s="73"/>
    </row>
    <row r="828" spans="1:36" x14ac:dyDescent="0.25">
      <c r="A828" s="73"/>
      <c r="B828" s="73"/>
      <c r="C828" s="73"/>
      <c r="D828" s="73"/>
      <c r="E828" s="73"/>
      <c r="F828" s="73"/>
      <c r="G828" s="73"/>
      <c r="H828" s="73"/>
      <c r="I828" s="73"/>
      <c r="J828" s="73"/>
      <c r="K828" s="73"/>
      <c r="L828" s="73"/>
      <c r="M828" s="73"/>
      <c r="N828" s="73"/>
      <c r="O828" s="73"/>
      <c r="P828" s="73"/>
      <c r="Q828" s="73"/>
      <c r="R828" s="73"/>
      <c r="S828" s="73"/>
      <c r="T828" s="73"/>
      <c r="U828" s="73"/>
      <c r="V828" s="73"/>
      <c r="W828" s="73"/>
      <c r="X828" s="73"/>
      <c r="Y828" s="73"/>
      <c r="Z828" s="73"/>
      <c r="AA828" s="73"/>
      <c r="AB828" s="73"/>
      <c r="AC828" s="73"/>
      <c r="AD828" s="73"/>
      <c r="AE828" s="73"/>
      <c r="AF828" s="73"/>
      <c r="AG828" s="73"/>
      <c r="AH828" s="73"/>
      <c r="AI828" s="73"/>
      <c r="AJ828" s="73"/>
    </row>
    <row r="829" spans="1:36" x14ac:dyDescent="0.25">
      <c r="A829" s="73"/>
      <c r="B829" s="73"/>
      <c r="C829" s="73"/>
      <c r="D829" s="73"/>
      <c r="E829" s="73"/>
      <c r="F829" s="73"/>
      <c r="G829" s="73"/>
      <c r="H829" s="73"/>
      <c r="I829" s="73"/>
      <c r="J829" s="73"/>
      <c r="K829" s="73"/>
      <c r="L829" s="73"/>
      <c r="M829" s="73"/>
      <c r="N829" s="73"/>
      <c r="O829" s="73"/>
      <c r="P829" s="73"/>
      <c r="Q829" s="73"/>
      <c r="R829" s="73"/>
      <c r="S829" s="73"/>
      <c r="T829" s="73"/>
      <c r="U829" s="73"/>
      <c r="V829" s="73"/>
      <c r="W829" s="73"/>
      <c r="X829" s="73"/>
      <c r="Y829" s="73"/>
      <c r="Z829" s="73"/>
      <c r="AA829" s="73"/>
      <c r="AB829" s="73"/>
      <c r="AC829" s="73"/>
      <c r="AD829" s="73"/>
      <c r="AE829" s="73"/>
      <c r="AF829" s="73"/>
      <c r="AG829" s="73"/>
      <c r="AH829" s="73"/>
      <c r="AI829" s="73"/>
      <c r="AJ829" s="73"/>
    </row>
    <row r="830" spans="1:36" x14ac:dyDescent="0.25">
      <c r="A830" s="73"/>
      <c r="B830" s="73"/>
      <c r="C830" s="73"/>
      <c r="D830" s="73"/>
      <c r="E830" s="73"/>
      <c r="F830" s="73"/>
      <c r="G830" s="73"/>
      <c r="H830" s="73"/>
      <c r="I830" s="73"/>
      <c r="J830" s="73"/>
      <c r="K830" s="73"/>
      <c r="L830" s="73"/>
      <c r="M830" s="73"/>
      <c r="N830" s="73"/>
      <c r="O830" s="73"/>
      <c r="P830" s="73"/>
      <c r="Q830" s="73"/>
      <c r="R830" s="73"/>
      <c r="S830" s="73"/>
      <c r="T830" s="73"/>
      <c r="U830" s="73"/>
      <c r="V830" s="73"/>
      <c r="W830" s="73"/>
      <c r="X830" s="73"/>
      <c r="Y830" s="73"/>
      <c r="Z830" s="73"/>
      <c r="AA830" s="73"/>
      <c r="AB830" s="73"/>
      <c r="AC830" s="73"/>
      <c r="AD830" s="73"/>
      <c r="AE830" s="73"/>
      <c r="AF830" s="73"/>
      <c r="AG830" s="73"/>
      <c r="AH830" s="73"/>
      <c r="AI830" s="73"/>
      <c r="AJ830" s="73"/>
    </row>
    <row r="831" spans="1:36" x14ac:dyDescent="0.25">
      <c r="A831" s="73"/>
      <c r="B831" s="73"/>
      <c r="C831" s="73"/>
      <c r="D831" s="73"/>
      <c r="E831" s="73"/>
      <c r="F831" s="73"/>
      <c r="G831" s="73"/>
      <c r="H831" s="73"/>
      <c r="I831" s="73"/>
      <c r="J831" s="73"/>
      <c r="K831" s="73"/>
      <c r="L831" s="73"/>
      <c r="M831" s="73"/>
      <c r="N831" s="73"/>
      <c r="O831" s="73"/>
      <c r="P831" s="73"/>
      <c r="Q831" s="73"/>
      <c r="R831" s="73"/>
      <c r="S831" s="73"/>
      <c r="T831" s="73"/>
      <c r="U831" s="73"/>
      <c r="V831" s="73"/>
      <c r="W831" s="73"/>
      <c r="X831" s="73"/>
      <c r="Y831" s="73"/>
      <c r="Z831" s="73"/>
      <c r="AA831" s="73"/>
      <c r="AB831" s="73"/>
      <c r="AC831" s="73"/>
      <c r="AD831" s="73"/>
      <c r="AE831" s="73"/>
      <c r="AF831" s="73"/>
      <c r="AG831" s="73"/>
      <c r="AH831" s="73"/>
      <c r="AI831" s="73"/>
      <c r="AJ831" s="73"/>
    </row>
    <row r="832" spans="1:36" x14ac:dyDescent="0.25">
      <c r="A832" s="73"/>
      <c r="B832" s="73"/>
      <c r="C832" s="73"/>
      <c r="D832" s="73"/>
      <c r="E832" s="73"/>
      <c r="F832" s="73"/>
      <c r="G832" s="73"/>
      <c r="H832" s="73"/>
      <c r="I832" s="73"/>
      <c r="J832" s="73"/>
      <c r="K832" s="73"/>
      <c r="L832" s="73"/>
      <c r="M832" s="73"/>
      <c r="N832" s="73"/>
      <c r="O832" s="73"/>
      <c r="P832" s="73"/>
      <c r="Q832" s="73"/>
      <c r="R832" s="73"/>
      <c r="S832" s="73"/>
      <c r="T832" s="73"/>
      <c r="U832" s="73"/>
      <c r="V832" s="73"/>
      <c r="W832" s="73"/>
      <c r="X832" s="73"/>
      <c r="Y832" s="73"/>
      <c r="Z832" s="73"/>
      <c r="AA832" s="73"/>
      <c r="AB832" s="73"/>
      <c r="AC832" s="73"/>
      <c r="AD832" s="73"/>
      <c r="AE832" s="73"/>
      <c r="AF832" s="73"/>
      <c r="AG832" s="73"/>
      <c r="AH832" s="73"/>
      <c r="AI832" s="73"/>
      <c r="AJ832" s="73"/>
    </row>
    <row r="833" spans="1:36" x14ac:dyDescent="0.25">
      <c r="A833" s="73"/>
      <c r="B833" s="73"/>
      <c r="C833" s="73"/>
      <c r="D833" s="73"/>
      <c r="E833" s="73"/>
      <c r="F833" s="73"/>
      <c r="G833" s="73"/>
      <c r="H833" s="73"/>
      <c r="I833" s="73"/>
      <c r="J833" s="73"/>
      <c r="K833" s="73"/>
      <c r="L833" s="73"/>
      <c r="M833" s="73"/>
      <c r="N833" s="73"/>
      <c r="O833" s="73"/>
      <c r="P833" s="73"/>
      <c r="Q833" s="73"/>
      <c r="R833" s="73"/>
      <c r="S833" s="73"/>
      <c r="T833" s="73"/>
      <c r="U833" s="73"/>
      <c r="V833" s="73"/>
      <c r="W833" s="73"/>
      <c r="X833" s="73"/>
      <c r="Y833" s="73"/>
      <c r="Z833" s="73"/>
      <c r="AA833" s="73"/>
      <c r="AB833" s="73"/>
      <c r="AC833" s="73"/>
      <c r="AD833" s="73"/>
      <c r="AE833" s="73"/>
      <c r="AF833" s="73"/>
      <c r="AG833" s="73"/>
      <c r="AH833" s="73"/>
      <c r="AI833" s="73"/>
      <c r="AJ833" s="73"/>
    </row>
    <row r="834" spans="1:36" x14ac:dyDescent="0.25">
      <c r="A834" s="73"/>
      <c r="B834" s="73"/>
      <c r="C834" s="73"/>
      <c r="D834" s="73"/>
      <c r="E834" s="73"/>
      <c r="F834" s="73"/>
      <c r="G834" s="73"/>
      <c r="H834" s="73"/>
      <c r="I834" s="73"/>
      <c r="J834" s="73"/>
      <c r="K834" s="73"/>
      <c r="L834" s="73"/>
      <c r="M834" s="73"/>
      <c r="N834" s="73"/>
      <c r="O834" s="73"/>
      <c r="P834" s="73"/>
      <c r="Q834" s="73"/>
      <c r="R834" s="73"/>
      <c r="S834" s="73"/>
      <c r="T834" s="73"/>
      <c r="U834" s="73"/>
      <c r="V834" s="73"/>
      <c r="W834" s="73"/>
      <c r="X834" s="73"/>
      <c r="Y834" s="73"/>
      <c r="Z834" s="73"/>
      <c r="AA834" s="73"/>
      <c r="AB834" s="73"/>
      <c r="AC834" s="73"/>
      <c r="AD834" s="73"/>
      <c r="AE834" s="73"/>
      <c r="AF834" s="73"/>
      <c r="AG834" s="73"/>
      <c r="AH834" s="73"/>
      <c r="AI834" s="73"/>
      <c r="AJ834" s="73"/>
    </row>
    <row r="835" spans="1:36" x14ac:dyDescent="0.25">
      <c r="A835" s="73"/>
      <c r="B835" s="73"/>
      <c r="C835" s="73"/>
      <c r="D835" s="73"/>
      <c r="E835" s="73"/>
      <c r="F835" s="73"/>
      <c r="G835" s="73"/>
      <c r="H835" s="73"/>
      <c r="I835" s="73"/>
      <c r="J835" s="73"/>
      <c r="K835" s="73"/>
      <c r="L835" s="73"/>
      <c r="M835" s="73"/>
      <c r="N835" s="73"/>
      <c r="O835" s="73"/>
      <c r="P835" s="73"/>
      <c r="Q835" s="73"/>
      <c r="R835" s="73"/>
      <c r="S835" s="73"/>
      <c r="T835" s="73"/>
      <c r="U835" s="73"/>
      <c r="V835" s="73"/>
      <c r="W835" s="73"/>
      <c r="X835" s="73"/>
      <c r="Y835" s="73"/>
      <c r="Z835" s="73"/>
      <c r="AA835" s="73"/>
      <c r="AB835" s="73"/>
      <c r="AC835" s="73"/>
      <c r="AD835" s="73"/>
      <c r="AE835" s="73"/>
      <c r="AF835" s="73"/>
      <c r="AG835" s="73"/>
      <c r="AH835" s="73"/>
      <c r="AI835" s="73"/>
      <c r="AJ835" s="73"/>
    </row>
    <row r="836" spans="1:36" x14ac:dyDescent="0.25">
      <c r="A836" s="73"/>
      <c r="B836" s="73"/>
      <c r="C836" s="73"/>
      <c r="D836" s="73"/>
      <c r="E836" s="73"/>
      <c r="F836" s="73"/>
      <c r="G836" s="73"/>
      <c r="H836" s="73"/>
      <c r="I836" s="73"/>
      <c r="J836" s="73"/>
      <c r="K836" s="73"/>
      <c r="L836" s="73"/>
      <c r="M836" s="73"/>
      <c r="N836" s="73"/>
      <c r="O836" s="73"/>
      <c r="P836" s="73"/>
      <c r="Q836" s="73"/>
      <c r="R836" s="73"/>
      <c r="S836" s="73"/>
      <c r="T836" s="73"/>
      <c r="U836" s="73"/>
      <c r="V836" s="73"/>
      <c r="W836" s="73"/>
      <c r="X836" s="73"/>
      <c r="Y836" s="73"/>
      <c r="Z836" s="73"/>
      <c r="AA836" s="73"/>
      <c r="AB836" s="73"/>
      <c r="AC836" s="73"/>
      <c r="AD836" s="73"/>
      <c r="AE836" s="73"/>
      <c r="AF836" s="73"/>
      <c r="AG836" s="73"/>
      <c r="AH836" s="73"/>
      <c r="AI836" s="73"/>
      <c r="AJ836" s="73"/>
    </row>
    <row r="837" spans="1:36" x14ac:dyDescent="0.25">
      <c r="A837" s="73"/>
      <c r="B837" s="73"/>
      <c r="C837" s="73"/>
      <c r="D837" s="73"/>
      <c r="E837" s="73"/>
      <c r="F837" s="73"/>
      <c r="G837" s="73"/>
      <c r="H837" s="73"/>
      <c r="I837" s="73"/>
      <c r="J837" s="73"/>
      <c r="K837" s="73"/>
      <c r="L837" s="73"/>
      <c r="M837" s="73"/>
      <c r="N837" s="73"/>
      <c r="O837" s="73"/>
      <c r="P837" s="73"/>
      <c r="Q837" s="73"/>
      <c r="R837" s="73"/>
      <c r="S837" s="73"/>
      <c r="T837" s="73"/>
      <c r="U837" s="73"/>
      <c r="V837" s="73"/>
      <c r="W837" s="73"/>
      <c r="X837" s="73"/>
      <c r="Y837" s="73"/>
      <c r="Z837" s="73"/>
      <c r="AA837" s="73"/>
      <c r="AB837" s="73"/>
      <c r="AC837" s="73"/>
      <c r="AD837" s="73"/>
      <c r="AE837" s="73"/>
      <c r="AF837" s="73"/>
      <c r="AG837" s="73"/>
      <c r="AH837" s="73"/>
      <c r="AI837" s="73"/>
      <c r="AJ837" s="73"/>
    </row>
    <row r="838" spans="1:36" x14ac:dyDescent="0.25">
      <c r="A838" s="73"/>
      <c r="B838" s="73"/>
      <c r="C838" s="73"/>
      <c r="D838" s="73"/>
      <c r="E838" s="73"/>
      <c r="F838" s="73"/>
      <c r="G838" s="73"/>
      <c r="H838" s="73"/>
      <c r="I838" s="73"/>
      <c r="J838" s="73"/>
      <c r="K838" s="73"/>
      <c r="L838" s="73"/>
      <c r="M838" s="73"/>
      <c r="N838" s="73"/>
      <c r="O838" s="73"/>
      <c r="P838" s="73"/>
      <c r="Q838" s="73"/>
      <c r="R838" s="73"/>
      <c r="S838" s="73"/>
      <c r="T838" s="73"/>
      <c r="U838" s="73"/>
      <c r="V838" s="73"/>
      <c r="W838" s="73"/>
      <c r="X838" s="73"/>
      <c r="Y838" s="73"/>
      <c r="Z838" s="73"/>
      <c r="AA838" s="73"/>
      <c r="AB838" s="73"/>
      <c r="AC838" s="73"/>
      <c r="AD838" s="73"/>
      <c r="AE838" s="73"/>
      <c r="AF838" s="73"/>
      <c r="AG838" s="73"/>
      <c r="AH838" s="73"/>
      <c r="AI838" s="73"/>
      <c r="AJ838" s="73"/>
    </row>
    <row r="839" spans="1:36" x14ac:dyDescent="0.25">
      <c r="A839" s="73"/>
      <c r="B839" s="73"/>
      <c r="C839" s="73"/>
      <c r="D839" s="73"/>
      <c r="E839" s="73"/>
      <c r="F839" s="73"/>
      <c r="G839" s="73"/>
      <c r="H839" s="73"/>
      <c r="I839" s="73"/>
      <c r="J839" s="73"/>
      <c r="K839" s="73"/>
      <c r="L839" s="73"/>
      <c r="M839" s="73"/>
      <c r="N839" s="73"/>
      <c r="O839" s="73"/>
      <c r="P839" s="73"/>
      <c r="Q839" s="73"/>
      <c r="R839" s="73"/>
      <c r="S839" s="73"/>
      <c r="T839" s="73"/>
      <c r="U839" s="73"/>
      <c r="V839" s="73"/>
      <c r="W839" s="73"/>
      <c r="X839" s="73"/>
      <c r="Y839" s="73"/>
      <c r="Z839" s="73"/>
      <c r="AA839" s="73"/>
      <c r="AB839" s="73"/>
      <c r="AC839" s="73"/>
      <c r="AD839" s="73"/>
      <c r="AE839" s="73"/>
      <c r="AF839" s="73"/>
      <c r="AG839" s="73"/>
      <c r="AH839" s="73"/>
      <c r="AI839" s="73"/>
      <c r="AJ839" s="73"/>
    </row>
    <row r="840" spans="1:36" x14ac:dyDescent="0.25">
      <c r="A840" s="73"/>
      <c r="B840" s="73"/>
      <c r="C840" s="73"/>
      <c r="D840" s="73"/>
      <c r="E840" s="73"/>
      <c r="F840" s="73"/>
      <c r="G840" s="73"/>
      <c r="H840" s="73"/>
      <c r="I840" s="73"/>
      <c r="J840" s="73"/>
      <c r="K840" s="73"/>
      <c r="L840" s="73"/>
      <c r="M840" s="73"/>
      <c r="N840" s="73"/>
      <c r="O840" s="73"/>
      <c r="P840" s="73"/>
      <c r="Q840" s="73"/>
      <c r="R840" s="73"/>
      <c r="S840" s="73"/>
      <c r="T840" s="73"/>
      <c r="U840" s="73"/>
      <c r="V840" s="73"/>
      <c r="W840" s="73"/>
      <c r="X840" s="73"/>
      <c r="Y840" s="73"/>
      <c r="Z840" s="73"/>
      <c r="AA840" s="73"/>
      <c r="AB840" s="73"/>
      <c r="AC840" s="73"/>
      <c r="AD840" s="73"/>
      <c r="AE840" s="73"/>
      <c r="AF840" s="73"/>
      <c r="AG840" s="73"/>
      <c r="AH840" s="73"/>
      <c r="AI840" s="73"/>
      <c r="AJ840" s="73"/>
    </row>
    <row r="841" spans="1:36" x14ac:dyDescent="0.25">
      <c r="A841" s="73"/>
      <c r="B841" s="73"/>
      <c r="C841" s="73"/>
      <c r="D841" s="73"/>
      <c r="E841" s="73"/>
      <c r="F841" s="73"/>
      <c r="G841" s="73"/>
      <c r="H841" s="73"/>
      <c r="I841" s="73"/>
      <c r="J841" s="73"/>
      <c r="K841" s="73"/>
      <c r="L841" s="73"/>
      <c r="M841" s="73"/>
      <c r="N841" s="73"/>
      <c r="O841" s="73"/>
      <c r="P841" s="73"/>
      <c r="Q841" s="73"/>
      <c r="R841" s="73"/>
      <c r="S841" s="73"/>
      <c r="T841" s="73"/>
      <c r="U841" s="73"/>
      <c r="V841" s="73"/>
      <c r="W841" s="73"/>
      <c r="X841" s="73"/>
      <c r="Y841" s="73"/>
      <c r="Z841" s="73"/>
      <c r="AA841" s="73"/>
      <c r="AB841" s="73"/>
      <c r="AC841" s="73"/>
      <c r="AD841" s="73"/>
      <c r="AE841" s="73"/>
      <c r="AF841" s="73"/>
      <c r="AG841" s="73"/>
      <c r="AH841" s="73"/>
      <c r="AI841" s="73"/>
      <c r="AJ841" s="73"/>
    </row>
    <row r="842" spans="1:36" x14ac:dyDescent="0.25">
      <c r="A842" s="73"/>
      <c r="B842" s="73"/>
      <c r="C842" s="73"/>
      <c r="D842" s="73"/>
      <c r="E842" s="73"/>
      <c r="F842" s="73"/>
      <c r="G842" s="73"/>
      <c r="H842" s="73"/>
      <c r="I842" s="73"/>
      <c r="J842" s="73"/>
      <c r="K842" s="73"/>
      <c r="L842" s="73"/>
      <c r="M842" s="73"/>
      <c r="N842" s="73"/>
      <c r="O842" s="73"/>
      <c r="P842" s="73"/>
      <c r="Q842" s="73"/>
      <c r="R842" s="73"/>
      <c r="S842" s="73"/>
      <c r="T842" s="73"/>
      <c r="U842" s="73"/>
      <c r="V842" s="73"/>
      <c r="W842" s="73"/>
      <c r="X842" s="73"/>
      <c r="Y842" s="73"/>
      <c r="Z842" s="73"/>
      <c r="AA842" s="73"/>
      <c r="AB842" s="73"/>
      <c r="AC842" s="73"/>
      <c r="AD842" s="73"/>
      <c r="AE842" s="73"/>
      <c r="AF842" s="73"/>
      <c r="AG842" s="73"/>
      <c r="AH842" s="73"/>
      <c r="AI842" s="73"/>
      <c r="AJ842" s="73"/>
    </row>
    <row r="843" spans="1:36" x14ac:dyDescent="0.25">
      <c r="A843" s="73"/>
      <c r="B843" s="73"/>
      <c r="C843" s="73"/>
      <c r="D843" s="73"/>
      <c r="E843" s="73"/>
      <c r="F843" s="73"/>
      <c r="G843" s="73"/>
      <c r="H843" s="73"/>
      <c r="I843" s="73"/>
      <c r="J843" s="73"/>
      <c r="K843" s="73"/>
      <c r="L843" s="73"/>
      <c r="M843" s="73"/>
      <c r="N843" s="73"/>
      <c r="O843" s="73"/>
      <c r="P843" s="73"/>
      <c r="Q843" s="73"/>
      <c r="R843" s="73"/>
      <c r="S843" s="73"/>
      <c r="T843" s="73"/>
      <c r="U843" s="73"/>
      <c r="V843" s="73"/>
      <c r="W843" s="73"/>
      <c r="X843" s="73"/>
      <c r="Y843" s="73"/>
      <c r="Z843" s="73"/>
      <c r="AA843" s="73"/>
      <c r="AB843" s="73"/>
      <c r="AC843" s="73"/>
      <c r="AD843" s="73"/>
      <c r="AE843" s="73"/>
      <c r="AF843" s="73"/>
      <c r="AG843" s="73"/>
      <c r="AH843" s="73"/>
      <c r="AI843" s="73"/>
      <c r="AJ843" s="73"/>
    </row>
    <row r="844" spans="1:36" x14ac:dyDescent="0.25">
      <c r="A844" s="73"/>
      <c r="B844" s="73"/>
      <c r="C844" s="73"/>
      <c r="D844" s="73"/>
      <c r="E844" s="73"/>
      <c r="F844" s="73"/>
      <c r="G844" s="73"/>
      <c r="H844" s="73"/>
      <c r="I844" s="73"/>
      <c r="J844" s="73"/>
      <c r="K844" s="73"/>
      <c r="L844" s="73"/>
      <c r="M844" s="73"/>
      <c r="N844" s="73"/>
      <c r="O844" s="73"/>
      <c r="P844" s="73"/>
      <c r="Q844" s="73"/>
      <c r="R844" s="73"/>
      <c r="S844" s="73"/>
      <c r="T844" s="73"/>
      <c r="U844" s="73"/>
      <c r="V844" s="73"/>
      <c r="W844" s="73"/>
      <c r="X844" s="73"/>
      <c r="Y844" s="73"/>
      <c r="Z844" s="73"/>
      <c r="AA844" s="73"/>
      <c r="AB844" s="73"/>
      <c r="AC844" s="73"/>
      <c r="AD844" s="73"/>
      <c r="AE844" s="73"/>
      <c r="AF844" s="73"/>
      <c r="AG844" s="73"/>
      <c r="AH844" s="73"/>
      <c r="AI844" s="73"/>
      <c r="AJ844" s="73"/>
    </row>
    <row r="845" spans="1:36" x14ac:dyDescent="0.25">
      <c r="A845" s="73"/>
      <c r="B845" s="73"/>
      <c r="C845" s="73"/>
      <c r="D845" s="73"/>
      <c r="E845" s="73"/>
      <c r="F845" s="73"/>
      <c r="G845" s="73"/>
      <c r="H845" s="73"/>
      <c r="I845" s="73"/>
      <c r="J845" s="73"/>
      <c r="K845" s="73"/>
      <c r="L845" s="73"/>
      <c r="M845" s="73"/>
      <c r="N845" s="73"/>
      <c r="O845" s="73"/>
      <c r="P845" s="73"/>
      <c r="Q845" s="73"/>
      <c r="R845" s="73"/>
      <c r="S845" s="73"/>
      <c r="T845" s="73"/>
      <c r="U845" s="73"/>
      <c r="V845" s="73"/>
      <c r="W845" s="73"/>
      <c r="X845" s="73"/>
      <c r="Y845" s="73"/>
      <c r="Z845" s="73"/>
      <c r="AA845" s="73"/>
      <c r="AB845" s="73"/>
      <c r="AC845" s="73"/>
      <c r="AD845" s="73"/>
      <c r="AE845" s="73"/>
      <c r="AF845" s="73"/>
      <c r="AG845" s="73"/>
      <c r="AH845" s="73"/>
      <c r="AI845" s="73"/>
      <c r="AJ845" s="73"/>
    </row>
    <row r="846" spans="1:36" x14ac:dyDescent="0.25">
      <c r="A846" s="73"/>
      <c r="B846" s="73"/>
      <c r="C846" s="73"/>
      <c r="D846" s="73"/>
      <c r="E846" s="73"/>
      <c r="F846" s="73"/>
      <c r="G846" s="73"/>
      <c r="H846" s="73"/>
      <c r="I846" s="73"/>
      <c r="J846" s="73"/>
      <c r="K846" s="73"/>
      <c r="L846" s="73"/>
      <c r="M846" s="73"/>
      <c r="N846" s="73"/>
      <c r="O846" s="73"/>
      <c r="P846" s="73"/>
      <c r="Q846" s="73"/>
      <c r="R846" s="73"/>
      <c r="S846" s="73"/>
      <c r="T846" s="73"/>
      <c r="U846" s="73"/>
      <c r="V846" s="73"/>
      <c r="W846" s="73"/>
      <c r="X846" s="73"/>
      <c r="Y846" s="73"/>
      <c r="Z846" s="73"/>
      <c r="AA846" s="73"/>
      <c r="AB846" s="73"/>
      <c r="AC846" s="73"/>
      <c r="AD846" s="73"/>
      <c r="AE846" s="73"/>
      <c r="AF846" s="73"/>
      <c r="AG846" s="73"/>
      <c r="AH846" s="73"/>
      <c r="AI846" s="73"/>
      <c r="AJ846" s="73"/>
    </row>
    <row r="847" spans="1:36" x14ac:dyDescent="0.25">
      <c r="A847" s="73"/>
      <c r="B847" s="73"/>
      <c r="C847" s="73"/>
      <c r="D847" s="73"/>
      <c r="E847" s="73"/>
      <c r="F847" s="73"/>
      <c r="G847" s="73"/>
      <c r="H847" s="73"/>
      <c r="I847" s="73"/>
      <c r="J847" s="73"/>
      <c r="K847" s="73"/>
      <c r="L847" s="73"/>
      <c r="M847" s="73"/>
      <c r="N847" s="73"/>
      <c r="O847" s="73"/>
      <c r="P847" s="73"/>
      <c r="Q847" s="73"/>
      <c r="R847" s="73"/>
      <c r="S847" s="73"/>
      <c r="T847" s="73"/>
      <c r="U847" s="73"/>
      <c r="V847" s="73"/>
      <c r="W847" s="73"/>
      <c r="X847" s="73"/>
      <c r="Y847" s="73"/>
      <c r="Z847" s="73"/>
      <c r="AA847" s="73"/>
      <c r="AB847" s="73"/>
      <c r="AC847" s="73"/>
      <c r="AD847" s="73"/>
      <c r="AE847" s="73"/>
      <c r="AF847" s="73"/>
      <c r="AG847" s="73"/>
      <c r="AH847" s="73"/>
      <c r="AI847" s="73"/>
      <c r="AJ847" s="73"/>
    </row>
    <row r="848" spans="1:36" x14ac:dyDescent="0.25">
      <c r="A848" s="73"/>
      <c r="B848" s="73"/>
      <c r="C848" s="73"/>
      <c r="D848" s="73"/>
      <c r="E848" s="73"/>
      <c r="F848" s="73"/>
      <c r="G848" s="73"/>
      <c r="H848" s="73"/>
      <c r="I848" s="73"/>
      <c r="J848" s="73"/>
      <c r="K848" s="73"/>
      <c r="L848" s="73"/>
      <c r="M848" s="73"/>
      <c r="N848" s="73"/>
      <c r="O848" s="73"/>
      <c r="P848" s="73"/>
      <c r="Q848" s="73"/>
      <c r="R848" s="73"/>
      <c r="S848" s="73"/>
      <c r="T848" s="73"/>
      <c r="U848" s="73"/>
      <c r="V848" s="73"/>
      <c r="W848" s="73"/>
      <c r="X848" s="73"/>
      <c r="Y848" s="73"/>
      <c r="Z848" s="73"/>
      <c r="AA848" s="73"/>
      <c r="AB848" s="73"/>
      <c r="AC848" s="73"/>
      <c r="AD848" s="73"/>
      <c r="AE848" s="73"/>
      <c r="AF848" s="73"/>
      <c r="AG848" s="73"/>
      <c r="AH848" s="73"/>
      <c r="AI848" s="73"/>
      <c r="AJ848" s="73"/>
    </row>
    <row r="849" spans="1:36" x14ac:dyDescent="0.25">
      <c r="A849" s="73"/>
      <c r="B849" s="73"/>
      <c r="C849" s="73"/>
      <c r="D849" s="73"/>
      <c r="E849" s="73"/>
      <c r="F849" s="73"/>
      <c r="G849" s="73"/>
      <c r="H849" s="73"/>
      <c r="I849" s="73"/>
      <c r="J849" s="73"/>
      <c r="K849" s="73"/>
      <c r="L849" s="73"/>
      <c r="M849" s="73"/>
      <c r="N849" s="73"/>
      <c r="O849" s="73"/>
      <c r="P849" s="73"/>
      <c r="Q849" s="73"/>
      <c r="R849" s="73"/>
      <c r="S849" s="73"/>
      <c r="T849" s="73"/>
      <c r="U849" s="73"/>
      <c r="V849" s="73"/>
      <c r="W849" s="73"/>
      <c r="X849" s="73"/>
      <c r="Y849" s="73"/>
      <c r="Z849" s="73"/>
      <c r="AA849" s="73"/>
      <c r="AB849" s="73"/>
      <c r="AC849" s="73"/>
      <c r="AD849" s="73"/>
      <c r="AE849" s="73"/>
      <c r="AF849" s="73"/>
      <c r="AG849" s="73"/>
      <c r="AH849" s="73"/>
      <c r="AI849" s="73"/>
      <c r="AJ849" s="73"/>
    </row>
    <row r="850" spans="1:36" x14ac:dyDescent="0.25">
      <c r="A850" s="73"/>
      <c r="B850" s="73"/>
      <c r="C850" s="73"/>
      <c r="D850" s="73"/>
      <c r="E850" s="73"/>
      <c r="F850" s="73"/>
      <c r="G850" s="73"/>
      <c r="H850" s="73"/>
      <c r="I850" s="73"/>
      <c r="J850" s="73"/>
      <c r="K850" s="73"/>
      <c r="L850" s="73"/>
      <c r="M850" s="73"/>
      <c r="N850" s="73"/>
      <c r="O850" s="73"/>
      <c r="P850" s="73"/>
      <c r="Q850" s="73"/>
      <c r="R850" s="73"/>
      <c r="S850" s="73"/>
      <c r="T850" s="73"/>
      <c r="U850" s="73"/>
      <c r="V850" s="73"/>
      <c r="W850" s="73"/>
      <c r="X850" s="73"/>
      <c r="Y850" s="73"/>
      <c r="Z850" s="73"/>
      <c r="AA850" s="73"/>
      <c r="AB850" s="73"/>
      <c r="AC850" s="73"/>
      <c r="AD850" s="73"/>
      <c r="AE850" s="73"/>
      <c r="AF850" s="73"/>
      <c r="AG850" s="73"/>
      <c r="AH850" s="73"/>
      <c r="AI850" s="73"/>
      <c r="AJ850" s="73"/>
    </row>
    <row r="851" spans="1:36" x14ac:dyDescent="0.25">
      <c r="A851" s="73"/>
      <c r="B851" s="73"/>
      <c r="C851" s="73"/>
      <c r="D851" s="73"/>
      <c r="E851" s="73"/>
      <c r="F851" s="73"/>
      <c r="G851" s="73"/>
      <c r="H851" s="73"/>
      <c r="I851" s="73"/>
      <c r="J851" s="73"/>
      <c r="K851" s="73"/>
      <c r="L851" s="73"/>
      <c r="M851" s="73"/>
      <c r="N851" s="73"/>
      <c r="O851" s="73"/>
      <c r="P851" s="73"/>
      <c r="Q851" s="73"/>
      <c r="R851" s="73"/>
      <c r="S851" s="73"/>
      <c r="T851" s="73"/>
      <c r="U851" s="73"/>
      <c r="V851" s="73"/>
      <c r="W851" s="73"/>
      <c r="X851" s="73"/>
      <c r="Y851" s="73"/>
      <c r="Z851" s="73"/>
      <c r="AA851" s="73"/>
      <c r="AB851" s="73"/>
      <c r="AC851" s="73"/>
      <c r="AD851" s="73"/>
      <c r="AE851" s="73"/>
      <c r="AF851" s="73"/>
      <c r="AG851" s="73"/>
      <c r="AH851" s="73"/>
      <c r="AI851" s="73"/>
      <c r="AJ851" s="73"/>
    </row>
    <row r="852" spans="1:36" x14ac:dyDescent="0.25">
      <c r="A852" s="73"/>
      <c r="B852" s="73"/>
      <c r="C852" s="73"/>
      <c r="D852" s="73"/>
      <c r="E852" s="73"/>
      <c r="F852" s="73"/>
      <c r="G852" s="73"/>
      <c r="H852" s="73"/>
      <c r="I852" s="73"/>
      <c r="J852" s="73"/>
      <c r="K852" s="73"/>
      <c r="L852" s="73"/>
      <c r="M852" s="73"/>
      <c r="N852" s="73"/>
      <c r="O852" s="73"/>
      <c r="P852" s="73"/>
      <c r="Q852" s="73"/>
      <c r="R852" s="73"/>
      <c r="S852" s="73"/>
      <c r="T852" s="73"/>
      <c r="U852" s="73"/>
      <c r="V852" s="73"/>
      <c r="W852" s="73"/>
      <c r="X852" s="73"/>
      <c r="Y852" s="73"/>
      <c r="Z852" s="73"/>
      <c r="AA852" s="73"/>
      <c r="AB852" s="73"/>
      <c r="AC852" s="73"/>
      <c r="AD852" s="73"/>
      <c r="AE852" s="73"/>
      <c r="AF852" s="73"/>
      <c r="AG852" s="73"/>
      <c r="AH852" s="73"/>
      <c r="AI852" s="73"/>
      <c r="AJ852" s="73"/>
    </row>
    <row r="853" spans="1:36" x14ac:dyDescent="0.25">
      <c r="A853" s="73"/>
      <c r="B853" s="73"/>
      <c r="C853" s="73"/>
      <c r="D853" s="73"/>
      <c r="E853" s="73"/>
      <c r="F853" s="73"/>
      <c r="G853" s="73"/>
      <c r="H853" s="73"/>
      <c r="I853" s="73"/>
      <c r="J853" s="73"/>
      <c r="K853" s="73"/>
      <c r="L853" s="73"/>
      <c r="M853" s="73"/>
      <c r="N853" s="73"/>
      <c r="O853" s="73"/>
      <c r="P853" s="73"/>
      <c r="Q853" s="73"/>
      <c r="R853" s="73"/>
      <c r="S853" s="73"/>
      <c r="T853" s="73"/>
      <c r="U853" s="73"/>
      <c r="V853" s="73"/>
      <c r="W853" s="73"/>
      <c r="X853" s="73"/>
      <c r="Y853" s="73"/>
      <c r="Z853" s="73"/>
      <c r="AA853" s="73"/>
      <c r="AB853" s="73"/>
      <c r="AC853" s="73"/>
      <c r="AD853" s="73"/>
      <c r="AE853" s="73"/>
      <c r="AF853" s="73"/>
      <c r="AG853" s="73"/>
      <c r="AH853" s="73"/>
      <c r="AI853" s="73"/>
      <c r="AJ853" s="73"/>
    </row>
    <row r="854" spans="1:36" x14ac:dyDescent="0.25">
      <c r="A854" s="73"/>
      <c r="B854" s="73"/>
      <c r="C854" s="73"/>
      <c r="D854" s="73"/>
      <c r="E854" s="73"/>
      <c r="F854" s="73"/>
      <c r="G854" s="73"/>
      <c r="H854" s="73"/>
      <c r="I854" s="73"/>
      <c r="J854" s="73"/>
      <c r="K854" s="73"/>
      <c r="L854" s="73"/>
      <c r="M854" s="73"/>
      <c r="N854" s="73"/>
      <c r="O854" s="73"/>
      <c r="P854" s="73"/>
      <c r="Q854" s="73"/>
      <c r="R854" s="73"/>
      <c r="S854" s="73"/>
      <c r="T854" s="73"/>
      <c r="U854" s="73"/>
      <c r="V854" s="73"/>
      <c r="W854" s="73"/>
      <c r="X854" s="73"/>
      <c r="Y854" s="73"/>
      <c r="Z854" s="73"/>
      <c r="AA854" s="73"/>
      <c r="AB854" s="73"/>
      <c r="AC854" s="73"/>
      <c r="AD854" s="73"/>
      <c r="AE854" s="73"/>
      <c r="AF854" s="73"/>
      <c r="AG854" s="73"/>
      <c r="AH854" s="73"/>
      <c r="AI854" s="73"/>
      <c r="AJ854" s="73"/>
    </row>
    <row r="855" spans="1:36" x14ac:dyDescent="0.25">
      <c r="A855" s="73"/>
      <c r="B855" s="73"/>
      <c r="C855" s="73"/>
      <c r="D855" s="73"/>
      <c r="E855" s="73"/>
      <c r="F855" s="73"/>
      <c r="G855" s="73"/>
      <c r="H855" s="73"/>
      <c r="I855" s="73"/>
      <c r="J855" s="73"/>
      <c r="K855" s="73"/>
      <c r="L855" s="73"/>
      <c r="M855" s="73"/>
      <c r="N855" s="73"/>
      <c r="O855" s="73"/>
      <c r="P855" s="73"/>
      <c r="Q855" s="73"/>
      <c r="R855" s="73"/>
      <c r="S855" s="73"/>
      <c r="T855" s="73"/>
      <c r="U855" s="73"/>
      <c r="V855" s="73"/>
      <c r="W855" s="73"/>
      <c r="X855" s="73"/>
      <c r="Y855" s="73"/>
      <c r="Z855" s="73"/>
      <c r="AA855" s="73"/>
      <c r="AB855" s="73"/>
      <c r="AC855" s="73"/>
      <c r="AD855" s="73"/>
      <c r="AE855" s="73"/>
      <c r="AF855" s="73"/>
      <c r="AG855" s="73"/>
      <c r="AH855" s="73"/>
      <c r="AI855" s="73"/>
      <c r="AJ855" s="73"/>
    </row>
    <row r="856" spans="1:36" x14ac:dyDescent="0.25">
      <c r="A856" s="73"/>
      <c r="B856" s="73"/>
      <c r="C856" s="73"/>
      <c r="D856" s="73"/>
      <c r="E856" s="73"/>
      <c r="F856" s="73"/>
      <c r="G856" s="73"/>
      <c r="H856" s="73"/>
      <c r="I856" s="73"/>
      <c r="J856" s="73"/>
      <c r="K856" s="73"/>
      <c r="L856" s="73"/>
      <c r="M856" s="73"/>
      <c r="N856" s="73"/>
      <c r="O856" s="73"/>
      <c r="P856" s="73"/>
      <c r="Q856" s="73"/>
      <c r="R856" s="73"/>
      <c r="S856" s="73"/>
      <c r="T856" s="73"/>
      <c r="U856" s="73"/>
      <c r="V856" s="73"/>
      <c r="W856" s="73"/>
      <c r="X856" s="73"/>
      <c r="Y856" s="73"/>
      <c r="Z856" s="73"/>
      <c r="AA856" s="73"/>
      <c r="AB856" s="73"/>
      <c r="AC856" s="73"/>
      <c r="AD856" s="73"/>
      <c r="AE856" s="73"/>
      <c r="AF856" s="73"/>
      <c r="AG856" s="73"/>
      <c r="AH856" s="73"/>
      <c r="AI856" s="73"/>
      <c r="AJ856" s="73"/>
    </row>
    <row r="857" spans="1:36" x14ac:dyDescent="0.25">
      <c r="A857" s="73"/>
      <c r="B857" s="73"/>
      <c r="C857" s="73"/>
      <c r="D857" s="73"/>
      <c r="E857" s="73"/>
      <c r="F857" s="73"/>
      <c r="G857" s="73"/>
      <c r="H857" s="73"/>
      <c r="I857" s="73"/>
      <c r="J857" s="73"/>
      <c r="K857" s="73"/>
      <c r="L857" s="73"/>
      <c r="M857" s="73"/>
      <c r="N857" s="73"/>
      <c r="O857" s="73"/>
      <c r="P857" s="73"/>
      <c r="Q857" s="73"/>
      <c r="R857" s="73"/>
      <c r="S857" s="73"/>
      <c r="T857" s="73"/>
      <c r="U857" s="73"/>
      <c r="V857" s="73"/>
      <c r="W857" s="73"/>
      <c r="X857" s="73"/>
      <c r="Y857" s="73"/>
      <c r="Z857" s="73"/>
      <c r="AA857" s="73"/>
      <c r="AB857" s="73"/>
      <c r="AC857" s="73"/>
      <c r="AD857" s="73"/>
      <c r="AE857" s="73"/>
      <c r="AF857" s="73"/>
      <c r="AG857" s="73"/>
      <c r="AH857" s="73"/>
      <c r="AI857" s="73"/>
      <c r="AJ857" s="73"/>
    </row>
    <row r="858" spans="1:36" x14ac:dyDescent="0.25">
      <c r="A858" s="73"/>
      <c r="B858" s="73"/>
      <c r="C858" s="73"/>
      <c r="D858" s="73"/>
      <c r="E858" s="73"/>
      <c r="F858" s="73"/>
      <c r="G858" s="73"/>
      <c r="H858" s="73"/>
      <c r="I858" s="73"/>
      <c r="J858" s="73"/>
      <c r="K858" s="73"/>
      <c r="L858" s="73"/>
      <c r="M858" s="73"/>
      <c r="N858" s="73"/>
      <c r="O858" s="73"/>
      <c r="P858" s="73"/>
      <c r="Q858" s="73"/>
      <c r="R858" s="73"/>
      <c r="S858" s="73"/>
      <c r="T858" s="73"/>
      <c r="U858" s="73"/>
      <c r="V858" s="73"/>
      <c r="W858" s="73"/>
      <c r="X858" s="73"/>
      <c r="Y858" s="73"/>
      <c r="Z858" s="73"/>
      <c r="AA858" s="73"/>
      <c r="AB858" s="73"/>
      <c r="AC858" s="73"/>
      <c r="AD858" s="73"/>
      <c r="AE858" s="73"/>
      <c r="AF858" s="73"/>
      <c r="AG858" s="73"/>
      <c r="AH858" s="73"/>
      <c r="AI858" s="73"/>
      <c r="AJ858" s="73"/>
    </row>
    <row r="859" spans="1:36" x14ac:dyDescent="0.25">
      <c r="A859" s="73"/>
      <c r="B859" s="73"/>
      <c r="C859" s="73"/>
      <c r="D859" s="73"/>
      <c r="E859" s="73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73"/>
      <c r="Q859" s="73"/>
      <c r="R859" s="73"/>
      <c r="S859" s="73"/>
      <c r="T859" s="73"/>
      <c r="U859" s="73"/>
      <c r="V859" s="73"/>
      <c r="W859" s="73"/>
      <c r="X859" s="73"/>
      <c r="Y859" s="73"/>
      <c r="Z859" s="73"/>
      <c r="AA859" s="73"/>
      <c r="AB859" s="73"/>
      <c r="AC859" s="73"/>
      <c r="AD859" s="73"/>
      <c r="AE859" s="73"/>
      <c r="AF859" s="73"/>
      <c r="AG859" s="73"/>
      <c r="AH859" s="73"/>
      <c r="AI859" s="73"/>
      <c r="AJ859" s="73"/>
    </row>
    <row r="860" spans="1:36" x14ac:dyDescent="0.25">
      <c r="A860" s="73"/>
      <c r="B860" s="73"/>
      <c r="C860" s="73"/>
      <c r="D860" s="73"/>
      <c r="E860" s="73"/>
      <c r="F860" s="73"/>
      <c r="G860" s="73"/>
      <c r="H860" s="73"/>
      <c r="I860" s="73"/>
      <c r="J860" s="73"/>
      <c r="K860" s="73"/>
      <c r="L860" s="73"/>
      <c r="M860" s="73"/>
      <c r="N860" s="73"/>
      <c r="O860" s="73"/>
      <c r="P860" s="73"/>
      <c r="Q860" s="73"/>
      <c r="R860" s="73"/>
      <c r="S860" s="73"/>
      <c r="T860" s="73"/>
      <c r="U860" s="73"/>
      <c r="V860" s="73"/>
      <c r="W860" s="73"/>
      <c r="X860" s="73"/>
      <c r="Y860" s="73"/>
      <c r="Z860" s="73"/>
      <c r="AA860" s="73"/>
      <c r="AB860" s="73"/>
      <c r="AC860" s="73"/>
      <c r="AD860" s="73"/>
      <c r="AE860" s="73"/>
      <c r="AF860" s="73"/>
      <c r="AG860" s="73"/>
      <c r="AH860" s="73"/>
      <c r="AI860" s="73"/>
      <c r="AJ860" s="73"/>
    </row>
    <row r="861" spans="1:36" x14ac:dyDescent="0.25">
      <c r="A861" s="73"/>
      <c r="B861" s="73"/>
      <c r="C861" s="73"/>
      <c r="D861" s="73"/>
      <c r="E861" s="73"/>
      <c r="F861" s="73"/>
      <c r="G861" s="73"/>
      <c r="H861" s="73"/>
      <c r="I861" s="73"/>
      <c r="J861" s="73"/>
      <c r="K861" s="73"/>
      <c r="L861" s="73"/>
      <c r="M861" s="73"/>
      <c r="N861" s="73"/>
      <c r="O861" s="73"/>
      <c r="P861" s="73"/>
      <c r="Q861" s="73"/>
      <c r="R861" s="73"/>
      <c r="S861" s="73"/>
      <c r="T861" s="73"/>
      <c r="U861" s="73"/>
      <c r="V861" s="73"/>
      <c r="W861" s="73"/>
      <c r="X861" s="73"/>
      <c r="Y861" s="73"/>
      <c r="Z861" s="73"/>
      <c r="AA861" s="73"/>
      <c r="AB861" s="73"/>
      <c r="AC861" s="73"/>
      <c r="AD861" s="73"/>
      <c r="AE861" s="73"/>
      <c r="AF861" s="73"/>
      <c r="AG861" s="73"/>
      <c r="AH861" s="73"/>
      <c r="AI861" s="73"/>
      <c r="AJ861" s="73"/>
    </row>
    <row r="862" spans="1:36" x14ac:dyDescent="0.25">
      <c r="A862" s="73"/>
      <c r="B862" s="73"/>
      <c r="C862" s="73"/>
      <c r="D862" s="73"/>
      <c r="E862" s="73"/>
      <c r="F862" s="73"/>
      <c r="G862" s="73"/>
      <c r="H862" s="73"/>
      <c r="I862" s="73"/>
      <c r="J862" s="73"/>
      <c r="K862" s="73"/>
      <c r="L862" s="73"/>
      <c r="M862" s="73"/>
      <c r="N862" s="73"/>
      <c r="O862" s="73"/>
      <c r="P862" s="73"/>
      <c r="Q862" s="73"/>
      <c r="R862" s="73"/>
      <c r="S862" s="73"/>
      <c r="T862" s="73"/>
      <c r="U862" s="73"/>
      <c r="V862" s="73"/>
      <c r="W862" s="73"/>
      <c r="X862" s="73"/>
      <c r="Y862" s="73"/>
      <c r="Z862" s="73"/>
      <c r="AA862" s="73"/>
      <c r="AB862" s="73"/>
      <c r="AC862" s="73"/>
      <c r="AD862" s="73"/>
      <c r="AE862" s="73"/>
      <c r="AF862" s="73"/>
      <c r="AG862" s="73"/>
      <c r="AH862" s="73"/>
      <c r="AI862" s="73"/>
      <c r="AJ862" s="73"/>
    </row>
    <row r="863" spans="1:36" x14ac:dyDescent="0.25">
      <c r="A863" s="73"/>
      <c r="B863" s="73"/>
      <c r="C863" s="73"/>
      <c r="D863" s="73"/>
      <c r="E863" s="73"/>
      <c r="F863" s="73"/>
      <c r="G863" s="73"/>
      <c r="H863" s="73"/>
      <c r="I863" s="73"/>
      <c r="J863" s="73"/>
      <c r="K863" s="73"/>
      <c r="L863" s="73"/>
      <c r="M863" s="73"/>
      <c r="N863" s="73"/>
      <c r="O863" s="73"/>
      <c r="P863" s="73"/>
      <c r="Q863" s="73"/>
      <c r="R863" s="73"/>
      <c r="S863" s="73"/>
      <c r="T863" s="73"/>
      <c r="U863" s="73"/>
      <c r="V863" s="73"/>
      <c r="W863" s="73"/>
      <c r="X863" s="73"/>
      <c r="Y863" s="73"/>
      <c r="Z863" s="73"/>
      <c r="AA863" s="73"/>
      <c r="AB863" s="73"/>
      <c r="AC863" s="73"/>
      <c r="AD863" s="73"/>
      <c r="AE863" s="73"/>
      <c r="AF863" s="73"/>
      <c r="AG863" s="73"/>
      <c r="AH863" s="73"/>
      <c r="AI863" s="73"/>
      <c r="AJ863" s="73"/>
    </row>
    <row r="864" spans="1:36" x14ac:dyDescent="0.25">
      <c r="A864" s="73"/>
      <c r="B864" s="73"/>
      <c r="C864" s="73"/>
      <c r="D864" s="73"/>
      <c r="E864" s="73"/>
      <c r="F864" s="73"/>
      <c r="G864" s="73"/>
      <c r="H864" s="73"/>
      <c r="I864" s="73"/>
      <c r="J864" s="73"/>
      <c r="K864" s="73"/>
      <c r="L864" s="73"/>
      <c r="M864" s="73"/>
      <c r="N864" s="73"/>
      <c r="O864" s="73"/>
      <c r="P864" s="73"/>
      <c r="Q864" s="73"/>
      <c r="R864" s="73"/>
      <c r="S864" s="73"/>
      <c r="T864" s="73"/>
      <c r="U864" s="73"/>
      <c r="V864" s="73"/>
      <c r="W864" s="73"/>
      <c r="X864" s="73"/>
      <c r="Y864" s="73"/>
      <c r="Z864" s="73"/>
      <c r="AA864" s="73"/>
      <c r="AB864" s="73"/>
      <c r="AC864" s="73"/>
      <c r="AD864" s="73"/>
      <c r="AE864" s="73"/>
      <c r="AF864" s="73"/>
      <c r="AG864" s="73"/>
      <c r="AH864" s="73"/>
      <c r="AI864" s="73"/>
      <c r="AJ864" s="73"/>
    </row>
    <row r="865" spans="1:36" x14ac:dyDescent="0.25">
      <c r="A865" s="73"/>
      <c r="B865" s="73"/>
      <c r="C865" s="73"/>
      <c r="D865" s="73"/>
      <c r="E865" s="73"/>
      <c r="F865" s="73"/>
      <c r="G865" s="73"/>
      <c r="H865" s="73"/>
      <c r="I865" s="73"/>
      <c r="J865" s="73"/>
      <c r="K865" s="73"/>
      <c r="L865" s="73"/>
      <c r="M865" s="73"/>
      <c r="N865" s="73"/>
      <c r="O865" s="73"/>
      <c r="P865" s="73"/>
      <c r="Q865" s="73"/>
      <c r="R865" s="73"/>
      <c r="S865" s="73"/>
      <c r="T865" s="73"/>
      <c r="U865" s="73"/>
      <c r="V865" s="73"/>
      <c r="W865" s="73"/>
      <c r="X865" s="73"/>
      <c r="Y865" s="73"/>
      <c r="Z865" s="73"/>
      <c r="AA865" s="73"/>
      <c r="AB865" s="73"/>
      <c r="AC865" s="73"/>
      <c r="AD865" s="73"/>
      <c r="AE865" s="73"/>
      <c r="AF865" s="73"/>
      <c r="AG865" s="73"/>
      <c r="AH865" s="73"/>
      <c r="AI865" s="73"/>
      <c r="AJ865" s="73"/>
    </row>
    <row r="866" spans="1:36" x14ac:dyDescent="0.25">
      <c r="A866" s="73"/>
      <c r="B866" s="73"/>
      <c r="C866" s="73"/>
      <c r="D866" s="73"/>
      <c r="E866" s="73"/>
      <c r="F866" s="73"/>
      <c r="G866" s="73"/>
      <c r="H866" s="73"/>
      <c r="I866" s="73"/>
      <c r="J866" s="73"/>
      <c r="K866" s="73"/>
      <c r="L866" s="73"/>
      <c r="M866" s="73"/>
      <c r="N866" s="73"/>
      <c r="O866" s="73"/>
      <c r="P866" s="73"/>
      <c r="Q866" s="73"/>
      <c r="R866" s="73"/>
      <c r="S866" s="73"/>
      <c r="T866" s="73"/>
      <c r="U866" s="73"/>
      <c r="V866" s="73"/>
      <c r="W866" s="73"/>
      <c r="X866" s="73"/>
      <c r="Y866" s="73"/>
      <c r="Z866" s="73"/>
      <c r="AA866" s="73"/>
      <c r="AB866" s="73"/>
      <c r="AC866" s="73"/>
      <c r="AD866" s="73"/>
      <c r="AE866" s="73"/>
      <c r="AF866" s="73"/>
      <c r="AG866" s="73"/>
      <c r="AH866" s="73"/>
      <c r="AI866" s="73"/>
      <c r="AJ866" s="73"/>
    </row>
    <row r="867" spans="1:36" x14ac:dyDescent="0.25">
      <c r="A867" s="73"/>
      <c r="B867" s="73"/>
      <c r="C867" s="73"/>
      <c r="D867" s="73"/>
      <c r="E867" s="73"/>
      <c r="F867" s="73"/>
      <c r="G867" s="73"/>
      <c r="H867" s="73"/>
      <c r="I867" s="73"/>
      <c r="J867" s="73"/>
      <c r="K867" s="73"/>
      <c r="L867" s="73"/>
      <c r="M867" s="73"/>
      <c r="N867" s="73"/>
      <c r="O867" s="73"/>
      <c r="P867" s="73"/>
      <c r="Q867" s="73"/>
      <c r="R867" s="73"/>
      <c r="S867" s="73"/>
      <c r="T867" s="73"/>
      <c r="U867" s="73"/>
      <c r="V867" s="73"/>
      <c r="W867" s="73"/>
      <c r="X867" s="73"/>
      <c r="Y867" s="73"/>
      <c r="Z867" s="73"/>
      <c r="AA867" s="73"/>
      <c r="AB867" s="73"/>
      <c r="AC867" s="73"/>
      <c r="AD867" s="73"/>
      <c r="AE867" s="73"/>
      <c r="AF867" s="73"/>
      <c r="AG867" s="73"/>
      <c r="AH867" s="73"/>
      <c r="AI867" s="73"/>
      <c r="AJ867" s="73"/>
    </row>
    <row r="868" spans="1:36" x14ac:dyDescent="0.25">
      <c r="A868" s="73"/>
      <c r="B868" s="73"/>
      <c r="C868" s="73"/>
      <c r="D868" s="73"/>
      <c r="E868" s="73"/>
      <c r="F868" s="73"/>
      <c r="G868" s="73"/>
      <c r="H868" s="73"/>
      <c r="I868" s="73"/>
      <c r="J868" s="73"/>
      <c r="K868" s="73"/>
      <c r="L868" s="73"/>
      <c r="M868" s="73"/>
      <c r="N868" s="73"/>
      <c r="O868" s="73"/>
      <c r="P868" s="73"/>
      <c r="Q868" s="73"/>
      <c r="R868" s="73"/>
      <c r="S868" s="73"/>
      <c r="T868" s="73"/>
      <c r="U868" s="73"/>
      <c r="V868" s="73"/>
      <c r="W868" s="73"/>
      <c r="X868" s="73"/>
      <c r="Y868" s="73"/>
      <c r="Z868" s="73"/>
      <c r="AA868" s="73"/>
      <c r="AB868" s="73"/>
      <c r="AC868" s="73"/>
      <c r="AD868" s="73"/>
      <c r="AE868" s="73"/>
      <c r="AF868" s="73"/>
      <c r="AG868" s="73"/>
      <c r="AH868" s="73"/>
      <c r="AI868" s="73"/>
      <c r="AJ868" s="73"/>
    </row>
    <row r="869" spans="1:36" x14ac:dyDescent="0.25">
      <c r="A869" s="73"/>
      <c r="B869" s="73"/>
      <c r="C869" s="73"/>
      <c r="D869" s="73"/>
      <c r="E869" s="73"/>
      <c r="F869" s="73"/>
      <c r="G869" s="73"/>
      <c r="H869" s="73"/>
      <c r="I869" s="73"/>
      <c r="J869" s="73"/>
      <c r="K869" s="73"/>
      <c r="L869" s="73"/>
      <c r="M869" s="73"/>
      <c r="N869" s="73"/>
      <c r="O869" s="73"/>
      <c r="P869" s="73"/>
      <c r="Q869" s="73"/>
      <c r="R869" s="73"/>
      <c r="S869" s="73"/>
      <c r="T869" s="73"/>
      <c r="U869" s="73"/>
      <c r="V869" s="73"/>
      <c r="W869" s="73"/>
      <c r="X869" s="73"/>
      <c r="Y869" s="73"/>
      <c r="Z869" s="73"/>
      <c r="AA869" s="73"/>
      <c r="AB869" s="73"/>
      <c r="AC869" s="73"/>
      <c r="AD869" s="73"/>
      <c r="AE869" s="73"/>
      <c r="AF869" s="73"/>
      <c r="AG869" s="73"/>
      <c r="AH869" s="73"/>
      <c r="AI869" s="73"/>
      <c r="AJ869" s="73"/>
    </row>
    <row r="870" spans="1:36" x14ac:dyDescent="0.25">
      <c r="A870" s="73"/>
      <c r="B870" s="73"/>
      <c r="C870" s="73"/>
      <c r="D870" s="73"/>
      <c r="E870" s="73"/>
      <c r="F870" s="73"/>
      <c r="G870" s="73"/>
      <c r="H870" s="73"/>
      <c r="I870" s="73"/>
      <c r="J870" s="73"/>
      <c r="K870" s="73"/>
      <c r="L870" s="73"/>
      <c r="M870" s="73"/>
      <c r="N870" s="73"/>
      <c r="O870" s="73"/>
      <c r="P870" s="73"/>
      <c r="Q870" s="73"/>
      <c r="R870" s="73"/>
      <c r="S870" s="73"/>
      <c r="T870" s="73"/>
      <c r="U870" s="73"/>
      <c r="V870" s="73"/>
      <c r="W870" s="73"/>
      <c r="X870" s="73"/>
      <c r="Y870" s="73"/>
      <c r="Z870" s="73"/>
      <c r="AA870" s="73"/>
      <c r="AB870" s="73"/>
      <c r="AC870" s="73"/>
      <c r="AD870" s="73"/>
      <c r="AE870" s="73"/>
      <c r="AF870" s="73"/>
      <c r="AG870" s="73"/>
      <c r="AH870" s="73"/>
      <c r="AI870" s="73"/>
      <c r="AJ870" s="73"/>
    </row>
    <row r="871" spans="1:36" x14ac:dyDescent="0.25">
      <c r="A871" s="73"/>
      <c r="B871" s="73"/>
      <c r="C871" s="73"/>
      <c r="D871" s="73"/>
      <c r="E871" s="73"/>
      <c r="F871" s="73"/>
      <c r="G871" s="73"/>
      <c r="H871" s="73"/>
      <c r="I871" s="73"/>
      <c r="J871" s="73"/>
      <c r="K871" s="73"/>
      <c r="L871" s="73"/>
      <c r="M871" s="73"/>
      <c r="N871" s="73"/>
      <c r="O871" s="73"/>
      <c r="P871" s="73"/>
      <c r="Q871" s="73"/>
      <c r="R871" s="73"/>
      <c r="S871" s="73"/>
      <c r="T871" s="73"/>
      <c r="U871" s="73"/>
      <c r="V871" s="73"/>
      <c r="W871" s="73"/>
      <c r="X871" s="73"/>
      <c r="Y871" s="73"/>
      <c r="Z871" s="73"/>
      <c r="AA871" s="73"/>
      <c r="AB871" s="73"/>
      <c r="AC871" s="73"/>
      <c r="AD871" s="73"/>
      <c r="AE871" s="73"/>
      <c r="AF871" s="73"/>
      <c r="AG871" s="73"/>
      <c r="AH871" s="73"/>
      <c r="AI871" s="73"/>
      <c r="AJ871" s="73"/>
    </row>
    <row r="872" spans="1:36" x14ac:dyDescent="0.25">
      <c r="A872" s="73"/>
      <c r="B872" s="73"/>
      <c r="C872" s="73"/>
      <c r="D872" s="73"/>
      <c r="E872" s="73"/>
      <c r="F872" s="73"/>
      <c r="G872" s="73"/>
      <c r="H872" s="73"/>
      <c r="I872" s="73"/>
      <c r="J872" s="73"/>
      <c r="K872" s="73"/>
      <c r="L872" s="73"/>
      <c r="M872" s="73"/>
      <c r="N872" s="73"/>
      <c r="O872" s="73"/>
      <c r="P872" s="73"/>
      <c r="Q872" s="73"/>
      <c r="R872" s="73"/>
      <c r="S872" s="73"/>
      <c r="T872" s="73"/>
      <c r="U872" s="73"/>
      <c r="V872" s="73"/>
      <c r="W872" s="73"/>
      <c r="X872" s="73"/>
      <c r="Y872" s="73"/>
      <c r="Z872" s="73"/>
      <c r="AA872" s="73"/>
      <c r="AB872" s="73"/>
      <c r="AC872" s="73"/>
      <c r="AD872" s="73"/>
      <c r="AE872" s="73"/>
      <c r="AF872" s="73"/>
      <c r="AG872" s="73"/>
      <c r="AH872" s="73"/>
      <c r="AI872" s="73"/>
      <c r="AJ872" s="73"/>
    </row>
    <row r="873" spans="1:36" x14ac:dyDescent="0.25">
      <c r="A873" s="73"/>
      <c r="B873" s="73"/>
      <c r="C873" s="73"/>
      <c r="D873" s="73"/>
      <c r="E873" s="73"/>
      <c r="F873" s="73"/>
      <c r="G873" s="73"/>
      <c r="H873" s="73"/>
      <c r="I873" s="73"/>
      <c r="J873" s="73"/>
      <c r="K873" s="73"/>
      <c r="L873" s="73"/>
      <c r="M873" s="73"/>
      <c r="N873" s="73"/>
      <c r="O873" s="73"/>
      <c r="P873" s="73"/>
      <c r="Q873" s="73"/>
      <c r="R873" s="73"/>
      <c r="S873" s="73"/>
      <c r="T873" s="73"/>
      <c r="U873" s="73"/>
      <c r="V873" s="73"/>
      <c r="W873" s="73"/>
      <c r="X873" s="73"/>
      <c r="Y873" s="73"/>
      <c r="Z873" s="73"/>
      <c r="AA873" s="73"/>
      <c r="AB873" s="73"/>
      <c r="AC873" s="73"/>
      <c r="AD873" s="73"/>
      <c r="AE873" s="73"/>
      <c r="AF873" s="73"/>
      <c r="AG873" s="73"/>
      <c r="AH873" s="73"/>
      <c r="AI873" s="73"/>
      <c r="AJ873" s="73"/>
    </row>
    <row r="874" spans="1:36" x14ac:dyDescent="0.25">
      <c r="A874" s="73"/>
      <c r="B874" s="73"/>
      <c r="C874" s="73"/>
      <c r="D874" s="73"/>
      <c r="E874" s="73"/>
      <c r="F874" s="73"/>
      <c r="G874" s="73"/>
      <c r="H874" s="73"/>
      <c r="I874" s="73"/>
      <c r="J874" s="73"/>
      <c r="K874" s="73"/>
      <c r="L874" s="73"/>
      <c r="M874" s="73"/>
      <c r="N874" s="73"/>
      <c r="O874" s="73"/>
      <c r="P874" s="73"/>
      <c r="Q874" s="73"/>
      <c r="R874" s="73"/>
      <c r="S874" s="73"/>
      <c r="T874" s="73"/>
      <c r="U874" s="73"/>
      <c r="V874" s="73"/>
      <c r="W874" s="73"/>
      <c r="X874" s="73"/>
      <c r="Y874" s="73"/>
      <c r="Z874" s="73"/>
      <c r="AA874" s="73"/>
      <c r="AB874" s="73"/>
      <c r="AC874" s="73"/>
      <c r="AD874" s="73"/>
      <c r="AE874" s="73"/>
      <c r="AF874" s="73"/>
      <c r="AG874" s="73"/>
      <c r="AH874" s="73"/>
      <c r="AI874" s="73"/>
      <c r="AJ874" s="73"/>
    </row>
    <row r="875" spans="1:36" x14ac:dyDescent="0.25">
      <c r="A875" s="73"/>
      <c r="B875" s="73"/>
      <c r="C875" s="73"/>
      <c r="D875" s="73"/>
      <c r="E875" s="73"/>
      <c r="F875" s="73"/>
      <c r="G875" s="73"/>
      <c r="H875" s="73"/>
      <c r="I875" s="73"/>
      <c r="J875" s="73"/>
      <c r="K875" s="73"/>
      <c r="L875" s="73"/>
      <c r="M875" s="73"/>
      <c r="N875" s="73"/>
      <c r="O875" s="73"/>
      <c r="P875" s="73"/>
      <c r="Q875" s="73"/>
      <c r="R875" s="73"/>
      <c r="S875" s="73"/>
      <c r="T875" s="73"/>
      <c r="U875" s="73"/>
      <c r="V875" s="73"/>
      <c r="W875" s="73"/>
      <c r="X875" s="73"/>
      <c r="Y875" s="73"/>
      <c r="Z875" s="73"/>
      <c r="AA875" s="73"/>
      <c r="AB875" s="73"/>
      <c r="AC875" s="73"/>
      <c r="AD875" s="73"/>
      <c r="AE875" s="73"/>
      <c r="AF875" s="73"/>
      <c r="AG875" s="73"/>
      <c r="AH875" s="73"/>
      <c r="AI875" s="73"/>
      <c r="AJ875" s="73"/>
    </row>
    <row r="876" spans="1:36" x14ac:dyDescent="0.25">
      <c r="A876" s="73"/>
      <c r="B876" s="73"/>
      <c r="C876" s="73"/>
      <c r="D876" s="73"/>
      <c r="E876" s="73"/>
      <c r="F876" s="73"/>
      <c r="G876" s="73"/>
      <c r="H876" s="73"/>
      <c r="I876" s="73"/>
      <c r="J876" s="73"/>
      <c r="K876" s="73"/>
      <c r="L876" s="73"/>
      <c r="M876" s="73"/>
      <c r="N876" s="73"/>
      <c r="O876" s="73"/>
      <c r="P876" s="73"/>
      <c r="Q876" s="73"/>
      <c r="R876" s="73"/>
      <c r="S876" s="73"/>
      <c r="T876" s="73"/>
      <c r="U876" s="73"/>
      <c r="V876" s="73"/>
      <c r="W876" s="73"/>
      <c r="X876" s="73"/>
      <c r="Y876" s="73"/>
      <c r="Z876" s="73"/>
      <c r="AA876" s="73"/>
      <c r="AB876" s="73"/>
      <c r="AC876" s="73"/>
      <c r="AD876" s="73"/>
      <c r="AE876" s="73"/>
      <c r="AF876" s="73"/>
      <c r="AG876" s="73"/>
      <c r="AH876" s="73"/>
      <c r="AI876" s="73"/>
      <c r="AJ876" s="73"/>
    </row>
    <row r="877" spans="1:36" x14ac:dyDescent="0.25">
      <c r="A877" s="73"/>
      <c r="B877" s="73"/>
      <c r="C877" s="73"/>
      <c r="D877" s="73"/>
      <c r="E877" s="73"/>
      <c r="F877" s="73"/>
      <c r="G877" s="73"/>
      <c r="H877" s="73"/>
      <c r="I877" s="73"/>
      <c r="J877" s="73"/>
      <c r="K877" s="73"/>
      <c r="L877" s="73"/>
      <c r="M877" s="73"/>
      <c r="N877" s="73"/>
      <c r="O877" s="73"/>
      <c r="P877" s="73"/>
      <c r="Q877" s="73"/>
      <c r="R877" s="73"/>
      <c r="S877" s="73"/>
      <c r="T877" s="73"/>
      <c r="U877" s="73"/>
      <c r="V877" s="73"/>
      <c r="W877" s="73"/>
      <c r="X877" s="73"/>
      <c r="Y877" s="73"/>
      <c r="Z877" s="73"/>
      <c r="AA877" s="73"/>
      <c r="AB877" s="73"/>
      <c r="AC877" s="73"/>
      <c r="AD877" s="73"/>
      <c r="AE877" s="73"/>
      <c r="AF877" s="73"/>
      <c r="AG877" s="73"/>
      <c r="AH877" s="73"/>
      <c r="AI877" s="73"/>
      <c r="AJ877" s="73"/>
    </row>
    <row r="878" spans="1:36" x14ac:dyDescent="0.25">
      <c r="A878" s="73"/>
      <c r="B878" s="73"/>
      <c r="C878" s="73"/>
      <c r="D878" s="73"/>
      <c r="E878" s="73"/>
      <c r="F878" s="73"/>
      <c r="G878" s="73"/>
      <c r="H878" s="73"/>
      <c r="I878" s="73"/>
      <c r="J878" s="73"/>
      <c r="K878" s="73"/>
      <c r="L878" s="73"/>
      <c r="M878" s="73"/>
      <c r="N878" s="73"/>
      <c r="O878" s="73"/>
      <c r="P878" s="73"/>
      <c r="Q878" s="73"/>
      <c r="R878" s="73"/>
      <c r="S878" s="73"/>
      <c r="T878" s="73"/>
      <c r="U878" s="73"/>
      <c r="V878" s="73"/>
      <c r="W878" s="73"/>
      <c r="X878" s="73"/>
      <c r="Y878" s="73"/>
      <c r="Z878" s="73"/>
      <c r="AA878" s="73"/>
      <c r="AB878" s="73"/>
      <c r="AC878" s="73"/>
      <c r="AD878" s="73"/>
      <c r="AE878" s="73"/>
      <c r="AF878" s="73"/>
      <c r="AG878" s="73"/>
      <c r="AH878" s="73"/>
      <c r="AI878" s="73"/>
      <c r="AJ878" s="73"/>
    </row>
    <row r="879" spans="1:36" x14ac:dyDescent="0.25">
      <c r="A879" s="73"/>
      <c r="B879" s="73"/>
      <c r="C879" s="73"/>
      <c r="D879" s="73"/>
      <c r="E879" s="73"/>
      <c r="F879" s="73"/>
      <c r="G879" s="73"/>
      <c r="H879" s="73"/>
      <c r="I879" s="73"/>
      <c r="J879" s="73"/>
      <c r="K879" s="73"/>
      <c r="L879" s="73"/>
      <c r="M879" s="73"/>
      <c r="N879" s="73"/>
      <c r="O879" s="73"/>
      <c r="P879" s="73"/>
      <c r="Q879" s="73"/>
      <c r="R879" s="73"/>
      <c r="S879" s="73"/>
      <c r="T879" s="73"/>
      <c r="U879" s="73"/>
      <c r="V879" s="73"/>
      <c r="W879" s="73"/>
      <c r="X879" s="73"/>
      <c r="Y879" s="73"/>
      <c r="Z879" s="73"/>
      <c r="AA879" s="73"/>
      <c r="AB879" s="73"/>
      <c r="AC879" s="73"/>
      <c r="AD879" s="73"/>
      <c r="AE879" s="73"/>
      <c r="AF879" s="73"/>
      <c r="AG879" s="73"/>
      <c r="AH879" s="73"/>
      <c r="AI879" s="73"/>
      <c r="AJ879" s="73"/>
    </row>
    <row r="880" spans="1:36" x14ac:dyDescent="0.25">
      <c r="A880" s="73"/>
      <c r="B880" s="73"/>
      <c r="C880" s="73"/>
      <c r="D880" s="73"/>
      <c r="E880" s="73"/>
      <c r="F880" s="73"/>
      <c r="G880" s="73"/>
      <c r="H880" s="73"/>
      <c r="I880" s="73"/>
      <c r="J880" s="73"/>
      <c r="K880" s="73"/>
      <c r="L880" s="73"/>
      <c r="M880" s="73"/>
      <c r="N880" s="73"/>
      <c r="O880" s="73"/>
      <c r="P880" s="73"/>
      <c r="Q880" s="73"/>
      <c r="R880" s="73"/>
      <c r="S880" s="73"/>
      <c r="T880" s="73"/>
      <c r="U880" s="73"/>
      <c r="V880" s="73"/>
      <c r="W880" s="73"/>
      <c r="X880" s="73"/>
      <c r="Y880" s="73"/>
      <c r="Z880" s="73"/>
      <c r="AA880" s="73"/>
      <c r="AB880" s="73"/>
      <c r="AC880" s="73"/>
      <c r="AD880" s="73"/>
      <c r="AE880" s="73"/>
      <c r="AF880" s="73"/>
      <c r="AG880" s="73"/>
      <c r="AH880" s="73"/>
      <c r="AI880" s="73"/>
      <c r="AJ880" s="73"/>
    </row>
    <row r="881" spans="1:36" x14ac:dyDescent="0.25">
      <c r="A881" s="73"/>
      <c r="B881" s="73"/>
      <c r="C881" s="73"/>
      <c r="D881" s="73"/>
      <c r="E881" s="73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73"/>
      <c r="Q881" s="73"/>
      <c r="R881" s="73"/>
      <c r="S881" s="73"/>
      <c r="T881" s="73"/>
      <c r="U881" s="73"/>
      <c r="V881" s="73"/>
      <c r="W881" s="73"/>
      <c r="X881" s="73"/>
      <c r="Y881" s="73"/>
      <c r="Z881" s="73"/>
      <c r="AA881" s="73"/>
      <c r="AB881" s="73"/>
      <c r="AC881" s="73"/>
      <c r="AD881" s="73"/>
      <c r="AE881" s="73"/>
      <c r="AF881" s="73"/>
      <c r="AG881" s="73"/>
      <c r="AH881" s="73"/>
      <c r="AI881" s="73"/>
      <c r="AJ881" s="73"/>
    </row>
    <row r="882" spans="1:36" x14ac:dyDescent="0.25">
      <c r="A882" s="73"/>
      <c r="B882" s="73"/>
      <c r="C882" s="73"/>
      <c r="D882" s="73"/>
      <c r="E882" s="73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73"/>
      <c r="Q882" s="73"/>
      <c r="R882" s="73"/>
      <c r="S882" s="73"/>
      <c r="T882" s="73"/>
      <c r="U882" s="73"/>
      <c r="V882" s="73"/>
      <c r="W882" s="73"/>
      <c r="X882" s="73"/>
      <c r="Y882" s="73"/>
      <c r="Z882" s="73"/>
      <c r="AA882" s="73"/>
      <c r="AB882" s="73"/>
      <c r="AC882" s="73"/>
      <c r="AD882" s="73"/>
      <c r="AE882" s="73"/>
      <c r="AF882" s="73"/>
      <c r="AG882" s="73"/>
      <c r="AH882" s="73"/>
      <c r="AI882" s="73"/>
      <c r="AJ882" s="73"/>
    </row>
    <row r="883" spans="1:36" x14ac:dyDescent="0.25">
      <c r="A883" s="73"/>
      <c r="B883" s="73"/>
      <c r="C883" s="73"/>
      <c r="D883" s="73"/>
      <c r="E883" s="73"/>
      <c r="F883" s="73"/>
      <c r="G883" s="73"/>
      <c r="H883" s="73"/>
      <c r="I883" s="73"/>
      <c r="J883" s="73"/>
      <c r="K883" s="73"/>
      <c r="L883" s="73"/>
      <c r="M883" s="73"/>
      <c r="N883" s="73"/>
      <c r="O883" s="73"/>
      <c r="P883" s="73"/>
      <c r="Q883" s="73"/>
      <c r="R883" s="73"/>
      <c r="S883" s="73"/>
      <c r="T883" s="73"/>
      <c r="U883" s="73"/>
      <c r="V883" s="73"/>
      <c r="W883" s="73"/>
      <c r="X883" s="73"/>
      <c r="Y883" s="73"/>
      <c r="Z883" s="73"/>
      <c r="AA883" s="73"/>
      <c r="AB883" s="73"/>
      <c r="AC883" s="73"/>
      <c r="AD883" s="73"/>
      <c r="AE883" s="73"/>
      <c r="AF883" s="73"/>
      <c r="AG883" s="73"/>
      <c r="AH883" s="73"/>
      <c r="AI883" s="73"/>
      <c r="AJ883" s="73"/>
    </row>
    <row r="884" spans="1:36" x14ac:dyDescent="0.25">
      <c r="A884" s="73"/>
      <c r="B884" s="73"/>
      <c r="C884" s="73"/>
      <c r="D884" s="73"/>
      <c r="E884" s="73"/>
      <c r="F884" s="73"/>
      <c r="G884" s="73"/>
      <c r="H884" s="73"/>
      <c r="I884" s="73"/>
      <c r="J884" s="73"/>
      <c r="K884" s="73"/>
      <c r="L884" s="73"/>
      <c r="M884" s="73"/>
      <c r="N884" s="73"/>
      <c r="O884" s="73"/>
      <c r="P884" s="73"/>
      <c r="Q884" s="73"/>
      <c r="R884" s="73"/>
      <c r="S884" s="73"/>
      <c r="T884" s="73"/>
      <c r="U884" s="73"/>
      <c r="V884" s="73"/>
      <c r="W884" s="73"/>
      <c r="X884" s="73"/>
      <c r="Y884" s="73"/>
      <c r="Z884" s="73"/>
      <c r="AA884" s="73"/>
      <c r="AB884" s="73"/>
      <c r="AC884" s="73"/>
      <c r="AD884" s="73"/>
      <c r="AE884" s="73"/>
      <c r="AF884" s="73"/>
      <c r="AG884" s="73"/>
      <c r="AH884" s="73"/>
      <c r="AI884" s="73"/>
      <c r="AJ884" s="73"/>
    </row>
    <row r="885" spans="1:36" x14ac:dyDescent="0.25">
      <c r="A885" s="73"/>
      <c r="B885" s="73"/>
      <c r="C885" s="73"/>
      <c r="D885" s="73"/>
      <c r="E885" s="73"/>
      <c r="F885" s="73"/>
      <c r="G885" s="73"/>
      <c r="H885" s="73"/>
      <c r="I885" s="73"/>
      <c r="J885" s="73"/>
      <c r="K885" s="73"/>
      <c r="L885" s="73"/>
      <c r="M885" s="73"/>
      <c r="N885" s="73"/>
      <c r="O885" s="73"/>
      <c r="P885" s="73"/>
      <c r="Q885" s="73"/>
      <c r="R885" s="73"/>
      <c r="S885" s="73"/>
      <c r="T885" s="73"/>
      <c r="U885" s="73"/>
      <c r="V885" s="73"/>
      <c r="W885" s="73"/>
      <c r="X885" s="73"/>
      <c r="Y885" s="73"/>
      <c r="Z885" s="73"/>
      <c r="AA885" s="73"/>
      <c r="AB885" s="73"/>
      <c r="AC885" s="73"/>
      <c r="AD885" s="73"/>
      <c r="AE885" s="73"/>
      <c r="AF885" s="73"/>
      <c r="AG885" s="73"/>
      <c r="AH885" s="73"/>
      <c r="AI885" s="73"/>
      <c r="AJ885" s="73"/>
    </row>
    <row r="886" spans="1:36" x14ac:dyDescent="0.25">
      <c r="A886" s="73"/>
      <c r="B886" s="73"/>
      <c r="C886" s="73"/>
      <c r="D886" s="73"/>
      <c r="E886" s="73"/>
      <c r="F886" s="73"/>
      <c r="G886" s="73"/>
      <c r="H886" s="73"/>
      <c r="I886" s="73"/>
      <c r="J886" s="73"/>
      <c r="K886" s="73"/>
      <c r="L886" s="73"/>
      <c r="M886" s="73"/>
      <c r="N886" s="73"/>
      <c r="O886" s="73"/>
      <c r="P886" s="73"/>
      <c r="Q886" s="73"/>
      <c r="R886" s="73"/>
      <c r="S886" s="73"/>
      <c r="T886" s="73"/>
      <c r="U886" s="73"/>
      <c r="V886" s="73"/>
      <c r="W886" s="73"/>
      <c r="X886" s="73"/>
      <c r="Y886" s="73"/>
      <c r="Z886" s="73"/>
      <c r="AA886" s="73"/>
      <c r="AB886" s="73"/>
      <c r="AC886" s="73"/>
      <c r="AD886" s="73"/>
      <c r="AE886" s="73"/>
      <c r="AF886" s="73"/>
      <c r="AG886" s="73"/>
      <c r="AH886" s="73"/>
      <c r="AI886" s="73"/>
      <c r="AJ886" s="73"/>
    </row>
    <row r="887" spans="1:36" x14ac:dyDescent="0.25">
      <c r="A887" s="73"/>
      <c r="B887" s="73"/>
      <c r="C887" s="73"/>
      <c r="D887" s="73"/>
      <c r="E887" s="73"/>
      <c r="F887" s="73"/>
      <c r="G887" s="73"/>
      <c r="H887" s="73"/>
      <c r="I887" s="73"/>
      <c r="J887" s="73"/>
      <c r="K887" s="73"/>
      <c r="L887" s="73"/>
      <c r="M887" s="73"/>
      <c r="N887" s="73"/>
      <c r="O887" s="73"/>
      <c r="P887" s="73"/>
      <c r="Q887" s="73"/>
      <c r="R887" s="73"/>
      <c r="S887" s="73"/>
      <c r="T887" s="73"/>
      <c r="U887" s="73"/>
      <c r="V887" s="73"/>
      <c r="W887" s="73"/>
      <c r="X887" s="73"/>
      <c r="Y887" s="73"/>
      <c r="Z887" s="73"/>
      <c r="AA887" s="73"/>
      <c r="AB887" s="73"/>
      <c r="AC887" s="73"/>
      <c r="AD887" s="73"/>
      <c r="AE887" s="73"/>
      <c r="AF887" s="73"/>
      <c r="AG887" s="73"/>
      <c r="AH887" s="73"/>
      <c r="AI887" s="73"/>
      <c r="AJ887" s="73"/>
    </row>
    <row r="888" spans="1:36" x14ac:dyDescent="0.25">
      <c r="A888" s="73"/>
      <c r="B888" s="73"/>
      <c r="C888" s="73"/>
      <c r="D888" s="73"/>
      <c r="E888" s="73"/>
      <c r="F888" s="73"/>
      <c r="G888" s="73"/>
      <c r="H888" s="73"/>
      <c r="I888" s="73"/>
      <c r="J888" s="73"/>
      <c r="K888" s="73"/>
      <c r="L888" s="73"/>
      <c r="M888" s="73"/>
      <c r="N888" s="73"/>
      <c r="O888" s="73"/>
      <c r="P888" s="73"/>
      <c r="Q888" s="73"/>
      <c r="R888" s="73"/>
      <c r="S888" s="73"/>
      <c r="T888" s="73"/>
      <c r="U888" s="73"/>
      <c r="V888" s="73"/>
      <c r="W888" s="73"/>
      <c r="X888" s="73"/>
      <c r="Y888" s="73"/>
      <c r="Z888" s="73"/>
      <c r="AA888" s="73"/>
      <c r="AB888" s="73"/>
      <c r="AC888" s="73"/>
      <c r="AD888" s="73"/>
      <c r="AE888" s="73"/>
      <c r="AF888" s="73"/>
      <c r="AG888" s="73"/>
      <c r="AH888" s="73"/>
      <c r="AI888" s="73"/>
      <c r="AJ888" s="73"/>
    </row>
    <row r="889" spans="1:36" x14ac:dyDescent="0.25">
      <c r="A889" s="73"/>
      <c r="B889" s="73"/>
      <c r="C889" s="73"/>
      <c r="D889" s="73"/>
      <c r="E889" s="73"/>
      <c r="F889" s="73"/>
      <c r="G889" s="73"/>
      <c r="H889" s="73"/>
      <c r="I889" s="73"/>
      <c r="J889" s="73"/>
      <c r="K889" s="73"/>
      <c r="L889" s="73"/>
      <c r="M889" s="73"/>
      <c r="N889" s="73"/>
      <c r="O889" s="73"/>
      <c r="P889" s="73"/>
      <c r="Q889" s="73"/>
      <c r="R889" s="73"/>
      <c r="S889" s="73"/>
      <c r="T889" s="73"/>
      <c r="U889" s="73"/>
      <c r="V889" s="73"/>
      <c r="W889" s="73"/>
      <c r="X889" s="73"/>
      <c r="Y889" s="73"/>
      <c r="Z889" s="73"/>
      <c r="AA889" s="73"/>
      <c r="AB889" s="73"/>
      <c r="AC889" s="73"/>
      <c r="AD889" s="73"/>
      <c r="AE889" s="73"/>
      <c r="AF889" s="73"/>
      <c r="AG889" s="73"/>
      <c r="AH889" s="73"/>
      <c r="AI889" s="73"/>
      <c r="AJ889" s="73"/>
    </row>
    <row r="890" spans="1:36" x14ac:dyDescent="0.25">
      <c r="A890" s="73"/>
      <c r="B890" s="73"/>
      <c r="C890" s="73"/>
      <c r="D890" s="73"/>
      <c r="E890" s="73"/>
      <c r="F890" s="73"/>
      <c r="G890" s="73"/>
      <c r="H890" s="73"/>
      <c r="I890" s="73"/>
      <c r="J890" s="73"/>
      <c r="K890" s="73"/>
      <c r="L890" s="73"/>
      <c r="M890" s="73"/>
      <c r="N890" s="73"/>
      <c r="O890" s="73"/>
      <c r="P890" s="73"/>
      <c r="Q890" s="73"/>
      <c r="R890" s="73"/>
      <c r="S890" s="73"/>
      <c r="T890" s="73"/>
      <c r="U890" s="73"/>
      <c r="V890" s="73"/>
      <c r="W890" s="73"/>
      <c r="X890" s="73"/>
      <c r="Y890" s="73"/>
      <c r="Z890" s="73"/>
      <c r="AA890" s="73"/>
      <c r="AB890" s="73"/>
      <c r="AC890" s="73"/>
      <c r="AD890" s="73"/>
      <c r="AE890" s="73"/>
      <c r="AF890" s="73"/>
      <c r="AG890" s="73"/>
      <c r="AH890" s="73"/>
      <c r="AI890" s="73"/>
      <c r="AJ890" s="73"/>
    </row>
    <row r="891" spans="1:36" x14ac:dyDescent="0.25">
      <c r="A891" s="73"/>
      <c r="B891" s="73"/>
      <c r="C891" s="73"/>
      <c r="D891" s="73"/>
      <c r="E891" s="73"/>
      <c r="F891" s="73"/>
      <c r="G891" s="73"/>
      <c r="H891" s="73"/>
      <c r="I891" s="73"/>
      <c r="J891" s="73"/>
      <c r="K891" s="73"/>
      <c r="L891" s="73"/>
      <c r="M891" s="73"/>
      <c r="N891" s="73"/>
      <c r="O891" s="73"/>
      <c r="P891" s="73"/>
      <c r="Q891" s="73"/>
      <c r="R891" s="73"/>
      <c r="S891" s="73"/>
      <c r="T891" s="73"/>
      <c r="U891" s="73"/>
      <c r="V891" s="73"/>
      <c r="W891" s="73"/>
      <c r="X891" s="73"/>
      <c r="Y891" s="73"/>
      <c r="Z891" s="73"/>
      <c r="AA891" s="73"/>
      <c r="AB891" s="73"/>
      <c r="AC891" s="73"/>
      <c r="AD891" s="73"/>
      <c r="AE891" s="73"/>
      <c r="AF891" s="73"/>
      <c r="AG891" s="73"/>
      <c r="AH891" s="73"/>
      <c r="AI891" s="73"/>
      <c r="AJ891" s="73"/>
    </row>
    <row r="892" spans="1:36" x14ac:dyDescent="0.25">
      <c r="A892" s="73"/>
      <c r="B892" s="73"/>
      <c r="C892" s="73"/>
      <c r="D892" s="73"/>
      <c r="E892" s="73"/>
      <c r="F892" s="73"/>
      <c r="G892" s="73"/>
      <c r="H892" s="73"/>
      <c r="I892" s="73"/>
      <c r="J892" s="73"/>
      <c r="K892" s="73"/>
      <c r="L892" s="73"/>
      <c r="M892" s="73"/>
      <c r="N892" s="73"/>
      <c r="O892" s="73"/>
      <c r="P892" s="73"/>
      <c r="Q892" s="73"/>
      <c r="R892" s="73"/>
      <c r="S892" s="73"/>
      <c r="T892" s="73"/>
      <c r="U892" s="73"/>
      <c r="V892" s="73"/>
      <c r="W892" s="73"/>
      <c r="X892" s="73"/>
      <c r="Y892" s="73"/>
      <c r="Z892" s="73"/>
      <c r="AA892" s="73"/>
      <c r="AB892" s="73"/>
      <c r="AC892" s="73"/>
      <c r="AD892" s="73"/>
      <c r="AE892" s="73"/>
      <c r="AF892" s="73"/>
      <c r="AG892" s="73"/>
      <c r="AH892" s="73"/>
      <c r="AI892" s="73"/>
      <c r="AJ892" s="73"/>
    </row>
    <row r="893" spans="1:36" x14ac:dyDescent="0.25">
      <c r="A893" s="73"/>
      <c r="B893" s="73"/>
      <c r="C893" s="73"/>
      <c r="D893" s="73"/>
      <c r="E893" s="73"/>
      <c r="F893" s="73"/>
      <c r="G893" s="73"/>
      <c r="H893" s="73"/>
      <c r="I893" s="73"/>
      <c r="J893" s="73"/>
      <c r="K893" s="73"/>
      <c r="L893" s="73"/>
      <c r="M893" s="73"/>
      <c r="N893" s="73"/>
      <c r="O893" s="73"/>
      <c r="P893" s="73"/>
      <c r="Q893" s="73"/>
      <c r="R893" s="73"/>
      <c r="S893" s="73"/>
      <c r="T893" s="73"/>
      <c r="U893" s="73"/>
      <c r="V893" s="73"/>
      <c r="W893" s="73"/>
      <c r="X893" s="73"/>
      <c r="Y893" s="73"/>
      <c r="Z893" s="73"/>
      <c r="AA893" s="73"/>
      <c r="AB893" s="73"/>
      <c r="AC893" s="73"/>
      <c r="AD893" s="73"/>
      <c r="AE893" s="73"/>
      <c r="AF893" s="73"/>
      <c r="AG893" s="73"/>
      <c r="AH893" s="73"/>
      <c r="AI893" s="73"/>
      <c r="AJ893" s="73"/>
    </row>
    <row r="894" spans="1:36" x14ac:dyDescent="0.25">
      <c r="A894" s="73"/>
      <c r="B894" s="73"/>
      <c r="C894" s="73"/>
      <c r="D894" s="73"/>
      <c r="E894" s="73"/>
      <c r="F894" s="73"/>
      <c r="G894" s="73"/>
      <c r="H894" s="73"/>
      <c r="I894" s="73"/>
      <c r="J894" s="73"/>
      <c r="K894" s="73"/>
      <c r="L894" s="73"/>
      <c r="M894" s="73"/>
      <c r="N894" s="73"/>
      <c r="O894" s="73"/>
      <c r="P894" s="73"/>
      <c r="Q894" s="73"/>
      <c r="R894" s="73"/>
      <c r="S894" s="73"/>
      <c r="T894" s="73"/>
      <c r="U894" s="73"/>
      <c r="V894" s="73"/>
      <c r="W894" s="73"/>
      <c r="X894" s="73"/>
      <c r="Y894" s="73"/>
      <c r="Z894" s="73"/>
      <c r="AA894" s="73"/>
      <c r="AB894" s="73"/>
      <c r="AC894" s="73"/>
      <c r="AD894" s="73"/>
      <c r="AE894" s="73"/>
      <c r="AF894" s="73"/>
      <c r="AG894" s="73"/>
      <c r="AH894" s="73"/>
      <c r="AI894" s="73"/>
      <c r="AJ894" s="73"/>
    </row>
    <row r="895" spans="1:36" x14ac:dyDescent="0.25">
      <c r="A895" s="73"/>
      <c r="B895" s="73"/>
      <c r="C895" s="73"/>
      <c r="D895" s="73"/>
      <c r="E895" s="73"/>
      <c r="F895" s="73"/>
      <c r="G895" s="73"/>
      <c r="H895" s="73"/>
      <c r="I895" s="73"/>
      <c r="J895" s="73"/>
      <c r="K895" s="73"/>
      <c r="L895" s="73"/>
      <c r="M895" s="73"/>
      <c r="N895" s="73"/>
      <c r="O895" s="73"/>
      <c r="P895" s="73"/>
      <c r="Q895" s="73"/>
      <c r="R895" s="73"/>
      <c r="S895" s="73"/>
      <c r="T895" s="73"/>
      <c r="U895" s="73"/>
      <c r="V895" s="73"/>
      <c r="W895" s="73"/>
      <c r="X895" s="73"/>
      <c r="Y895" s="73"/>
      <c r="Z895" s="73"/>
      <c r="AA895" s="73"/>
      <c r="AB895" s="73"/>
      <c r="AC895" s="73"/>
      <c r="AD895" s="73"/>
      <c r="AE895" s="73"/>
      <c r="AF895" s="73"/>
      <c r="AG895" s="73"/>
      <c r="AH895" s="73"/>
      <c r="AI895" s="73"/>
      <c r="AJ895" s="73"/>
    </row>
    <row r="896" spans="1:36" x14ac:dyDescent="0.25">
      <c r="A896" s="73"/>
      <c r="B896" s="73"/>
      <c r="C896" s="73"/>
      <c r="D896" s="73"/>
      <c r="E896" s="73"/>
      <c r="F896" s="73"/>
      <c r="G896" s="73"/>
      <c r="H896" s="73"/>
      <c r="I896" s="73"/>
      <c r="J896" s="73"/>
      <c r="K896" s="73"/>
      <c r="L896" s="73"/>
      <c r="M896" s="73"/>
      <c r="N896" s="73"/>
      <c r="O896" s="73"/>
      <c r="P896" s="73"/>
      <c r="Q896" s="73"/>
      <c r="R896" s="73"/>
      <c r="S896" s="73"/>
      <c r="T896" s="73"/>
      <c r="U896" s="73"/>
      <c r="V896" s="73"/>
      <c r="W896" s="73"/>
      <c r="X896" s="73"/>
      <c r="Y896" s="73"/>
      <c r="Z896" s="73"/>
      <c r="AA896" s="73"/>
      <c r="AB896" s="73"/>
      <c r="AC896" s="73"/>
      <c r="AD896" s="73"/>
      <c r="AE896" s="73"/>
      <c r="AF896" s="73"/>
      <c r="AG896" s="73"/>
      <c r="AH896" s="73"/>
      <c r="AI896" s="73"/>
      <c r="AJ896" s="73"/>
    </row>
    <row r="897" spans="1:36" x14ac:dyDescent="0.25">
      <c r="A897" s="73"/>
      <c r="B897" s="73"/>
      <c r="C897" s="73"/>
      <c r="D897" s="73"/>
      <c r="E897" s="73"/>
      <c r="F897" s="73"/>
      <c r="G897" s="73"/>
      <c r="H897" s="73"/>
      <c r="I897" s="73"/>
      <c r="J897" s="73"/>
      <c r="K897" s="73"/>
      <c r="L897" s="73"/>
      <c r="M897" s="73"/>
      <c r="N897" s="73"/>
      <c r="O897" s="73"/>
      <c r="P897" s="73"/>
      <c r="Q897" s="73"/>
      <c r="R897" s="73"/>
      <c r="S897" s="73"/>
      <c r="T897" s="73"/>
      <c r="U897" s="73"/>
      <c r="V897" s="73"/>
      <c r="W897" s="73"/>
      <c r="X897" s="73"/>
      <c r="Y897" s="73"/>
      <c r="Z897" s="73"/>
      <c r="AA897" s="73"/>
      <c r="AB897" s="73"/>
      <c r="AC897" s="73"/>
      <c r="AD897" s="73"/>
      <c r="AE897" s="73"/>
      <c r="AF897" s="73"/>
      <c r="AG897" s="73"/>
      <c r="AH897" s="73"/>
      <c r="AI897" s="73"/>
      <c r="AJ897" s="73"/>
    </row>
    <row r="898" spans="1:36" x14ac:dyDescent="0.25">
      <c r="A898" s="73"/>
      <c r="B898" s="73"/>
      <c r="C898" s="73"/>
      <c r="D898" s="73"/>
      <c r="E898" s="73"/>
      <c r="F898" s="73"/>
      <c r="G898" s="73"/>
      <c r="H898" s="73"/>
      <c r="I898" s="73"/>
      <c r="J898" s="73"/>
      <c r="K898" s="73"/>
      <c r="L898" s="73"/>
      <c r="M898" s="73"/>
      <c r="N898" s="73"/>
      <c r="O898" s="73"/>
      <c r="P898" s="73"/>
      <c r="Q898" s="73"/>
      <c r="R898" s="73"/>
      <c r="S898" s="73"/>
      <c r="T898" s="73"/>
      <c r="U898" s="73"/>
      <c r="V898" s="73"/>
      <c r="W898" s="73"/>
      <c r="X898" s="73"/>
      <c r="Y898" s="73"/>
      <c r="Z898" s="73"/>
      <c r="AA898" s="73"/>
      <c r="AB898" s="73"/>
      <c r="AC898" s="73"/>
      <c r="AD898" s="73"/>
      <c r="AE898" s="73"/>
      <c r="AF898" s="73"/>
      <c r="AG898" s="73"/>
      <c r="AH898" s="73"/>
      <c r="AI898" s="73"/>
      <c r="AJ898" s="73"/>
    </row>
    <row r="899" spans="1:36" x14ac:dyDescent="0.25">
      <c r="A899" s="73"/>
      <c r="B899" s="73"/>
      <c r="C899" s="73"/>
      <c r="D899" s="73"/>
      <c r="E899" s="73"/>
      <c r="F899" s="73"/>
      <c r="G899" s="73"/>
      <c r="H899" s="73"/>
      <c r="I899" s="73"/>
      <c r="J899" s="73"/>
      <c r="K899" s="73"/>
      <c r="L899" s="73"/>
      <c r="M899" s="73"/>
      <c r="N899" s="73"/>
      <c r="O899" s="73"/>
      <c r="P899" s="73"/>
      <c r="Q899" s="73"/>
      <c r="R899" s="73"/>
      <c r="S899" s="73"/>
      <c r="T899" s="73"/>
      <c r="U899" s="73"/>
      <c r="V899" s="73"/>
      <c r="W899" s="73"/>
      <c r="X899" s="73"/>
      <c r="Y899" s="73"/>
      <c r="Z899" s="73"/>
      <c r="AA899" s="73"/>
      <c r="AB899" s="73"/>
      <c r="AC899" s="73"/>
      <c r="AD899" s="73"/>
      <c r="AE899" s="73"/>
      <c r="AF899" s="73"/>
      <c r="AG899" s="73"/>
      <c r="AH899" s="73"/>
      <c r="AI899" s="73"/>
      <c r="AJ899" s="73"/>
    </row>
    <row r="900" spans="1:36" x14ac:dyDescent="0.25">
      <c r="A900" s="73"/>
      <c r="B900" s="73"/>
      <c r="C900" s="73"/>
      <c r="D900" s="73"/>
      <c r="E900" s="73"/>
      <c r="F900" s="73"/>
      <c r="G900" s="73"/>
      <c r="H900" s="73"/>
      <c r="I900" s="73"/>
      <c r="J900" s="73"/>
      <c r="K900" s="73"/>
      <c r="L900" s="73"/>
      <c r="M900" s="73"/>
      <c r="N900" s="73"/>
      <c r="O900" s="73"/>
      <c r="P900" s="73"/>
      <c r="Q900" s="73"/>
      <c r="R900" s="73"/>
      <c r="S900" s="73"/>
      <c r="T900" s="73"/>
      <c r="U900" s="73"/>
      <c r="V900" s="73"/>
      <c r="W900" s="73"/>
      <c r="X900" s="73"/>
      <c r="Y900" s="73"/>
      <c r="Z900" s="73"/>
      <c r="AA900" s="73"/>
      <c r="AB900" s="73"/>
      <c r="AC900" s="73"/>
      <c r="AD900" s="73"/>
      <c r="AE900" s="73"/>
      <c r="AF900" s="73"/>
      <c r="AG900" s="73"/>
      <c r="AH900" s="73"/>
      <c r="AI900" s="73"/>
      <c r="AJ900" s="73"/>
    </row>
    <row r="901" spans="1:36" x14ac:dyDescent="0.25">
      <c r="A901" s="73"/>
      <c r="B901" s="73"/>
      <c r="C901" s="73"/>
      <c r="D901" s="73"/>
      <c r="E901" s="73"/>
      <c r="F901" s="73"/>
      <c r="G901" s="73"/>
      <c r="H901" s="73"/>
      <c r="I901" s="73"/>
      <c r="J901" s="73"/>
      <c r="K901" s="73"/>
      <c r="L901" s="73"/>
      <c r="M901" s="73"/>
      <c r="N901" s="73"/>
      <c r="O901" s="73"/>
      <c r="P901" s="73"/>
      <c r="Q901" s="73"/>
      <c r="R901" s="73"/>
      <c r="S901" s="73"/>
      <c r="T901" s="73"/>
      <c r="U901" s="73"/>
      <c r="V901" s="73"/>
      <c r="W901" s="73"/>
      <c r="X901" s="73"/>
      <c r="Y901" s="73"/>
      <c r="Z901" s="73"/>
      <c r="AA901" s="73"/>
      <c r="AB901" s="73"/>
      <c r="AC901" s="73"/>
      <c r="AD901" s="73"/>
      <c r="AE901" s="73"/>
      <c r="AF901" s="73"/>
      <c r="AG901" s="73"/>
      <c r="AH901" s="73"/>
      <c r="AI901" s="73"/>
      <c r="AJ901" s="73"/>
    </row>
    <row r="902" spans="1:36" x14ac:dyDescent="0.25">
      <c r="A902" s="73"/>
      <c r="B902" s="73"/>
      <c r="C902" s="73"/>
      <c r="D902" s="73"/>
      <c r="E902" s="73"/>
      <c r="F902" s="73"/>
      <c r="G902" s="73"/>
      <c r="H902" s="73"/>
      <c r="I902" s="73"/>
      <c r="J902" s="73"/>
      <c r="K902" s="73"/>
      <c r="L902" s="73"/>
      <c r="M902" s="73"/>
      <c r="N902" s="73"/>
      <c r="O902" s="73"/>
      <c r="P902" s="73"/>
      <c r="Q902" s="73"/>
      <c r="R902" s="73"/>
      <c r="S902" s="73"/>
      <c r="T902" s="73"/>
      <c r="U902" s="73"/>
      <c r="V902" s="73"/>
      <c r="W902" s="73"/>
      <c r="X902" s="73"/>
      <c r="Y902" s="73"/>
      <c r="Z902" s="73"/>
      <c r="AA902" s="73"/>
      <c r="AB902" s="73"/>
      <c r="AC902" s="73"/>
      <c r="AD902" s="73"/>
      <c r="AE902" s="73"/>
      <c r="AF902" s="73"/>
      <c r="AG902" s="73"/>
      <c r="AH902" s="73"/>
      <c r="AI902" s="73"/>
      <c r="AJ902" s="73"/>
    </row>
    <row r="903" spans="1:36" x14ac:dyDescent="0.25">
      <c r="A903" s="73"/>
      <c r="B903" s="73"/>
      <c r="C903" s="73"/>
      <c r="D903" s="73"/>
      <c r="E903" s="73"/>
      <c r="F903" s="73"/>
      <c r="G903" s="73"/>
      <c r="H903" s="73"/>
      <c r="I903" s="73"/>
      <c r="J903" s="73"/>
      <c r="K903" s="73"/>
      <c r="L903" s="73"/>
      <c r="M903" s="73"/>
      <c r="N903" s="73"/>
      <c r="O903" s="73"/>
      <c r="P903" s="73"/>
      <c r="Q903" s="73"/>
      <c r="R903" s="73"/>
      <c r="S903" s="73"/>
      <c r="T903" s="73"/>
      <c r="U903" s="73"/>
      <c r="V903" s="73"/>
      <c r="W903" s="73"/>
      <c r="X903" s="73"/>
      <c r="Y903" s="73"/>
      <c r="Z903" s="73"/>
      <c r="AA903" s="73"/>
      <c r="AB903" s="73"/>
      <c r="AC903" s="73"/>
      <c r="AD903" s="73"/>
      <c r="AE903" s="73"/>
      <c r="AF903" s="73"/>
      <c r="AG903" s="73"/>
      <c r="AH903" s="73"/>
      <c r="AI903" s="73"/>
      <c r="AJ903" s="73"/>
    </row>
    <row r="904" spans="1:36" x14ac:dyDescent="0.25">
      <c r="A904" s="73"/>
      <c r="B904" s="73"/>
      <c r="C904" s="73"/>
      <c r="D904" s="73"/>
      <c r="E904" s="73"/>
      <c r="F904" s="73"/>
      <c r="G904" s="73"/>
      <c r="H904" s="73"/>
      <c r="I904" s="73"/>
      <c r="J904" s="73"/>
      <c r="K904" s="73"/>
      <c r="L904" s="73"/>
      <c r="M904" s="73"/>
      <c r="N904" s="73"/>
      <c r="O904" s="73"/>
      <c r="P904" s="73"/>
      <c r="Q904" s="73"/>
      <c r="R904" s="73"/>
      <c r="S904" s="73"/>
      <c r="T904" s="73"/>
      <c r="U904" s="73"/>
      <c r="V904" s="73"/>
      <c r="W904" s="73"/>
      <c r="X904" s="73"/>
      <c r="Y904" s="73"/>
      <c r="Z904" s="73"/>
      <c r="AA904" s="73"/>
      <c r="AB904" s="73"/>
      <c r="AC904" s="73"/>
      <c r="AD904" s="73"/>
      <c r="AE904" s="73"/>
      <c r="AF904" s="73"/>
      <c r="AG904" s="73"/>
      <c r="AH904" s="73"/>
      <c r="AI904" s="73"/>
      <c r="AJ904" s="73"/>
    </row>
    <row r="905" spans="1:36" x14ac:dyDescent="0.25">
      <c r="A905" s="73"/>
      <c r="B905" s="73"/>
      <c r="C905" s="73"/>
      <c r="D905" s="73"/>
      <c r="E905" s="73"/>
      <c r="F905" s="73"/>
      <c r="G905" s="73"/>
      <c r="H905" s="73"/>
      <c r="I905" s="73"/>
      <c r="J905" s="73"/>
      <c r="K905" s="73"/>
      <c r="L905" s="73"/>
      <c r="M905" s="73"/>
      <c r="N905" s="73"/>
      <c r="O905" s="73"/>
      <c r="P905" s="73"/>
      <c r="Q905" s="73"/>
      <c r="R905" s="73"/>
      <c r="S905" s="73"/>
      <c r="T905" s="73"/>
      <c r="U905" s="73"/>
      <c r="V905" s="73"/>
      <c r="W905" s="73"/>
      <c r="X905" s="73"/>
      <c r="Y905" s="73"/>
      <c r="Z905" s="73"/>
      <c r="AA905" s="73"/>
      <c r="AB905" s="73"/>
      <c r="AC905" s="73"/>
      <c r="AD905" s="73"/>
      <c r="AE905" s="73"/>
      <c r="AF905" s="73"/>
      <c r="AG905" s="73"/>
      <c r="AH905" s="73"/>
      <c r="AI905" s="73"/>
      <c r="AJ905" s="73"/>
    </row>
    <row r="906" spans="1:36" x14ac:dyDescent="0.25">
      <c r="A906" s="73"/>
      <c r="B906" s="73"/>
      <c r="C906" s="73"/>
      <c r="D906" s="73"/>
      <c r="E906" s="73"/>
      <c r="F906" s="73"/>
      <c r="G906" s="73"/>
      <c r="H906" s="73"/>
      <c r="I906" s="73"/>
      <c r="J906" s="73"/>
      <c r="K906" s="73"/>
      <c r="L906" s="73"/>
      <c r="M906" s="73"/>
      <c r="N906" s="73"/>
      <c r="O906" s="73"/>
      <c r="P906" s="73"/>
      <c r="Q906" s="73"/>
      <c r="R906" s="73"/>
      <c r="S906" s="73"/>
      <c r="T906" s="73"/>
      <c r="U906" s="73"/>
      <c r="V906" s="73"/>
      <c r="W906" s="73"/>
      <c r="X906" s="73"/>
      <c r="Y906" s="73"/>
      <c r="Z906" s="73"/>
      <c r="AA906" s="73"/>
      <c r="AB906" s="73"/>
      <c r="AC906" s="73"/>
      <c r="AD906" s="73"/>
      <c r="AE906" s="73"/>
      <c r="AF906" s="73"/>
      <c r="AG906" s="73"/>
      <c r="AH906" s="73"/>
      <c r="AI906" s="73"/>
      <c r="AJ906" s="73"/>
    </row>
    <row r="907" spans="1:36" x14ac:dyDescent="0.25">
      <c r="A907" s="73"/>
      <c r="B907" s="73"/>
      <c r="C907" s="73"/>
      <c r="D907" s="73"/>
      <c r="E907" s="73"/>
      <c r="F907" s="73"/>
      <c r="G907" s="73"/>
      <c r="H907" s="73"/>
      <c r="I907" s="73"/>
      <c r="J907" s="73"/>
      <c r="K907" s="73"/>
      <c r="L907" s="73"/>
      <c r="M907" s="73"/>
      <c r="N907" s="73"/>
      <c r="O907" s="73"/>
      <c r="P907" s="73"/>
      <c r="Q907" s="73"/>
      <c r="R907" s="73"/>
      <c r="S907" s="73"/>
      <c r="T907" s="73"/>
      <c r="U907" s="73"/>
      <c r="V907" s="73"/>
      <c r="W907" s="73"/>
      <c r="X907" s="73"/>
      <c r="Y907" s="73"/>
      <c r="Z907" s="73"/>
      <c r="AA907" s="73"/>
      <c r="AB907" s="73"/>
      <c r="AC907" s="73"/>
      <c r="AD907" s="73"/>
      <c r="AE907" s="73"/>
      <c r="AF907" s="73"/>
      <c r="AG907" s="73"/>
      <c r="AH907" s="73"/>
      <c r="AI907" s="73"/>
      <c r="AJ907" s="73"/>
    </row>
    <row r="908" spans="1:36" x14ac:dyDescent="0.25">
      <c r="A908" s="73"/>
      <c r="B908" s="73"/>
      <c r="C908" s="73"/>
      <c r="D908" s="73"/>
      <c r="E908" s="73"/>
      <c r="F908" s="73"/>
      <c r="G908" s="73"/>
      <c r="H908" s="73"/>
      <c r="I908" s="73"/>
      <c r="J908" s="73"/>
      <c r="K908" s="73"/>
      <c r="L908" s="73"/>
      <c r="M908" s="73"/>
      <c r="N908" s="73"/>
      <c r="O908" s="73"/>
      <c r="P908" s="73"/>
      <c r="Q908" s="73"/>
      <c r="R908" s="73"/>
      <c r="S908" s="73"/>
      <c r="T908" s="73"/>
      <c r="U908" s="73"/>
      <c r="V908" s="73"/>
      <c r="W908" s="73"/>
      <c r="X908" s="73"/>
      <c r="Y908" s="73"/>
      <c r="Z908" s="73"/>
      <c r="AA908" s="73"/>
      <c r="AB908" s="73"/>
      <c r="AC908" s="73"/>
      <c r="AD908" s="73"/>
      <c r="AE908" s="73"/>
      <c r="AF908" s="73"/>
      <c r="AG908" s="73"/>
      <c r="AH908" s="73"/>
      <c r="AI908" s="73"/>
      <c r="AJ908" s="73"/>
    </row>
    <row r="909" spans="1:36" x14ac:dyDescent="0.25">
      <c r="A909" s="73"/>
      <c r="B909" s="73"/>
      <c r="C909" s="73"/>
      <c r="D909" s="73"/>
      <c r="E909" s="73"/>
      <c r="F909" s="73"/>
      <c r="G909" s="73"/>
      <c r="H909" s="73"/>
      <c r="I909" s="73"/>
      <c r="J909" s="73"/>
      <c r="K909" s="73"/>
      <c r="L909" s="73"/>
      <c r="M909" s="73"/>
      <c r="N909" s="73"/>
      <c r="O909" s="73"/>
      <c r="P909" s="73"/>
      <c r="Q909" s="73"/>
      <c r="R909" s="73"/>
      <c r="S909" s="73"/>
      <c r="T909" s="73"/>
      <c r="U909" s="73"/>
      <c r="V909" s="73"/>
      <c r="W909" s="73"/>
      <c r="X909" s="73"/>
      <c r="Y909" s="73"/>
      <c r="Z909" s="73"/>
      <c r="AA909" s="73"/>
      <c r="AB909" s="73"/>
      <c r="AC909" s="73"/>
      <c r="AD909" s="73"/>
      <c r="AE909" s="73"/>
      <c r="AF909" s="73"/>
      <c r="AG909" s="73"/>
      <c r="AH909" s="73"/>
      <c r="AI909" s="73"/>
      <c r="AJ909" s="73"/>
    </row>
    <row r="910" spans="1:36" x14ac:dyDescent="0.25">
      <c r="A910" s="73"/>
      <c r="B910" s="73"/>
      <c r="C910" s="73"/>
      <c r="D910" s="73"/>
      <c r="E910" s="73"/>
      <c r="F910" s="73"/>
      <c r="G910" s="73"/>
      <c r="H910" s="73"/>
      <c r="I910" s="73"/>
      <c r="J910" s="73"/>
      <c r="K910" s="73"/>
      <c r="L910" s="73"/>
      <c r="M910" s="73"/>
      <c r="N910" s="73"/>
      <c r="O910" s="73"/>
      <c r="P910" s="73"/>
      <c r="Q910" s="73"/>
      <c r="R910" s="73"/>
      <c r="S910" s="73"/>
      <c r="T910" s="73"/>
      <c r="U910" s="73"/>
      <c r="V910" s="73"/>
      <c r="W910" s="73"/>
      <c r="X910" s="73"/>
      <c r="Y910" s="73"/>
      <c r="Z910" s="73"/>
      <c r="AA910" s="73"/>
      <c r="AB910" s="73"/>
      <c r="AC910" s="73"/>
      <c r="AD910" s="73"/>
      <c r="AE910" s="73"/>
      <c r="AF910" s="73"/>
      <c r="AG910" s="73"/>
      <c r="AH910" s="73"/>
      <c r="AI910" s="73"/>
      <c r="AJ910" s="73"/>
    </row>
    <row r="911" spans="1:36" x14ac:dyDescent="0.25">
      <c r="A911" s="73"/>
      <c r="B911" s="73"/>
      <c r="C911" s="73"/>
      <c r="D911" s="73"/>
      <c r="E911" s="73"/>
      <c r="F911" s="73"/>
      <c r="G911" s="73"/>
      <c r="H911" s="73"/>
      <c r="I911" s="73"/>
      <c r="J911" s="73"/>
      <c r="K911" s="73"/>
      <c r="L911" s="73"/>
      <c r="M911" s="73"/>
      <c r="N911" s="73"/>
      <c r="O911" s="73"/>
      <c r="P911" s="73"/>
      <c r="Q911" s="73"/>
      <c r="R911" s="73"/>
      <c r="S911" s="73"/>
      <c r="T911" s="73"/>
      <c r="U911" s="73"/>
      <c r="V911" s="73"/>
      <c r="W911" s="73"/>
      <c r="X911" s="73"/>
      <c r="Y911" s="73"/>
      <c r="Z911" s="73"/>
      <c r="AA911" s="73"/>
      <c r="AB911" s="73"/>
      <c r="AC911" s="73"/>
      <c r="AD911" s="73"/>
      <c r="AE911" s="73"/>
      <c r="AF911" s="73"/>
      <c r="AG911" s="73"/>
      <c r="AH911" s="73"/>
      <c r="AI911" s="73"/>
      <c r="AJ911" s="73"/>
    </row>
    <row r="912" spans="1:36" x14ac:dyDescent="0.25">
      <c r="A912" s="73"/>
      <c r="B912" s="73"/>
      <c r="C912" s="73"/>
      <c r="D912" s="73"/>
      <c r="E912" s="73"/>
      <c r="F912" s="73"/>
      <c r="G912" s="73"/>
      <c r="H912" s="73"/>
      <c r="I912" s="73"/>
      <c r="J912" s="73"/>
      <c r="K912" s="73"/>
      <c r="L912" s="73"/>
      <c r="M912" s="73"/>
      <c r="N912" s="73"/>
      <c r="O912" s="73"/>
      <c r="P912" s="73"/>
      <c r="Q912" s="73"/>
      <c r="R912" s="73"/>
      <c r="S912" s="73"/>
      <c r="T912" s="73"/>
      <c r="U912" s="73"/>
      <c r="V912" s="73"/>
      <c r="W912" s="73"/>
      <c r="X912" s="73"/>
      <c r="Y912" s="73"/>
      <c r="Z912" s="73"/>
      <c r="AA912" s="73"/>
      <c r="AB912" s="73"/>
      <c r="AC912" s="73"/>
      <c r="AD912" s="73"/>
      <c r="AE912" s="73"/>
      <c r="AF912" s="73"/>
      <c r="AG912" s="73"/>
      <c r="AH912" s="73"/>
      <c r="AI912" s="73"/>
      <c r="AJ912" s="73"/>
    </row>
    <row r="913" spans="1:36" x14ac:dyDescent="0.25">
      <c r="A913" s="73"/>
      <c r="B913" s="73"/>
      <c r="C913" s="73"/>
      <c r="D913" s="73"/>
      <c r="E913" s="73"/>
      <c r="F913" s="73"/>
      <c r="G913" s="73"/>
      <c r="H913" s="73"/>
      <c r="I913" s="73"/>
      <c r="J913" s="73"/>
      <c r="K913" s="73"/>
      <c r="L913" s="73"/>
      <c r="M913" s="73"/>
      <c r="N913" s="73"/>
      <c r="O913" s="73"/>
      <c r="P913" s="73"/>
      <c r="Q913" s="73"/>
      <c r="R913" s="73"/>
      <c r="S913" s="73"/>
      <c r="T913" s="73"/>
      <c r="U913" s="73"/>
      <c r="V913" s="73"/>
      <c r="W913" s="73"/>
      <c r="X913" s="73"/>
      <c r="Y913" s="73"/>
      <c r="Z913" s="73"/>
      <c r="AA913" s="73"/>
      <c r="AB913" s="73"/>
      <c r="AC913" s="73"/>
      <c r="AD913" s="73"/>
      <c r="AE913" s="73"/>
      <c r="AF913" s="73"/>
      <c r="AG913" s="73"/>
      <c r="AH913" s="73"/>
      <c r="AI913" s="73"/>
      <c r="AJ913" s="73"/>
    </row>
    <row r="914" spans="1:36" x14ac:dyDescent="0.25">
      <c r="A914" s="73"/>
      <c r="B914" s="73"/>
      <c r="C914" s="73"/>
      <c r="D914" s="73"/>
      <c r="E914" s="73"/>
      <c r="F914" s="73"/>
      <c r="G914" s="73"/>
      <c r="H914" s="73"/>
      <c r="I914" s="73"/>
      <c r="J914" s="73"/>
      <c r="K914" s="73"/>
      <c r="L914" s="73"/>
      <c r="M914" s="73"/>
      <c r="N914" s="73"/>
      <c r="O914" s="73"/>
      <c r="P914" s="73"/>
      <c r="Q914" s="73"/>
      <c r="R914" s="73"/>
      <c r="S914" s="73"/>
      <c r="T914" s="73"/>
      <c r="U914" s="73"/>
      <c r="V914" s="73"/>
      <c r="W914" s="73"/>
      <c r="X914" s="73"/>
      <c r="Y914" s="73"/>
      <c r="Z914" s="73"/>
      <c r="AA914" s="73"/>
      <c r="AB914" s="73"/>
      <c r="AC914" s="73"/>
      <c r="AD914" s="73"/>
      <c r="AE914" s="73"/>
      <c r="AF914" s="73"/>
      <c r="AG914" s="73"/>
      <c r="AH914" s="73"/>
      <c r="AI914" s="73"/>
      <c r="AJ914" s="73"/>
    </row>
    <row r="915" spans="1:36" x14ac:dyDescent="0.25">
      <c r="A915" s="73"/>
      <c r="B915" s="73"/>
      <c r="C915" s="73"/>
      <c r="D915" s="73"/>
      <c r="E915" s="73"/>
      <c r="F915" s="73"/>
      <c r="G915" s="73"/>
      <c r="H915" s="73"/>
      <c r="I915" s="73"/>
      <c r="J915" s="73"/>
      <c r="K915" s="73"/>
      <c r="L915" s="73"/>
      <c r="M915" s="73"/>
      <c r="N915" s="73"/>
      <c r="O915" s="73"/>
      <c r="P915" s="73"/>
      <c r="Q915" s="73"/>
      <c r="R915" s="73"/>
      <c r="S915" s="73"/>
      <c r="T915" s="73"/>
      <c r="U915" s="73"/>
      <c r="V915" s="73"/>
      <c r="W915" s="73"/>
      <c r="X915" s="73"/>
      <c r="Y915" s="73"/>
      <c r="Z915" s="73"/>
      <c r="AA915" s="73"/>
      <c r="AB915" s="73"/>
      <c r="AC915" s="73"/>
      <c r="AD915" s="73"/>
      <c r="AE915" s="73"/>
      <c r="AF915" s="73"/>
      <c r="AG915" s="73"/>
      <c r="AH915" s="73"/>
      <c r="AI915" s="73"/>
      <c r="AJ915" s="73"/>
    </row>
    <row r="916" spans="1:36" x14ac:dyDescent="0.25">
      <c r="A916" s="73"/>
      <c r="B916" s="73"/>
      <c r="C916" s="73"/>
      <c r="D916" s="73"/>
      <c r="E916" s="73"/>
      <c r="F916" s="73"/>
      <c r="G916" s="73"/>
      <c r="H916" s="73"/>
      <c r="I916" s="73"/>
      <c r="J916" s="73"/>
      <c r="K916" s="73"/>
      <c r="L916" s="73"/>
      <c r="M916" s="73"/>
      <c r="N916" s="73"/>
      <c r="O916" s="73"/>
      <c r="P916" s="73"/>
      <c r="Q916" s="73"/>
      <c r="R916" s="73"/>
      <c r="S916" s="73"/>
      <c r="T916" s="73"/>
      <c r="U916" s="73"/>
      <c r="V916" s="73"/>
      <c r="W916" s="73"/>
      <c r="X916" s="73"/>
      <c r="Y916" s="73"/>
      <c r="Z916" s="73"/>
      <c r="AA916" s="73"/>
      <c r="AB916" s="73"/>
      <c r="AC916" s="73"/>
      <c r="AD916" s="73"/>
      <c r="AE916" s="73"/>
      <c r="AF916" s="73"/>
      <c r="AG916" s="73"/>
      <c r="AH916" s="73"/>
      <c r="AI916" s="73"/>
      <c r="AJ916" s="73"/>
    </row>
    <row r="917" spans="1:36" x14ac:dyDescent="0.25">
      <c r="A917" s="73"/>
      <c r="B917" s="73"/>
      <c r="C917" s="73"/>
      <c r="D917" s="73"/>
      <c r="E917" s="73"/>
      <c r="F917" s="73"/>
      <c r="G917" s="73"/>
      <c r="H917" s="73"/>
      <c r="I917" s="73"/>
      <c r="J917" s="73"/>
      <c r="K917" s="73"/>
      <c r="L917" s="73"/>
      <c r="M917" s="73"/>
      <c r="N917" s="73"/>
      <c r="O917" s="73"/>
      <c r="P917" s="73"/>
      <c r="Q917" s="73"/>
      <c r="R917" s="73"/>
      <c r="S917" s="73"/>
      <c r="T917" s="73"/>
      <c r="U917" s="73"/>
      <c r="V917" s="73"/>
      <c r="W917" s="73"/>
      <c r="X917" s="73"/>
      <c r="Y917" s="73"/>
      <c r="Z917" s="73"/>
      <c r="AA917" s="73"/>
      <c r="AB917" s="73"/>
      <c r="AC917" s="73"/>
      <c r="AD917" s="73"/>
      <c r="AE917" s="73"/>
      <c r="AF917" s="73"/>
      <c r="AG917" s="73"/>
      <c r="AH917" s="73"/>
      <c r="AI917" s="73"/>
      <c r="AJ917" s="73"/>
    </row>
    <row r="918" spans="1:36" x14ac:dyDescent="0.25">
      <c r="A918" s="73"/>
      <c r="B918" s="73"/>
      <c r="C918" s="73"/>
      <c r="D918" s="73"/>
      <c r="E918" s="73"/>
      <c r="F918" s="73"/>
      <c r="G918" s="73"/>
      <c r="H918" s="73"/>
      <c r="I918" s="73"/>
      <c r="J918" s="73"/>
      <c r="K918" s="73"/>
      <c r="L918" s="73"/>
      <c r="M918" s="73"/>
      <c r="N918" s="73"/>
      <c r="O918" s="73"/>
      <c r="P918" s="73"/>
      <c r="Q918" s="73"/>
      <c r="R918" s="73"/>
      <c r="S918" s="73"/>
      <c r="T918" s="73"/>
      <c r="U918" s="73"/>
      <c r="V918" s="73"/>
      <c r="W918" s="73"/>
      <c r="X918" s="73"/>
      <c r="Y918" s="73"/>
      <c r="Z918" s="73"/>
      <c r="AA918" s="73"/>
      <c r="AB918" s="73"/>
      <c r="AC918" s="73"/>
      <c r="AD918" s="73"/>
      <c r="AE918" s="73"/>
      <c r="AF918" s="73"/>
      <c r="AG918" s="73"/>
      <c r="AH918" s="73"/>
      <c r="AI918" s="73"/>
      <c r="AJ918" s="73"/>
    </row>
    <row r="919" spans="1:36" x14ac:dyDescent="0.25">
      <c r="A919" s="73"/>
      <c r="B919" s="73"/>
      <c r="C919" s="73"/>
      <c r="D919" s="73"/>
      <c r="E919" s="73"/>
      <c r="F919" s="73"/>
      <c r="G919" s="73"/>
      <c r="H919" s="73"/>
      <c r="I919" s="73"/>
      <c r="J919" s="73"/>
      <c r="K919" s="73"/>
      <c r="L919" s="73"/>
      <c r="M919" s="73"/>
      <c r="N919" s="73"/>
      <c r="O919" s="73"/>
      <c r="P919" s="73"/>
      <c r="Q919" s="73"/>
      <c r="R919" s="73"/>
      <c r="S919" s="73"/>
      <c r="T919" s="73"/>
      <c r="U919" s="73"/>
      <c r="V919" s="73"/>
      <c r="W919" s="73"/>
      <c r="X919" s="73"/>
      <c r="Y919" s="73"/>
      <c r="Z919" s="73"/>
      <c r="AA919" s="73"/>
      <c r="AB919" s="73"/>
      <c r="AC919" s="73"/>
      <c r="AD919" s="73"/>
      <c r="AE919" s="73"/>
      <c r="AF919" s="73"/>
      <c r="AG919" s="73"/>
      <c r="AH919" s="73"/>
      <c r="AI919" s="73"/>
      <c r="AJ919" s="73"/>
    </row>
    <row r="920" spans="1:36" x14ac:dyDescent="0.25">
      <c r="A920" s="73"/>
      <c r="B920" s="73"/>
      <c r="C920" s="73"/>
      <c r="D920" s="73"/>
      <c r="E920" s="73"/>
      <c r="F920" s="73"/>
      <c r="G920" s="73"/>
      <c r="H920" s="73"/>
      <c r="I920" s="73"/>
      <c r="J920" s="73"/>
      <c r="K920" s="73"/>
      <c r="L920" s="73"/>
      <c r="M920" s="73"/>
      <c r="N920" s="73"/>
      <c r="O920" s="73"/>
      <c r="P920" s="73"/>
      <c r="Q920" s="73"/>
      <c r="R920" s="73"/>
      <c r="S920" s="73"/>
      <c r="T920" s="73"/>
      <c r="U920" s="73"/>
      <c r="V920" s="73"/>
      <c r="W920" s="73"/>
      <c r="X920" s="73"/>
      <c r="Y920" s="73"/>
      <c r="Z920" s="73"/>
      <c r="AA920" s="73"/>
      <c r="AB920" s="73"/>
      <c r="AC920" s="73"/>
      <c r="AD920" s="73"/>
      <c r="AE920" s="73"/>
      <c r="AF920" s="73"/>
      <c r="AG920" s="73"/>
      <c r="AH920" s="73"/>
      <c r="AI920" s="73"/>
      <c r="AJ920" s="73"/>
    </row>
    <row r="921" spans="1:36" x14ac:dyDescent="0.25">
      <c r="A921" s="73"/>
      <c r="B921" s="73"/>
      <c r="C921" s="73"/>
      <c r="D921" s="73"/>
      <c r="E921" s="73"/>
      <c r="F921" s="73"/>
      <c r="G921" s="73"/>
      <c r="H921" s="73"/>
      <c r="I921" s="73"/>
      <c r="J921" s="73"/>
      <c r="K921" s="73"/>
      <c r="L921" s="73"/>
      <c r="M921" s="73"/>
      <c r="N921" s="73"/>
      <c r="O921" s="73"/>
      <c r="P921" s="73"/>
      <c r="Q921" s="73"/>
      <c r="R921" s="73"/>
      <c r="S921" s="73"/>
      <c r="T921" s="73"/>
      <c r="U921" s="73"/>
      <c r="V921" s="73"/>
      <c r="W921" s="73"/>
      <c r="X921" s="73"/>
      <c r="Y921" s="73"/>
      <c r="Z921" s="73"/>
      <c r="AA921" s="73"/>
      <c r="AB921" s="73"/>
      <c r="AC921" s="73"/>
      <c r="AD921" s="73"/>
      <c r="AE921" s="73"/>
      <c r="AF921" s="73"/>
      <c r="AG921" s="73"/>
      <c r="AH921" s="73"/>
      <c r="AI921" s="73"/>
      <c r="AJ921" s="73"/>
    </row>
    <row r="922" spans="1:36" x14ac:dyDescent="0.25">
      <c r="A922" s="73"/>
      <c r="B922" s="73"/>
      <c r="C922" s="73"/>
      <c r="D922" s="73"/>
      <c r="E922" s="73"/>
      <c r="F922" s="73"/>
      <c r="G922" s="73"/>
      <c r="H922" s="73"/>
      <c r="I922" s="73"/>
      <c r="J922" s="73"/>
      <c r="K922" s="73"/>
      <c r="L922" s="73"/>
      <c r="M922" s="73"/>
      <c r="N922" s="73"/>
      <c r="O922" s="73"/>
      <c r="P922" s="73"/>
      <c r="Q922" s="73"/>
      <c r="R922" s="73"/>
      <c r="S922" s="73"/>
      <c r="T922" s="73"/>
      <c r="U922" s="73"/>
      <c r="V922" s="73"/>
      <c r="W922" s="73"/>
      <c r="X922" s="73"/>
      <c r="Y922" s="73"/>
      <c r="Z922" s="73"/>
      <c r="AA922" s="73"/>
      <c r="AB922" s="73"/>
      <c r="AC922" s="73"/>
      <c r="AD922" s="73"/>
      <c r="AE922" s="73"/>
      <c r="AF922" s="73"/>
      <c r="AG922" s="73"/>
      <c r="AH922" s="73"/>
      <c r="AI922" s="73"/>
      <c r="AJ922" s="73"/>
    </row>
    <row r="923" spans="1:36" x14ac:dyDescent="0.25">
      <c r="A923" s="73"/>
      <c r="B923" s="73"/>
      <c r="C923" s="73"/>
      <c r="D923" s="73"/>
      <c r="E923" s="73"/>
      <c r="F923" s="73"/>
      <c r="G923" s="73"/>
      <c r="H923" s="73"/>
      <c r="I923" s="73"/>
      <c r="J923" s="73"/>
      <c r="K923" s="73"/>
      <c r="L923" s="73"/>
      <c r="M923" s="73"/>
      <c r="N923" s="73"/>
      <c r="O923" s="73"/>
      <c r="P923" s="73"/>
      <c r="Q923" s="73"/>
      <c r="R923" s="73"/>
      <c r="S923" s="73"/>
      <c r="T923" s="73"/>
      <c r="U923" s="73"/>
      <c r="V923" s="73"/>
      <c r="W923" s="73"/>
      <c r="X923" s="73"/>
      <c r="Y923" s="73"/>
      <c r="Z923" s="73"/>
      <c r="AA923" s="73"/>
      <c r="AB923" s="73"/>
      <c r="AC923" s="73"/>
      <c r="AD923" s="73"/>
      <c r="AE923" s="73"/>
      <c r="AF923" s="73"/>
      <c r="AG923" s="73"/>
      <c r="AH923" s="73"/>
      <c r="AI923" s="73"/>
      <c r="AJ923" s="73"/>
    </row>
    <row r="924" spans="1:36" x14ac:dyDescent="0.25">
      <c r="A924" s="73"/>
      <c r="B924" s="73"/>
      <c r="C924" s="73"/>
      <c r="D924" s="73"/>
      <c r="E924" s="73"/>
      <c r="F924" s="73"/>
      <c r="G924" s="73"/>
      <c r="H924" s="73"/>
      <c r="I924" s="73"/>
      <c r="J924" s="73"/>
      <c r="K924" s="73"/>
      <c r="L924" s="73"/>
      <c r="M924" s="73"/>
      <c r="N924" s="73"/>
      <c r="O924" s="73"/>
      <c r="P924" s="73"/>
      <c r="Q924" s="73"/>
      <c r="R924" s="73"/>
      <c r="S924" s="73"/>
      <c r="T924" s="73"/>
      <c r="U924" s="73"/>
      <c r="V924" s="73"/>
      <c r="W924" s="73"/>
      <c r="X924" s="73"/>
      <c r="Y924" s="73"/>
      <c r="Z924" s="73"/>
      <c r="AA924" s="73"/>
      <c r="AB924" s="73"/>
      <c r="AC924" s="73"/>
      <c r="AD924" s="73"/>
      <c r="AE924" s="73"/>
      <c r="AF924" s="73"/>
      <c r="AG924" s="73"/>
      <c r="AH924" s="73"/>
      <c r="AI924" s="73"/>
      <c r="AJ924" s="73"/>
    </row>
    <row r="925" spans="1:36" x14ac:dyDescent="0.25">
      <c r="A925" s="73"/>
      <c r="B925" s="73"/>
      <c r="C925" s="73"/>
      <c r="D925" s="73"/>
      <c r="E925" s="73"/>
      <c r="F925" s="73"/>
      <c r="G925" s="73"/>
      <c r="H925" s="73"/>
      <c r="I925" s="73"/>
      <c r="J925" s="73"/>
      <c r="K925" s="73"/>
      <c r="L925" s="73"/>
      <c r="M925" s="73"/>
      <c r="N925" s="73"/>
      <c r="O925" s="73"/>
      <c r="P925" s="73"/>
      <c r="Q925" s="73"/>
      <c r="R925" s="73"/>
      <c r="S925" s="73"/>
      <c r="T925" s="73"/>
      <c r="U925" s="73"/>
      <c r="V925" s="73"/>
      <c r="W925" s="73"/>
      <c r="X925" s="73"/>
      <c r="Y925" s="73"/>
      <c r="Z925" s="73"/>
      <c r="AA925" s="73"/>
      <c r="AB925" s="73"/>
      <c r="AC925" s="73"/>
      <c r="AD925" s="73"/>
      <c r="AE925" s="73"/>
      <c r="AF925" s="73"/>
      <c r="AG925" s="73"/>
      <c r="AH925" s="73"/>
      <c r="AI925" s="73"/>
      <c r="AJ925" s="73"/>
    </row>
    <row r="926" spans="1:36" x14ac:dyDescent="0.25">
      <c r="A926" s="73"/>
      <c r="B926" s="73"/>
      <c r="C926" s="73"/>
      <c r="D926" s="73"/>
      <c r="E926" s="73"/>
      <c r="F926" s="73"/>
      <c r="G926" s="73"/>
      <c r="H926" s="73"/>
      <c r="I926" s="73"/>
      <c r="J926" s="73"/>
      <c r="K926" s="73"/>
      <c r="L926" s="73"/>
      <c r="M926" s="73"/>
      <c r="N926" s="73"/>
      <c r="O926" s="73"/>
      <c r="P926" s="73"/>
      <c r="Q926" s="73"/>
      <c r="R926" s="73"/>
      <c r="S926" s="73"/>
      <c r="T926" s="73"/>
      <c r="U926" s="73"/>
      <c r="V926" s="73"/>
      <c r="W926" s="73"/>
      <c r="X926" s="73"/>
      <c r="Y926" s="73"/>
      <c r="Z926" s="73"/>
      <c r="AA926" s="73"/>
      <c r="AB926" s="73"/>
      <c r="AC926" s="73"/>
      <c r="AD926" s="73"/>
      <c r="AE926" s="73"/>
      <c r="AF926" s="73"/>
      <c r="AG926" s="73"/>
      <c r="AH926" s="73"/>
      <c r="AI926" s="73"/>
      <c r="AJ926" s="73"/>
    </row>
    <row r="927" spans="1:36" x14ac:dyDescent="0.25">
      <c r="A927" s="73"/>
      <c r="B927" s="73"/>
      <c r="C927" s="73"/>
      <c r="D927" s="73"/>
      <c r="E927" s="73"/>
      <c r="F927" s="73"/>
      <c r="G927" s="73"/>
      <c r="H927" s="73"/>
      <c r="I927" s="73"/>
      <c r="J927" s="73"/>
      <c r="K927" s="73"/>
      <c r="L927" s="73"/>
      <c r="M927" s="73"/>
      <c r="N927" s="73"/>
      <c r="O927" s="73"/>
      <c r="P927" s="73"/>
      <c r="Q927" s="73"/>
      <c r="R927" s="73"/>
      <c r="S927" s="73"/>
      <c r="T927" s="73"/>
      <c r="U927" s="73"/>
      <c r="V927" s="73"/>
      <c r="W927" s="73"/>
      <c r="X927" s="73"/>
      <c r="Y927" s="73"/>
      <c r="Z927" s="73"/>
      <c r="AA927" s="73"/>
      <c r="AB927" s="73"/>
      <c r="AC927" s="73"/>
      <c r="AD927" s="73"/>
      <c r="AE927" s="73"/>
      <c r="AF927" s="73"/>
      <c r="AG927" s="73"/>
      <c r="AH927" s="73"/>
      <c r="AI927" s="73"/>
      <c r="AJ927" s="73"/>
    </row>
    <row r="928" spans="1:36" x14ac:dyDescent="0.25">
      <c r="A928" s="73"/>
      <c r="B928" s="73"/>
      <c r="C928" s="73"/>
      <c r="D928" s="73"/>
      <c r="E928" s="73"/>
      <c r="F928" s="73"/>
      <c r="G928" s="73"/>
      <c r="H928" s="73"/>
      <c r="I928" s="73"/>
      <c r="J928" s="73"/>
      <c r="K928" s="73"/>
      <c r="L928" s="73"/>
      <c r="M928" s="73"/>
      <c r="N928" s="73"/>
      <c r="O928" s="73"/>
      <c r="P928" s="73"/>
      <c r="Q928" s="73"/>
      <c r="R928" s="73"/>
      <c r="S928" s="73"/>
      <c r="T928" s="73"/>
      <c r="U928" s="73"/>
      <c r="V928" s="73"/>
      <c r="W928" s="73"/>
      <c r="X928" s="73"/>
      <c r="Y928" s="73"/>
      <c r="Z928" s="73"/>
      <c r="AA928" s="73"/>
      <c r="AB928" s="73"/>
      <c r="AC928" s="73"/>
      <c r="AD928" s="73"/>
      <c r="AE928" s="73"/>
      <c r="AF928" s="73"/>
      <c r="AG928" s="73"/>
      <c r="AH928" s="73"/>
      <c r="AI928" s="73"/>
      <c r="AJ928" s="73"/>
    </row>
    <row r="929" spans="1:36" x14ac:dyDescent="0.25">
      <c r="A929" s="73"/>
      <c r="B929" s="73"/>
      <c r="C929" s="73"/>
      <c r="D929" s="73"/>
      <c r="E929" s="73"/>
      <c r="F929" s="73"/>
      <c r="G929" s="73"/>
      <c r="H929" s="73"/>
      <c r="I929" s="73"/>
      <c r="J929" s="73"/>
      <c r="K929" s="73"/>
      <c r="L929" s="73"/>
      <c r="M929" s="73"/>
      <c r="N929" s="73"/>
      <c r="O929" s="73"/>
      <c r="P929" s="73"/>
      <c r="Q929" s="73"/>
      <c r="R929" s="73"/>
      <c r="S929" s="73"/>
      <c r="T929" s="73"/>
      <c r="U929" s="73"/>
      <c r="V929" s="73"/>
      <c r="W929" s="73"/>
      <c r="X929" s="73"/>
      <c r="Y929" s="73"/>
      <c r="Z929" s="73"/>
      <c r="AA929" s="73"/>
      <c r="AB929" s="73"/>
      <c r="AC929" s="73"/>
      <c r="AD929" s="73"/>
      <c r="AE929" s="73"/>
      <c r="AF929" s="73"/>
      <c r="AG929" s="73"/>
      <c r="AH929" s="73"/>
      <c r="AI929" s="73"/>
      <c r="AJ929" s="73"/>
    </row>
    <row r="930" spans="1:36" x14ac:dyDescent="0.25">
      <c r="A930" s="73"/>
      <c r="B930" s="73"/>
      <c r="C930" s="73"/>
      <c r="D930" s="73"/>
      <c r="E930" s="73"/>
      <c r="F930" s="73"/>
      <c r="G930" s="73"/>
      <c r="H930" s="73"/>
      <c r="I930" s="73"/>
      <c r="J930" s="73"/>
      <c r="K930" s="73"/>
      <c r="L930" s="73"/>
      <c r="M930" s="73"/>
      <c r="N930" s="73"/>
      <c r="O930" s="73"/>
      <c r="P930" s="73"/>
      <c r="Q930" s="73"/>
      <c r="R930" s="73"/>
      <c r="S930" s="73"/>
      <c r="T930" s="73"/>
      <c r="U930" s="73"/>
      <c r="V930" s="73"/>
      <c r="W930" s="73"/>
      <c r="X930" s="73"/>
      <c r="Y930" s="73"/>
      <c r="Z930" s="73"/>
      <c r="AA930" s="73"/>
      <c r="AB930" s="73"/>
      <c r="AC930" s="73"/>
      <c r="AD930" s="73"/>
      <c r="AE930" s="73"/>
      <c r="AF930" s="73"/>
      <c r="AG930" s="73"/>
      <c r="AH930" s="73"/>
      <c r="AI930" s="73"/>
      <c r="AJ930" s="73"/>
    </row>
    <row r="931" spans="1:36" x14ac:dyDescent="0.25">
      <c r="A931" s="73"/>
      <c r="B931" s="73"/>
      <c r="C931" s="73"/>
      <c r="D931" s="73"/>
      <c r="E931" s="73"/>
      <c r="F931" s="73"/>
      <c r="G931" s="73"/>
      <c r="H931" s="73"/>
      <c r="I931" s="73"/>
      <c r="J931" s="73"/>
      <c r="K931" s="73"/>
      <c r="L931" s="73"/>
      <c r="M931" s="73"/>
      <c r="N931" s="73"/>
      <c r="O931" s="73"/>
      <c r="P931" s="73"/>
      <c r="Q931" s="73"/>
      <c r="R931" s="73"/>
      <c r="S931" s="73"/>
      <c r="T931" s="73"/>
      <c r="U931" s="73"/>
      <c r="V931" s="73"/>
      <c r="W931" s="73"/>
      <c r="X931" s="73"/>
      <c r="Y931" s="73"/>
      <c r="Z931" s="73"/>
      <c r="AA931" s="73"/>
      <c r="AB931" s="73"/>
      <c r="AC931" s="73"/>
      <c r="AD931" s="73"/>
      <c r="AE931" s="73"/>
      <c r="AF931" s="73"/>
      <c r="AG931" s="73"/>
      <c r="AH931" s="73"/>
      <c r="AI931" s="73"/>
      <c r="AJ931" s="73"/>
    </row>
    <row r="932" spans="1:36" x14ac:dyDescent="0.25">
      <c r="A932" s="73"/>
      <c r="B932" s="73"/>
      <c r="C932" s="73"/>
      <c r="D932" s="73"/>
      <c r="E932" s="73"/>
      <c r="F932" s="73"/>
      <c r="G932" s="73"/>
      <c r="H932" s="73"/>
      <c r="I932" s="73"/>
      <c r="J932" s="73"/>
      <c r="K932" s="73"/>
      <c r="L932" s="73"/>
      <c r="M932" s="73"/>
      <c r="N932" s="73"/>
      <c r="O932" s="73"/>
      <c r="P932" s="73"/>
      <c r="Q932" s="73"/>
      <c r="R932" s="73"/>
      <c r="S932" s="73"/>
      <c r="T932" s="73"/>
      <c r="U932" s="73"/>
      <c r="V932" s="73"/>
      <c r="W932" s="73"/>
      <c r="X932" s="73"/>
      <c r="Y932" s="73"/>
      <c r="Z932" s="73"/>
      <c r="AA932" s="73"/>
      <c r="AB932" s="73"/>
      <c r="AC932" s="73"/>
      <c r="AD932" s="73"/>
      <c r="AE932" s="73"/>
      <c r="AF932" s="73"/>
      <c r="AG932" s="73"/>
      <c r="AH932" s="73"/>
      <c r="AI932" s="73"/>
      <c r="AJ932" s="73"/>
    </row>
    <row r="933" spans="1:36" x14ac:dyDescent="0.25">
      <c r="A933" s="73"/>
      <c r="B933" s="73"/>
      <c r="C933" s="73"/>
      <c r="D933" s="73"/>
      <c r="E933" s="73"/>
      <c r="F933" s="73"/>
      <c r="G933" s="73"/>
      <c r="H933" s="73"/>
      <c r="I933" s="73"/>
      <c r="J933" s="73"/>
      <c r="K933" s="73"/>
      <c r="L933" s="73"/>
      <c r="M933" s="73"/>
      <c r="N933" s="73"/>
      <c r="O933" s="73"/>
      <c r="P933" s="73"/>
      <c r="Q933" s="73"/>
      <c r="R933" s="73"/>
      <c r="S933" s="73"/>
      <c r="T933" s="73"/>
      <c r="U933" s="73"/>
      <c r="V933" s="73"/>
      <c r="W933" s="73"/>
      <c r="X933" s="73"/>
      <c r="Y933" s="73"/>
      <c r="Z933" s="73"/>
      <c r="AA933" s="73"/>
      <c r="AB933" s="73"/>
      <c r="AC933" s="73"/>
      <c r="AD933" s="73"/>
      <c r="AE933" s="73"/>
      <c r="AF933" s="73"/>
      <c r="AG933" s="73"/>
      <c r="AH933" s="73"/>
      <c r="AI933" s="73"/>
      <c r="AJ933" s="73"/>
    </row>
    <row r="934" spans="1:36" x14ac:dyDescent="0.25">
      <c r="A934" s="73"/>
      <c r="B934" s="73"/>
      <c r="C934" s="73"/>
      <c r="D934" s="73"/>
      <c r="E934" s="73"/>
      <c r="F934" s="73"/>
      <c r="G934" s="73"/>
      <c r="H934" s="73"/>
      <c r="I934" s="73"/>
      <c r="J934" s="73"/>
      <c r="K934" s="73"/>
      <c r="L934" s="73"/>
      <c r="M934" s="73"/>
      <c r="N934" s="73"/>
      <c r="O934" s="73"/>
      <c r="P934" s="73"/>
      <c r="Q934" s="73"/>
      <c r="R934" s="73"/>
      <c r="S934" s="73"/>
      <c r="T934" s="73"/>
      <c r="U934" s="73"/>
      <c r="V934" s="73"/>
      <c r="W934" s="73"/>
      <c r="X934" s="73"/>
      <c r="Y934" s="73"/>
      <c r="Z934" s="73"/>
      <c r="AA934" s="73"/>
      <c r="AB934" s="73"/>
      <c r="AC934" s="73"/>
      <c r="AD934" s="73"/>
      <c r="AE934" s="73"/>
      <c r="AF934" s="73"/>
      <c r="AG934" s="73"/>
      <c r="AH934" s="73"/>
      <c r="AI934" s="73"/>
      <c r="AJ934" s="73"/>
    </row>
    <row r="935" spans="1:36" x14ac:dyDescent="0.25">
      <c r="A935" s="73"/>
      <c r="B935" s="73"/>
      <c r="C935" s="73"/>
      <c r="D935" s="73"/>
      <c r="E935" s="73"/>
      <c r="F935" s="73"/>
      <c r="G935" s="73"/>
      <c r="H935" s="73"/>
      <c r="I935" s="73"/>
      <c r="J935" s="73"/>
      <c r="K935" s="73"/>
      <c r="L935" s="73"/>
      <c r="M935" s="73"/>
      <c r="N935" s="73"/>
      <c r="O935" s="73"/>
      <c r="P935" s="73"/>
      <c r="Q935" s="73"/>
      <c r="R935" s="73"/>
      <c r="S935" s="73"/>
      <c r="T935" s="73"/>
      <c r="U935" s="73"/>
      <c r="V935" s="73"/>
      <c r="W935" s="73"/>
      <c r="X935" s="73"/>
      <c r="Y935" s="73"/>
      <c r="Z935" s="73"/>
      <c r="AA935" s="73"/>
      <c r="AB935" s="73"/>
      <c r="AC935" s="73"/>
      <c r="AD935" s="73"/>
      <c r="AE935" s="73"/>
      <c r="AF935" s="73"/>
      <c r="AG935" s="73"/>
      <c r="AH935" s="73"/>
      <c r="AI935" s="73"/>
      <c r="AJ935" s="73"/>
    </row>
    <row r="936" spans="1:36" x14ac:dyDescent="0.25">
      <c r="A936" s="73"/>
      <c r="B936" s="73"/>
      <c r="C936" s="73"/>
      <c r="D936" s="73"/>
      <c r="E936" s="73"/>
      <c r="F936" s="73"/>
      <c r="G936" s="73"/>
      <c r="H936" s="73"/>
      <c r="I936" s="73"/>
      <c r="J936" s="73"/>
      <c r="K936" s="73"/>
      <c r="L936" s="73"/>
      <c r="M936" s="73"/>
      <c r="N936" s="73"/>
      <c r="O936" s="73"/>
      <c r="P936" s="73"/>
      <c r="Q936" s="73"/>
      <c r="R936" s="73"/>
      <c r="S936" s="73"/>
      <c r="T936" s="73"/>
      <c r="U936" s="73"/>
      <c r="V936" s="73"/>
      <c r="W936" s="73"/>
      <c r="X936" s="73"/>
      <c r="Y936" s="73"/>
      <c r="Z936" s="73"/>
      <c r="AA936" s="73"/>
      <c r="AB936" s="73"/>
      <c r="AC936" s="73"/>
      <c r="AD936" s="73"/>
      <c r="AE936" s="73"/>
      <c r="AF936" s="73"/>
      <c r="AG936" s="73"/>
      <c r="AH936" s="73"/>
      <c r="AI936" s="73"/>
      <c r="AJ936" s="73"/>
    </row>
    <row r="937" spans="1:36" x14ac:dyDescent="0.25">
      <c r="A937" s="73"/>
      <c r="B937" s="73"/>
      <c r="C937" s="73"/>
      <c r="D937" s="73"/>
      <c r="E937" s="73"/>
      <c r="F937" s="73"/>
      <c r="G937" s="73"/>
      <c r="H937" s="73"/>
      <c r="I937" s="73"/>
      <c r="J937" s="73"/>
      <c r="K937" s="73"/>
      <c r="L937" s="73"/>
      <c r="M937" s="73"/>
      <c r="N937" s="73"/>
      <c r="O937" s="73"/>
      <c r="P937" s="73"/>
      <c r="Q937" s="73"/>
      <c r="R937" s="73"/>
      <c r="S937" s="73"/>
      <c r="T937" s="73"/>
      <c r="U937" s="73"/>
      <c r="V937" s="73"/>
      <c r="W937" s="73"/>
      <c r="X937" s="73"/>
      <c r="Y937" s="73"/>
      <c r="Z937" s="73"/>
      <c r="AA937" s="73"/>
      <c r="AB937" s="73"/>
      <c r="AC937" s="73"/>
      <c r="AD937" s="73"/>
      <c r="AE937" s="73"/>
      <c r="AF937" s="73"/>
      <c r="AG937" s="73"/>
      <c r="AH937" s="73"/>
      <c r="AI937" s="73"/>
      <c r="AJ937" s="73"/>
    </row>
    <row r="938" spans="1:36" x14ac:dyDescent="0.25">
      <c r="A938" s="73"/>
      <c r="B938" s="73"/>
      <c r="C938" s="73"/>
      <c r="D938" s="73"/>
      <c r="E938" s="73"/>
      <c r="F938" s="73"/>
      <c r="G938" s="73"/>
      <c r="H938" s="73"/>
      <c r="I938" s="73"/>
      <c r="J938" s="73"/>
      <c r="K938" s="73"/>
      <c r="L938" s="73"/>
      <c r="M938" s="73"/>
      <c r="N938" s="73"/>
      <c r="O938" s="73"/>
      <c r="P938" s="73"/>
      <c r="Q938" s="73"/>
      <c r="R938" s="73"/>
      <c r="S938" s="73"/>
      <c r="T938" s="73"/>
      <c r="U938" s="73"/>
      <c r="V938" s="73"/>
      <c r="W938" s="73"/>
      <c r="X938" s="73"/>
      <c r="Y938" s="73"/>
      <c r="Z938" s="73"/>
      <c r="AA938" s="73"/>
      <c r="AB938" s="73"/>
      <c r="AC938" s="73"/>
      <c r="AD938" s="73"/>
      <c r="AE938" s="73"/>
      <c r="AF938" s="73"/>
      <c r="AG938" s="73"/>
      <c r="AH938" s="73"/>
      <c r="AI938" s="73"/>
      <c r="AJ938" s="73"/>
    </row>
    <row r="939" spans="1:36" x14ac:dyDescent="0.25">
      <c r="A939" s="73"/>
      <c r="B939" s="73"/>
      <c r="C939" s="73"/>
      <c r="D939" s="73"/>
      <c r="E939" s="73"/>
      <c r="F939" s="73"/>
      <c r="G939" s="73"/>
      <c r="H939" s="73"/>
      <c r="I939" s="73"/>
      <c r="J939" s="73"/>
      <c r="K939" s="73"/>
      <c r="L939" s="73"/>
      <c r="M939" s="73"/>
      <c r="N939" s="73"/>
      <c r="O939" s="73"/>
      <c r="P939" s="73"/>
      <c r="Q939" s="73"/>
      <c r="R939" s="73"/>
      <c r="S939" s="73"/>
      <c r="T939" s="73"/>
      <c r="U939" s="73"/>
      <c r="V939" s="73"/>
      <c r="W939" s="73"/>
      <c r="X939" s="73"/>
      <c r="Y939" s="73"/>
      <c r="Z939" s="73"/>
      <c r="AA939" s="73"/>
      <c r="AB939" s="73"/>
      <c r="AC939" s="73"/>
      <c r="AD939" s="73"/>
      <c r="AE939" s="73"/>
      <c r="AF939" s="73"/>
      <c r="AG939" s="73"/>
      <c r="AH939" s="73"/>
      <c r="AI939" s="73"/>
      <c r="AJ939" s="73"/>
    </row>
    <row r="940" spans="1:36" x14ac:dyDescent="0.25">
      <c r="A940" s="73"/>
      <c r="B940" s="73"/>
      <c r="C940" s="73"/>
      <c r="D940" s="73"/>
      <c r="E940" s="73"/>
      <c r="F940" s="73"/>
      <c r="G940" s="73"/>
      <c r="H940" s="73"/>
      <c r="I940" s="73"/>
      <c r="J940" s="73"/>
      <c r="K940" s="73"/>
      <c r="L940" s="73"/>
      <c r="M940" s="73"/>
      <c r="N940" s="73"/>
      <c r="O940" s="73"/>
      <c r="P940" s="73"/>
      <c r="Q940" s="73"/>
      <c r="R940" s="73"/>
      <c r="S940" s="73"/>
      <c r="T940" s="73"/>
      <c r="U940" s="73"/>
      <c r="V940" s="73"/>
      <c r="W940" s="73"/>
      <c r="X940" s="73"/>
      <c r="Y940" s="73"/>
      <c r="Z940" s="73"/>
      <c r="AA940" s="73"/>
      <c r="AB940" s="73"/>
      <c r="AC940" s="73"/>
      <c r="AD940" s="73"/>
      <c r="AE940" s="73"/>
      <c r="AF940" s="73"/>
      <c r="AG940" s="73"/>
      <c r="AH940" s="73"/>
      <c r="AI940" s="73"/>
      <c r="AJ940" s="73"/>
    </row>
    <row r="941" spans="1:36" x14ac:dyDescent="0.25">
      <c r="A941" s="73"/>
      <c r="B941" s="73"/>
      <c r="C941" s="73"/>
      <c r="D941" s="73"/>
      <c r="E941" s="73"/>
      <c r="F941" s="73"/>
      <c r="G941" s="73"/>
      <c r="H941" s="73"/>
      <c r="I941" s="73"/>
      <c r="J941" s="73"/>
      <c r="K941" s="73"/>
      <c r="L941" s="73"/>
      <c r="M941" s="73"/>
      <c r="N941" s="73"/>
      <c r="O941" s="73"/>
      <c r="P941" s="73"/>
      <c r="Q941" s="73"/>
      <c r="R941" s="73"/>
      <c r="S941" s="73"/>
      <c r="T941" s="73"/>
      <c r="U941" s="73"/>
      <c r="V941" s="73"/>
      <c r="W941" s="73"/>
      <c r="X941" s="73"/>
      <c r="Y941" s="73"/>
      <c r="Z941" s="73"/>
      <c r="AA941" s="73"/>
      <c r="AB941" s="73"/>
      <c r="AC941" s="73"/>
      <c r="AD941" s="73"/>
      <c r="AE941" s="73"/>
      <c r="AF941" s="73"/>
      <c r="AG941" s="73"/>
      <c r="AH941" s="73"/>
      <c r="AI941" s="73"/>
      <c r="AJ941" s="73"/>
    </row>
    <row r="942" spans="1:36" x14ac:dyDescent="0.25">
      <c r="A942" s="73"/>
      <c r="B942" s="73"/>
      <c r="C942" s="73"/>
      <c r="D942" s="73"/>
      <c r="E942" s="73"/>
      <c r="F942" s="73"/>
      <c r="G942" s="73"/>
      <c r="H942" s="73"/>
      <c r="I942" s="73"/>
      <c r="J942" s="73"/>
      <c r="K942" s="73"/>
      <c r="L942" s="73"/>
      <c r="M942" s="73"/>
      <c r="N942" s="73"/>
      <c r="O942" s="73"/>
      <c r="P942" s="73"/>
      <c r="Q942" s="73"/>
      <c r="R942" s="73"/>
      <c r="S942" s="73"/>
      <c r="T942" s="73"/>
      <c r="U942" s="73"/>
      <c r="V942" s="73"/>
      <c r="W942" s="73"/>
      <c r="X942" s="73"/>
      <c r="Y942" s="73"/>
      <c r="Z942" s="73"/>
      <c r="AA942" s="73"/>
      <c r="AB942" s="73"/>
      <c r="AC942" s="73"/>
      <c r="AD942" s="73"/>
      <c r="AE942" s="73"/>
      <c r="AF942" s="73"/>
      <c r="AG942" s="73"/>
      <c r="AH942" s="73"/>
      <c r="AI942" s="73"/>
      <c r="AJ942" s="73"/>
    </row>
    <row r="943" spans="1:36" x14ac:dyDescent="0.25">
      <c r="A943" s="73"/>
      <c r="B943" s="73"/>
      <c r="C943" s="73"/>
      <c r="D943" s="73"/>
      <c r="E943" s="73"/>
      <c r="F943" s="73"/>
      <c r="G943" s="73"/>
      <c r="H943" s="73"/>
      <c r="I943" s="73"/>
      <c r="J943" s="73"/>
      <c r="K943" s="73"/>
      <c r="L943" s="73"/>
      <c r="M943" s="73"/>
      <c r="N943" s="73"/>
      <c r="O943" s="73"/>
      <c r="P943" s="73"/>
      <c r="Q943" s="73"/>
      <c r="R943" s="73"/>
      <c r="S943" s="73"/>
      <c r="T943" s="73"/>
      <c r="U943" s="73"/>
      <c r="V943" s="73"/>
      <c r="W943" s="73"/>
      <c r="X943" s="73"/>
      <c r="Y943" s="73"/>
      <c r="Z943" s="73"/>
      <c r="AA943" s="73"/>
      <c r="AB943" s="73"/>
      <c r="AC943" s="73"/>
      <c r="AD943" s="73"/>
      <c r="AE943" s="73"/>
      <c r="AF943" s="73"/>
      <c r="AG943" s="73"/>
      <c r="AH943" s="73"/>
      <c r="AI943" s="73"/>
      <c r="AJ943" s="73"/>
    </row>
    <row r="944" spans="1:36" x14ac:dyDescent="0.25">
      <c r="A944" s="73"/>
      <c r="B944" s="73"/>
      <c r="C944" s="73"/>
      <c r="D944" s="73"/>
      <c r="E944" s="73"/>
      <c r="F944" s="73"/>
      <c r="G944" s="73"/>
      <c r="H944" s="73"/>
      <c r="I944" s="73"/>
      <c r="J944" s="73"/>
      <c r="K944" s="73"/>
      <c r="L944" s="73"/>
      <c r="M944" s="73"/>
      <c r="N944" s="73"/>
      <c r="O944" s="73"/>
      <c r="P944" s="73"/>
      <c r="Q944" s="73"/>
      <c r="R944" s="73"/>
      <c r="S944" s="73"/>
      <c r="T944" s="73"/>
      <c r="U944" s="73"/>
      <c r="V944" s="73"/>
      <c r="W944" s="73"/>
      <c r="X944" s="73"/>
      <c r="Y944" s="73"/>
      <c r="Z944" s="73"/>
      <c r="AA944" s="73"/>
      <c r="AB944" s="73"/>
      <c r="AC944" s="73"/>
      <c r="AD944" s="73"/>
      <c r="AE944" s="73"/>
      <c r="AF944" s="73"/>
      <c r="AG944" s="73"/>
      <c r="AH944" s="73"/>
      <c r="AI944" s="73"/>
      <c r="AJ944" s="73"/>
    </row>
    <row r="945" spans="1:36" x14ac:dyDescent="0.25">
      <c r="A945" s="73"/>
      <c r="B945" s="73"/>
      <c r="C945" s="73"/>
      <c r="D945" s="73"/>
      <c r="E945" s="73"/>
      <c r="F945" s="73"/>
      <c r="G945" s="73"/>
      <c r="H945" s="73"/>
      <c r="I945" s="73"/>
      <c r="J945" s="73"/>
      <c r="K945" s="73"/>
      <c r="L945" s="73"/>
      <c r="M945" s="73"/>
      <c r="N945" s="73"/>
      <c r="O945" s="73"/>
      <c r="P945" s="73"/>
      <c r="Q945" s="73"/>
      <c r="R945" s="73"/>
      <c r="S945" s="73"/>
      <c r="T945" s="73"/>
      <c r="U945" s="73"/>
      <c r="V945" s="73"/>
      <c r="W945" s="73"/>
      <c r="X945" s="73"/>
      <c r="Y945" s="73"/>
      <c r="Z945" s="73"/>
      <c r="AA945" s="73"/>
      <c r="AB945" s="73"/>
      <c r="AC945" s="73"/>
      <c r="AD945" s="73"/>
      <c r="AE945" s="73"/>
      <c r="AF945" s="73"/>
      <c r="AG945" s="73"/>
      <c r="AH945" s="73"/>
      <c r="AI945" s="73"/>
      <c r="AJ945" s="73"/>
    </row>
    <row r="946" spans="1:36" x14ac:dyDescent="0.25">
      <c r="A946" s="73"/>
      <c r="B946" s="73"/>
      <c r="C946" s="73"/>
      <c r="D946" s="73"/>
      <c r="E946" s="73"/>
      <c r="F946" s="73"/>
      <c r="G946" s="73"/>
      <c r="H946" s="73"/>
      <c r="I946" s="73"/>
      <c r="J946" s="73"/>
      <c r="K946" s="73"/>
      <c r="L946" s="73"/>
      <c r="M946" s="73"/>
      <c r="N946" s="73"/>
      <c r="O946" s="73"/>
      <c r="P946" s="73"/>
      <c r="Q946" s="73"/>
      <c r="R946" s="73"/>
      <c r="S946" s="73"/>
      <c r="T946" s="73"/>
      <c r="U946" s="73"/>
      <c r="V946" s="73"/>
      <c r="W946" s="73"/>
      <c r="X946" s="73"/>
      <c r="Y946" s="73"/>
      <c r="Z946" s="73"/>
      <c r="AA946" s="73"/>
      <c r="AB946" s="73"/>
      <c r="AC946" s="73"/>
      <c r="AD946" s="73"/>
      <c r="AE946" s="73"/>
      <c r="AF946" s="73"/>
      <c r="AG946" s="73"/>
      <c r="AH946" s="73"/>
      <c r="AI946" s="73"/>
      <c r="AJ946" s="73"/>
    </row>
    <row r="947" spans="1:36" x14ac:dyDescent="0.25">
      <c r="A947" s="73"/>
      <c r="B947" s="73"/>
      <c r="C947" s="73"/>
      <c r="D947" s="73"/>
      <c r="E947" s="73"/>
      <c r="F947" s="73"/>
      <c r="G947" s="73"/>
      <c r="H947" s="73"/>
      <c r="I947" s="73"/>
      <c r="J947" s="73"/>
      <c r="K947" s="73"/>
      <c r="L947" s="73"/>
      <c r="M947" s="73"/>
      <c r="N947" s="73"/>
      <c r="O947" s="73"/>
      <c r="P947" s="73"/>
      <c r="Q947" s="73"/>
      <c r="R947" s="73"/>
      <c r="S947" s="73"/>
      <c r="T947" s="73"/>
      <c r="U947" s="73"/>
      <c r="V947" s="73"/>
      <c r="W947" s="73"/>
      <c r="X947" s="73"/>
      <c r="Y947" s="73"/>
      <c r="Z947" s="73"/>
      <c r="AA947" s="73"/>
      <c r="AB947" s="73"/>
      <c r="AC947" s="73"/>
      <c r="AD947" s="73"/>
      <c r="AE947" s="73"/>
      <c r="AF947" s="73"/>
      <c r="AG947" s="73"/>
      <c r="AH947" s="73"/>
      <c r="AI947" s="73"/>
      <c r="AJ947" s="73"/>
    </row>
    <row r="948" spans="1:36" x14ac:dyDescent="0.25">
      <c r="A948" s="73"/>
      <c r="B948" s="73"/>
      <c r="C948" s="73"/>
      <c r="D948" s="73"/>
      <c r="E948" s="73"/>
      <c r="F948" s="73"/>
      <c r="G948" s="73"/>
      <c r="H948" s="73"/>
      <c r="I948" s="73"/>
      <c r="J948" s="73"/>
      <c r="K948" s="73"/>
      <c r="L948" s="73"/>
      <c r="M948" s="73"/>
      <c r="N948" s="73"/>
      <c r="O948" s="73"/>
      <c r="P948" s="73"/>
      <c r="Q948" s="73"/>
      <c r="R948" s="73"/>
      <c r="S948" s="73"/>
      <c r="T948" s="73"/>
      <c r="U948" s="73"/>
      <c r="V948" s="73"/>
      <c r="W948" s="73"/>
      <c r="X948" s="73"/>
      <c r="Y948" s="73"/>
      <c r="Z948" s="73"/>
      <c r="AA948" s="73"/>
      <c r="AB948" s="73"/>
      <c r="AC948" s="73"/>
      <c r="AD948" s="73"/>
      <c r="AE948" s="73"/>
      <c r="AF948" s="73"/>
      <c r="AG948" s="73"/>
      <c r="AH948" s="73"/>
      <c r="AI948" s="73"/>
      <c r="AJ948" s="73"/>
    </row>
    <row r="949" spans="1:36" x14ac:dyDescent="0.25">
      <c r="A949" s="73"/>
      <c r="B949" s="73"/>
      <c r="C949" s="73"/>
      <c r="D949" s="73"/>
      <c r="E949" s="73"/>
      <c r="F949" s="73"/>
      <c r="G949" s="73"/>
      <c r="H949" s="73"/>
      <c r="I949" s="73"/>
      <c r="J949" s="73"/>
      <c r="K949" s="73"/>
      <c r="L949" s="73"/>
      <c r="M949" s="73"/>
      <c r="N949" s="73"/>
      <c r="O949" s="73"/>
      <c r="P949" s="73"/>
      <c r="Q949" s="73"/>
      <c r="R949" s="73"/>
      <c r="S949" s="73"/>
      <c r="T949" s="73"/>
      <c r="U949" s="73"/>
      <c r="V949" s="73"/>
      <c r="W949" s="73"/>
      <c r="X949" s="73"/>
      <c r="Y949" s="73"/>
      <c r="Z949" s="73"/>
      <c r="AA949" s="73"/>
      <c r="AB949" s="73"/>
      <c r="AC949" s="73"/>
      <c r="AD949" s="73"/>
      <c r="AE949" s="73"/>
      <c r="AF949" s="73"/>
      <c r="AG949" s="73"/>
      <c r="AH949" s="73"/>
      <c r="AI949" s="73"/>
      <c r="AJ949" s="73"/>
    </row>
    <row r="950" spans="1:36" x14ac:dyDescent="0.25">
      <c r="A950" s="73"/>
      <c r="B950" s="73"/>
      <c r="C950" s="73"/>
      <c r="D950" s="73"/>
      <c r="E950" s="73"/>
      <c r="F950" s="73"/>
      <c r="G950" s="73"/>
      <c r="H950" s="73"/>
      <c r="I950" s="73"/>
      <c r="J950" s="73"/>
      <c r="K950" s="73"/>
      <c r="L950" s="73"/>
      <c r="M950" s="73"/>
      <c r="N950" s="73"/>
      <c r="O950" s="73"/>
      <c r="P950" s="73"/>
      <c r="Q950" s="73"/>
      <c r="R950" s="73"/>
      <c r="S950" s="73"/>
      <c r="T950" s="73"/>
      <c r="U950" s="73"/>
      <c r="V950" s="73"/>
      <c r="W950" s="73"/>
      <c r="X950" s="73"/>
      <c r="Y950" s="73"/>
      <c r="Z950" s="73"/>
      <c r="AA950" s="73"/>
      <c r="AB950" s="73"/>
      <c r="AC950" s="73"/>
      <c r="AD950" s="73"/>
      <c r="AE950" s="73"/>
      <c r="AF950" s="73"/>
      <c r="AG950" s="73"/>
      <c r="AH950" s="73"/>
      <c r="AI950" s="73"/>
      <c r="AJ950" s="73"/>
    </row>
    <row r="951" spans="1:36" x14ac:dyDescent="0.25">
      <c r="A951" s="73"/>
      <c r="B951" s="73"/>
      <c r="C951" s="73"/>
      <c r="D951" s="73"/>
      <c r="E951" s="73"/>
      <c r="F951" s="73"/>
      <c r="G951" s="73"/>
      <c r="H951" s="73"/>
      <c r="I951" s="73"/>
      <c r="J951" s="73"/>
      <c r="K951" s="73"/>
      <c r="L951" s="73"/>
      <c r="M951" s="73"/>
      <c r="N951" s="73"/>
      <c r="O951" s="73"/>
      <c r="P951" s="73"/>
      <c r="Q951" s="73"/>
      <c r="R951" s="73"/>
      <c r="S951" s="73"/>
      <c r="T951" s="73"/>
      <c r="U951" s="73"/>
      <c r="V951" s="73"/>
      <c r="W951" s="73"/>
      <c r="X951" s="73"/>
      <c r="Y951" s="73"/>
      <c r="Z951" s="73"/>
      <c r="AA951" s="73"/>
      <c r="AB951" s="73"/>
      <c r="AC951" s="73"/>
      <c r="AD951" s="73"/>
      <c r="AE951" s="73"/>
      <c r="AF951" s="73"/>
      <c r="AG951" s="73"/>
      <c r="AH951" s="73"/>
      <c r="AI951" s="73"/>
      <c r="AJ951" s="73"/>
    </row>
    <row r="952" spans="1:36" x14ac:dyDescent="0.25">
      <c r="A952" s="73"/>
      <c r="B952" s="73"/>
      <c r="C952" s="73"/>
      <c r="D952" s="73"/>
      <c r="E952" s="73"/>
      <c r="F952" s="73"/>
      <c r="G952" s="73"/>
      <c r="H952" s="73"/>
      <c r="I952" s="73"/>
      <c r="J952" s="73"/>
      <c r="K952" s="73"/>
      <c r="L952" s="73"/>
      <c r="M952" s="73"/>
      <c r="N952" s="73"/>
      <c r="O952" s="73"/>
      <c r="P952" s="73"/>
      <c r="Q952" s="73"/>
      <c r="R952" s="73"/>
      <c r="S952" s="73"/>
      <c r="T952" s="73"/>
      <c r="U952" s="73"/>
      <c r="V952" s="73"/>
      <c r="W952" s="73"/>
      <c r="X952" s="73"/>
      <c r="Y952" s="73"/>
      <c r="Z952" s="73"/>
      <c r="AA952" s="73"/>
      <c r="AB952" s="73"/>
      <c r="AC952" s="73"/>
      <c r="AD952" s="73"/>
      <c r="AE952" s="73"/>
      <c r="AF952" s="73"/>
      <c r="AG952" s="73"/>
      <c r="AH952" s="73"/>
      <c r="AI952" s="73"/>
      <c r="AJ952" s="73"/>
    </row>
    <row r="953" spans="1:36" x14ac:dyDescent="0.25">
      <c r="A953" s="73"/>
      <c r="B953" s="73"/>
      <c r="C953" s="73"/>
      <c r="D953" s="73"/>
      <c r="E953" s="73"/>
      <c r="F953" s="73"/>
      <c r="G953" s="73"/>
      <c r="H953" s="73"/>
      <c r="I953" s="73"/>
      <c r="J953" s="73"/>
      <c r="K953" s="73"/>
      <c r="L953" s="73"/>
      <c r="M953" s="73"/>
      <c r="N953" s="73"/>
      <c r="O953" s="73"/>
      <c r="P953" s="73"/>
      <c r="Q953" s="73"/>
      <c r="R953" s="73"/>
      <c r="S953" s="73"/>
      <c r="T953" s="73"/>
      <c r="U953" s="73"/>
      <c r="V953" s="73"/>
      <c r="W953" s="73"/>
      <c r="X953" s="73"/>
      <c r="Y953" s="73"/>
      <c r="Z953" s="73"/>
      <c r="AA953" s="73"/>
      <c r="AB953" s="73"/>
      <c r="AC953" s="73"/>
      <c r="AD953" s="73"/>
      <c r="AE953" s="73"/>
      <c r="AF953" s="73"/>
      <c r="AG953" s="73"/>
      <c r="AH953" s="73"/>
      <c r="AI953" s="73"/>
      <c r="AJ953" s="73"/>
    </row>
    <row r="954" spans="1:36" x14ac:dyDescent="0.25">
      <c r="A954" s="73"/>
      <c r="B954" s="73"/>
      <c r="C954" s="73"/>
      <c r="D954" s="73"/>
      <c r="E954" s="73"/>
      <c r="F954" s="73"/>
      <c r="G954" s="73"/>
      <c r="H954" s="73"/>
      <c r="I954" s="73"/>
      <c r="J954" s="73"/>
      <c r="K954" s="73"/>
      <c r="L954" s="73"/>
      <c r="M954" s="73"/>
      <c r="N954" s="73"/>
      <c r="O954" s="73"/>
      <c r="P954" s="73"/>
      <c r="Q954" s="73"/>
      <c r="R954" s="73"/>
      <c r="S954" s="73"/>
      <c r="T954" s="73"/>
      <c r="U954" s="73"/>
      <c r="V954" s="73"/>
      <c r="W954" s="73"/>
      <c r="X954" s="73"/>
      <c r="Y954" s="73"/>
      <c r="Z954" s="73"/>
      <c r="AA954" s="73"/>
      <c r="AB954" s="73"/>
      <c r="AC954" s="73"/>
      <c r="AD954" s="73"/>
      <c r="AE954" s="73"/>
      <c r="AF954" s="73"/>
      <c r="AG954" s="73"/>
      <c r="AH954" s="73"/>
      <c r="AI954" s="73"/>
      <c r="AJ954" s="73"/>
    </row>
    <row r="955" spans="1:36" x14ac:dyDescent="0.25">
      <c r="A955" s="73"/>
      <c r="B955" s="73"/>
      <c r="C955" s="73"/>
      <c r="D955" s="73"/>
      <c r="E955" s="73"/>
      <c r="F955" s="73"/>
      <c r="G955" s="73"/>
      <c r="H955" s="73"/>
      <c r="I955" s="73"/>
      <c r="J955" s="73"/>
      <c r="K955" s="73"/>
      <c r="L955" s="73"/>
      <c r="M955" s="73"/>
      <c r="N955" s="73"/>
      <c r="O955" s="73"/>
      <c r="P955" s="73"/>
      <c r="Q955" s="73"/>
      <c r="R955" s="73"/>
      <c r="S955" s="73"/>
      <c r="T955" s="73"/>
      <c r="U955" s="73"/>
      <c r="V955" s="73"/>
      <c r="W955" s="73"/>
      <c r="X955" s="73"/>
      <c r="Y955" s="73"/>
      <c r="Z955" s="73"/>
      <c r="AA955" s="73"/>
      <c r="AB955" s="73"/>
      <c r="AC955" s="73"/>
      <c r="AD955" s="73"/>
      <c r="AE955" s="73"/>
      <c r="AF955" s="73"/>
      <c r="AG955" s="73"/>
      <c r="AH955" s="73"/>
      <c r="AI955" s="73"/>
      <c r="AJ955" s="73"/>
    </row>
    <row r="956" spans="1:36" x14ac:dyDescent="0.25">
      <c r="A956" s="73"/>
      <c r="B956" s="73"/>
      <c r="C956" s="73"/>
      <c r="D956" s="73"/>
      <c r="E956" s="73"/>
      <c r="F956" s="73"/>
      <c r="G956" s="73"/>
      <c r="H956" s="73"/>
      <c r="I956" s="73"/>
      <c r="J956" s="73"/>
      <c r="K956" s="73"/>
      <c r="L956" s="73"/>
      <c r="M956" s="73"/>
      <c r="N956" s="73"/>
      <c r="O956" s="73"/>
      <c r="P956" s="73"/>
      <c r="Q956" s="73"/>
      <c r="R956" s="73"/>
      <c r="S956" s="73"/>
      <c r="T956" s="73"/>
      <c r="U956" s="73"/>
      <c r="V956" s="73"/>
      <c r="W956" s="73"/>
      <c r="X956" s="73"/>
      <c r="Y956" s="73"/>
      <c r="Z956" s="73"/>
      <c r="AA956" s="73"/>
      <c r="AB956" s="73"/>
      <c r="AC956" s="73"/>
      <c r="AD956" s="73"/>
      <c r="AE956" s="73"/>
      <c r="AF956" s="73"/>
      <c r="AG956" s="73"/>
      <c r="AH956" s="73"/>
      <c r="AI956" s="73"/>
      <c r="AJ956" s="73"/>
    </row>
    <row r="957" spans="1:36" x14ac:dyDescent="0.25">
      <c r="A957" s="73"/>
      <c r="B957" s="73"/>
      <c r="C957" s="73"/>
      <c r="D957" s="73"/>
      <c r="E957" s="73"/>
      <c r="F957" s="73"/>
      <c r="G957" s="73"/>
      <c r="H957" s="73"/>
      <c r="I957" s="73"/>
      <c r="J957" s="73"/>
      <c r="K957" s="73"/>
      <c r="L957" s="73"/>
      <c r="M957" s="73"/>
      <c r="N957" s="73"/>
      <c r="O957" s="73"/>
      <c r="P957" s="73"/>
      <c r="Q957" s="73"/>
      <c r="R957" s="73"/>
      <c r="S957" s="73"/>
      <c r="T957" s="73"/>
      <c r="U957" s="73"/>
      <c r="V957" s="73"/>
      <c r="W957" s="73"/>
      <c r="X957" s="73"/>
      <c r="Y957" s="73"/>
      <c r="Z957" s="73"/>
      <c r="AA957" s="73"/>
      <c r="AB957" s="73"/>
      <c r="AC957" s="73"/>
      <c r="AD957" s="73"/>
      <c r="AE957" s="73"/>
      <c r="AF957" s="73"/>
      <c r="AG957" s="73"/>
      <c r="AH957" s="73"/>
      <c r="AI957" s="73"/>
      <c r="AJ957" s="73"/>
    </row>
    <row r="958" spans="1:36" x14ac:dyDescent="0.25">
      <c r="A958" s="73"/>
      <c r="B958" s="73"/>
      <c r="C958" s="73"/>
      <c r="D958" s="73"/>
      <c r="E958" s="73"/>
      <c r="F958" s="73"/>
      <c r="G958" s="73"/>
      <c r="H958" s="73"/>
      <c r="I958" s="73"/>
      <c r="J958" s="73"/>
      <c r="K958" s="73"/>
      <c r="L958" s="73"/>
      <c r="M958" s="73"/>
      <c r="N958" s="73"/>
      <c r="O958" s="73"/>
      <c r="P958" s="73"/>
      <c r="Q958" s="73"/>
      <c r="R958" s="73"/>
      <c r="S958" s="73"/>
      <c r="T958" s="73"/>
      <c r="U958" s="73"/>
      <c r="V958" s="73"/>
      <c r="W958" s="73"/>
      <c r="X958" s="73"/>
      <c r="Y958" s="73"/>
      <c r="Z958" s="73"/>
      <c r="AA958" s="73"/>
      <c r="AB958" s="73"/>
      <c r="AC958" s="73"/>
      <c r="AD958" s="73"/>
      <c r="AE958" s="73"/>
      <c r="AF958" s="73"/>
      <c r="AG958" s="73"/>
      <c r="AH958" s="73"/>
      <c r="AI958" s="73"/>
      <c r="AJ958" s="73"/>
    </row>
    <row r="959" spans="1:36" x14ac:dyDescent="0.25">
      <c r="A959" s="73"/>
      <c r="B959" s="73"/>
      <c r="C959" s="73"/>
      <c r="D959" s="73"/>
      <c r="E959" s="73"/>
      <c r="F959" s="73"/>
      <c r="G959" s="73"/>
      <c r="H959" s="73"/>
      <c r="I959" s="73"/>
      <c r="J959" s="73"/>
      <c r="K959" s="73"/>
      <c r="L959" s="73"/>
      <c r="M959" s="73"/>
      <c r="N959" s="73"/>
      <c r="O959" s="73"/>
      <c r="P959" s="73"/>
      <c r="Q959" s="73"/>
      <c r="R959" s="73"/>
      <c r="S959" s="73"/>
      <c r="T959" s="73"/>
      <c r="U959" s="73"/>
      <c r="V959" s="73"/>
      <c r="W959" s="73"/>
      <c r="X959" s="73"/>
      <c r="Y959" s="73"/>
      <c r="Z959" s="73"/>
      <c r="AA959" s="73"/>
      <c r="AB959" s="73"/>
      <c r="AC959" s="73"/>
      <c r="AD959" s="73"/>
      <c r="AE959" s="73"/>
      <c r="AF959" s="73"/>
      <c r="AG959" s="73"/>
      <c r="AH959" s="73"/>
      <c r="AI959" s="73"/>
      <c r="AJ959" s="73"/>
    </row>
    <row r="960" spans="1:36" x14ac:dyDescent="0.25">
      <c r="A960" s="73"/>
      <c r="B960" s="73"/>
      <c r="C960" s="73"/>
      <c r="D960" s="73"/>
      <c r="E960" s="73"/>
      <c r="F960" s="73"/>
      <c r="G960" s="73"/>
      <c r="H960" s="73"/>
      <c r="I960" s="73"/>
      <c r="J960" s="73"/>
      <c r="K960" s="73"/>
      <c r="L960" s="73"/>
      <c r="M960" s="73"/>
      <c r="N960" s="73"/>
      <c r="O960" s="73"/>
      <c r="P960" s="73"/>
      <c r="Q960" s="73"/>
      <c r="R960" s="73"/>
      <c r="S960" s="73"/>
      <c r="T960" s="73"/>
      <c r="U960" s="73"/>
      <c r="V960" s="73"/>
      <c r="W960" s="73"/>
      <c r="X960" s="73"/>
      <c r="Y960" s="73"/>
      <c r="Z960" s="73"/>
      <c r="AA960" s="73"/>
      <c r="AB960" s="73"/>
      <c r="AC960" s="73"/>
      <c r="AD960" s="73"/>
      <c r="AE960" s="73"/>
      <c r="AF960" s="73"/>
      <c r="AG960" s="73"/>
      <c r="AH960" s="73"/>
      <c r="AI960" s="73"/>
      <c r="AJ960" s="73"/>
    </row>
    <row r="961" spans="1:36" x14ac:dyDescent="0.25">
      <c r="A961" s="73"/>
      <c r="B961" s="73"/>
      <c r="C961" s="73"/>
      <c r="D961" s="73"/>
      <c r="E961" s="73"/>
      <c r="F961" s="73"/>
      <c r="G961" s="73"/>
      <c r="H961" s="73"/>
      <c r="I961" s="73"/>
      <c r="J961" s="73"/>
      <c r="K961" s="73"/>
      <c r="L961" s="73"/>
      <c r="M961" s="73"/>
      <c r="N961" s="73"/>
      <c r="O961" s="73"/>
      <c r="P961" s="73"/>
      <c r="Q961" s="73"/>
      <c r="R961" s="73"/>
      <c r="S961" s="73"/>
      <c r="T961" s="73"/>
      <c r="U961" s="73"/>
      <c r="V961" s="73"/>
      <c r="W961" s="73"/>
      <c r="X961" s="73"/>
      <c r="Y961" s="73"/>
      <c r="Z961" s="73"/>
      <c r="AA961" s="73"/>
      <c r="AB961" s="73"/>
      <c r="AC961" s="73"/>
      <c r="AD961" s="73"/>
      <c r="AE961" s="73"/>
      <c r="AF961" s="73"/>
      <c r="AG961" s="73"/>
      <c r="AH961" s="73"/>
      <c r="AI961" s="73"/>
      <c r="AJ961" s="73"/>
    </row>
    <row r="962" spans="1:36" x14ac:dyDescent="0.25">
      <c r="A962" s="73"/>
      <c r="B962" s="73"/>
      <c r="C962" s="73"/>
      <c r="D962" s="73"/>
      <c r="E962" s="73"/>
      <c r="F962" s="73"/>
      <c r="G962" s="73"/>
      <c r="H962" s="73"/>
      <c r="I962" s="73"/>
      <c r="J962" s="73"/>
      <c r="K962" s="73"/>
      <c r="L962" s="73"/>
      <c r="M962" s="73"/>
      <c r="N962" s="73"/>
      <c r="O962" s="73"/>
      <c r="P962" s="73"/>
      <c r="Q962" s="73"/>
      <c r="R962" s="73"/>
      <c r="S962" s="73"/>
      <c r="T962" s="73"/>
      <c r="U962" s="73"/>
      <c r="V962" s="73"/>
      <c r="W962" s="73"/>
      <c r="X962" s="73"/>
      <c r="Y962" s="73"/>
      <c r="Z962" s="73"/>
      <c r="AA962" s="73"/>
      <c r="AB962" s="73"/>
      <c r="AC962" s="73"/>
      <c r="AD962" s="73"/>
      <c r="AE962" s="73"/>
      <c r="AF962" s="73"/>
      <c r="AG962" s="73"/>
      <c r="AH962" s="73"/>
      <c r="AI962" s="73"/>
      <c r="AJ962" s="73"/>
    </row>
    <row r="963" spans="1:36" x14ac:dyDescent="0.25">
      <c r="A963" s="73"/>
      <c r="B963" s="73"/>
      <c r="C963" s="73"/>
      <c r="D963" s="73"/>
      <c r="E963" s="73"/>
      <c r="F963" s="73"/>
      <c r="G963" s="73"/>
      <c r="H963" s="73"/>
      <c r="I963" s="73"/>
      <c r="J963" s="73"/>
      <c r="K963" s="73"/>
      <c r="L963" s="73"/>
      <c r="M963" s="73"/>
      <c r="N963" s="73"/>
      <c r="O963" s="73"/>
      <c r="P963" s="73"/>
      <c r="Q963" s="73"/>
      <c r="R963" s="73"/>
      <c r="S963" s="73"/>
      <c r="T963" s="73"/>
      <c r="U963" s="73"/>
      <c r="V963" s="73"/>
      <c r="W963" s="73"/>
      <c r="X963" s="73"/>
      <c r="Y963" s="73"/>
      <c r="Z963" s="73"/>
      <c r="AA963" s="73"/>
      <c r="AB963" s="73"/>
      <c r="AC963" s="73"/>
      <c r="AD963" s="73"/>
      <c r="AE963" s="73"/>
      <c r="AF963" s="73"/>
      <c r="AG963" s="73"/>
      <c r="AH963" s="73"/>
      <c r="AI963" s="73"/>
      <c r="AJ963" s="73"/>
    </row>
    <row r="964" spans="1:36" x14ac:dyDescent="0.25">
      <c r="A964" s="73"/>
      <c r="B964" s="73"/>
      <c r="C964" s="73"/>
      <c r="D964" s="73"/>
      <c r="E964" s="73"/>
      <c r="F964" s="73"/>
      <c r="G964" s="73"/>
      <c r="H964" s="73"/>
      <c r="I964" s="73"/>
      <c r="J964" s="73"/>
      <c r="K964" s="73"/>
      <c r="L964" s="73"/>
      <c r="M964" s="73"/>
      <c r="N964" s="73"/>
      <c r="O964" s="73"/>
      <c r="P964" s="73"/>
      <c r="Q964" s="73"/>
      <c r="R964" s="73"/>
      <c r="S964" s="73"/>
      <c r="T964" s="73"/>
      <c r="U964" s="73"/>
      <c r="V964" s="73"/>
      <c r="W964" s="73"/>
      <c r="X964" s="73"/>
      <c r="Y964" s="73"/>
      <c r="Z964" s="73"/>
      <c r="AA964" s="73"/>
      <c r="AB964" s="73"/>
      <c r="AC964" s="73"/>
      <c r="AD964" s="73"/>
      <c r="AE964" s="73"/>
      <c r="AF964" s="73"/>
      <c r="AG964" s="73"/>
      <c r="AH964" s="73"/>
      <c r="AI964" s="73"/>
      <c r="AJ964" s="73"/>
    </row>
    <row r="965" spans="1:36" x14ac:dyDescent="0.25">
      <c r="A965" s="73"/>
      <c r="B965" s="73"/>
      <c r="C965" s="73"/>
      <c r="D965" s="73"/>
      <c r="E965" s="73"/>
      <c r="F965" s="73"/>
      <c r="G965" s="73"/>
      <c r="H965" s="73"/>
      <c r="I965" s="73"/>
      <c r="J965" s="73"/>
      <c r="K965" s="73"/>
      <c r="L965" s="73"/>
      <c r="M965" s="73"/>
      <c r="N965" s="73"/>
      <c r="O965" s="73"/>
      <c r="P965" s="73"/>
      <c r="Q965" s="73"/>
      <c r="R965" s="73"/>
      <c r="S965" s="73"/>
      <c r="T965" s="73"/>
      <c r="U965" s="73"/>
      <c r="V965" s="73"/>
      <c r="W965" s="73"/>
      <c r="X965" s="73"/>
      <c r="Y965" s="73"/>
      <c r="Z965" s="73"/>
      <c r="AA965" s="73"/>
      <c r="AB965" s="73"/>
      <c r="AC965" s="73"/>
      <c r="AD965" s="73"/>
      <c r="AE965" s="73"/>
      <c r="AF965" s="73"/>
      <c r="AG965" s="73"/>
      <c r="AH965" s="73"/>
      <c r="AI965" s="73"/>
      <c r="AJ965" s="73"/>
    </row>
    <row r="966" spans="1:36" x14ac:dyDescent="0.25">
      <c r="A966" s="73"/>
      <c r="B966" s="73"/>
      <c r="C966" s="73"/>
      <c r="D966" s="73"/>
      <c r="E966" s="73"/>
      <c r="F966" s="73"/>
      <c r="G966" s="73"/>
      <c r="H966" s="73"/>
      <c r="I966" s="73"/>
      <c r="J966" s="73"/>
      <c r="K966" s="73"/>
      <c r="L966" s="73"/>
      <c r="M966" s="73"/>
      <c r="N966" s="73"/>
      <c r="O966" s="73"/>
      <c r="P966" s="73"/>
      <c r="Q966" s="73"/>
      <c r="R966" s="73"/>
      <c r="S966" s="73"/>
      <c r="T966" s="73"/>
      <c r="U966" s="73"/>
      <c r="V966" s="73"/>
      <c r="W966" s="73"/>
      <c r="X966" s="73"/>
      <c r="Y966" s="73"/>
      <c r="Z966" s="73"/>
      <c r="AA966" s="73"/>
      <c r="AB966" s="73"/>
      <c r="AC966" s="73"/>
      <c r="AD966" s="73"/>
      <c r="AE966" s="73"/>
      <c r="AF966" s="73"/>
      <c r="AG966" s="73"/>
      <c r="AH966" s="73"/>
      <c r="AI966" s="73"/>
      <c r="AJ966" s="73"/>
    </row>
    <row r="967" spans="1:36" x14ac:dyDescent="0.25">
      <c r="A967" s="73"/>
      <c r="B967" s="73"/>
      <c r="C967" s="73"/>
      <c r="D967" s="73"/>
      <c r="E967" s="73"/>
      <c r="F967" s="73"/>
      <c r="G967" s="73"/>
      <c r="H967" s="73"/>
      <c r="I967" s="73"/>
      <c r="J967" s="73"/>
      <c r="K967" s="73"/>
      <c r="L967" s="73"/>
      <c r="M967" s="73"/>
      <c r="N967" s="73"/>
      <c r="O967" s="73"/>
      <c r="P967" s="73"/>
      <c r="Q967" s="73"/>
      <c r="R967" s="73"/>
      <c r="S967" s="73"/>
      <c r="T967" s="73"/>
      <c r="U967" s="73"/>
      <c r="V967" s="73"/>
      <c r="W967" s="73"/>
      <c r="X967" s="73"/>
      <c r="Y967" s="73"/>
      <c r="Z967" s="73"/>
      <c r="AA967" s="73"/>
      <c r="AB967" s="73"/>
      <c r="AC967" s="73"/>
      <c r="AD967" s="73"/>
      <c r="AE967" s="73"/>
      <c r="AF967" s="73"/>
      <c r="AG967" s="73"/>
      <c r="AH967" s="73"/>
      <c r="AI967" s="73"/>
      <c r="AJ967" s="73"/>
    </row>
    <row r="968" spans="1:36" x14ac:dyDescent="0.25">
      <c r="A968" s="73"/>
      <c r="B968" s="73"/>
      <c r="C968" s="73"/>
      <c r="D968" s="73"/>
      <c r="E968" s="73"/>
      <c r="F968" s="73"/>
      <c r="G968" s="73"/>
      <c r="H968" s="73"/>
      <c r="I968" s="73"/>
      <c r="J968" s="73"/>
      <c r="K968" s="73"/>
      <c r="L968" s="73"/>
      <c r="M968" s="73"/>
      <c r="N968" s="73"/>
      <c r="O968" s="73"/>
      <c r="P968" s="73"/>
      <c r="Q968" s="73"/>
      <c r="R968" s="73"/>
      <c r="S968" s="73"/>
      <c r="T968" s="73"/>
      <c r="U968" s="73"/>
      <c r="V968" s="73"/>
      <c r="W968" s="73"/>
      <c r="X968" s="73"/>
      <c r="Y968" s="73"/>
      <c r="Z968" s="73"/>
      <c r="AA968" s="73"/>
      <c r="AB968" s="73"/>
      <c r="AC968" s="73"/>
      <c r="AD968" s="73"/>
      <c r="AE968" s="73"/>
      <c r="AF968" s="73"/>
      <c r="AG968" s="73"/>
      <c r="AH968" s="73"/>
      <c r="AI968" s="73"/>
      <c r="AJ968" s="73"/>
    </row>
    <row r="969" spans="1:36" x14ac:dyDescent="0.25">
      <c r="A969" s="73"/>
      <c r="B969" s="73"/>
      <c r="C969" s="73"/>
      <c r="D969" s="73"/>
      <c r="E969" s="73"/>
      <c r="F969" s="73"/>
      <c r="G969" s="73"/>
      <c r="H969" s="73"/>
      <c r="I969" s="73"/>
      <c r="J969" s="73"/>
      <c r="K969" s="73"/>
      <c r="L969" s="73"/>
      <c r="M969" s="73"/>
      <c r="N969" s="73"/>
      <c r="O969" s="73"/>
      <c r="P969" s="73"/>
      <c r="Q969" s="73"/>
      <c r="R969" s="73"/>
      <c r="S969" s="73"/>
      <c r="T969" s="73"/>
      <c r="U969" s="73"/>
      <c r="V969" s="73"/>
      <c r="W969" s="73"/>
      <c r="X969" s="73"/>
      <c r="Y969" s="73"/>
      <c r="Z969" s="73"/>
      <c r="AA969" s="73"/>
      <c r="AB969" s="73"/>
      <c r="AC969" s="73"/>
      <c r="AD969" s="73"/>
      <c r="AE969" s="73"/>
      <c r="AF969" s="73"/>
      <c r="AG969" s="73"/>
      <c r="AH969" s="73"/>
      <c r="AI969" s="73"/>
      <c r="AJ969" s="73"/>
    </row>
    <row r="970" spans="1:36" x14ac:dyDescent="0.25">
      <c r="A970" s="73"/>
      <c r="B970" s="73"/>
      <c r="C970" s="73"/>
      <c r="D970" s="73"/>
      <c r="E970" s="73"/>
      <c r="F970" s="73"/>
      <c r="G970" s="73"/>
      <c r="H970" s="73"/>
      <c r="I970" s="73"/>
      <c r="J970" s="73"/>
      <c r="K970" s="73"/>
      <c r="L970" s="73"/>
      <c r="M970" s="73"/>
      <c r="N970" s="73"/>
      <c r="O970" s="73"/>
      <c r="P970" s="73"/>
      <c r="Q970" s="73"/>
      <c r="R970" s="73"/>
      <c r="S970" s="73"/>
      <c r="T970" s="73"/>
      <c r="U970" s="73"/>
      <c r="V970" s="73"/>
      <c r="W970" s="73"/>
      <c r="X970" s="73"/>
      <c r="Y970" s="73"/>
      <c r="Z970" s="73"/>
      <c r="AA970" s="73"/>
      <c r="AB970" s="73"/>
      <c r="AC970" s="73"/>
      <c r="AD970" s="73"/>
      <c r="AE970" s="73"/>
      <c r="AF970" s="73"/>
      <c r="AG970" s="73"/>
      <c r="AH970" s="73"/>
      <c r="AI970" s="73"/>
      <c r="AJ970" s="73"/>
    </row>
    <row r="971" spans="1:36" x14ac:dyDescent="0.25">
      <c r="A971" s="73"/>
      <c r="B971" s="73"/>
      <c r="C971" s="73"/>
      <c r="D971" s="73"/>
      <c r="E971" s="73"/>
      <c r="F971" s="73"/>
      <c r="G971" s="73"/>
      <c r="H971" s="73"/>
      <c r="I971" s="73"/>
      <c r="J971" s="73"/>
      <c r="K971" s="73"/>
      <c r="L971" s="73"/>
      <c r="M971" s="73"/>
      <c r="N971" s="73"/>
      <c r="O971" s="73"/>
      <c r="P971" s="73"/>
      <c r="Q971" s="73"/>
      <c r="R971" s="73"/>
      <c r="S971" s="73"/>
      <c r="T971" s="73"/>
      <c r="U971" s="73"/>
      <c r="V971" s="73"/>
      <c r="W971" s="73"/>
      <c r="X971" s="73"/>
      <c r="Y971" s="73"/>
      <c r="Z971" s="73"/>
      <c r="AA971" s="73"/>
      <c r="AB971" s="73"/>
      <c r="AC971" s="73"/>
      <c r="AD971" s="73"/>
      <c r="AE971" s="73"/>
      <c r="AF971" s="73"/>
      <c r="AG971" s="73"/>
      <c r="AH971" s="73"/>
      <c r="AI971" s="73"/>
      <c r="AJ971" s="73"/>
    </row>
    <row r="972" spans="1:36" x14ac:dyDescent="0.25">
      <c r="A972" s="73"/>
      <c r="B972" s="73"/>
      <c r="C972" s="73"/>
      <c r="D972" s="73"/>
      <c r="E972" s="73"/>
      <c r="F972" s="73"/>
      <c r="G972" s="73"/>
      <c r="H972" s="73"/>
      <c r="I972" s="73"/>
      <c r="J972" s="73"/>
      <c r="K972" s="73"/>
      <c r="L972" s="73"/>
      <c r="M972" s="73"/>
      <c r="N972" s="73"/>
      <c r="O972" s="73"/>
      <c r="P972" s="73"/>
      <c r="Q972" s="73"/>
      <c r="R972" s="73"/>
      <c r="S972" s="73"/>
      <c r="T972" s="73"/>
      <c r="U972" s="73"/>
      <c r="V972" s="73"/>
      <c r="W972" s="73"/>
      <c r="X972" s="73"/>
      <c r="Y972" s="73"/>
      <c r="Z972" s="73"/>
      <c r="AA972" s="73"/>
      <c r="AB972" s="73"/>
      <c r="AC972" s="73"/>
      <c r="AD972" s="73"/>
      <c r="AE972" s="73"/>
      <c r="AF972" s="73"/>
      <c r="AG972" s="73"/>
      <c r="AH972" s="73"/>
      <c r="AI972" s="73"/>
      <c r="AJ972" s="73"/>
    </row>
    <row r="973" spans="1:36" x14ac:dyDescent="0.25">
      <c r="A973" s="73"/>
      <c r="B973" s="73"/>
      <c r="C973" s="73"/>
      <c r="D973" s="73"/>
      <c r="E973" s="73"/>
      <c r="F973" s="73"/>
      <c r="G973" s="73"/>
      <c r="H973" s="73"/>
      <c r="I973" s="73"/>
      <c r="J973" s="73"/>
      <c r="K973" s="73"/>
      <c r="L973" s="73"/>
      <c r="M973" s="73"/>
      <c r="N973" s="73"/>
      <c r="O973" s="73"/>
      <c r="P973" s="73"/>
      <c r="Q973" s="73"/>
      <c r="R973" s="73"/>
      <c r="S973" s="73"/>
      <c r="T973" s="73"/>
      <c r="U973" s="73"/>
      <c r="V973" s="73"/>
      <c r="W973" s="73"/>
      <c r="X973" s="73"/>
      <c r="Y973" s="73"/>
      <c r="Z973" s="73"/>
      <c r="AA973" s="73"/>
      <c r="AB973" s="73"/>
      <c r="AC973" s="73"/>
      <c r="AD973" s="73"/>
      <c r="AE973" s="73"/>
      <c r="AF973" s="73"/>
      <c r="AG973" s="73"/>
      <c r="AH973" s="73"/>
      <c r="AI973" s="73"/>
      <c r="AJ973" s="73"/>
    </row>
    <row r="974" spans="1:36" x14ac:dyDescent="0.25">
      <c r="A974" s="73"/>
      <c r="B974" s="73"/>
      <c r="C974" s="73"/>
      <c r="D974" s="73"/>
      <c r="E974" s="73"/>
      <c r="F974" s="73"/>
      <c r="G974" s="73"/>
      <c r="H974" s="73"/>
      <c r="I974" s="73"/>
      <c r="J974" s="73"/>
      <c r="K974" s="73"/>
      <c r="L974" s="73"/>
      <c r="M974" s="73"/>
      <c r="N974" s="73"/>
      <c r="O974" s="73"/>
      <c r="P974" s="73"/>
      <c r="Q974" s="73"/>
      <c r="R974" s="73"/>
      <c r="S974" s="73"/>
      <c r="T974" s="73"/>
      <c r="U974" s="73"/>
      <c r="V974" s="73"/>
      <c r="W974" s="73"/>
      <c r="X974" s="73"/>
      <c r="Y974" s="73"/>
      <c r="Z974" s="73"/>
      <c r="AA974" s="73"/>
      <c r="AB974" s="73"/>
      <c r="AC974" s="73"/>
      <c r="AD974" s="73"/>
      <c r="AE974" s="73"/>
      <c r="AF974" s="73"/>
      <c r="AG974" s="73"/>
      <c r="AH974" s="73"/>
      <c r="AI974" s="73"/>
      <c r="AJ974" s="73"/>
    </row>
    <row r="975" spans="1:36" x14ac:dyDescent="0.25">
      <c r="A975" s="73"/>
      <c r="B975" s="73"/>
      <c r="C975" s="73"/>
      <c r="D975" s="73"/>
      <c r="E975" s="73"/>
      <c r="F975" s="73"/>
      <c r="G975" s="73"/>
      <c r="H975" s="73"/>
      <c r="I975" s="73"/>
      <c r="J975" s="73"/>
      <c r="K975" s="73"/>
      <c r="L975" s="73"/>
      <c r="M975" s="73"/>
      <c r="N975" s="73"/>
      <c r="O975" s="73"/>
      <c r="P975" s="73"/>
      <c r="Q975" s="73"/>
      <c r="R975" s="73"/>
      <c r="S975" s="73"/>
      <c r="T975" s="73"/>
      <c r="U975" s="73"/>
      <c r="V975" s="73"/>
      <c r="W975" s="73"/>
      <c r="X975" s="73"/>
      <c r="Y975" s="73"/>
      <c r="Z975" s="73"/>
      <c r="AA975" s="73"/>
      <c r="AB975" s="73"/>
      <c r="AC975" s="73"/>
      <c r="AD975" s="73"/>
      <c r="AE975" s="73"/>
      <c r="AF975" s="73"/>
      <c r="AG975" s="73"/>
      <c r="AH975" s="73"/>
      <c r="AI975" s="73"/>
      <c r="AJ975" s="73"/>
    </row>
    <row r="976" spans="1:36" x14ac:dyDescent="0.25">
      <c r="A976" s="73"/>
      <c r="B976" s="73"/>
      <c r="C976" s="73"/>
      <c r="D976" s="73"/>
      <c r="E976" s="73"/>
      <c r="F976" s="73"/>
      <c r="G976" s="73"/>
      <c r="H976" s="73"/>
      <c r="I976" s="73"/>
      <c r="J976" s="73"/>
      <c r="K976" s="73"/>
      <c r="L976" s="73"/>
      <c r="M976" s="73"/>
      <c r="N976" s="73"/>
      <c r="O976" s="73"/>
      <c r="P976" s="73"/>
      <c r="Q976" s="73"/>
      <c r="R976" s="73"/>
      <c r="S976" s="73"/>
      <c r="T976" s="73"/>
      <c r="U976" s="73"/>
      <c r="V976" s="73"/>
      <c r="W976" s="73"/>
      <c r="X976" s="73"/>
      <c r="Y976" s="73"/>
      <c r="Z976" s="73"/>
      <c r="AA976" s="73"/>
      <c r="AB976" s="73"/>
      <c r="AC976" s="73"/>
      <c r="AD976" s="73"/>
      <c r="AE976" s="73"/>
      <c r="AF976" s="73"/>
      <c r="AG976" s="73"/>
      <c r="AH976" s="73"/>
      <c r="AI976" s="73"/>
      <c r="AJ976" s="73"/>
    </row>
    <row r="977" spans="1:36" x14ac:dyDescent="0.25">
      <c r="A977" s="73"/>
      <c r="B977" s="73"/>
      <c r="C977" s="73"/>
      <c r="D977" s="73"/>
      <c r="E977" s="73"/>
      <c r="F977" s="73"/>
      <c r="G977" s="73"/>
      <c r="H977" s="73"/>
      <c r="I977" s="73"/>
      <c r="J977" s="73"/>
      <c r="K977" s="73"/>
      <c r="L977" s="73"/>
      <c r="M977" s="73"/>
      <c r="N977" s="73"/>
      <c r="O977" s="73"/>
      <c r="P977" s="73"/>
      <c r="Q977" s="73"/>
      <c r="R977" s="73"/>
      <c r="S977" s="73"/>
      <c r="T977" s="73"/>
      <c r="U977" s="73"/>
      <c r="V977" s="73"/>
      <c r="W977" s="73"/>
      <c r="X977" s="73"/>
      <c r="Y977" s="73"/>
      <c r="Z977" s="73"/>
      <c r="AA977" s="73"/>
      <c r="AB977" s="73"/>
      <c r="AC977" s="73"/>
      <c r="AD977" s="73"/>
      <c r="AE977" s="73"/>
      <c r="AF977" s="73"/>
      <c r="AG977" s="73"/>
      <c r="AH977" s="73"/>
      <c r="AI977" s="73"/>
      <c r="AJ977" s="73"/>
    </row>
    <row r="978" spans="1:36" x14ac:dyDescent="0.25">
      <c r="A978" s="73"/>
      <c r="B978" s="73"/>
      <c r="C978" s="73"/>
      <c r="D978" s="73"/>
      <c r="E978" s="73"/>
      <c r="F978" s="73"/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  <c r="AA978" s="73"/>
      <c r="AB978" s="73"/>
      <c r="AC978" s="73"/>
      <c r="AD978" s="73"/>
      <c r="AE978" s="73"/>
      <c r="AF978" s="73"/>
      <c r="AG978" s="73"/>
      <c r="AH978" s="73"/>
      <c r="AI978" s="73"/>
      <c r="AJ978" s="73"/>
    </row>
    <row r="979" spans="1:36" x14ac:dyDescent="0.25">
      <c r="A979" s="73"/>
      <c r="B979" s="73"/>
      <c r="C979" s="73"/>
      <c r="D979" s="73"/>
      <c r="E979" s="73"/>
      <c r="F979" s="73"/>
      <c r="G979" s="73"/>
      <c r="H979" s="73"/>
      <c r="I979" s="73"/>
      <c r="J979" s="73"/>
      <c r="K979" s="73"/>
      <c r="L979" s="73"/>
      <c r="M979" s="73"/>
      <c r="N979" s="73"/>
      <c r="O979" s="73"/>
      <c r="P979" s="73"/>
      <c r="Q979" s="73"/>
      <c r="R979" s="73"/>
      <c r="S979" s="73"/>
      <c r="T979" s="73"/>
      <c r="U979" s="73"/>
      <c r="V979" s="73"/>
      <c r="W979" s="73"/>
      <c r="X979" s="73"/>
      <c r="Y979" s="73"/>
      <c r="Z979" s="73"/>
      <c r="AA979" s="73"/>
      <c r="AB979" s="73"/>
      <c r="AC979" s="73"/>
      <c r="AD979" s="73"/>
      <c r="AE979" s="73"/>
      <c r="AF979" s="73"/>
      <c r="AG979" s="73"/>
      <c r="AH979" s="73"/>
      <c r="AI979" s="73"/>
      <c r="AJ979" s="73"/>
    </row>
    <row r="980" spans="1:36" x14ac:dyDescent="0.25">
      <c r="A980" s="73"/>
      <c r="B980" s="73"/>
      <c r="C980" s="73"/>
      <c r="D980" s="73"/>
      <c r="E980" s="73"/>
      <c r="F980" s="73"/>
      <c r="G980" s="73"/>
      <c r="H980" s="73"/>
      <c r="I980" s="73"/>
      <c r="J980" s="73"/>
      <c r="K980" s="73"/>
      <c r="L980" s="73"/>
      <c r="M980" s="73"/>
      <c r="N980" s="73"/>
      <c r="O980" s="73"/>
      <c r="P980" s="73"/>
      <c r="Q980" s="73"/>
      <c r="R980" s="73"/>
      <c r="S980" s="73"/>
      <c r="T980" s="73"/>
      <c r="U980" s="73"/>
      <c r="V980" s="73"/>
      <c r="W980" s="73"/>
      <c r="X980" s="73"/>
      <c r="Y980" s="73"/>
      <c r="Z980" s="73"/>
      <c r="AA980" s="73"/>
      <c r="AB980" s="73"/>
      <c r="AC980" s="73"/>
      <c r="AD980" s="73"/>
      <c r="AE980" s="73"/>
      <c r="AF980" s="73"/>
      <c r="AG980" s="73"/>
      <c r="AH980" s="73"/>
      <c r="AI980" s="73"/>
      <c r="AJ980" s="73"/>
    </row>
    <row r="981" spans="1:36" x14ac:dyDescent="0.25">
      <c r="A981" s="73"/>
      <c r="B981" s="73"/>
      <c r="C981" s="73"/>
      <c r="D981" s="73"/>
      <c r="E981" s="73"/>
      <c r="F981" s="73"/>
      <c r="G981" s="73"/>
      <c r="H981" s="73"/>
      <c r="I981" s="73"/>
      <c r="J981" s="73"/>
      <c r="K981" s="73"/>
      <c r="L981" s="73"/>
      <c r="M981" s="73"/>
      <c r="N981" s="73"/>
      <c r="O981" s="73"/>
      <c r="P981" s="73"/>
      <c r="Q981" s="73"/>
      <c r="R981" s="73"/>
      <c r="S981" s="73"/>
      <c r="T981" s="73"/>
      <c r="U981" s="73"/>
      <c r="V981" s="73"/>
      <c r="W981" s="73"/>
      <c r="X981" s="73"/>
      <c r="Y981" s="73"/>
      <c r="Z981" s="73"/>
      <c r="AA981" s="73"/>
      <c r="AB981" s="73"/>
      <c r="AC981" s="73"/>
      <c r="AD981" s="73"/>
      <c r="AE981" s="73"/>
      <c r="AF981" s="73"/>
      <c r="AG981" s="73"/>
      <c r="AH981" s="73"/>
      <c r="AI981" s="73"/>
      <c r="AJ981" s="73"/>
    </row>
    <row r="982" spans="1:36" x14ac:dyDescent="0.25">
      <c r="A982" s="73"/>
      <c r="B982" s="73"/>
      <c r="C982" s="73"/>
      <c r="D982" s="73"/>
      <c r="E982" s="73"/>
      <c r="F982" s="73"/>
      <c r="G982" s="73"/>
      <c r="H982" s="73"/>
      <c r="I982" s="73"/>
      <c r="J982" s="73"/>
      <c r="K982" s="73"/>
      <c r="L982" s="73"/>
      <c r="M982" s="73"/>
      <c r="N982" s="73"/>
      <c r="O982" s="73"/>
      <c r="P982" s="73"/>
      <c r="Q982" s="73"/>
      <c r="R982" s="73"/>
      <c r="S982" s="73"/>
      <c r="T982" s="73"/>
      <c r="U982" s="73"/>
      <c r="V982" s="73"/>
      <c r="W982" s="73"/>
      <c r="X982" s="73"/>
      <c r="Y982" s="73"/>
      <c r="Z982" s="73"/>
      <c r="AA982" s="73"/>
      <c r="AB982" s="73"/>
      <c r="AC982" s="73"/>
      <c r="AD982" s="73"/>
      <c r="AE982" s="73"/>
      <c r="AF982" s="73"/>
      <c r="AG982" s="73"/>
      <c r="AH982" s="73"/>
      <c r="AI982" s="73"/>
      <c r="AJ982" s="73"/>
    </row>
    <row r="983" spans="1:36" x14ac:dyDescent="0.25">
      <c r="A983" s="73"/>
      <c r="B983" s="73"/>
      <c r="C983" s="73"/>
      <c r="D983" s="73"/>
      <c r="E983" s="73"/>
      <c r="F983" s="73"/>
      <c r="G983" s="73"/>
      <c r="H983" s="73"/>
      <c r="I983" s="73"/>
      <c r="J983" s="73"/>
      <c r="K983" s="73"/>
      <c r="L983" s="73"/>
      <c r="M983" s="73"/>
      <c r="N983" s="73"/>
      <c r="O983" s="73"/>
      <c r="P983" s="73"/>
      <c r="Q983" s="73"/>
      <c r="R983" s="73"/>
      <c r="S983" s="73"/>
      <c r="T983" s="73"/>
      <c r="U983" s="73"/>
      <c r="V983" s="73"/>
      <c r="W983" s="73"/>
      <c r="X983" s="73"/>
      <c r="Y983" s="73"/>
      <c r="Z983" s="73"/>
      <c r="AA983" s="73"/>
      <c r="AB983" s="73"/>
      <c r="AC983" s="73"/>
      <c r="AD983" s="73"/>
      <c r="AE983" s="73"/>
      <c r="AF983" s="73"/>
      <c r="AG983" s="73"/>
      <c r="AH983" s="73"/>
      <c r="AI983" s="73"/>
      <c r="AJ983" s="73"/>
    </row>
    <row r="984" spans="1:36" x14ac:dyDescent="0.25">
      <c r="A984" s="73"/>
      <c r="B984" s="73"/>
      <c r="C984" s="73"/>
      <c r="D984" s="73"/>
      <c r="E984" s="73"/>
      <c r="F984" s="73"/>
      <c r="G984" s="73"/>
      <c r="H984" s="73"/>
      <c r="I984" s="73"/>
      <c r="J984" s="73"/>
      <c r="K984" s="73"/>
      <c r="L984" s="73"/>
      <c r="M984" s="73"/>
      <c r="N984" s="73"/>
      <c r="O984" s="73"/>
      <c r="P984" s="73"/>
      <c r="Q984" s="73"/>
      <c r="R984" s="73"/>
      <c r="S984" s="73"/>
      <c r="T984" s="73"/>
      <c r="U984" s="73"/>
      <c r="V984" s="73"/>
      <c r="W984" s="73"/>
      <c r="X984" s="73"/>
      <c r="Y984" s="73"/>
      <c r="Z984" s="73"/>
      <c r="AA984" s="73"/>
      <c r="AB984" s="73"/>
      <c r="AC984" s="73"/>
      <c r="AD984" s="73"/>
      <c r="AE984" s="73"/>
      <c r="AF984" s="73"/>
      <c r="AG984" s="73"/>
      <c r="AH984" s="73"/>
      <c r="AI984" s="73"/>
      <c r="AJ984" s="73"/>
    </row>
    <row r="985" spans="1:36" x14ac:dyDescent="0.25">
      <c r="A985" s="73"/>
      <c r="B985" s="73"/>
      <c r="C985" s="73"/>
      <c r="D985" s="73"/>
      <c r="E985" s="73"/>
      <c r="F985" s="73"/>
      <c r="G985" s="73"/>
      <c r="H985" s="73"/>
      <c r="I985" s="73"/>
      <c r="J985" s="73"/>
      <c r="K985" s="73"/>
      <c r="L985" s="73"/>
      <c r="M985" s="73"/>
      <c r="N985" s="73"/>
      <c r="O985" s="73"/>
      <c r="P985" s="73"/>
      <c r="Q985" s="73"/>
      <c r="R985" s="73"/>
      <c r="S985" s="73"/>
      <c r="T985" s="73"/>
      <c r="U985" s="73"/>
      <c r="V985" s="73"/>
      <c r="W985" s="73"/>
      <c r="X985" s="73"/>
      <c r="Y985" s="73"/>
      <c r="Z985" s="73"/>
      <c r="AA985" s="73"/>
      <c r="AB985" s="73"/>
      <c r="AC985" s="73"/>
      <c r="AD985" s="73"/>
      <c r="AE985" s="73"/>
      <c r="AF985" s="73"/>
      <c r="AG985" s="73"/>
      <c r="AH985" s="73"/>
      <c r="AI985" s="73"/>
      <c r="AJ985" s="73"/>
    </row>
    <row r="986" spans="1:36" x14ac:dyDescent="0.25">
      <c r="A986" s="73"/>
      <c r="B986" s="73"/>
      <c r="C986" s="73"/>
      <c r="D986" s="73"/>
      <c r="E986" s="73"/>
      <c r="F986" s="73"/>
      <c r="G986" s="73"/>
      <c r="H986" s="73"/>
      <c r="I986" s="73"/>
      <c r="J986" s="73"/>
      <c r="K986" s="73"/>
      <c r="L986" s="73"/>
      <c r="M986" s="73"/>
      <c r="N986" s="73"/>
      <c r="O986" s="73"/>
      <c r="P986" s="73"/>
      <c r="Q986" s="73"/>
      <c r="R986" s="73"/>
      <c r="S986" s="73"/>
      <c r="T986" s="73"/>
      <c r="U986" s="73"/>
      <c r="V986" s="73"/>
      <c r="W986" s="73"/>
      <c r="X986" s="73"/>
      <c r="Y986" s="73"/>
      <c r="Z986" s="73"/>
      <c r="AA986" s="73"/>
      <c r="AB986" s="73"/>
      <c r="AC986" s="73"/>
      <c r="AD986" s="73"/>
      <c r="AE986" s="73"/>
      <c r="AF986" s="73"/>
      <c r="AG986" s="73"/>
      <c r="AH986" s="73"/>
      <c r="AI986" s="73"/>
      <c r="AJ986" s="73"/>
    </row>
    <row r="987" spans="1:36" x14ac:dyDescent="0.25">
      <c r="A987" s="73"/>
      <c r="B987" s="73"/>
      <c r="C987" s="73"/>
      <c r="D987" s="73"/>
      <c r="E987" s="73"/>
      <c r="F987" s="73"/>
      <c r="G987" s="73"/>
      <c r="H987" s="73"/>
      <c r="I987" s="73"/>
      <c r="J987" s="73"/>
      <c r="K987" s="73"/>
      <c r="L987" s="73"/>
      <c r="M987" s="73"/>
      <c r="N987" s="73"/>
      <c r="O987" s="73"/>
      <c r="P987" s="73"/>
      <c r="Q987" s="73"/>
      <c r="R987" s="73"/>
      <c r="S987" s="73"/>
      <c r="T987" s="73"/>
      <c r="U987" s="73"/>
      <c r="V987" s="73"/>
      <c r="W987" s="73"/>
      <c r="X987" s="73"/>
      <c r="Y987" s="73"/>
      <c r="Z987" s="73"/>
      <c r="AA987" s="73"/>
      <c r="AB987" s="73"/>
      <c r="AC987" s="73"/>
      <c r="AD987" s="73"/>
      <c r="AE987" s="73"/>
      <c r="AF987" s="73"/>
      <c r="AG987" s="73"/>
      <c r="AH987" s="73"/>
      <c r="AI987" s="73"/>
      <c r="AJ987" s="73"/>
    </row>
    <row r="988" spans="1:36" x14ac:dyDescent="0.25">
      <c r="A988" s="73"/>
      <c r="B988" s="73"/>
      <c r="C988" s="73"/>
      <c r="D988" s="73"/>
      <c r="E988" s="73"/>
      <c r="F988" s="73"/>
      <c r="G988" s="73"/>
      <c r="H988" s="73"/>
      <c r="I988" s="73"/>
      <c r="J988" s="73"/>
      <c r="K988" s="73"/>
      <c r="L988" s="73"/>
      <c r="M988" s="73"/>
      <c r="N988" s="73"/>
      <c r="O988" s="73"/>
      <c r="P988" s="73"/>
      <c r="Q988" s="73"/>
      <c r="R988" s="73"/>
      <c r="S988" s="73"/>
      <c r="T988" s="73"/>
      <c r="U988" s="73"/>
      <c r="V988" s="73"/>
      <c r="W988" s="73"/>
      <c r="X988" s="73"/>
      <c r="Y988" s="73"/>
      <c r="Z988" s="73"/>
      <c r="AA988" s="73"/>
      <c r="AB988" s="73"/>
      <c r="AC988" s="73"/>
      <c r="AD988" s="73"/>
      <c r="AE988" s="73"/>
      <c r="AF988" s="73"/>
      <c r="AG988" s="73"/>
      <c r="AH988" s="73"/>
      <c r="AI988" s="73"/>
      <c r="AJ988" s="73"/>
    </row>
    <row r="989" spans="1:36" x14ac:dyDescent="0.25">
      <c r="A989" s="73"/>
      <c r="B989" s="73"/>
      <c r="C989" s="73"/>
      <c r="D989" s="73"/>
      <c r="E989" s="73"/>
      <c r="F989" s="73"/>
      <c r="G989" s="73"/>
      <c r="H989" s="73"/>
      <c r="I989" s="73"/>
      <c r="J989" s="73"/>
      <c r="K989" s="73"/>
      <c r="L989" s="73"/>
      <c r="M989" s="73"/>
      <c r="N989" s="73"/>
      <c r="O989" s="73"/>
      <c r="P989" s="73"/>
      <c r="Q989" s="73"/>
      <c r="R989" s="73"/>
      <c r="S989" s="73"/>
      <c r="T989" s="73"/>
      <c r="U989" s="73"/>
      <c r="V989" s="73"/>
      <c r="W989" s="73"/>
      <c r="X989" s="73"/>
      <c r="Y989" s="73"/>
      <c r="Z989" s="73"/>
      <c r="AA989" s="73"/>
      <c r="AB989" s="73"/>
      <c r="AC989" s="73"/>
      <c r="AD989" s="73"/>
      <c r="AE989" s="73"/>
      <c r="AF989" s="73"/>
      <c r="AG989" s="73"/>
      <c r="AH989" s="73"/>
      <c r="AI989" s="73"/>
      <c r="AJ989" s="73"/>
    </row>
    <row r="990" spans="1:36" x14ac:dyDescent="0.25">
      <c r="A990" s="73"/>
      <c r="B990" s="73"/>
      <c r="C990" s="73"/>
      <c r="D990" s="73"/>
      <c r="E990" s="73"/>
      <c r="F990" s="73"/>
      <c r="G990" s="73"/>
      <c r="H990" s="73"/>
      <c r="I990" s="73"/>
      <c r="J990" s="73"/>
      <c r="K990" s="73"/>
      <c r="L990" s="73"/>
      <c r="M990" s="73"/>
      <c r="N990" s="73"/>
      <c r="O990" s="73"/>
      <c r="P990" s="73"/>
      <c r="Q990" s="73"/>
      <c r="R990" s="73"/>
      <c r="S990" s="73"/>
      <c r="T990" s="73"/>
      <c r="U990" s="73"/>
      <c r="V990" s="73"/>
      <c r="W990" s="73"/>
      <c r="X990" s="73"/>
      <c r="Y990" s="73"/>
      <c r="Z990" s="73"/>
      <c r="AA990" s="73"/>
      <c r="AB990" s="73"/>
      <c r="AC990" s="73"/>
      <c r="AD990" s="73"/>
      <c r="AE990" s="73"/>
      <c r="AF990" s="73"/>
      <c r="AG990" s="73"/>
      <c r="AH990" s="73"/>
      <c r="AI990" s="73"/>
      <c r="AJ990" s="73"/>
    </row>
    <row r="991" spans="1:36" x14ac:dyDescent="0.25">
      <c r="A991" s="73"/>
      <c r="B991" s="73"/>
      <c r="C991" s="73"/>
      <c r="D991" s="73"/>
      <c r="E991" s="73"/>
      <c r="F991" s="73"/>
      <c r="G991" s="73"/>
      <c r="H991" s="73"/>
      <c r="I991" s="73"/>
      <c r="J991" s="73"/>
      <c r="K991" s="73"/>
      <c r="L991" s="73"/>
      <c r="M991" s="73"/>
      <c r="N991" s="73"/>
      <c r="O991" s="73"/>
      <c r="P991" s="73"/>
      <c r="Q991" s="73"/>
      <c r="R991" s="73"/>
      <c r="S991" s="73"/>
      <c r="T991" s="73"/>
      <c r="U991" s="73"/>
      <c r="V991" s="73"/>
      <c r="W991" s="73"/>
      <c r="X991" s="73"/>
      <c r="Y991" s="73"/>
      <c r="Z991" s="73"/>
      <c r="AA991" s="73"/>
      <c r="AB991" s="73"/>
      <c r="AC991" s="73"/>
      <c r="AD991" s="73"/>
      <c r="AE991" s="73"/>
      <c r="AF991" s="73"/>
      <c r="AG991" s="73"/>
      <c r="AH991" s="73"/>
      <c r="AI991" s="73"/>
      <c r="AJ991" s="73"/>
    </row>
    <row r="992" spans="1:36" x14ac:dyDescent="0.25">
      <c r="A992" s="73"/>
      <c r="B992" s="73"/>
      <c r="C992" s="73"/>
      <c r="D992" s="73"/>
      <c r="E992" s="73"/>
      <c r="F992" s="73"/>
      <c r="G992" s="73"/>
      <c r="H992" s="73"/>
      <c r="I992" s="73"/>
      <c r="J992" s="73"/>
      <c r="K992" s="73"/>
      <c r="L992" s="73"/>
      <c r="M992" s="73"/>
      <c r="N992" s="73"/>
      <c r="O992" s="73"/>
      <c r="P992" s="73"/>
      <c r="Q992" s="73"/>
      <c r="R992" s="73"/>
      <c r="S992" s="73"/>
      <c r="T992" s="73"/>
      <c r="U992" s="73"/>
      <c r="V992" s="73"/>
      <c r="W992" s="73"/>
      <c r="X992" s="73"/>
      <c r="Y992" s="73"/>
      <c r="Z992" s="73"/>
      <c r="AA992" s="73"/>
      <c r="AB992" s="73"/>
      <c r="AC992" s="73"/>
      <c r="AD992" s="73"/>
      <c r="AE992" s="73"/>
      <c r="AF992" s="73"/>
      <c r="AG992" s="73"/>
      <c r="AH992" s="73"/>
      <c r="AI992" s="73"/>
      <c r="AJ992" s="73"/>
    </row>
    <row r="993" spans="1:36" x14ac:dyDescent="0.25">
      <c r="A993" s="73"/>
      <c r="B993" s="73"/>
      <c r="C993" s="73"/>
      <c r="D993" s="73"/>
      <c r="E993" s="73"/>
      <c r="F993" s="73"/>
      <c r="G993" s="73"/>
      <c r="H993" s="73"/>
      <c r="I993" s="73"/>
      <c r="J993" s="73"/>
      <c r="K993" s="73"/>
      <c r="L993" s="73"/>
      <c r="M993" s="73"/>
      <c r="N993" s="73"/>
      <c r="O993" s="73"/>
      <c r="P993" s="73"/>
      <c r="Q993" s="73"/>
      <c r="R993" s="73"/>
      <c r="S993" s="73"/>
      <c r="T993" s="73"/>
      <c r="U993" s="73"/>
      <c r="V993" s="73"/>
      <c r="W993" s="73"/>
      <c r="X993" s="73"/>
      <c r="Y993" s="73"/>
      <c r="Z993" s="73"/>
      <c r="AA993" s="73"/>
      <c r="AB993" s="73"/>
      <c r="AC993" s="73"/>
      <c r="AD993" s="73"/>
      <c r="AE993" s="73"/>
      <c r="AF993" s="73"/>
      <c r="AG993" s="73"/>
      <c r="AH993" s="73"/>
      <c r="AI993" s="73"/>
      <c r="AJ993" s="73"/>
    </row>
    <row r="994" spans="1:36" x14ac:dyDescent="0.25">
      <c r="A994" s="73"/>
      <c r="B994" s="73"/>
      <c r="C994" s="73"/>
      <c r="D994" s="73"/>
      <c r="E994" s="73"/>
      <c r="F994" s="73"/>
      <c r="G994" s="73"/>
      <c r="H994" s="73"/>
      <c r="I994" s="73"/>
      <c r="J994" s="73"/>
      <c r="K994" s="73"/>
      <c r="L994" s="73"/>
      <c r="M994" s="73"/>
      <c r="N994" s="73"/>
      <c r="O994" s="73"/>
      <c r="P994" s="73"/>
      <c r="Q994" s="73"/>
      <c r="R994" s="73"/>
      <c r="S994" s="73"/>
      <c r="T994" s="73"/>
      <c r="U994" s="73"/>
      <c r="V994" s="73"/>
      <c r="W994" s="73"/>
      <c r="X994" s="73"/>
      <c r="Y994" s="73"/>
      <c r="Z994" s="73"/>
      <c r="AA994" s="73"/>
      <c r="AB994" s="73"/>
      <c r="AC994" s="73"/>
      <c r="AD994" s="73"/>
      <c r="AE994" s="73"/>
      <c r="AF994" s="73"/>
      <c r="AG994" s="73"/>
      <c r="AH994" s="73"/>
      <c r="AI994" s="73"/>
      <c r="AJ994" s="73"/>
    </row>
    <row r="995" spans="1:36" x14ac:dyDescent="0.25">
      <c r="A995" s="73"/>
      <c r="B995" s="73"/>
      <c r="C995" s="73"/>
      <c r="D995" s="73"/>
      <c r="E995" s="73"/>
      <c r="F995" s="73"/>
      <c r="G995" s="73"/>
      <c r="H995" s="73"/>
      <c r="I995" s="73"/>
      <c r="J995" s="73"/>
      <c r="K995" s="73"/>
      <c r="L995" s="73"/>
      <c r="M995" s="73"/>
      <c r="N995" s="73"/>
      <c r="O995" s="73"/>
      <c r="P995" s="73"/>
      <c r="Q995" s="73"/>
      <c r="R995" s="73"/>
      <c r="S995" s="73"/>
      <c r="T995" s="73"/>
      <c r="U995" s="73"/>
      <c r="V995" s="73"/>
      <c r="W995" s="73"/>
      <c r="X995" s="73"/>
      <c r="Y995" s="73"/>
      <c r="Z995" s="73"/>
      <c r="AA995" s="73"/>
      <c r="AB995" s="73"/>
      <c r="AC995" s="73"/>
      <c r="AD995" s="73"/>
      <c r="AE995" s="73"/>
      <c r="AF995" s="73"/>
      <c r="AG995" s="73"/>
      <c r="AH995" s="73"/>
      <c r="AI995" s="73"/>
      <c r="AJ995" s="73"/>
    </row>
    <row r="996" spans="1:36" x14ac:dyDescent="0.25">
      <c r="A996" s="73"/>
      <c r="B996" s="73"/>
      <c r="C996" s="73"/>
      <c r="D996" s="73"/>
      <c r="E996" s="73"/>
      <c r="F996" s="73"/>
      <c r="G996" s="73"/>
      <c r="H996" s="73"/>
      <c r="I996" s="73"/>
      <c r="J996" s="73"/>
      <c r="K996" s="73"/>
      <c r="L996" s="73"/>
      <c r="M996" s="73"/>
      <c r="N996" s="73"/>
      <c r="O996" s="73"/>
      <c r="P996" s="73"/>
      <c r="Q996" s="73"/>
      <c r="R996" s="73"/>
      <c r="S996" s="73"/>
      <c r="T996" s="73"/>
      <c r="U996" s="73"/>
      <c r="V996" s="73"/>
      <c r="W996" s="73"/>
      <c r="X996" s="73"/>
      <c r="Y996" s="73"/>
      <c r="Z996" s="73"/>
      <c r="AA996" s="73"/>
      <c r="AB996" s="73"/>
      <c r="AC996" s="73"/>
      <c r="AD996" s="73"/>
      <c r="AE996" s="73"/>
      <c r="AF996" s="73"/>
      <c r="AG996" s="73"/>
      <c r="AH996" s="73"/>
      <c r="AI996" s="73"/>
      <c r="AJ996" s="73"/>
    </row>
    <row r="997" spans="1:36" x14ac:dyDescent="0.25">
      <c r="A997" s="73"/>
      <c r="B997" s="73"/>
      <c r="C997" s="73"/>
      <c r="D997" s="73"/>
      <c r="E997" s="73"/>
      <c r="F997" s="73"/>
      <c r="G997" s="73"/>
      <c r="H997" s="73"/>
      <c r="I997" s="73"/>
      <c r="J997" s="73"/>
      <c r="K997" s="73"/>
      <c r="L997" s="73"/>
      <c r="M997" s="73"/>
      <c r="N997" s="73"/>
      <c r="O997" s="73"/>
      <c r="P997" s="73"/>
      <c r="Q997" s="73"/>
      <c r="R997" s="73"/>
      <c r="S997" s="73"/>
      <c r="T997" s="73"/>
      <c r="U997" s="73"/>
      <c r="V997" s="73"/>
      <c r="W997" s="73"/>
      <c r="X997" s="73"/>
      <c r="Y997" s="73"/>
      <c r="Z997" s="73"/>
      <c r="AA997" s="73"/>
      <c r="AB997" s="73"/>
      <c r="AC997" s="73"/>
      <c r="AD997" s="73"/>
      <c r="AE997" s="73"/>
      <c r="AF997" s="73"/>
      <c r="AG997" s="73"/>
      <c r="AH997" s="73"/>
      <c r="AI997" s="73"/>
      <c r="AJ997" s="73"/>
    </row>
    <row r="998" spans="1:36" x14ac:dyDescent="0.25">
      <c r="A998" s="73"/>
      <c r="B998" s="73"/>
      <c r="C998" s="73"/>
      <c r="D998" s="73"/>
      <c r="E998" s="73"/>
      <c r="F998" s="73"/>
      <c r="G998" s="73"/>
      <c r="H998" s="73"/>
      <c r="I998" s="73"/>
      <c r="J998" s="73"/>
      <c r="K998" s="73"/>
      <c r="L998" s="73"/>
      <c r="M998" s="73"/>
      <c r="N998" s="73"/>
      <c r="O998" s="73"/>
      <c r="P998" s="73"/>
      <c r="Q998" s="73"/>
      <c r="R998" s="73"/>
      <c r="S998" s="73"/>
      <c r="T998" s="73"/>
      <c r="U998" s="73"/>
      <c r="V998" s="73"/>
      <c r="W998" s="73"/>
      <c r="X998" s="73"/>
      <c r="Y998" s="73"/>
      <c r="Z998" s="73"/>
      <c r="AA998" s="73"/>
      <c r="AB998" s="73"/>
      <c r="AC998" s="73"/>
      <c r="AD998" s="73"/>
      <c r="AE998" s="73"/>
      <c r="AF998" s="73"/>
      <c r="AG998" s="73"/>
      <c r="AH998" s="73"/>
      <c r="AI998" s="73"/>
      <c r="AJ998" s="73"/>
    </row>
    <row r="999" spans="1:36" x14ac:dyDescent="0.25">
      <c r="A999" s="73"/>
      <c r="B999" s="73"/>
      <c r="C999" s="73"/>
      <c r="D999" s="73"/>
      <c r="E999" s="73"/>
      <c r="F999" s="73"/>
      <c r="G999" s="73"/>
      <c r="H999" s="73"/>
      <c r="I999" s="73"/>
      <c r="J999" s="73"/>
      <c r="K999" s="73"/>
      <c r="L999" s="73"/>
      <c r="M999" s="73"/>
      <c r="N999" s="73"/>
      <c r="O999" s="73"/>
      <c r="Q999" s="73"/>
      <c r="R999" s="73"/>
      <c r="S999" s="73"/>
      <c r="T999" s="73"/>
      <c r="U999" s="73"/>
      <c r="V999" s="73"/>
      <c r="W999" s="73"/>
      <c r="X999" s="73"/>
      <c r="Y999" s="73"/>
      <c r="Z999" s="73"/>
      <c r="AA999" s="73"/>
      <c r="AB999" s="73"/>
      <c r="AC999" s="73"/>
      <c r="AD999" s="73"/>
      <c r="AE999" s="73"/>
      <c r="AF999" s="73"/>
      <c r="AG999" s="73"/>
      <c r="AH999" s="73"/>
      <c r="AI999" s="73"/>
      <c r="AJ999" s="73"/>
    </row>
    <row r="1000" spans="1:36" x14ac:dyDescent="0.25">
      <c r="A1000" s="73"/>
      <c r="B1000" s="73"/>
      <c r="C1000" s="73"/>
      <c r="D1000" s="73"/>
      <c r="E1000" s="73"/>
      <c r="F1000" s="73"/>
      <c r="G1000" s="73"/>
      <c r="H1000" s="73"/>
      <c r="I1000" s="73"/>
      <c r="J1000" s="73"/>
      <c r="K1000" s="73"/>
      <c r="L1000" s="73"/>
      <c r="M1000" s="73"/>
      <c r="N1000" s="73"/>
      <c r="O1000" s="73"/>
      <c r="Q1000" s="73"/>
      <c r="R1000" s="73"/>
      <c r="S1000" s="73"/>
      <c r="T1000" s="73"/>
      <c r="U1000" s="73"/>
      <c r="V1000" s="73"/>
      <c r="W1000" s="73"/>
      <c r="X1000" s="73"/>
      <c r="Y1000" s="73"/>
      <c r="Z1000" s="73"/>
      <c r="AA1000" s="73"/>
      <c r="AB1000" s="73"/>
      <c r="AC1000" s="73"/>
      <c r="AD1000" s="73"/>
      <c r="AE1000" s="73"/>
      <c r="AF1000" s="73"/>
      <c r="AG1000" s="73"/>
      <c r="AH1000" s="73"/>
      <c r="AI1000" s="73"/>
      <c r="AJ1000" s="73"/>
    </row>
  </sheetData>
  <conditionalFormatting sqref="N2:P4">
    <cfRule type="cellIs" dxfId="7" priority="2" operator="between">
      <formula>0.0000001</formula>
      <formula>-0.0000001</formula>
    </cfRule>
  </conditionalFormatting>
  <conditionalFormatting sqref="Q18:AA23 N18:O23 N2:AA17">
    <cfRule type="cellIs" dxfId="6" priority="1" operator="between">
      <formula>-0.000000000000000001</formula>
      <formula>0.000000000000000001</formula>
    </cfRule>
  </conditionalFormatting>
  <pageMargins left="0.7" right="0.7" top="0.78740157499999996" bottom="0.78740157499999996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Y63"/>
  <sheetViews>
    <sheetView zoomScale="85" zoomScaleNormal="85" workbookViewId="0">
      <selection activeCell="D6" sqref="D6"/>
    </sheetView>
  </sheetViews>
  <sheetFormatPr baseColWidth="10" defaultRowHeight="15" x14ac:dyDescent="0.25"/>
  <cols>
    <col min="2" max="2" width="7" customWidth="1"/>
    <col min="4" max="4" width="9.5703125" customWidth="1"/>
    <col min="8" max="10" width="7.7109375" customWidth="1"/>
    <col min="11" max="11" width="9.28515625" customWidth="1"/>
    <col min="12" max="12" width="8.7109375" customWidth="1"/>
    <col min="13" max="13" width="8.5703125" customWidth="1"/>
    <col min="14" max="22" width="7.7109375" customWidth="1"/>
    <col min="23" max="24" width="12.140625" bestFit="1" customWidth="1"/>
    <col min="25" max="25" width="11.5703125" bestFit="1" customWidth="1"/>
    <col min="27" max="27" width="14" customWidth="1"/>
    <col min="28" max="28" width="5.42578125" customWidth="1"/>
    <col min="29" max="29" width="9.42578125" customWidth="1"/>
    <col min="30" max="30" width="9.140625" customWidth="1"/>
    <col min="31" max="31" width="8.5703125" customWidth="1"/>
    <col min="32" max="32" width="6" customWidth="1"/>
    <col min="33" max="33" width="12.7109375" bestFit="1" customWidth="1"/>
  </cols>
  <sheetData>
    <row r="1" spans="1:51" x14ac:dyDescent="0.25">
      <c r="A1" t="s">
        <v>294</v>
      </c>
      <c r="C1" s="17" t="str">
        <f>'Berechnung freier Bereich'!E7</f>
        <v>HTS40</v>
      </c>
    </row>
    <row r="2" spans="1:51" ht="15.75" customHeight="1" x14ac:dyDescent="0.25">
      <c r="A2" s="47" t="s">
        <v>295</v>
      </c>
      <c r="B2" s="50">
        <f>IF('Berechnung freier Bereich'!E7="IMS65",150950,IF('Berechnung freier Bereich'!E7="AS7",114480,IF('Berechnung freier Bereich'!E7="HTS40",145200,IF('Berechnung freier Bereich'!E7="T1100G",159250,"FEHLER"))))</f>
        <v>145200</v>
      </c>
      <c r="C2" t="s">
        <v>296</v>
      </c>
      <c r="AK2" s="61" t="s">
        <v>309</v>
      </c>
      <c r="AL2" s="62">
        <f t="shared" ref="AL2:AQ4" si="0">H45</f>
        <v>156218.65054905906</v>
      </c>
      <c r="AM2" s="62">
        <f t="shared" si="0"/>
        <v>137794.88804905905</v>
      </c>
      <c r="AN2" s="63">
        <f t="shared" si="0"/>
        <v>0</v>
      </c>
      <c r="AO2" s="62">
        <f t="shared" si="0"/>
        <v>0</v>
      </c>
      <c r="AP2" s="62">
        <f t="shared" si="0"/>
        <v>0</v>
      </c>
      <c r="AQ2" s="62">
        <f t="shared" si="0"/>
        <v>0</v>
      </c>
      <c r="AR2" s="64"/>
      <c r="AS2" s="64" t="s">
        <v>310</v>
      </c>
      <c r="AT2" s="65">
        <f>AL2/SUM('[2]ABD-Rechner'!$E$10:$E$42)</f>
        <v>78109.325274529532</v>
      </c>
      <c r="AU2" s="65">
        <f>AM2/SUM('[2]ABD-Rechner'!$E$10:$E$42)</f>
        <v>68897.444024529526</v>
      </c>
      <c r="AV2" s="65">
        <f>AN2/SUM('[2]ABD-Rechner'!$E$10:$E$42)</f>
        <v>0</v>
      </c>
      <c r="AW2" s="65">
        <f>AO2/SUM('[2]ABD-Rechner'!$E$10:$E$42)</f>
        <v>0</v>
      </c>
      <c r="AX2" s="65">
        <f>AP2/SUM('[2]ABD-Rechner'!$E$10:$E$42)</f>
        <v>0</v>
      </c>
      <c r="AY2" s="65">
        <f>AQ2/SUM('[2]ABD-Rechner'!$E$10:$E$42)</f>
        <v>0</v>
      </c>
    </row>
    <row r="3" spans="1:51" x14ac:dyDescent="0.25">
      <c r="A3" s="47" t="s">
        <v>297</v>
      </c>
      <c r="B3" s="50">
        <f>IF('Berechnung freier Bereich'!E7="IMS65",9390,IF('Berechnung freier Bereich'!E7="AS7",9390,IF('Berechnung freier Bereich'!E7="HTS40",6272.2,IF('Berechnung freier Bereich'!E7="T1100G",9390,"FEHLER"))))</f>
        <v>6272.2</v>
      </c>
      <c r="C3" t="s">
        <v>296</v>
      </c>
      <c r="F3" s="18">
        <f>B2/(1-B5*B6)</f>
        <v>145693.41148827883</v>
      </c>
      <c r="G3" s="18">
        <f>B5*B3/(1-B5*B6)</f>
        <v>1762.1838867100489</v>
      </c>
      <c r="H3" s="18">
        <v>0</v>
      </c>
      <c r="K3" s="66">
        <f t="array" ref="K3:M5">MINVERSE(F3:H5)</f>
        <v>6.8870523415977955E-6</v>
      </c>
      <c r="L3" s="66">
        <v>-1.9283746556473832E-6</v>
      </c>
      <c r="M3" s="66">
        <v>0</v>
      </c>
      <c r="P3" s="47" t="s">
        <v>311</v>
      </c>
      <c r="Q3" s="50"/>
      <c r="R3" t="s">
        <v>382</v>
      </c>
      <c r="T3" s="47" t="s">
        <v>312</v>
      </c>
      <c r="U3" s="50">
        <v>0</v>
      </c>
      <c r="V3" t="s">
        <v>52</v>
      </c>
      <c r="AK3" s="61"/>
      <c r="AL3" s="62">
        <f t="shared" si="0"/>
        <v>137794.88804905905</v>
      </c>
      <c r="AM3" s="62">
        <f t="shared" si="0"/>
        <v>156218.65054905895</v>
      </c>
      <c r="AN3" s="63">
        <f t="shared" si="0"/>
        <v>0</v>
      </c>
      <c r="AO3" s="62">
        <f t="shared" si="0"/>
        <v>0</v>
      </c>
      <c r="AP3" s="62">
        <f t="shared" si="0"/>
        <v>0</v>
      </c>
      <c r="AQ3" s="62">
        <f t="shared" si="0"/>
        <v>0</v>
      </c>
      <c r="AR3" s="64"/>
      <c r="AS3" s="64"/>
      <c r="AT3" s="65">
        <f>AL3/SUM('[2]ABD-Rechner'!$E$10:$E$42)</f>
        <v>68897.444024529526</v>
      </c>
      <c r="AU3" s="65">
        <f>AM3/SUM('[2]ABD-Rechner'!$E$10:$E$42)</f>
        <v>78109.325274529474</v>
      </c>
      <c r="AV3" s="65">
        <f>AN3/SUM('[2]ABD-Rechner'!$E$10:$E$42)</f>
        <v>0</v>
      </c>
      <c r="AW3" s="65">
        <f>AO3/SUM('[2]ABD-Rechner'!$E$10:$E$42)</f>
        <v>0</v>
      </c>
      <c r="AX3" s="65">
        <f>AP3/SUM('[2]ABD-Rechner'!$E$10:$E$42)</f>
        <v>0</v>
      </c>
      <c r="AY3" s="65">
        <f>AQ3/SUM('[2]ABD-Rechner'!$E$10:$E$42)</f>
        <v>0</v>
      </c>
    </row>
    <row r="4" spans="1:51" x14ac:dyDescent="0.25">
      <c r="A4" s="47" t="s">
        <v>298</v>
      </c>
      <c r="B4" s="50">
        <f>IF('Berechnung freier Bereich'!E7="IMS65",5600,IF('Berechnung freier Bereich'!E7="AS7",5600,IF('Berechnung freier Bereich'!E7="HTS40",2436.2,IF('Berechnung freier Bereich'!E7="T1100G",5600,"FEHLER"))))</f>
        <v>2436.1999999999998</v>
      </c>
      <c r="C4" t="s">
        <v>296</v>
      </c>
      <c r="E4" s="47" t="s">
        <v>299</v>
      </c>
      <c r="F4" s="18">
        <f>G3</f>
        <v>1762.1838867100489</v>
      </c>
      <c r="G4" s="18">
        <f>B3/(1-B5*B6)</f>
        <v>6293.5138811073166</v>
      </c>
      <c r="H4" s="18">
        <v>0</v>
      </c>
      <c r="I4" t="s">
        <v>296</v>
      </c>
      <c r="J4" s="47" t="s">
        <v>300</v>
      </c>
      <c r="K4" s="66">
        <v>-1.9283746556473832E-6</v>
      </c>
      <c r="L4" s="66">
        <v>1.5943369152769365E-4</v>
      </c>
      <c r="M4" s="66">
        <v>0</v>
      </c>
      <c r="N4" t="s">
        <v>313</v>
      </c>
      <c r="P4" s="47" t="s">
        <v>314</v>
      </c>
      <c r="Q4" s="50"/>
      <c r="R4" t="s">
        <v>382</v>
      </c>
      <c r="T4" s="47" t="s">
        <v>315</v>
      </c>
      <c r="U4" s="50">
        <v>0</v>
      </c>
      <c r="V4" t="s">
        <v>52</v>
      </c>
      <c r="AK4" s="61"/>
      <c r="AL4" s="67">
        <f t="shared" si="0"/>
        <v>0</v>
      </c>
      <c r="AM4" s="67">
        <f t="shared" si="0"/>
        <v>0</v>
      </c>
      <c r="AN4" s="68">
        <f t="shared" si="0"/>
        <v>140343.51147743664</v>
      </c>
      <c r="AO4" s="67">
        <f t="shared" si="0"/>
        <v>0</v>
      </c>
      <c r="AP4" s="67">
        <f t="shared" si="0"/>
        <v>0</v>
      </c>
      <c r="AQ4" s="67">
        <f t="shared" si="0"/>
        <v>-7.2759576141834259E-12</v>
      </c>
      <c r="AR4" s="64"/>
      <c r="AS4" s="64"/>
      <c r="AT4" s="65">
        <f>AL4/SUM('[2]ABD-Rechner'!$E$10:$E$42)</f>
        <v>0</v>
      </c>
      <c r="AU4" s="65">
        <f>AM4/SUM('[2]ABD-Rechner'!$E$10:$E$42)</f>
        <v>0</v>
      </c>
      <c r="AV4" s="65">
        <f>AN4/SUM('[2]ABD-Rechner'!$E$10:$E$42)</f>
        <v>70171.755738718319</v>
      </c>
      <c r="AW4" s="65">
        <f>AO4/SUM('[2]ABD-Rechner'!$E$10:$E$42)</f>
        <v>0</v>
      </c>
      <c r="AX4" s="65">
        <f>AP4/SUM('[2]ABD-Rechner'!$E$10:$E$42)</f>
        <v>0</v>
      </c>
      <c r="AY4" s="65">
        <f>AQ4/SUM('[2]ABD-Rechner'!$E$10:$E$42)</f>
        <v>-3.637978807091713E-12</v>
      </c>
    </row>
    <row r="5" spans="1:51" x14ac:dyDescent="0.25">
      <c r="A5" s="47" t="s">
        <v>301</v>
      </c>
      <c r="B5" s="50">
        <f>IF('Berechnung freier Bereich'!E7="IMS65",0.34,IF('Berechnung freier Bereich'!E7="AS7",0.34,IF('Berechnung freier Bereich'!E7="HTS40",0.28,IF('Berechnung freier Bereich'!E7="T1100G",0.34,"FEHLER"))))</f>
        <v>0.28000000000000003</v>
      </c>
      <c r="F5" s="18">
        <v>0</v>
      </c>
      <c r="G5" s="18">
        <v>0</v>
      </c>
      <c r="H5" s="18">
        <f>B4</f>
        <v>2436.1999999999998</v>
      </c>
      <c r="K5" s="66">
        <v>0</v>
      </c>
      <c r="L5" s="66">
        <v>0</v>
      </c>
      <c r="M5" s="66">
        <v>4.1047533043264104E-4</v>
      </c>
      <c r="P5" s="47" t="s">
        <v>316</v>
      </c>
      <c r="Q5" s="50">
        <v>1229.4836106886744</v>
      </c>
      <c r="R5" t="s">
        <v>382</v>
      </c>
      <c r="T5" s="47" t="s">
        <v>317</v>
      </c>
      <c r="U5" s="50">
        <v>0</v>
      </c>
      <c r="V5" t="s">
        <v>52</v>
      </c>
      <c r="AK5" s="61"/>
      <c r="AL5" s="65">
        <f t="shared" ref="AL5:AQ7" si="1">K45</f>
        <v>0</v>
      </c>
      <c r="AM5" s="65">
        <f t="shared" si="1"/>
        <v>0</v>
      </c>
      <c r="AN5" s="69">
        <f t="shared" si="1"/>
        <v>0</v>
      </c>
      <c r="AO5" s="65">
        <f t="shared" si="1"/>
        <v>186132.58973704214</v>
      </c>
      <c r="AP5" s="65">
        <f t="shared" si="1"/>
        <v>164180.90461639594</v>
      </c>
      <c r="AQ5" s="65">
        <f t="shared" si="1"/>
        <v>117757.52163165018</v>
      </c>
      <c r="AR5" s="64"/>
      <c r="AS5" s="64"/>
      <c r="AT5" s="65">
        <f>AL5/SUM('[2]ABD-Rechner'!$E$10:$E$42)</f>
        <v>0</v>
      </c>
      <c r="AU5" s="65">
        <f>AM5/SUM('[2]ABD-Rechner'!$E$10:$E$42)</f>
        <v>0</v>
      </c>
      <c r="AV5" s="65">
        <f>AN5/SUM('[2]ABD-Rechner'!$E$10:$E$42)</f>
        <v>0</v>
      </c>
      <c r="AW5" s="65">
        <f>AO5/SUM('[2]ABD-Rechner'!$E$10:$E$42)</f>
        <v>93066.294868521072</v>
      </c>
      <c r="AX5" s="65">
        <f>AP5/SUM('[2]ABD-Rechner'!$E$10:$E$42)</f>
        <v>82090.452308197971</v>
      </c>
      <c r="AY5" s="65">
        <f>AQ5/SUM('[2]ABD-Rechner'!$E$10:$E$42)</f>
        <v>58878.760815825088</v>
      </c>
    </row>
    <row r="6" spans="1:51" x14ac:dyDescent="0.25">
      <c r="A6" s="47" t="s">
        <v>302</v>
      </c>
      <c r="B6" s="51">
        <f>B5*B3/B2</f>
        <v>1.2095151515151515E-2</v>
      </c>
      <c r="AK6" s="61"/>
      <c r="AL6" s="65">
        <f t="shared" si="1"/>
        <v>0</v>
      </c>
      <c r="AM6" s="65">
        <f t="shared" si="1"/>
        <v>0</v>
      </c>
      <c r="AN6" s="69">
        <f t="shared" si="1"/>
        <v>0</v>
      </c>
      <c r="AO6" s="65">
        <f t="shared" si="1"/>
        <v>164180.90461639594</v>
      </c>
      <c r="AP6" s="65">
        <f t="shared" si="1"/>
        <v>186132.58973704203</v>
      </c>
      <c r="AQ6" s="65">
        <f t="shared" si="1"/>
        <v>117757.52163165015</v>
      </c>
      <c r="AR6" s="64"/>
      <c r="AS6" s="64"/>
      <c r="AT6" s="65">
        <f>AL6/SUM('[2]ABD-Rechner'!$E$10:$E$42)</f>
        <v>0</v>
      </c>
      <c r="AU6" s="65">
        <f>AM6/SUM('[2]ABD-Rechner'!$E$10:$E$42)</f>
        <v>0</v>
      </c>
      <c r="AV6" s="65">
        <f>AN6/SUM('[2]ABD-Rechner'!$E$10:$E$42)</f>
        <v>0</v>
      </c>
      <c r="AW6" s="65">
        <f>AO6/SUM('[2]ABD-Rechner'!$E$10:$E$42)</f>
        <v>82090.452308197971</v>
      </c>
      <c r="AX6" s="65">
        <f>AP6/SUM('[2]ABD-Rechner'!$E$10:$E$42)</f>
        <v>93066.294868521014</v>
      </c>
      <c r="AY6" s="65">
        <f>AQ6/SUM('[2]ABD-Rechner'!$E$10:$E$42)</f>
        <v>58878.760815825073</v>
      </c>
    </row>
    <row r="7" spans="1:51" ht="21" x14ac:dyDescent="0.35">
      <c r="A7" s="145" t="s">
        <v>388</v>
      </c>
      <c r="B7" s="50">
        <v>3.78125</v>
      </c>
      <c r="AA7" s="70" t="s">
        <v>318</v>
      </c>
      <c r="AD7" s="71">
        <f>C11</f>
        <v>-45</v>
      </c>
      <c r="AK7" s="61"/>
      <c r="AL7" s="65">
        <f t="shared" si="1"/>
        <v>0</v>
      </c>
      <c r="AM7" s="65">
        <f t="shared" si="1"/>
        <v>0</v>
      </c>
      <c r="AN7" s="69">
        <f t="shared" si="1"/>
        <v>-7.2759576141834259E-12</v>
      </c>
      <c r="AO7" s="65">
        <f t="shared" si="1"/>
        <v>117757.52163165019</v>
      </c>
      <c r="AP7" s="65">
        <f t="shared" si="1"/>
        <v>117757.52163165018</v>
      </c>
      <c r="AQ7" s="65">
        <f t="shared" si="1"/>
        <v>167217.55790536705</v>
      </c>
      <c r="AR7" s="64"/>
      <c r="AS7" s="64"/>
      <c r="AT7" s="65">
        <f>AL7/SUM('[2]ABD-Rechner'!$E$10:$E$42)</f>
        <v>0</v>
      </c>
      <c r="AU7" s="65">
        <f>AM7/SUM('[2]ABD-Rechner'!$E$10:$E$42)</f>
        <v>0</v>
      </c>
      <c r="AV7" s="65">
        <f>AN7/SUM('[2]ABD-Rechner'!$E$10:$E$42)</f>
        <v>-3.637978807091713E-12</v>
      </c>
      <c r="AW7" s="65">
        <f>AO7/SUM('[2]ABD-Rechner'!$E$10:$E$42)</f>
        <v>58878.760815825095</v>
      </c>
      <c r="AX7" s="65">
        <f>AP7/SUM('[2]ABD-Rechner'!$E$10:$E$42)</f>
        <v>58878.760815825088</v>
      </c>
      <c r="AY7" s="65">
        <f>AQ7/SUM('[2]ABD-Rechner'!$E$10:$E$42)</f>
        <v>83608.778952683526</v>
      </c>
    </row>
    <row r="8" spans="1:51" ht="15.75" thickBot="1" x14ac:dyDescent="0.3">
      <c r="AK8" s="61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</row>
    <row r="9" spans="1:51" ht="15.75" thickBot="1" x14ac:dyDescent="0.3">
      <c r="A9" s="52"/>
      <c r="B9" s="53" t="s">
        <v>303</v>
      </c>
      <c r="C9" s="267" t="s">
        <v>304</v>
      </c>
      <c r="D9" s="266"/>
      <c r="E9" s="53" t="s">
        <v>305</v>
      </c>
      <c r="F9" s="53" t="s">
        <v>306</v>
      </c>
      <c r="G9" s="53" t="s">
        <v>307</v>
      </c>
      <c r="H9" s="267" t="s">
        <v>308</v>
      </c>
      <c r="I9" s="265"/>
      <c r="J9" s="266"/>
      <c r="K9" s="269" t="s">
        <v>319</v>
      </c>
      <c r="L9" s="270"/>
      <c r="M9" s="271"/>
      <c r="N9" s="267" t="s">
        <v>320</v>
      </c>
      <c r="O9" s="265"/>
      <c r="P9" s="272"/>
      <c r="Q9" s="264" t="s">
        <v>321</v>
      </c>
      <c r="R9" s="265"/>
      <c r="S9" s="266"/>
      <c r="T9" s="267" t="s">
        <v>322</v>
      </c>
      <c r="U9" s="265"/>
      <c r="V9" s="266"/>
      <c r="W9" s="72" t="s">
        <v>323</v>
      </c>
      <c r="X9" s="72" t="s">
        <v>324</v>
      </c>
      <c r="Y9" s="53" t="s">
        <v>325</v>
      </c>
      <c r="Z9" s="73"/>
      <c r="AA9" s="74" t="s">
        <v>326</v>
      </c>
      <c r="AC9" s="251" t="s">
        <v>327</v>
      </c>
      <c r="AD9" s="251"/>
      <c r="AE9" s="251"/>
      <c r="AG9" s="45" t="s">
        <v>328</v>
      </c>
      <c r="AK9" s="61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</row>
    <row r="10" spans="1:51" ht="15.75" customHeight="1" thickBot="1" x14ac:dyDescent="0.3">
      <c r="A10" s="54"/>
      <c r="B10" s="54"/>
      <c r="C10" s="55"/>
      <c r="D10" s="54"/>
      <c r="E10" s="54"/>
      <c r="F10" s="55">
        <f>F12+E11</f>
        <v>1.890625</v>
      </c>
      <c r="G10" s="55"/>
      <c r="H10" s="56">
        <f>COS(D11)^2</f>
        <v>0.50000000000000011</v>
      </c>
      <c r="I10" s="56">
        <f>SIN(D11)^2</f>
        <v>0.49999999999999989</v>
      </c>
      <c r="J10" s="57">
        <f>-2*COS(D11)*SIN(D11)</f>
        <v>1</v>
      </c>
      <c r="K10" s="75">
        <f t="array" ref="K10:M12">MMULT(H10:J12,MMULT(F3:H5,TRANSPOSE(H10:J12)))</f>
        <v>41314.023285701573</v>
      </c>
      <c r="L10" s="75">
        <v>36441.623285701564</v>
      </c>
      <c r="M10" s="76">
        <v>-34849.974401792882</v>
      </c>
      <c r="N10" s="75">
        <f>K10*$E11</f>
        <v>0</v>
      </c>
      <c r="O10" s="75">
        <f>L10*$E11</f>
        <v>0</v>
      </c>
      <c r="P10" s="79">
        <f>M10*$E11</f>
        <v>0</v>
      </c>
      <c r="Q10" s="75">
        <f>K10*$G11*$E11</f>
        <v>0</v>
      </c>
      <c r="R10" s="75">
        <f>L10*$G11*$E11</f>
        <v>0</v>
      </c>
      <c r="S10" s="79">
        <f>M10*$G11*$E11</f>
        <v>0</v>
      </c>
      <c r="T10" s="80">
        <f>K10*($G11^2+($E11^2/12))*$E11</f>
        <v>0</v>
      </c>
      <c r="U10" s="80">
        <f>L10*($G11^2+($E11^2/12))*$E11</f>
        <v>0</v>
      </c>
      <c r="V10" s="79">
        <f>M10*($G11^2+($E11^2/12))*$E11</f>
        <v>0</v>
      </c>
      <c r="W10" s="56">
        <f t="array" ref="W10:Y10">TRANSPOSE(MMULT(K10:M12,('[2]ABD-Rechner'!$S$45:$S$47+'[2]ABD-Rechner'!F10*'[2]ABD-Rechner'!$S$48:$S$50)))</f>
        <v>181.20699950076431</v>
      </c>
      <c r="X10" s="56">
        <v>196.77692771504996</v>
      </c>
      <c r="Y10" s="57">
        <v>-181.56370984395784</v>
      </c>
      <c r="Z10" s="73"/>
      <c r="AA10" s="81">
        <v>122</v>
      </c>
      <c r="AC10" s="66">
        <f t="array" ref="AC10:AE12">MMULT(MMULT(TRANSPOSE(MINVERSE(H10:J12)),K3:M5),MINVERSE(H10:J12))</f>
        <v>1.4323483124765941E-4</v>
      </c>
      <c r="AD10" s="66">
        <v>-6.2002833968661091E-5</v>
      </c>
      <c r="AE10" s="66">
        <v>7.6273319593047969E-5</v>
      </c>
      <c r="AG10" s="66">
        <f t="array" ref="AG10:AG12">MMULT(AC10:AE12,AA10:AA12)</f>
        <v>1.8567326238983481E-2</v>
      </c>
      <c r="AK10" s="61" t="s">
        <v>329</v>
      </c>
      <c r="AL10" s="65">
        <f t="array" ref="AL10:AQ15">MINVERSE(AL2:AQ7)</f>
        <v>2.8839466781970765E-5</v>
      </c>
      <c r="AM10" s="65">
        <v>-2.5438262862014961E-5</v>
      </c>
      <c r="AN10" s="69">
        <v>0</v>
      </c>
      <c r="AO10" s="65">
        <v>0</v>
      </c>
      <c r="AP10" s="65">
        <v>0</v>
      </c>
      <c r="AQ10" s="65">
        <v>0</v>
      </c>
      <c r="AR10" s="64"/>
      <c r="AS10" s="64" t="s">
        <v>330</v>
      </c>
      <c r="AT10" s="84">
        <f t="shared" ref="AT10:AY15" si="2">AL10</f>
        <v>2.8839466781970765E-5</v>
      </c>
      <c r="AU10" s="84">
        <f t="shared" si="2"/>
        <v>-2.5438262862014961E-5</v>
      </c>
      <c r="AV10" s="85">
        <f t="shared" si="2"/>
        <v>0</v>
      </c>
      <c r="AW10" s="84">
        <f t="shared" si="2"/>
        <v>0</v>
      </c>
      <c r="AX10" s="84">
        <f t="shared" si="2"/>
        <v>0</v>
      </c>
      <c r="AY10" s="84">
        <f t="shared" si="2"/>
        <v>0</v>
      </c>
    </row>
    <row r="11" spans="1:51" ht="15.75" thickBot="1" x14ac:dyDescent="0.3">
      <c r="A11" s="54"/>
      <c r="B11" s="55">
        <v>1</v>
      </c>
      <c r="C11" s="58">
        <v>-45</v>
      </c>
      <c r="D11" s="57">
        <f>RADIANS(C11)</f>
        <v>-0.78539816339744828</v>
      </c>
      <c r="E11" s="58">
        <v>0</v>
      </c>
      <c r="F11" s="55">
        <f>(F10+F12)/2</f>
        <v>1.890625</v>
      </c>
      <c r="G11" s="55">
        <f>F11</f>
        <v>1.890625</v>
      </c>
      <c r="H11" s="56">
        <f>I10</f>
        <v>0.49999999999999989</v>
      </c>
      <c r="I11" s="56">
        <f>H10</f>
        <v>0.50000000000000011</v>
      </c>
      <c r="J11" s="57">
        <f>-J10</f>
        <v>-1</v>
      </c>
      <c r="K11" s="75">
        <v>36441.623285701564</v>
      </c>
      <c r="L11" s="75">
        <v>41314.023285701544</v>
      </c>
      <c r="M11" s="76">
        <v>-34849.974401792868</v>
      </c>
      <c r="N11" s="75">
        <f>K11*$E11</f>
        <v>0</v>
      </c>
      <c r="O11" s="75">
        <f>L11*$E11</f>
        <v>0</v>
      </c>
      <c r="P11" s="86">
        <f>M11*$E11</f>
        <v>0</v>
      </c>
      <c r="Q11" s="75">
        <f>K11*$G11*$E11</f>
        <v>0</v>
      </c>
      <c r="R11" s="75">
        <f>L11*$G11*$E11</f>
        <v>0</v>
      </c>
      <c r="S11" s="86">
        <f>M11*$G11*$E11</f>
        <v>0</v>
      </c>
      <c r="T11" s="80">
        <f>K11*($G11^2+($E11^2/12))*$E11</f>
        <v>0</v>
      </c>
      <c r="U11" s="80">
        <f>L11*($G11^2+($E11^2/12))*$E11</f>
        <v>0</v>
      </c>
      <c r="V11" s="86">
        <f>M11*($G11^2+($E11^2/12))*$E11</f>
        <v>0</v>
      </c>
      <c r="W11" s="87"/>
      <c r="X11" s="87"/>
      <c r="Y11" s="88"/>
      <c r="Z11" s="73"/>
      <c r="AA11" s="81">
        <v>-2</v>
      </c>
      <c r="AC11" s="66">
        <v>-6.2002833968661091E-5</v>
      </c>
      <c r="AD11" s="66">
        <v>1.4323483124765941E-4</v>
      </c>
      <c r="AE11" s="66">
        <v>7.6273319593047888E-5</v>
      </c>
      <c r="AG11" s="66">
        <v>-6.8821442478402628E-3</v>
      </c>
      <c r="AK11" s="61"/>
      <c r="AL11" s="65">
        <v>-2.5438262862014961E-5</v>
      </c>
      <c r="AM11" s="65">
        <v>2.8839466781970789E-5</v>
      </c>
      <c r="AN11" s="69">
        <v>0</v>
      </c>
      <c r="AO11" s="65">
        <v>0</v>
      </c>
      <c r="AP11" s="65">
        <v>0</v>
      </c>
      <c r="AQ11" s="65">
        <v>0</v>
      </c>
      <c r="AR11" s="64"/>
      <c r="AS11" s="64"/>
      <c r="AT11" s="84">
        <f t="shared" si="2"/>
        <v>-2.5438262862014961E-5</v>
      </c>
      <c r="AU11" s="84">
        <f t="shared" si="2"/>
        <v>2.8839466781970789E-5</v>
      </c>
      <c r="AV11" s="85">
        <f t="shared" si="2"/>
        <v>0</v>
      </c>
      <c r="AW11" s="84">
        <f t="shared" si="2"/>
        <v>0</v>
      </c>
      <c r="AX11" s="84">
        <f t="shared" si="2"/>
        <v>0</v>
      </c>
      <c r="AY11" s="84">
        <f t="shared" si="2"/>
        <v>0</v>
      </c>
    </row>
    <row r="12" spans="1:51" ht="15.75" thickBot="1" x14ac:dyDescent="0.3">
      <c r="A12" s="52"/>
      <c r="B12" s="52"/>
      <c r="C12" s="53"/>
      <c r="D12" s="52"/>
      <c r="E12" s="52"/>
      <c r="F12" s="53">
        <f>F13</f>
        <v>1.890625</v>
      </c>
      <c r="G12" s="53"/>
      <c r="H12" s="59">
        <f>COS(D11)*SIN(D11)</f>
        <v>-0.5</v>
      </c>
      <c r="I12" s="59">
        <f>-H12</f>
        <v>0.5</v>
      </c>
      <c r="J12" s="60">
        <f>COS(D11)^2-SIN(D11)^2</f>
        <v>0</v>
      </c>
      <c r="K12" s="77">
        <v>-34849.97440179289</v>
      </c>
      <c r="L12" s="77">
        <v>-34849.974401792875</v>
      </c>
      <c r="M12" s="78">
        <v>37115.639398991509</v>
      </c>
      <c r="N12" s="89">
        <f>K12*$E11</f>
        <v>0</v>
      </c>
      <c r="O12" s="90">
        <f>L12*$E11</f>
        <v>0</v>
      </c>
      <c r="P12" s="91">
        <f>M12*$E11</f>
        <v>0</v>
      </c>
      <c r="Q12" s="92">
        <f>K12*$G11*$E11</f>
        <v>0</v>
      </c>
      <c r="R12" s="90">
        <f>L12*$G11*$E11</f>
        <v>0</v>
      </c>
      <c r="S12" s="91">
        <f>M12*$G11*$E11</f>
        <v>0</v>
      </c>
      <c r="T12" s="92">
        <f>K12*($G11^2+($E11^2/12))*$E11</f>
        <v>0</v>
      </c>
      <c r="U12" s="93">
        <f>L12*($G11^2+($E11^2/12))*$E11</f>
        <v>0</v>
      </c>
      <c r="V12" s="91">
        <f>M12*($G11^2+($E11^2/12))*$E11</f>
        <v>0</v>
      </c>
      <c r="W12" s="94">
        <f t="array" ref="W12:Y12">TRANSPOSE(MMULT(K10:M12,('[2]ABD-Rechner'!$S$45:$S$47+'[2]ABD-Rechner'!F12*'[2]ABD-Rechner'!$S$48:$S$50)))</f>
        <v>181.20699950076431</v>
      </c>
      <c r="X12" s="95">
        <v>196.77692771504996</v>
      </c>
      <c r="Y12" s="96">
        <v>-181.56370984395784</v>
      </c>
      <c r="Z12" s="73"/>
      <c r="AA12" s="81">
        <v>12.7</v>
      </c>
      <c r="AC12" s="66">
        <v>7.6273319593047969E-5</v>
      </c>
      <c r="AD12" s="66">
        <v>7.6273319593047888E-5</v>
      </c>
      <c r="AE12" s="66">
        <v>1.7017749318058619E-4</v>
      </c>
      <c r="AG12" s="66">
        <v>1.1314052514559201E-2</v>
      </c>
      <c r="AK12" s="61"/>
      <c r="AL12" s="82">
        <v>0</v>
      </c>
      <c r="AM12" s="82">
        <v>0</v>
      </c>
      <c r="AN12" s="83">
        <v>7.1253739447781479E-6</v>
      </c>
      <c r="AO12" s="82">
        <v>-1.9792612534788442E-22</v>
      </c>
      <c r="AP12" s="82">
        <v>-1.9792612534788486E-22</v>
      </c>
      <c r="AQ12" s="82">
        <v>5.8880478829488439E-22</v>
      </c>
      <c r="AR12" s="64"/>
      <c r="AS12" s="64"/>
      <c r="AT12" s="97">
        <f t="shared" si="2"/>
        <v>0</v>
      </c>
      <c r="AU12" s="97">
        <f t="shared" si="2"/>
        <v>0</v>
      </c>
      <c r="AV12" s="98">
        <f t="shared" si="2"/>
        <v>7.1253739447781479E-6</v>
      </c>
      <c r="AW12" s="97">
        <f t="shared" si="2"/>
        <v>-1.9792612534788442E-22</v>
      </c>
      <c r="AX12" s="97">
        <f t="shared" si="2"/>
        <v>-1.9792612534788486E-22</v>
      </c>
      <c r="AY12" s="97">
        <f t="shared" si="2"/>
        <v>5.8880478829488439E-22</v>
      </c>
    </row>
    <row r="13" spans="1:51" ht="15.75" thickBot="1" x14ac:dyDescent="0.3">
      <c r="A13" s="54"/>
      <c r="B13" s="54"/>
      <c r="C13" s="55"/>
      <c r="D13" s="54"/>
      <c r="E13" s="54"/>
      <c r="F13" s="55">
        <f>F15+E14</f>
        <v>1.890625</v>
      </c>
      <c r="G13" s="55"/>
      <c r="H13" s="56">
        <f>COS(D14)^2</f>
        <v>1</v>
      </c>
      <c r="I13" s="56">
        <f>SIN(D14)^2</f>
        <v>0</v>
      </c>
      <c r="J13" s="57">
        <f>-2*COS(D14)*SIN(D14)</f>
        <v>0</v>
      </c>
      <c r="K13" s="75">
        <f t="array" ref="K13:M15">MMULT(H13:J15,MMULT(F$3:H$5,TRANSPOSE(H13:J15)))</f>
        <v>145693.41148827883</v>
      </c>
      <c r="L13" s="75">
        <v>1762.1838867100489</v>
      </c>
      <c r="M13" s="76">
        <v>0</v>
      </c>
      <c r="N13" s="75">
        <f>K13*$E14</f>
        <v>0</v>
      </c>
      <c r="O13" s="75">
        <f>L13*$E14</f>
        <v>0</v>
      </c>
      <c r="P13" s="79">
        <f>M13*$E14</f>
        <v>0</v>
      </c>
      <c r="Q13" s="75">
        <f>K13*$G14*$E14</f>
        <v>0</v>
      </c>
      <c r="R13" s="75">
        <f>L13*$G14*$E14</f>
        <v>0</v>
      </c>
      <c r="S13" s="79">
        <f>M13*$G14*$E14</f>
        <v>0</v>
      </c>
      <c r="T13" s="80">
        <f>K13*($G14^2+($E14^2/12))*$E14</f>
        <v>0</v>
      </c>
      <c r="U13" s="80">
        <f>L13*($G14^2+($E14^2/12))*$E14</f>
        <v>0</v>
      </c>
      <c r="V13" s="79">
        <f>M13*($G14^2+($E14^2/12))*$E14</f>
        <v>0</v>
      </c>
      <c r="W13" s="56">
        <f t="array" ref="W13:Y13">TRANSPOSE(MMULT(K13:M15,('[2]ABD-Rechner'!$S$45:$S$47+'[2]ABD-Rechner'!F13*'[2]ABD-Rechner'!$S$48:$S$50)))</f>
        <v>-8.2356101671877013</v>
      </c>
      <c r="X13" s="56">
        <v>19.353590146340792</v>
      </c>
      <c r="Y13" s="57">
        <v>-5.0379839150510186</v>
      </c>
      <c r="Z13" s="73"/>
      <c r="AA13" s="73"/>
      <c r="AG13" s="39"/>
      <c r="AK13" s="61"/>
      <c r="AL13" s="65">
        <v>0</v>
      </c>
      <c r="AM13" s="65">
        <v>0</v>
      </c>
      <c r="AN13" s="69">
        <v>-1.9792612534788435E-22</v>
      </c>
      <c r="AO13" s="65">
        <v>2.5487913941105246E-5</v>
      </c>
      <c r="AP13" s="65">
        <v>-2.0066675353703514E-5</v>
      </c>
      <c r="AQ13" s="65">
        <v>-3.8177307946787474E-6</v>
      </c>
      <c r="AR13" s="64"/>
      <c r="AS13" s="64"/>
      <c r="AT13" s="84">
        <f t="array" ref="AT13:AV15">TRANSPOSE(AL13:AN15)</f>
        <v>0</v>
      </c>
      <c r="AU13" s="84">
        <v>0</v>
      </c>
      <c r="AV13" s="85">
        <v>0</v>
      </c>
      <c r="AW13" s="84">
        <f t="shared" si="2"/>
        <v>2.5487913941105246E-5</v>
      </c>
      <c r="AX13" s="84">
        <f t="shared" si="2"/>
        <v>-2.0066675353703514E-5</v>
      </c>
      <c r="AY13" s="84">
        <f t="shared" si="2"/>
        <v>-3.8177307946787474E-6</v>
      </c>
    </row>
    <row r="14" spans="1:51" ht="15.75" thickBot="1" x14ac:dyDescent="0.3">
      <c r="A14" s="54"/>
      <c r="B14" s="55">
        <v>2</v>
      </c>
      <c r="C14" s="58"/>
      <c r="D14" s="57">
        <f>RADIANS(C14)</f>
        <v>0</v>
      </c>
      <c r="E14" s="58">
        <v>0</v>
      </c>
      <c r="F14" s="55">
        <f>(F13+F15)/2</f>
        <v>1.890625</v>
      </c>
      <c r="G14" s="55">
        <f>F14</f>
        <v>1.890625</v>
      </c>
      <c r="H14" s="56">
        <f>I13</f>
        <v>0</v>
      </c>
      <c r="I14" s="56">
        <f>H13</f>
        <v>1</v>
      </c>
      <c r="J14" s="57">
        <f>-J13</f>
        <v>0</v>
      </c>
      <c r="K14" s="75">
        <v>1762.1838867100489</v>
      </c>
      <c r="L14" s="75">
        <v>6293.5138811073166</v>
      </c>
      <c r="M14" s="76">
        <v>0</v>
      </c>
      <c r="N14" s="75">
        <f>K14*$E14</f>
        <v>0</v>
      </c>
      <c r="O14" s="75">
        <f>L14*$E14</f>
        <v>0</v>
      </c>
      <c r="P14" s="86">
        <f>M14*$E14</f>
        <v>0</v>
      </c>
      <c r="Q14" s="75">
        <f>K14*$G14*$E14</f>
        <v>0</v>
      </c>
      <c r="R14" s="75">
        <f>L14*$G14*$E14</f>
        <v>0</v>
      </c>
      <c r="S14" s="86">
        <f>M14*$G14*$E14</f>
        <v>0</v>
      </c>
      <c r="T14" s="80">
        <f>K14*($G14^2+($E14^2/12))*$E14</f>
        <v>0</v>
      </c>
      <c r="U14" s="80">
        <f>L14*($G14^2+($E14^2/12))*$E14</f>
        <v>0</v>
      </c>
      <c r="V14" s="86">
        <f>M14*($G14^2+($E14^2/12))*$E14</f>
        <v>0</v>
      </c>
      <c r="W14" s="87"/>
      <c r="X14" s="87"/>
      <c r="Y14" s="88"/>
      <c r="Z14" s="73"/>
      <c r="AA14" s="110" t="s">
        <v>328</v>
      </c>
      <c r="AB14" s="12"/>
      <c r="AC14" s="253" t="s">
        <v>331</v>
      </c>
      <c r="AD14" s="253"/>
      <c r="AE14" s="253"/>
      <c r="AF14" s="12"/>
      <c r="AG14" s="111" t="s">
        <v>332</v>
      </c>
      <c r="AH14" s="46" t="s">
        <v>333</v>
      </c>
      <c r="AK14" s="61"/>
      <c r="AL14" s="65">
        <v>0</v>
      </c>
      <c r="AM14" s="65">
        <v>0</v>
      </c>
      <c r="AN14" s="69">
        <v>-1.9792612534788489E-22</v>
      </c>
      <c r="AO14" s="65">
        <v>-2.0066675353703514E-5</v>
      </c>
      <c r="AP14" s="65">
        <v>2.5487913941105266E-5</v>
      </c>
      <c r="AQ14" s="65">
        <v>-3.8177307946787567E-6</v>
      </c>
      <c r="AR14" s="64"/>
      <c r="AS14" s="64"/>
      <c r="AT14" s="84">
        <v>0</v>
      </c>
      <c r="AU14" s="84">
        <v>0</v>
      </c>
      <c r="AV14" s="85">
        <v>0</v>
      </c>
      <c r="AW14" s="84">
        <f t="shared" si="2"/>
        <v>-2.0066675353703514E-5</v>
      </c>
      <c r="AX14" s="84">
        <f t="shared" si="2"/>
        <v>2.5487913941105266E-5</v>
      </c>
      <c r="AY14" s="84">
        <f t="shared" si="2"/>
        <v>-3.8177307946787567E-6</v>
      </c>
    </row>
    <row r="15" spans="1:51" ht="15.75" thickBot="1" x14ac:dyDescent="0.3">
      <c r="A15" s="52"/>
      <c r="B15" s="52"/>
      <c r="C15" s="53"/>
      <c r="D15" s="52"/>
      <c r="E15" s="52"/>
      <c r="F15" s="53">
        <f>F16</f>
        <v>1.890625</v>
      </c>
      <c r="G15" s="53"/>
      <c r="H15" s="59">
        <f>COS(D14)*SIN(D14)</f>
        <v>0</v>
      </c>
      <c r="I15" s="59">
        <f>-H15</f>
        <v>0</v>
      </c>
      <c r="J15" s="60">
        <f>COS(D14)^2-SIN(D14)^2</f>
        <v>1</v>
      </c>
      <c r="K15" s="77">
        <v>0</v>
      </c>
      <c r="L15" s="77">
        <v>0</v>
      </c>
      <c r="M15" s="78">
        <v>2436.1999999999998</v>
      </c>
      <c r="N15" s="89">
        <f>K15*$E14</f>
        <v>0</v>
      </c>
      <c r="O15" s="90">
        <f>L15*$E14</f>
        <v>0</v>
      </c>
      <c r="P15" s="91">
        <f>M15*$E14</f>
        <v>0</v>
      </c>
      <c r="Q15" s="92">
        <f>K15*$G14*$E14</f>
        <v>0</v>
      </c>
      <c r="R15" s="90">
        <f>L15*$G14*$E14</f>
        <v>0</v>
      </c>
      <c r="S15" s="91">
        <f>M15*$G14*$E14</f>
        <v>0</v>
      </c>
      <c r="T15" s="92">
        <f>K15*($G14^2+($E14^2/12))*$E14</f>
        <v>0</v>
      </c>
      <c r="U15" s="93">
        <f>L15*($G14^2+($E14^2/12))*$E14</f>
        <v>0</v>
      </c>
      <c r="V15" s="91">
        <f>M15*($G14^2+($E14^2/12))*$E14</f>
        <v>0</v>
      </c>
      <c r="W15" s="94">
        <f t="array" ref="W15:Y15">TRANSPOSE(MMULT(K13:M15,('[2]ABD-Rechner'!$S$45:$S$47+'[2]ABD-Rechner'!F15*'[2]ABD-Rechner'!$S$48:$S$50)))</f>
        <v>-8.2356101671877013</v>
      </c>
      <c r="X15" s="95">
        <v>19.353590146340792</v>
      </c>
      <c r="Y15" s="96">
        <v>-5.0379839150510186</v>
      </c>
      <c r="Z15" s="73"/>
      <c r="AA15" s="99">
        <f>S45</f>
        <v>0</v>
      </c>
      <c r="AC15" s="51">
        <f t="array" ref="AC15:AE17">TRANSPOSE(H10:J12)</f>
        <v>0.50000000000000011</v>
      </c>
      <c r="AD15" s="51">
        <v>0.49999999999999989</v>
      </c>
      <c r="AE15" s="51">
        <v>-0.5</v>
      </c>
      <c r="AG15" s="66">
        <f t="array" ref="AG15:AG17">MMULT(AC15:AE17, AA15:AA17)</f>
        <v>-4.3802652425664204E-3</v>
      </c>
      <c r="AH15" s="51">
        <f t="array" ref="AH15:AH17">MMULT(F3:H5, AG15:AG17)</f>
        <v>-630.4569535830683</v>
      </c>
      <c r="AK15" s="61"/>
      <c r="AL15" s="65">
        <v>0</v>
      </c>
      <c r="AM15" s="65">
        <v>0</v>
      </c>
      <c r="AN15" s="69">
        <v>5.8880478829488439E-22</v>
      </c>
      <c r="AO15" s="65">
        <v>-3.8177307946787482E-6</v>
      </c>
      <c r="AP15" s="65">
        <v>-3.8177307946787567E-6</v>
      </c>
      <c r="AQ15" s="65">
        <v>1.1357258514391002E-5</v>
      </c>
      <c r="AR15" s="64"/>
      <c r="AS15" s="64"/>
      <c r="AT15" s="84">
        <v>-1.9792612534788435E-22</v>
      </c>
      <c r="AU15" s="84">
        <v>-1.9792612534788489E-22</v>
      </c>
      <c r="AV15" s="85">
        <v>5.8880478829488439E-22</v>
      </c>
      <c r="AW15" s="84">
        <f t="shared" si="2"/>
        <v>-3.8177307946787482E-6</v>
      </c>
      <c r="AX15" s="84">
        <f t="shared" si="2"/>
        <v>-3.8177307946787567E-6</v>
      </c>
      <c r="AY15" s="84">
        <f t="shared" si="2"/>
        <v>1.1357258514391002E-5</v>
      </c>
    </row>
    <row r="16" spans="1:51" ht="15.75" thickBot="1" x14ac:dyDescent="0.3">
      <c r="A16" s="54"/>
      <c r="B16" s="54"/>
      <c r="C16" s="55"/>
      <c r="D16" s="54"/>
      <c r="E16" s="54"/>
      <c r="F16" s="55">
        <f>F18+E17</f>
        <v>1.890625</v>
      </c>
      <c r="G16" s="55"/>
      <c r="H16" s="56">
        <f>COS(D17)^2</f>
        <v>1</v>
      </c>
      <c r="I16" s="56">
        <f>SIN(D17)^2</f>
        <v>0</v>
      </c>
      <c r="J16" s="57">
        <f>-2*COS(D17)*SIN(D17)</f>
        <v>0</v>
      </c>
      <c r="K16" s="75">
        <f t="array" ref="K16:M18">MMULT(H16:J18,MMULT(F$3:H$5,TRANSPOSE(H16:J18)))</f>
        <v>145693.41148827883</v>
      </c>
      <c r="L16" s="75">
        <v>1762.1838867100489</v>
      </c>
      <c r="M16" s="76">
        <v>0</v>
      </c>
      <c r="N16" s="75">
        <f>K16*$E17</f>
        <v>0</v>
      </c>
      <c r="O16" s="75">
        <f>L16*$E17</f>
        <v>0</v>
      </c>
      <c r="P16" s="79">
        <f>M16*$E17</f>
        <v>0</v>
      </c>
      <c r="Q16" s="75">
        <f>K16*$G17*$E17</f>
        <v>0</v>
      </c>
      <c r="R16" s="75">
        <f>L16*$G17*$E17</f>
        <v>0</v>
      </c>
      <c r="S16" s="79">
        <f>M16*$G17*$E17</f>
        <v>0</v>
      </c>
      <c r="T16" s="80">
        <f>K16*($G17^2+($E17^2/12))*$E17</f>
        <v>0</v>
      </c>
      <c r="U16" s="80">
        <f>L16*($G17^2+($E17^2/12))*$E17</f>
        <v>0</v>
      </c>
      <c r="V16" s="79">
        <f>M16*($G17^2+($E17^2/12))*$E17</f>
        <v>0</v>
      </c>
      <c r="W16" s="56">
        <f t="array" ref="W16:Y16">TRANSPOSE(MMULT(K16:M18,('[2]ABD-Rechner'!$S$45:$S$47+'[2]ABD-Rechner'!F16*'[2]ABD-Rechner'!$S$48:$S$50)))</f>
        <v>-8.2356101671877013</v>
      </c>
      <c r="X16" s="56">
        <v>19.353590146340792</v>
      </c>
      <c r="Y16" s="57">
        <v>-5.0379839150510186</v>
      </c>
      <c r="Z16" s="73"/>
      <c r="AA16" s="99">
        <f>S46</f>
        <v>0</v>
      </c>
      <c r="AC16" s="51">
        <v>0.49999999999999989</v>
      </c>
      <c r="AD16" s="51">
        <v>0.50000000000000011</v>
      </c>
      <c r="AE16" s="51">
        <v>0.5</v>
      </c>
      <c r="AG16" s="66">
        <v>4.3802652425664204E-3</v>
      </c>
      <c r="AH16" s="51">
        <v>19.848427277057045</v>
      </c>
      <c r="AK16" s="61"/>
      <c r="AL16" s="61"/>
      <c r="AM16" s="61"/>
      <c r="AN16" s="61"/>
      <c r="AO16" s="61"/>
      <c r="AP16" s="61"/>
      <c r="AQ16" s="61"/>
      <c r="AR16" s="61"/>
      <c r="AS16" s="61"/>
      <c r="AT16" s="61"/>
      <c r="AU16" s="61"/>
      <c r="AV16" s="61"/>
      <c r="AW16" s="61"/>
      <c r="AX16" s="61"/>
      <c r="AY16" s="61"/>
    </row>
    <row r="17" spans="1:51" ht="15.75" thickBot="1" x14ac:dyDescent="0.3">
      <c r="A17" s="54"/>
      <c r="B17" s="55">
        <v>3</v>
      </c>
      <c r="C17" s="58">
        <v>0</v>
      </c>
      <c r="D17" s="57">
        <f>RADIANS(C17)</f>
        <v>0</v>
      </c>
      <c r="E17" s="58">
        <v>0</v>
      </c>
      <c r="F17" s="55">
        <f>(F16+F18)/2</f>
        <v>1.890625</v>
      </c>
      <c r="G17" s="55">
        <f>F17</f>
        <v>1.890625</v>
      </c>
      <c r="H17" s="56">
        <f>I16</f>
        <v>0</v>
      </c>
      <c r="I17" s="56">
        <f>H16</f>
        <v>1</v>
      </c>
      <c r="J17" s="57">
        <f>-J16</f>
        <v>0</v>
      </c>
      <c r="K17" s="75">
        <v>1762.1838867100489</v>
      </c>
      <c r="L17" s="75">
        <v>6293.5138811073166</v>
      </c>
      <c r="M17" s="76">
        <v>0</v>
      </c>
      <c r="N17" s="75">
        <f>K17*$E17</f>
        <v>0</v>
      </c>
      <c r="O17" s="75">
        <f>L17*$E17</f>
        <v>0</v>
      </c>
      <c r="P17" s="86">
        <f>M17*$E17</f>
        <v>0</v>
      </c>
      <c r="Q17" s="75">
        <f>K17*$G17*$E17</f>
        <v>0</v>
      </c>
      <c r="R17" s="75">
        <f>L17*$G17*$E17</f>
        <v>0</v>
      </c>
      <c r="S17" s="86">
        <f>M17*$G17*$E17</f>
        <v>0</v>
      </c>
      <c r="T17" s="80">
        <f>K17*($G17^2+($E17^2/12))*$E17</f>
        <v>0</v>
      </c>
      <c r="U17" s="80">
        <f>L17*($G17^2+($E17^2/12))*$E17</f>
        <v>0</v>
      </c>
      <c r="V17" s="86">
        <f>M17*($G17^2+($E17^2/12))*$E17</f>
        <v>0</v>
      </c>
      <c r="W17" s="87"/>
      <c r="X17" s="87"/>
      <c r="Y17" s="88"/>
      <c r="Z17" s="73"/>
      <c r="AA17" s="174">
        <f>S47</f>
        <v>8.7605304851328409E-3</v>
      </c>
      <c r="AC17" s="51">
        <v>1</v>
      </c>
      <c r="AD17" s="51">
        <v>-1</v>
      </c>
      <c r="AE17" s="51">
        <v>0</v>
      </c>
      <c r="AG17" s="66">
        <v>0</v>
      </c>
      <c r="AH17" s="51">
        <v>0</v>
      </c>
      <c r="AK17" s="61"/>
      <c r="AL17" s="61"/>
      <c r="AM17" s="61"/>
      <c r="AN17" s="61"/>
      <c r="AO17" s="61"/>
      <c r="AP17" s="61"/>
      <c r="AQ17" s="61"/>
      <c r="AR17" s="61"/>
      <c r="AS17" s="61"/>
      <c r="AT17" s="61"/>
      <c r="AU17" s="61"/>
      <c r="AV17" s="61"/>
      <c r="AW17" s="61"/>
      <c r="AX17" s="61"/>
      <c r="AY17" s="61"/>
    </row>
    <row r="18" spans="1:51" ht="15.75" customHeight="1" thickBot="1" x14ac:dyDescent="0.3">
      <c r="A18" s="52"/>
      <c r="B18" s="52"/>
      <c r="C18" s="53"/>
      <c r="D18" s="52"/>
      <c r="E18" s="52"/>
      <c r="F18" s="53">
        <f>F19</f>
        <v>1.890625</v>
      </c>
      <c r="G18" s="53"/>
      <c r="H18" s="59">
        <f>COS(D17)*SIN(D17)</f>
        <v>0</v>
      </c>
      <c r="I18" s="59">
        <f>-H18</f>
        <v>0</v>
      </c>
      <c r="J18" s="60">
        <f>COS(D17)^2-SIN(D17)^2</f>
        <v>1</v>
      </c>
      <c r="K18" s="77">
        <v>0</v>
      </c>
      <c r="L18" s="77">
        <v>0</v>
      </c>
      <c r="M18" s="78">
        <v>2436.1999999999998</v>
      </c>
      <c r="N18" s="89">
        <f>K18*$E17</f>
        <v>0</v>
      </c>
      <c r="O18" s="90">
        <f>L18*$E17</f>
        <v>0</v>
      </c>
      <c r="P18" s="91">
        <f>M18*$E17</f>
        <v>0</v>
      </c>
      <c r="Q18" s="92">
        <f>K18*$G17*$E17</f>
        <v>0</v>
      </c>
      <c r="R18" s="90">
        <f>L18*$G17*$E17</f>
        <v>0</v>
      </c>
      <c r="S18" s="91">
        <f>M18*$G17*$E17</f>
        <v>0</v>
      </c>
      <c r="T18" s="92">
        <f>K18*($G17^2+($E17^2/12))*$E17</f>
        <v>0</v>
      </c>
      <c r="U18" s="93">
        <f>L18*($G17^2+($E17^2/12))*$E17</f>
        <v>0</v>
      </c>
      <c r="V18" s="91">
        <f>M18*($G17^2+($E17^2/12))*$E17</f>
        <v>0</v>
      </c>
      <c r="W18" s="94">
        <f t="array" ref="W18:Y18">TRANSPOSE(MMULT(K16:M18,('[2]ABD-Rechner'!$S$45:$S$47+'[2]ABD-Rechner'!F18*'[2]ABD-Rechner'!$S$48:$S$50)))</f>
        <v>-8.2356101671877013</v>
      </c>
      <c r="X18" s="95">
        <v>19.353590146340792</v>
      </c>
      <c r="Y18" s="96">
        <v>-5.0379839150510186</v>
      </c>
      <c r="Z18" s="73"/>
      <c r="AA18" s="73"/>
      <c r="AK18" s="100" t="s">
        <v>311</v>
      </c>
      <c r="AL18" s="101">
        <f>'[2]ABD-Rechner'!AO3</f>
        <v>0</v>
      </c>
      <c r="AM18" s="61"/>
      <c r="AN18" s="100" t="s">
        <v>334</v>
      </c>
      <c r="AO18" s="102">
        <f t="array" ref="AO18:AO23">MMULT(AT10:AY15,AL18:AL23)</f>
        <v>0</v>
      </c>
      <c r="AP18" s="61"/>
      <c r="AQ18" s="61"/>
      <c r="AR18" s="61"/>
      <c r="AS18" s="61" t="s">
        <v>335</v>
      </c>
      <c r="AT18" s="65">
        <f t="array" ref="AT18:AY23">MINVERSE(AT2:AY7)</f>
        <v>5.7678933563941531E-5</v>
      </c>
      <c r="AU18" s="65">
        <v>-5.0876525724029921E-5</v>
      </c>
      <c r="AV18" s="65">
        <v>0</v>
      </c>
      <c r="AW18" s="65">
        <v>0</v>
      </c>
      <c r="AX18" s="65">
        <v>0</v>
      </c>
      <c r="AY18" s="65">
        <v>0</v>
      </c>
    </row>
    <row r="19" spans="1:51" ht="15.75" thickBot="1" x14ac:dyDescent="0.3">
      <c r="A19" s="54"/>
      <c r="B19" s="54"/>
      <c r="C19" s="55"/>
      <c r="D19" s="54"/>
      <c r="E19" s="54"/>
      <c r="F19" s="55">
        <f>F21+E20</f>
        <v>1.890625</v>
      </c>
      <c r="G19" s="55"/>
      <c r="H19" s="56">
        <f>COS(D20)^2</f>
        <v>0.50000000000000011</v>
      </c>
      <c r="I19" s="56">
        <f>SIN(D20)^2</f>
        <v>0.49999999999999989</v>
      </c>
      <c r="J19" s="57">
        <f>-2*COS(D20)*SIN(D20)</f>
        <v>-1</v>
      </c>
      <c r="K19" s="75">
        <f t="array" ref="K19:M21">MMULT(H19:J21,MMULT(F$3:H$5,TRANSPOSE(H19:J21)))</f>
        <v>41314.023285701573</v>
      </c>
      <c r="L19" s="75">
        <v>36441.623285701564</v>
      </c>
      <c r="M19" s="76">
        <v>34849.974401792882</v>
      </c>
      <c r="N19" s="75">
        <f>K19*$E20</f>
        <v>39054.662637264766</v>
      </c>
      <c r="O19" s="75">
        <f>L19*$E20</f>
        <v>34448.722012264763</v>
      </c>
      <c r="P19" s="79">
        <f>M19*$E20</f>
        <v>32944.116426694833</v>
      </c>
      <c r="Q19" s="75">
        <f>K19*$G20*$E20</f>
        <v>55378.291161434026</v>
      </c>
      <c r="R19" s="75">
        <f>L19*$G20*$E20</f>
        <v>48847.211290828549</v>
      </c>
      <c r="S19" s="79">
        <f>M19*$G20*$E20</f>
        <v>46713.727589414935</v>
      </c>
      <c r="T19" s="80">
        <f>K19*($G20^2+($E20^2/12))*$E20</f>
        <v>81433.008009955942</v>
      </c>
      <c r="U19" s="80">
        <f>L19*($G20^2+($E20^2/12))*$E20</f>
        <v>71829.145769673225</v>
      </c>
      <c r="V19" s="79">
        <f>M19*($G20^2+($E20^2/12))*$E20</f>
        <v>68691.887618462599</v>
      </c>
      <c r="W19" s="56">
        <f t="array" ref="W19:Y19">TRANSPOSE(MMULT(K19:M21,('[2]ABD-Rechner'!$S$45:$S$47+'[2]ABD-Rechner'!F19*'[2]ABD-Rechner'!$S$48:$S$50)))</f>
        <v>37.069727949847092</v>
      </c>
      <c r="X19" s="56">
        <v>52.639656164132774</v>
      </c>
      <c r="Y19" s="57">
        <v>28.055792358568226</v>
      </c>
      <c r="Z19" s="73"/>
      <c r="AA19" s="73" t="s">
        <v>336</v>
      </c>
      <c r="AC19" t="s">
        <v>337</v>
      </c>
      <c r="AK19" s="100" t="s">
        <v>314</v>
      </c>
      <c r="AL19" s="101">
        <f>'[2]ABD-Rechner'!AO4</f>
        <v>0</v>
      </c>
      <c r="AM19" s="61"/>
      <c r="AN19" s="100" t="s">
        <v>338</v>
      </c>
      <c r="AO19" s="102">
        <v>0</v>
      </c>
      <c r="AP19" s="61"/>
      <c r="AQ19" s="61"/>
      <c r="AR19" s="61"/>
      <c r="AS19" s="61"/>
      <c r="AT19" s="65">
        <v>-5.0876525724029921E-5</v>
      </c>
      <c r="AU19" s="65">
        <v>5.7678933563941578E-5</v>
      </c>
      <c r="AV19" s="65">
        <v>0</v>
      </c>
      <c r="AW19" s="65">
        <v>0</v>
      </c>
      <c r="AX19" s="65">
        <v>0</v>
      </c>
      <c r="AY19" s="65">
        <v>0</v>
      </c>
    </row>
    <row r="20" spans="1:51" ht="15.75" thickBot="1" x14ac:dyDescent="0.3">
      <c r="A20" s="54"/>
      <c r="B20" s="55">
        <v>4</v>
      </c>
      <c r="C20" s="58">
        <v>45</v>
      </c>
      <c r="D20" s="57">
        <f>RADIANS(C20)</f>
        <v>0.78539816339744828</v>
      </c>
      <c r="E20" s="58">
        <f>$B$7/4</f>
        <v>0.9453125</v>
      </c>
      <c r="F20" s="55">
        <f>(F19+F21)/2</f>
        <v>1.41796875</v>
      </c>
      <c r="G20" s="55">
        <f>F20</f>
        <v>1.41796875</v>
      </c>
      <c r="H20" s="56">
        <f>I19</f>
        <v>0.49999999999999989</v>
      </c>
      <c r="I20" s="56">
        <f>H19</f>
        <v>0.50000000000000011</v>
      </c>
      <c r="J20" s="57">
        <f>-J19</f>
        <v>1</v>
      </c>
      <c r="K20" s="75">
        <v>36441.623285701564</v>
      </c>
      <c r="L20" s="75">
        <v>41314.023285701544</v>
      </c>
      <c r="M20" s="76">
        <v>34849.974401792868</v>
      </c>
      <c r="N20" s="75">
        <f>K20*$E20</f>
        <v>34448.722012264763</v>
      </c>
      <c r="O20" s="75">
        <f>L20*$E20</f>
        <v>39054.662637264737</v>
      </c>
      <c r="P20" s="86">
        <f>M20*$E20</f>
        <v>32944.116426694818</v>
      </c>
      <c r="Q20" s="75">
        <f>K20*$G20*$E20</f>
        <v>48847.211290828549</v>
      </c>
      <c r="R20" s="75">
        <f>L20*$G20*$E20</f>
        <v>55378.291161433983</v>
      </c>
      <c r="S20" s="86">
        <f>M20*$G20*$E20</f>
        <v>46713.727589414921</v>
      </c>
      <c r="T20" s="80">
        <f>K20*($G20^2+($E20^2/12))*$E20</f>
        <v>71829.145769673225</v>
      </c>
      <c r="U20" s="80">
        <f>L20*($G20^2+($E20^2/12))*$E20</f>
        <v>81433.008009955884</v>
      </c>
      <c r="V20" s="86">
        <f>M20*($G20^2+($E20^2/12))*$E20</f>
        <v>68691.887618462584</v>
      </c>
      <c r="W20" s="87"/>
      <c r="X20" s="87"/>
      <c r="Y20" s="88"/>
      <c r="Z20" s="73"/>
      <c r="AA20" s="81">
        <v>80</v>
      </c>
      <c r="AB20" s="45"/>
      <c r="AC20" s="18">
        <f t="array" ref="AC20:AC22">MMULT(MINVERSE(H10:J12),AA20:AA22)</f>
        <v>-7.1054273576010019E-15</v>
      </c>
      <c r="AK20" s="100" t="s">
        <v>316</v>
      </c>
      <c r="AL20" s="101">
        <f>'[2]ABD-Rechner'!AO5</f>
        <v>11355.904357755167</v>
      </c>
      <c r="AM20" s="61"/>
      <c r="AN20" s="100" t="s">
        <v>339</v>
      </c>
      <c r="AO20" s="102">
        <v>8.09150650301413E-2</v>
      </c>
      <c r="AP20" s="61"/>
      <c r="AQ20" s="61"/>
      <c r="AR20" s="61"/>
      <c r="AS20" s="61"/>
      <c r="AT20" s="65">
        <v>0</v>
      </c>
      <c r="AU20" s="65">
        <v>0</v>
      </c>
      <c r="AV20" s="65">
        <v>1.4250747889556296E-5</v>
      </c>
      <c r="AW20" s="65">
        <v>-3.9585225069576883E-22</v>
      </c>
      <c r="AX20" s="65">
        <v>-3.9585225069576973E-22</v>
      </c>
      <c r="AY20" s="65">
        <v>1.1776095765897688E-21</v>
      </c>
    </row>
    <row r="21" spans="1:51" ht="15.75" thickBot="1" x14ac:dyDescent="0.3">
      <c r="A21" s="52"/>
      <c r="B21" s="52"/>
      <c r="C21" s="53"/>
      <c r="D21" s="52"/>
      <c r="E21" s="52"/>
      <c r="F21" s="53">
        <f>F22</f>
        <v>0.9453125</v>
      </c>
      <c r="G21" s="53"/>
      <c r="H21" s="59">
        <f>COS(D20)*SIN(D20)</f>
        <v>0.5</v>
      </c>
      <c r="I21" s="59">
        <f>-H21</f>
        <v>-0.5</v>
      </c>
      <c r="J21" s="60">
        <f>COS(D20)^2-SIN(D20)^2</f>
        <v>0</v>
      </c>
      <c r="K21" s="77">
        <v>34849.97440179289</v>
      </c>
      <c r="L21" s="77">
        <v>34849.974401792875</v>
      </c>
      <c r="M21" s="78">
        <v>37115.639398991509</v>
      </c>
      <c r="N21" s="89">
        <f>K21*$E20</f>
        <v>32944.11642669484</v>
      </c>
      <c r="O21" s="90">
        <f>L21*$E20</f>
        <v>32944.116426694825</v>
      </c>
      <c r="P21" s="91">
        <f>M21*$E20</f>
        <v>35085.877869359159</v>
      </c>
      <c r="Q21" s="92">
        <f>K21*$G20*$E20</f>
        <v>46713.72758941495</v>
      </c>
      <c r="R21" s="90">
        <f>L21*$G20*$E20</f>
        <v>46713.727589414935</v>
      </c>
      <c r="S21" s="91">
        <f>M21*$G20*$E20</f>
        <v>49750.678385067869</v>
      </c>
      <c r="T21" s="92">
        <f>K21*($G20^2+($E20^2/12))*$E20</f>
        <v>68691.887618462613</v>
      </c>
      <c r="U21" s="93">
        <f>L21*($G20^2+($E20^2/12))*$E20</f>
        <v>68691.887618462599</v>
      </c>
      <c r="V21" s="91">
        <f>M21*($G20^2+($E20^2/12))*$E20</f>
        <v>73157.681583598081</v>
      </c>
      <c r="W21" s="94">
        <f t="array" ref="W21:Y21">TRANSPOSE(MMULT(K19:M21,('[2]ABD-Rechner'!$S$45:$S$47+'[2]ABD-Rechner'!F21*'[2]ABD-Rechner'!$S$48:$S$50)))</f>
        <v>37.069727949847092</v>
      </c>
      <c r="X21" s="95">
        <v>52.639656164132774</v>
      </c>
      <c r="Y21" s="96">
        <v>28.055792358568226</v>
      </c>
      <c r="Z21" s="73"/>
      <c r="AA21" s="81">
        <v>40</v>
      </c>
      <c r="AB21" s="45"/>
      <c r="AC21" s="18">
        <v>120</v>
      </c>
      <c r="AK21" s="100" t="s">
        <v>312</v>
      </c>
      <c r="AL21" s="101">
        <f>'[2]ABD-Rechner'!AS3</f>
        <v>0</v>
      </c>
      <c r="AM21" s="61"/>
      <c r="AN21" s="100" t="s">
        <v>340</v>
      </c>
      <c r="AO21" s="102">
        <v>0</v>
      </c>
      <c r="AP21" s="61"/>
      <c r="AQ21" s="61"/>
      <c r="AR21" s="61"/>
      <c r="AS21" s="61"/>
      <c r="AT21" s="65">
        <v>0</v>
      </c>
      <c r="AU21" s="65">
        <v>0</v>
      </c>
      <c r="AV21" s="65">
        <v>-3.9585225069576869E-22</v>
      </c>
      <c r="AW21" s="65">
        <v>5.0975827882210491E-5</v>
      </c>
      <c r="AX21" s="65">
        <v>-4.0133350707407027E-5</v>
      </c>
      <c r="AY21" s="65">
        <v>-7.6354615893574948E-6</v>
      </c>
    </row>
    <row r="22" spans="1:51" ht="15.75" thickBot="1" x14ac:dyDescent="0.3">
      <c r="A22" s="54"/>
      <c r="B22" s="54"/>
      <c r="C22" s="55"/>
      <c r="D22" s="54"/>
      <c r="E22" s="54"/>
      <c r="F22" s="55">
        <f>F24+E23</f>
        <v>0.9453125</v>
      </c>
      <c r="G22" s="55"/>
      <c r="H22" s="56">
        <f>COS(D23)^2</f>
        <v>0.50000000000000011</v>
      </c>
      <c r="I22" s="56">
        <f>SIN(D23)^2</f>
        <v>0.49999999999999989</v>
      </c>
      <c r="J22" s="57">
        <f>-2*COS(D23)*SIN(D23)</f>
        <v>1</v>
      </c>
      <c r="K22" s="75">
        <f t="array" ref="K22:M24">MMULT(H22:J24,MMULT(F$3:H$5,TRANSPOSE(H22:J24)))</f>
        <v>41314.023285701573</v>
      </c>
      <c r="L22" s="75">
        <v>36441.623285701564</v>
      </c>
      <c r="M22" s="76">
        <v>-34849.974401792882</v>
      </c>
      <c r="N22" s="75">
        <f>K22*$E23</f>
        <v>39054.662637264766</v>
      </c>
      <c r="O22" s="75">
        <f>L22*$E23</f>
        <v>34448.722012264763</v>
      </c>
      <c r="P22" s="79">
        <f>M22*$E23</f>
        <v>-32944.116426694833</v>
      </c>
      <c r="Q22" s="75">
        <f>K22*$G23*$E23</f>
        <v>18459.430387144675</v>
      </c>
      <c r="R22" s="75">
        <f>L22*$G23*$E23</f>
        <v>16282.403763609516</v>
      </c>
      <c r="S22" s="79">
        <f>M22*$G23*$E23</f>
        <v>-15571.24252980498</v>
      </c>
      <c r="T22" s="80">
        <f>K22*($G23^2+($E23^2/12))*$E23</f>
        <v>11633.286858565134</v>
      </c>
      <c r="U22" s="80">
        <f>L22*($G23^2+($E23^2/12))*$E23</f>
        <v>10261.306538524746</v>
      </c>
      <c r="V22" s="79">
        <f>M22*($G23^2+($E23^2/12))*$E23</f>
        <v>-9813.1268026375128</v>
      </c>
      <c r="W22" s="56">
        <f t="array" ref="W22:Y22">TRANSPOSE(MMULT(K22:M24,('[2]ABD-Rechner'!$S$45:$S$47+'[2]ABD-Rechner'!F22*'[2]ABD-Rechner'!$S$48:$S$50)))</f>
        <v>181.20699950076431</v>
      </c>
      <c r="X22" s="56">
        <v>196.77692771504996</v>
      </c>
      <c r="Y22" s="57">
        <v>-181.56370984395784</v>
      </c>
      <c r="Z22" s="73"/>
      <c r="AA22" s="81">
        <v>60</v>
      </c>
      <c r="AB22" s="45"/>
      <c r="AC22" s="18">
        <v>20.000000000000014</v>
      </c>
      <c r="AK22" s="100" t="s">
        <v>315</v>
      </c>
      <c r="AL22" s="101">
        <f>'[2]ABD-Rechner'!AS4</f>
        <v>0</v>
      </c>
      <c r="AM22" s="61"/>
      <c r="AN22" s="100" t="s">
        <v>341</v>
      </c>
      <c r="AO22" s="102">
        <v>0</v>
      </c>
      <c r="AP22" s="61"/>
      <c r="AQ22" s="61"/>
      <c r="AR22" s="61"/>
      <c r="AS22" s="61"/>
      <c r="AT22" s="65">
        <v>0</v>
      </c>
      <c r="AU22" s="65">
        <v>0</v>
      </c>
      <c r="AV22" s="65">
        <v>-3.9585225069576977E-22</v>
      </c>
      <c r="AW22" s="65">
        <v>-4.0133350707407027E-5</v>
      </c>
      <c r="AX22" s="65">
        <v>5.0975827882210532E-5</v>
      </c>
      <c r="AY22" s="65">
        <v>-7.6354615893575134E-6</v>
      </c>
    </row>
    <row r="23" spans="1:51" ht="15.75" thickBot="1" x14ac:dyDescent="0.3">
      <c r="A23" s="54"/>
      <c r="B23" s="55">
        <v>5</v>
      </c>
      <c r="C23" s="58">
        <v>-45</v>
      </c>
      <c r="D23" s="57">
        <f>RADIANS(C23)</f>
        <v>-0.78539816339744828</v>
      </c>
      <c r="E23" s="58">
        <f>$B$7/4</f>
        <v>0.9453125</v>
      </c>
      <c r="F23" s="55">
        <f>(F22+F24)/2</f>
        <v>0.47265625</v>
      </c>
      <c r="G23" s="55">
        <f>F23</f>
        <v>0.47265625</v>
      </c>
      <c r="H23" s="56">
        <f>I22</f>
        <v>0.49999999999999989</v>
      </c>
      <c r="I23" s="56">
        <f>H22</f>
        <v>0.50000000000000011</v>
      </c>
      <c r="J23" s="57">
        <f>-J22</f>
        <v>-1</v>
      </c>
      <c r="K23" s="75">
        <v>36441.623285701564</v>
      </c>
      <c r="L23" s="75">
        <v>41314.023285701544</v>
      </c>
      <c r="M23" s="76">
        <v>-34849.974401792868</v>
      </c>
      <c r="N23" s="75">
        <f>K23*$E23</f>
        <v>34448.722012264763</v>
      </c>
      <c r="O23" s="75">
        <f>L23*$E23</f>
        <v>39054.662637264737</v>
      </c>
      <c r="P23" s="86">
        <f>M23*$E23</f>
        <v>-32944.116426694818</v>
      </c>
      <c r="Q23" s="75">
        <f>K23*$G23*$E23</f>
        <v>16282.403763609516</v>
      </c>
      <c r="R23" s="75">
        <f>L23*$G23*$E23</f>
        <v>18459.430387144661</v>
      </c>
      <c r="S23" s="86">
        <f>M23*$G23*$E23</f>
        <v>-15571.242529804973</v>
      </c>
      <c r="T23" s="80">
        <f>K23*($G23^2+($E23^2/12))*$E23</f>
        <v>10261.306538524746</v>
      </c>
      <c r="U23" s="80">
        <f>L23*($G23^2+($E23^2/12))*$E23</f>
        <v>11633.286858565125</v>
      </c>
      <c r="V23" s="86">
        <f>M23*($G23^2+($E23^2/12))*$E23</f>
        <v>-9813.1268026375092</v>
      </c>
      <c r="W23" s="87"/>
      <c r="X23" s="87"/>
      <c r="Y23" s="88"/>
      <c r="Z23" s="73"/>
      <c r="AA23" s="73"/>
      <c r="AK23" s="100" t="s">
        <v>317</v>
      </c>
      <c r="AL23" s="101">
        <f>'[2]ABD-Rechner'!AS5</f>
        <v>0</v>
      </c>
      <c r="AM23" s="61"/>
      <c r="AN23" s="100" t="s">
        <v>342</v>
      </c>
      <c r="AO23" s="102">
        <v>6.6864108612649864E-18</v>
      </c>
      <c r="AP23" s="61"/>
      <c r="AQ23" s="61"/>
      <c r="AR23" s="61"/>
      <c r="AS23" s="61"/>
      <c r="AT23" s="65">
        <v>0</v>
      </c>
      <c r="AU23" s="65">
        <v>0</v>
      </c>
      <c r="AV23" s="65">
        <v>1.1776095765897688E-21</v>
      </c>
      <c r="AW23" s="65">
        <v>-7.6354615893574965E-6</v>
      </c>
      <c r="AX23" s="65">
        <v>-7.6354615893575134E-6</v>
      </c>
      <c r="AY23" s="65">
        <v>2.2714517028782004E-5</v>
      </c>
    </row>
    <row r="24" spans="1:51" ht="15.75" thickBot="1" x14ac:dyDescent="0.3">
      <c r="A24" s="103"/>
      <c r="B24" s="103"/>
      <c r="C24" s="104"/>
      <c r="D24" s="103"/>
      <c r="E24" s="103"/>
      <c r="F24" s="105">
        <v>0</v>
      </c>
      <c r="G24" s="104"/>
      <c r="H24" s="59">
        <f>COS(D23)*SIN(D23)</f>
        <v>-0.5</v>
      </c>
      <c r="I24" s="59">
        <f>-H24</f>
        <v>0.5</v>
      </c>
      <c r="J24" s="60">
        <f>COS(D23)^2-SIN(D23)^2</f>
        <v>0</v>
      </c>
      <c r="K24" s="77">
        <v>-34849.97440179289</v>
      </c>
      <c r="L24" s="77">
        <v>-34849.974401792875</v>
      </c>
      <c r="M24" s="78">
        <v>37115.639398991509</v>
      </c>
      <c r="N24" s="89">
        <f>K24*$E23</f>
        <v>-32944.11642669484</v>
      </c>
      <c r="O24" s="90">
        <f>L24*$E23</f>
        <v>-32944.116426694825</v>
      </c>
      <c r="P24" s="91">
        <f>M24*$E23</f>
        <v>35085.877869359159</v>
      </c>
      <c r="Q24" s="92">
        <f>K24*$G23*$E23</f>
        <v>-15571.242529804982</v>
      </c>
      <c r="R24" s="90">
        <f>L24*$G23*$E23</f>
        <v>-15571.242529804977</v>
      </c>
      <c r="S24" s="91">
        <f>M24*$G23*$E23</f>
        <v>16583.559461689289</v>
      </c>
      <c r="T24" s="92">
        <f>K24*($G23^2+($E23^2/12))*$E23</f>
        <v>-9813.1268026375146</v>
      </c>
      <c r="U24" s="93">
        <f>L24*($G23^2+($E23^2/12))*$E23</f>
        <v>-9813.126802637511</v>
      </c>
      <c r="V24" s="91">
        <f>M24*($G23^2+($E23^2/12))*$E23</f>
        <v>10451.097369085437</v>
      </c>
      <c r="W24" s="94">
        <f t="array" ref="W24:Y24">TRANSPOSE(MMULT(K22:M24,('[2]ABD-Rechner'!$S$45:$S$47+'[2]ABD-Rechner'!F24*'[2]ABD-Rechner'!$S$48:$S$50)))</f>
        <v>181.20699950076431</v>
      </c>
      <c r="X24" s="95">
        <v>196.77692771504996</v>
      </c>
      <c r="Y24" s="96">
        <v>-181.56370984395784</v>
      </c>
      <c r="Z24" s="73"/>
      <c r="AA24" t="s">
        <v>337</v>
      </c>
      <c r="AC24" s="10" t="s">
        <v>336</v>
      </c>
    </row>
    <row r="25" spans="1:51" ht="16.5" thickTop="1" thickBot="1" x14ac:dyDescent="0.3">
      <c r="A25" s="106"/>
      <c r="B25" s="106"/>
      <c r="C25" s="107"/>
      <c r="D25" s="106"/>
      <c r="E25" s="106"/>
      <c r="F25" s="107">
        <f>F24</f>
        <v>0</v>
      </c>
      <c r="G25" s="107"/>
      <c r="H25" s="56">
        <f>COS(D26)^2</f>
        <v>0.50000000000000011</v>
      </c>
      <c r="I25" s="56">
        <f>SIN(D26)^2</f>
        <v>0.49999999999999989</v>
      </c>
      <c r="J25" s="57">
        <f>-2*COS(D26)*SIN(D26)</f>
        <v>1</v>
      </c>
      <c r="K25" s="75">
        <f t="array" ref="K25:M27">MMULT(H25:J27,MMULT(F$3:H$5,TRANSPOSE(H25:J27)))</f>
        <v>41314.023285701573</v>
      </c>
      <c r="L25" s="75">
        <v>36441.623285701564</v>
      </c>
      <c r="M25" s="76">
        <v>-34849.974401792882</v>
      </c>
      <c r="N25" s="75">
        <f>K25*$E26</f>
        <v>39054.662637264766</v>
      </c>
      <c r="O25" s="75">
        <f>L25*$E26</f>
        <v>34448.722012264763</v>
      </c>
      <c r="P25" s="79">
        <f>M25*$E26</f>
        <v>-32944.116426694833</v>
      </c>
      <c r="Q25" s="75">
        <f>K25*$G26*$E26</f>
        <v>-18459.430387144675</v>
      </c>
      <c r="R25" s="75">
        <f>L25*$G26*$E26</f>
        <v>-16282.403763609516</v>
      </c>
      <c r="S25" s="79">
        <f>M25*$G26*$E26</f>
        <v>15571.24252980498</v>
      </c>
      <c r="T25" s="80">
        <f>K25*($G26^2+($E26^2/12))*$E26</f>
        <v>11633.286858565134</v>
      </c>
      <c r="U25" s="80">
        <f>L25*($G26^2+($E26^2/12))*$E26</f>
        <v>10261.306538524746</v>
      </c>
      <c r="V25" s="79">
        <f>M25*($G26^2+($E26^2/12))*$E26</f>
        <v>-9813.1268026375128</v>
      </c>
      <c r="W25" s="56">
        <f t="array" ref="W25:Y25">TRANSPOSE(MMULT(K25:M27,('[2]ABD-Rechner'!$S$45:$S$47+'[2]ABD-Rechner'!F25*'[2]ABD-Rechner'!$S$48:$S$50)))</f>
        <v>181.20699950076431</v>
      </c>
      <c r="X25" s="56">
        <v>196.77692771504996</v>
      </c>
      <c r="Y25" s="57">
        <v>-181.56370984395784</v>
      </c>
      <c r="Z25" s="73"/>
      <c r="AA25" s="81">
        <v>0</v>
      </c>
      <c r="AC25" s="45">
        <f t="array" ref="AC25:AC27">MMULT(H10:J12,AA25:AA27)</f>
        <v>0</v>
      </c>
    </row>
    <row r="26" spans="1:51" ht="15.75" thickBot="1" x14ac:dyDescent="0.3">
      <c r="A26" s="54"/>
      <c r="B26" s="55">
        <v>6</v>
      </c>
      <c r="C26" s="58">
        <v>-45</v>
      </c>
      <c r="D26" s="57">
        <f>RADIANS(C26)</f>
        <v>-0.78539816339744828</v>
      </c>
      <c r="E26" s="58">
        <f>$B$7/4</f>
        <v>0.9453125</v>
      </c>
      <c r="F26" s="55">
        <f>(F27+F25)/2</f>
        <v>-0.47265625</v>
      </c>
      <c r="G26" s="55">
        <f>F26</f>
        <v>-0.47265625</v>
      </c>
      <c r="H26" s="56">
        <f>I25</f>
        <v>0.49999999999999989</v>
      </c>
      <c r="I26" s="56">
        <f>H25</f>
        <v>0.50000000000000011</v>
      </c>
      <c r="J26" s="57">
        <f>-J25</f>
        <v>-1</v>
      </c>
      <c r="K26" s="75">
        <v>36441.623285701564</v>
      </c>
      <c r="L26" s="75">
        <v>41314.023285701544</v>
      </c>
      <c r="M26" s="76">
        <v>-34849.974401792868</v>
      </c>
      <c r="N26" s="75">
        <f>K26*$E26</f>
        <v>34448.722012264763</v>
      </c>
      <c r="O26" s="75">
        <f>L26*$E26</f>
        <v>39054.662637264737</v>
      </c>
      <c r="P26" s="86">
        <f>M26*$E26</f>
        <v>-32944.116426694818</v>
      </c>
      <c r="Q26" s="75">
        <f>K26*$G26*$E26</f>
        <v>-16282.403763609516</v>
      </c>
      <c r="R26" s="75">
        <f>L26*$G26*$E26</f>
        <v>-18459.430387144661</v>
      </c>
      <c r="S26" s="86">
        <f>M26*$G26*$E26</f>
        <v>15571.242529804973</v>
      </c>
      <c r="T26" s="80">
        <f>K26*($G26^2+($E26^2/12))*$E26</f>
        <v>10261.306538524746</v>
      </c>
      <c r="U26" s="80">
        <f>L26*($G26^2+($E26^2/12))*$E26</f>
        <v>11633.286858565125</v>
      </c>
      <c r="V26" s="86">
        <f>M26*($G26^2+($E26^2/12))*$E26</f>
        <v>-9813.1268026375092</v>
      </c>
      <c r="W26" s="87"/>
      <c r="X26" s="87"/>
      <c r="Y26" s="88"/>
      <c r="Z26" s="73"/>
      <c r="AA26" s="81">
        <v>0</v>
      </c>
      <c r="AC26" s="45">
        <v>0</v>
      </c>
    </row>
    <row r="27" spans="1:51" ht="15.75" thickBot="1" x14ac:dyDescent="0.3">
      <c r="A27" s="52"/>
      <c r="B27" s="52"/>
      <c r="C27" s="53"/>
      <c r="D27" s="52"/>
      <c r="E27" s="52"/>
      <c r="F27" s="53">
        <f>F25-E26</f>
        <v>-0.9453125</v>
      </c>
      <c r="G27" s="53"/>
      <c r="H27" s="59">
        <f>COS(D26)*SIN(D26)</f>
        <v>-0.5</v>
      </c>
      <c r="I27" s="59">
        <f>-H27</f>
        <v>0.5</v>
      </c>
      <c r="J27" s="60">
        <f>COS(D26)^2-SIN(D26)^2</f>
        <v>0</v>
      </c>
      <c r="K27" s="77">
        <v>-34849.97440179289</v>
      </c>
      <c r="L27" s="77">
        <v>-34849.974401792875</v>
      </c>
      <c r="M27" s="78">
        <v>37115.639398991509</v>
      </c>
      <c r="N27" s="89">
        <f>K27*$E26</f>
        <v>-32944.11642669484</v>
      </c>
      <c r="O27" s="90">
        <f>L27*$E26</f>
        <v>-32944.116426694825</v>
      </c>
      <c r="P27" s="91">
        <f>M27*$E26</f>
        <v>35085.877869359159</v>
      </c>
      <c r="Q27" s="92">
        <f>K27*$G26*$E26</f>
        <v>15571.242529804982</v>
      </c>
      <c r="R27" s="90">
        <f>L27*$G26*$E26</f>
        <v>15571.242529804977</v>
      </c>
      <c r="S27" s="91">
        <f>M27*$G26*$E26</f>
        <v>-16583.559461689289</v>
      </c>
      <c r="T27" s="92">
        <f>K27*($G26^2+($E26^2/12))*$E26</f>
        <v>-9813.1268026375146</v>
      </c>
      <c r="U27" s="93">
        <f>L27*($G26^2+($E26^2/12))*$E26</f>
        <v>-9813.126802637511</v>
      </c>
      <c r="V27" s="91">
        <f>M27*($G26^2+($E26^2/12))*$E26</f>
        <v>10451.097369085437</v>
      </c>
      <c r="W27" s="94">
        <f t="array" ref="W27:Y27">TRANSPOSE(MMULT(K25:M27,('[2]ABD-Rechner'!$S$45:$S$47+'[2]ABD-Rechner'!F27*'[2]ABD-Rechner'!$S$48:$S$50)))</f>
        <v>181.20699950076431</v>
      </c>
      <c r="X27" s="95">
        <v>196.77692771504996</v>
      </c>
      <c r="Y27" s="96">
        <v>-181.56370984395784</v>
      </c>
      <c r="Z27" s="73"/>
      <c r="AA27" s="81">
        <v>0</v>
      </c>
      <c r="AC27" s="45">
        <v>0</v>
      </c>
    </row>
    <row r="28" spans="1:51" ht="15.75" thickBot="1" x14ac:dyDescent="0.3">
      <c r="A28" s="54"/>
      <c r="B28" s="54"/>
      <c r="C28" s="55"/>
      <c r="D28" s="54"/>
      <c r="E28" s="54"/>
      <c r="F28" s="55">
        <f>F27</f>
        <v>-0.9453125</v>
      </c>
      <c r="G28" s="55"/>
      <c r="H28" s="56">
        <f>COS(D29)^2</f>
        <v>0.50000000000000011</v>
      </c>
      <c r="I28" s="56">
        <f>SIN(D29)^2</f>
        <v>0.49999999999999989</v>
      </c>
      <c r="J28" s="57">
        <f>-2*COS(D29)*SIN(D29)</f>
        <v>-1</v>
      </c>
      <c r="K28" s="75">
        <f t="array" ref="K28:M30">MMULT(H28:J30,MMULT(F$3:H$5,TRANSPOSE(H28:J30)))</f>
        <v>41314.023285701573</v>
      </c>
      <c r="L28" s="75">
        <v>36441.623285701564</v>
      </c>
      <c r="M28" s="76">
        <v>34849.974401792882</v>
      </c>
      <c r="N28" s="75">
        <f>K28*$E29</f>
        <v>39054.662637264766</v>
      </c>
      <c r="O28" s="75">
        <f>L28*$E29</f>
        <v>34448.722012264763</v>
      </c>
      <c r="P28" s="79">
        <f>M28*$E29</f>
        <v>32944.116426694833</v>
      </c>
      <c r="Q28" s="75">
        <f>K28*$G29*$E29</f>
        <v>-55378.291161434026</v>
      </c>
      <c r="R28" s="75">
        <f>L28*$G29*$E29</f>
        <v>-48847.211290828549</v>
      </c>
      <c r="S28" s="79">
        <f>M28*$G29*$E29</f>
        <v>-46713.727589414935</v>
      </c>
      <c r="T28" s="80">
        <f>K28*($G29^2+($E29^2/12))*$E29</f>
        <v>81433.008009955942</v>
      </c>
      <c r="U28" s="80">
        <f>L28*($G29^2+($E29^2/12))*$E29</f>
        <v>71829.145769673225</v>
      </c>
      <c r="V28" s="79">
        <f>M28*($G29^2+($E29^2/12))*$E29</f>
        <v>68691.887618462599</v>
      </c>
      <c r="W28" s="56">
        <f t="array" ref="W28:Y28">TRANSPOSE(MMULT(K28:M30,('[2]ABD-Rechner'!$S$45:$S$47+'[2]ABD-Rechner'!F28*'[2]ABD-Rechner'!$S$48:$S$50)))</f>
        <v>37.069727949847092</v>
      </c>
      <c r="X28" s="56">
        <v>52.639656164132774</v>
      </c>
      <c r="Y28" s="57">
        <v>28.055792358568226</v>
      </c>
      <c r="Z28" s="73"/>
      <c r="AA28" s="73"/>
    </row>
    <row r="29" spans="1:51" ht="15.75" thickBot="1" x14ac:dyDescent="0.3">
      <c r="A29" s="54"/>
      <c r="B29" s="55">
        <v>7</v>
      </c>
      <c r="C29" s="58">
        <v>45</v>
      </c>
      <c r="D29" s="57">
        <f>RADIANS(C29)</f>
        <v>0.78539816339744828</v>
      </c>
      <c r="E29" s="58">
        <f>$B$7/4</f>
        <v>0.9453125</v>
      </c>
      <c r="F29" s="55">
        <f>(F30+F28)/2</f>
        <v>-1.41796875</v>
      </c>
      <c r="G29" s="55">
        <f>F29</f>
        <v>-1.41796875</v>
      </c>
      <c r="H29" s="56">
        <f>I28</f>
        <v>0.49999999999999989</v>
      </c>
      <c r="I29" s="56">
        <f>H28</f>
        <v>0.50000000000000011</v>
      </c>
      <c r="J29" s="57">
        <f>-J28</f>
        <v>1</v>
      </c>
      <c r="K29" s="75">
        <v>36441.623285701564</v>
      </c>
      <c r="L29" s="75">
        <v>41314.023285701544</v>
      </c>
      <c r="M29" s="76">
        <v>34849.974401792868</v>
      </c>
      <c r="N29" s="75">
        <f>K29*$E29</f>
        <v>34448.722012264763</v>
      </c>
      <c r="O29" s="75">
        <f>L29*$E29</f>
        <v>39054.662637264737</v>
      </c>
      <c r="P29" s="86">
        <f>M29*$E29</f>
        <v>32944.116426694818</v>
      </c>
      <c r="Q29" s="75">
        <f>K29*$G29*$E29</f>
        <v>-48847.211290828549</v>
      </c>
      <c r="R29" s="75">
        <f>L29*$G29*$E29</f>
        <v>-55378.291161433983</v>
      </c>
      <c r="S29" s="86">
        <f>M29*$G29*$E29</f>
        <v>-46713.727589414921</v>
      </c>
      <c r="T29" s="80">
        <f>K29*($G29^2+($E29^2/12))*$E29</f>
        <v>71829.145769673225</v>
      </c>
      <c r="U29" s="80">
        <f>L29*($G29^2+($E29^2/12))*$E29</f>
        <v>81433.008009955884</v>
      </c>
      <c r="V29" s="86">
        <f>M29*($G29^2+($E29^2/12))*$E29</f>
        <v>68691.887618462584</v>
      </c>
      <c r="W29" s="87"/>
      <c r="X29" s="87"/>
      <c r="Y29" s="88"/>
      <c r="Z29" s="73"/>
      <c r="AA29" s="73"/>
    </row>
    <row r="30" spans="1:51" ht="15.75" thickBot="1" x14ac:dyDescent="0.3">
      <c r="A30" s="52"/>
      <c r="B30" s="52"/>
      <c r="C30" s="53"/>
      <c r="D30" s="52"/>
      <c r="E30" s="52"/>
      <c r="F30" s="53">
        <f>F28-E29</f>
        <v>-1.890625</v>
      </c>
      <c r="G30" s="53"/>
      <c r="H30" s="59">
        <f>COS(D29)*SIN(D29)</f>
        <v>0.5</v>
      </c>
      <c r="I30" s="59">
        <f>-H30</f>
        <v>-0.5</v>
      </c>
      <c r="J30" s="60">
        <f>COS(D29)^2-SIN(D29)^2</f>
        <v>0</v>
      </c>
      <c r="K30" s="77">
        <v>34849.97440179289</v>
      </c>
      <c r="L30" s="77">
        <v>34849.974401792875</v>
      </c>
      <c r="M30" s="78">
        <v>37115.639398991509</v>
      </c>
      <c r="N30" s="89">
        <f>K30*$E29</f>
        <v>32944.11642669484</v>
      </c>
      <c r="O30" s="90">
        <f>L30*$E29</f>
        <v>32944.116426694825</v>
      </c>
      <c r="P30" s="91">
        <f>M30*$E29</f>
        <v>35085.877869359159</v>
      </c>
      <c r="Q30" s="92">
        <f>K30*$G29*$E29</f>
        <v>-46713.72758941495</v>
      </c>
      <c r="R30" s="90">
        <f>L30*$G29*$E29</f>
        <v>-46713.727589414935</v>
      </c>
      <c r="S30" s="91">
        <f>M30*$G29*$E29</f>
        <v>-49750.678385067869</v>
      </c>
      <c r="T30" s="92">
        <f>K30*($G29^2+($E29^2/12))*$E29</f>
        <v>68691.887618462613</v>
      </c>
      <c r="U30" s="93">
        <f>L30*($G29^2+($E29^2/12))*$E29</f>
        <v>68691.887618462599</v>
      </c>
      <c r="V30" s="91">
        <f>M30*($G29^2+($E29^2/12))*$E29</f>
        <v>73157.681583598081</v>
      </c>
      <c r="W30" s="94">
        <f t="array" ref="W30:Y30">TRANSPOSE(MMULT(K28:M30,('[2]ABD-Rechner'!$S$45:$S$47+'[2]ABD-Rechner'!F30*'[2]ABD-Rechner'!$S$48:$S$50)))</f>
        <v>37.069727949847092</v>
      </c>
      <c r="X30" s="95">
        <v>52.639656164132774</v>
      </c>
      <c r="Y30" s="96">
        <v>28.055792358568226</v>
      </c>
      <c r="Z30" s="73"/>
      <c r="AA30" s="81"/>
      <c r="AC30" s="45"/>
    </row>
    <row r="31" spans="1:51" ht="15.75" thickBot="1" x14ac:dyDescent="0.3">
      <c r="A31" s="54"/>
      <c r="B31" s="54"/>
      <c r="C31" s="55"/>
      <c r="D31" s="54"/>
      <c r="E31" s="54"/>
      <c r="F31" s="55">
        <f>F30</f>
        <v>-1.890625</v>
      </c>
      <c r="G31" s="55"/>
      <c r="H31" s="56">
        <f>COS(D32)^2</f>
        <v>1</v>
      </c>
      <c r="I31" s="56">
        <f>SIN(D32)^2</f>
        <v>0</v>
      </c>
      <c r="J31" s="57">
        <f>-2*COS(D32)*SIN(D32)</f>
        <v>0</v>
      </c>
      <c r="K31" s="75">
        <f t="array" ref="K31:M33">MMULT(H31:J33,MMULT(F$3:H$5,TRANSPOSE(H31:J33)))</f>
        <v>145693.41148827883</v>
      </c>
      <c r="L31" s="75">
        <v>1762.1838867100489</v>
      </c>
      <c r="M31" s="76">
        <v>0</v>
      </c>
      <c r="N31" s="75">
        <f>K31*$E32</f>
        <v>0</v>
      </c>
      <c r="O31" s="75">
        <f>L31*$E32</f>
        <v>0</v>
      </c>
      <c r="P31" s="79">
        <f>M31*$E32</f>
        <v>0</v>
      </c>
      <c r="Q31" s="75">
        <f>K31*$G32*$E32</f>
        <v>0</v>
      </c>
      <c r="R31" s="75">
        <f>L31*$G32*$E32</f>
        <v>0</v>
      </c>
      <c r="S31" s="79">
        <f>M31*$G32*$E32</f>
        <v>0</v>
      </c>
      <c r="T31" s="80">
        <f>K31*($G32^2+($E32^2/12))*$E32</f>
        <v>0</v>
      </c>
      <c r="U31" s="80">
        <f>L31*($G32^2+($E32^2/12))*$E32</f>
        <v>0</v>
      </c>
      <c r="V31" s="79">
        <f>M31*($G32^2+($E32^2/12))*$E32</f>
        <v>0</v>
      </c>
      <c r="W31" s="56">
        <f t="array" ref="W31:Y31">TRANSPOSE(MMULT(K31:M33,('[2]ABD-Rechner'!$S$45:$S$47+'[2]ABD-Rechner'!F31*'[2]ABD-Rechner'!$S$48:$S$50)))</f>
        <v>-8.2356101671877013</v>
      </c>
      <c r="X31" s="56">
        <v>19.353590146340792</v>
      </c>
      <c r="Y31" s="57">
        <v>-5.0379839150510186</v>
      </c>
      <c r="Z31" s="73"/>
      <c r="AA31" s="81"/>
      <c r="AC31" s="45"/>
    </row>
    <row r="32" spans="1:51" ht="15.75" thickBot="1" x14ac:dyDescent="0.3">
      <c r="A32" s="54"/>
      <c r="B32" s="55">
        <v>8</v>
      </c>
      <c r="C32" s="58">
        <v>0</v>
      </c>
      <c r="D32" s="57">
        <f>RADIANS(C32)</f>
        <v>0</v>
      </c>
      <c r="E32" s="58">
        <v>0</v>
      </c>
      <c r="F32" s="55">
        <f>(F33+F31)/2</f>
        <v>-1.890625</v>
      </c>
      <c r="G32" s="55">
        <f>F32</f>
        <v>-1.890625</v>
      </c>
      <c r="H32" s="56">
        <f>I31</f>
        <v>0</v>
      </c>
      <c r="I32" s="56">
        <f>H31</f>
        <v>1</v>
      </c>
      <c r="J32" s="57">
        <f>-J31</f>
        <v>0</v>
      </c>
      <c r="K32" s="75">
        <v>1762.1838867100489</v>
      </c>
      <c r="L32" s="75">
        <v>6293.5138811073166</v>
      </c>
      <c r="M32" s="76">
        <v>0</v>
      </c>
      <c r="N32" s="75">
        <f>K32*$E32</f>
        <v>0</v>
      </c>
      <c r="O32" s="75">
        <f>L32*$E32</f>
        <v>0</v>
      </c>
      <c r="P32" s="86">
        <f>M32*$E32</f>
        <v>0</v>
      </c>
      <c r="Q32" s="75">
        <f>K32*$G32*$E32</f>
        <v>0</v>
      </c>
      <c r="R32" s="75">
        <f>L32*$G32*$E32</f>
        <v>0</v>
      </c>
      <c r="S32" s="86">
        <f>M32*$G32*$E32</f>
        <v>0</v>
      </c>
      <c r="T32" s="80">
        <f>K32*($G32^2+($E32^2/12))*$E32</f>
        <v>0</v>
      </c>
      <c r="U32" s="80">
        <f>L32*($G32^2+($E32^2/12))*$E32</f>
        <v>0</v>
      </c>
      <c r="V32" s="86">
        <f>M32*($G32^2+($E32^2/12))*$E32</f>
        <v>0</v>
      </c>
      <c r="W32" s="87"/>
      <c r="X32" s="87"/>
      <c r="Y32" s="88"/>
      <c r="Z32" s="73"/>
      <c r="AA32" s="81"/>
      <c r="AC32" s="45"/>
    </row>
    <row r="33" spans="1:29" ht="15.75" thickBot="1" x14ac:dyDescent="0.3">
      <c r="A33" s="52"/>
      <c r="B33" s="52"/>
      <c r="C33" s="53"/>
      <c r="D33" s="52"/>
      <c r="E33" s="52"/>
      <c r="F33" s="53">
        <f>F31-E32</f>
        <v>-1.890625</v>
      </c>
      <c r="G33" s="53"/>
      <c r="H33" s="59">
        <f>COS(D32)*SIN(D32)</f>
        <v>0</v>
      </c>
      <c r="I33" s="59">
        <f>-H33</f>
        <v>0</v>
      </c>
      <c r="J33" s="60">
        <f>COS(D32)^2-SIN(D32)^2</f>
        <v>1</v>
      </c>
      <c r="K33" s="77">
        <v>0</v>
      </c>
      <c r="L33" s="77">
        <v>0</v>
      </c>
      <c r="M33" s="78">
        <v>2436.1999999999998</v>
      </c>
      <c r="N33" s="89">
        <f>K33*$E32</f>
        <v>0</v>
      </c>
      <c r="O33" s="90">
        <f>L33*$E32</f>
        <v>0</v>
      </c>
      <c r="P33" s="91">
        <f>M33*$E32</f>
        <v>0</v>
      </c>
      <c r="Q33" s="92">
        <f>K33*$G32*$E32</f>
        <v>0</v>
      </c>
      <c r="R33" s="90">
        <f>L33*$G32*$E32</f>
        <v>0</v>
      </c>
      <c r="S33" s="91">
        <f>M33*$G32*$E32</f>
        <v>0</v>
      </c>
      <c r="T33" s="92">
        <f>K33*($G32^2+($E32^2/12))*$E32</f>
        <v>0</v>
      </c>
      <c r="U33" s="93">
        <f>L33*($G32^2+($E32^2/12))*$E32</f>
        <v>0</v>
      </c>
      <c r="V33" s="91">
        <f>M33*($G32^2+($E32^2/12))*$E32</f>
        <v>0</v>
      </c>
      <c r="W33" s="94">
        <f t="array" ref="W33:Y33">TRANSPOSE(MMULT(K31:M33,('[2]ABD-Rechner'!$S$45:$S$47+'[2]ABD-Rechner'!F33*'[2]ABD-Rechner'!$S$48:$S$50)))</f>
        <v>-8.2356101671877013</v>
      </c>
      <c r="X33" s="95">
        <v>19.353590146340792</v>
      </c>
      <c r="Y33" s="96">
        <v>-5.0379839150510186</v>
      </c>
      <c r="Z33" s="73"/>
      <c r="AA33" s="73"/>
    </row>
    <row r="34" spans="1:29" ht="15.75" thickBot="1" x14ac:dyDescent="0.3">
      <c r="A34" s="54"/>
      <c r="B34" s="54"/>
      <c r="C34" s="55"/>
      <c r="D34" s="54"/>
      <c r="E34" s="54"/>
      <c r="F34" s="55">
        <f>F33</f>
        <v>-1.890625</v>
      </c>
      <c r="G34" s="55"/>
      <c r="H34" s="56">
        <f>COS(D35)^2</f>
        <v>1</v>
      </c>
      <c r="I34" s="56">
        <f>SIN(D35)^2</f>
        <v>0</v>
      </c>
      <c r="J34" s="57">
        <f>-2*COS(D35)*SIN(D35)</f>
        <v>0</v>
      </c>
      <c r="K34" s="75">
        <f t="array" ref="K34:M36">MMULT(H34:J36,MMULT(F$3:H$5,TRANSPOSE(H34:J36)))</f>
        <v>145693.41148827883</v>
      </c>
      <c r="L34" s="75">
        <v>1762.1838867100489</v>
      </c>
      <c r="M34" s="76">
        <v>0</v>
      </c>
      <c r="N34" s="75">
        <f>K34*$E35</f>
        <v>0</v>
      </c>
      <c r="O34" s="75">
        <f>L34*$E35</f>
        <v>0</v>
      </c>
      <c r="P34" s="79">
        <f>M34*$E35</f>
        <v>0</v>
      </c>
      <c r="Q34" s="75">
        <f>K34*$G35*$E35</f>
        <v>0</v>
      </c>
      <c r="R34" s="75">
        <f>L34*$G35*$E35</f>
        <v>0</v>
      </c>
      <c r="S34" s="79">
        <f>M34*$G35*$E35</f>
        <v>0</v>
      </c>
      <c r="T34" s="80">
        <f>K34*($G35^2+($E35^2/12))*$E35</f>
        <v>0</v>
      </c>
      <c r="U34" s="80">
        <f>L34*($G35^2+($E35^2/12))*$E35</f>
        <v>0</v>
      </c>
      <c r="V34" s="79">
        <f>M34*($G35^2+($E35^2/12))*$E35</f>
        <v>0</v>
      </c>
      <c r="W34" s="56">
        <f t="array" ref="W34:Y34">TRANSPOSE(MMULT(K34:M36,('[2]ABD-Rechner'!$S$45:$S$47+'[2]ABD-Rechner'!F34*'[2]ABD-Rechner'!$S$48:$S$50)))</f>
        <v>-8.2356101671877013</v>
      </c>
      <c r="X34" s="56">
        <v>19.353590146340792</v>
      </c>
      <c r="Y34" s="57">
        <v>-5.0379839150510186</v>
      </c>
      <c r="Z34" s="73"/>
      <c r="AA34" s="73" t="s">
        <v>344</v>
      </c>
      <c r="AC34" t="s">
        <v>343</v>
      </c>
    </row>
    <row r="35" spans="1:29" ht="15.75" thickBot="1" x14ac:dyDescent="0.3">
      <c r="A35" s="54"/>
      <c r="B35" s="55">
        <v>9</v>
      </c>
      <c r="C35" s="58"/>
      <c r="D35" s="57">
        <f>RADIANS(C35)</f>
        <v>0</v>
      </c>
      <c r="E35" s="58">
        <v>0</v>
      </c>
      <c r="F35" s="55">
        <f>(F36+F34)/2</f>
        <v>-1.890625</v>
      </c>
      <c r="G35" s="55">
        <f>F35</f>
        <v>-1.890625</v>
      </c>
      <c r="H35" s="56">
        <f>I34</f>
        <v>0</v>
      </c>
      <c r="I35" s="56">
        <f>H34</f>
        <v>1</v>
      </c>
      <c r="J35" s="57">
        <f>-J34</f>
        <v>0</v>
      </c>
      <c r="K35" s="75">
        <v>1762.1838867100489</v>
      </c>
      <c r="L35" s="75">
        <v>6293.5138811073166</v>
      </c>
      <c r="M35" s="76">
        <v>0</v>
      </c>
      <c r="N35" s="75">
        <f>K35*$E35</f>
        <v>0</v>
      </c>
      <c r="O35" s="75">
        <f>L35*$E35</f>
        <v>0</v>
      </c>
      <c r="P35" s="86">
        <f>M35*$E35</f>
        <v>0</v>
      </c>
      <c r="Q35" s="75">
        <f>K35*$G35*$E35</f>
        <v>0</v>
      </c>
      <c r="R35" s="75">
        <f>L35*$G35*$E35</f>
        <v>0</v>
      </c>
      <c r="S35" s="86">
        <f>M35*$G35*$E35</f>
        <v>0</v>
      </c>
      <c r="T35" s="80">
        <f>K35*($G35^2+($E35^2/12))*$E35</f>
        <v>0</v>
      </c>
      <c r="U35" s="80">
        <f>L35*($G35^2+($E35^2/12))*$E35</f>
        <v>0</v>
      </c>
      <c r="V35" s="86">
        <f>M35*($G35^2+($E35^2/12))*$E35</f>
        <v>0</v>
      </c>
      <c r="W35" s="87"/>
      <c r="X35" s="87"/>
      <c r="Y35" s="88"/>
      <c r="Z35" s="73"/>
      <c r="AA35" s="81">
        <v>0</v>
      </c>
      <c r="AC35" s="45">
        <f t="array" ref="AC35:AC37">MMULT(TRANSPOSE(MINVERSE(H10:J12)),AA35:AA37)</f>
        <v>0</v>
      </c>
    </row>
    <row r="36" spans="1:29" ht="15.75" thickBot="1" x14ac:dyDescent="0.3">
      <c r="A36" s="52"/>
      <c r="B36" s="52"/>
      <c r="C36" s="53"/>
      <c r="D36" s="52"/>
      <c r="E36" s="52"/>
      <c r="F36" s="53">
        <f>F34-E35</f>
        <v>-1.890625</v>
      </c>
      <c r="G36" s="53"/>
      <c r="H36" s="59">
        <f>COS(D35)*SIN(D35)</f>
        <v>0</v>
      </c>
      <c r="I36" s="59">
        <f>-H36</f>
        <v>0</v>
      </c>
      <c r="J36" s="60">
        <f>COS(D35)^2-SIN(D35)^2</f>
        <v>1</v>
      </c>
      <c r="K36" s="77">
        <v>0</v>
      </c>
      <c r="L36" s="77">
        <v>0</v>
      </c>
      <c r="M36" s="78">
        <v>2436.1999999999998</v>
      </c>
      <c r="N36" s="89">
        <f>K36*$E35</f>
        <v>0</v>
      </c>
      <c r="O36" s="90">
        <f>L36*$E35</f>
        <v>0</v>
      </c>
      <c r="P36" s="91">
        <f>M36*$E35</f>
        <v>0</v>
      </c>
      <c r="Q36" s="92">
        <f>K36*$G35*$E35</f>
        <v>0</v>
      </c>
      <c r="R36" s="90">
        <f>L36*$G35*$E35</f>
        <v>0</v>
      </c>
      <c r="S36" s="91">
        <f>M36*$G35*$E35</f>
        <v>0</v>
      </c>
      <c r="T36" s="92">
        <f>K36*($G35^2+($E35^2/12))*$E35</f>
        <v>0</v>
      </c>
      <c r="U36" s="93">
        <f>L36*($G35^2+($E35^2/12))*$E35</f>
        <v>0</v>
      </c>
      <c r="V36" s="91">
        <f>M36*($G35^2+($E35^2/12))*$E35</f>
        <v>0</v>
      </c>
      <c r="W36" s="94">
        <f t="array" ref="W36:Y36">TRANSPOSE(MMULT(K34:M36,('[2]ABD-Rechner'!$S$45:$S$47+'[2]ABD-Rechner'!F36*'[2]ABD-Rechner'!$S$48:$S$50)))</f>
        <v>-8.2356101671877013</v>
      </c>
      <c r="X36" s="95">
        <v>19.353590146340792</v>
      </c>
      <c r="Y36" s="96">
        <v>-5.0379839150510186</v>
      </c>
      <c r="Z36" s="73"/>
      <c r="AA36" s="81">
        <v>0</v>
      </c>
      <c r="AC36" s="45">
        <v>0</v>
      </c>
    </row>
    <row r="37" spans="1:29" ht="15.75" thickBot="1" x14ac:dyDescent="0.3">
      <c r="A37" s="54"/>
      <c r="B37" s="54"/>
      <c r="C37" s="55"/>
      <c r="D37" s="54"/>
      <c r="E37" s="54"/>
      <c r="F37" s="55">
        <f>F36</f>
        <v>-1.890625</v>
      </c>
      <c r="G37" s="55"/>
      <c r="H37" s="56">
        <f>COS(D38)^2</f>
        <v>1</v>
      </c>
      <c r="I37" s="56">
        <f>SIN(D38)^2</f>
        <v>0</v>
      </c>
      <c r="J37" s="57">
        <f>-2*COS(D38)*SIN(D38)</f>
        <v>0</v>
      </c>
      <c r="K37" s="75">
        <f t="array" ref="K37:M39">MMULT(H37:J39,MMULT(F$3:H$5,TRANSPOSE(H37:J39)))</f>
        <v>145693.41148827883</v>
      </c>
      <c r="L37" s="75">
        <v>1762.1838867100489</v>
      </c>
      <c r="M37" s="76">
        <v>0</v>
      </c>
      <c r="N37" s="75">
        <f>K37*$E38</f>
        <v>0</v>
      </c>
      <c r="O37" s="75">
        <f>L37*$E38</f>
        <v>0</v>
      </c>
      <c r="P37" s="79">
        <f>M37*$E38</f>
        <v>0</v>
      </c>
      <c r="Q37" s="75">
        <f>K37*$G38*$E38</f>
        <v>0</v>
      </c>
      <c r="R37" s="75">
        <f>L37*$G38*$E38</f>
        <v>0</v>
      </c>
      <c r="S37" s="79">
        <f>M37*$G38*$E38</f>
        <v>0</v>
      </c>
      <c r="T37" s="80">
        <f>K37*($G38^2+($E38^2/12))*$E38</f>
        <v>0</v>
      </c>
      <c r="U37" s="80">
        <f>L37*($G38^2+($E38^2/12))*$E38</f>
        <v>0</v>
      </c>
      <c r="V37" s="79">
        <f>M37*($G38^2+($E38^2/12))*$E38</f>
        <v>0</v>
      </c>
      <c r="W37" s="56">
        <f t="array" ref="W37:Y37">TRANSPOSE(MMULT(K37:M39,('[2]ABD-Rechner'!$S$45:$S$47+'[2]ABD-Rechner'!F37*'[2]ABD-Rechner'!$S$48:$S$50)))</f>
        <v>-8.2356101671877013</v>
      </c>
      <c r="X37" s="56">
        <v>19.353590146340792</v>
      </c>
      <c r="Y37" s="57">
        <v>-5.0379839150510186</v>
      </c>
      <c r="Z37" s="73"/>
      <c r="AA37" s="81">
        <v>0</v>
      </c>
      <c r="AC37" s="45">
        <v>0</v>
      </c>
    </row>
    <row r="38" spans="1:29" ht="15.75" thickBot="1" x14ac:dyDescent="0.3">
      <c r="A38" s="54"/>
      <c r="B38" s="55">
        <v>10</v>
      </c>
      <c r="C38" s="58"/>
      <c r="D38" s="57">
        <f>RADIANS(C38)</f>
        <v>0</v>
      </c>
      <c r="E38" s="58">
        <v>0</v>
      </c>
      <c r="F38" s="55">
        <f>(F39+F37)/2</f>
        <v>-1.890625</v>
      </c>
      <c r="G38" s="55">
        <f>F38</f>
        <v>-1.890625</v>
      </c>
      <c r="H38" s="56">
        <f>I37</f>
        <v>0</v>
      </c>
      <c r="I38" s="56">
        <f>H37</f>
        <v>1</v>
      </c>
      <c r="J38" s="57">
        <f>-J37</f>
        <v>0</v>
      </c>
      <c r="K38" s="75">
        <v>1762.1838867100489</v>
      </c>
      <c r="L38" s="75">
        <v>6293.5138811073166</v>
      </c>
      <c r="M38" s="76">
        <v>0</v>
      </c>
      <c r="N38" s="75">
        <f>K38*$E38</f>
        <v>0</v>
      </c>
      <c r="O38" s="75">
        <f>L38*$E38</f>
        <v>0</v>
      </c>
      <c r="P38" s="86">
        <f>M38*$E38</f>
        <v>0</v>
      </c>
      <c r="Q38" s="75">
        <f>K38*$G38*$E38</f>
        <v>0</v>
      </c>
      <c r="R38" s="75">
        <f>L38*$G38*$E38</f>
        <v>0</v>
      </c>
      <c r="S38" s="86">
        <f>M38*$G38*$E38</f>
        <v>0</v>
      </c>
      <c r="T38" s="80">
        <f>K38*($G38^2+($E38^2/12))*$E38</f>
        <v>0</v>
      </c>
      <c r="U38" s="80">
        <f>L38*($G38^2+($E38^2/12))*$E38</f>
        <v>0</v>
      </c>
      <c r="V38" s="86">
        <f>M38*($G38^2+($E38^2/12))*$E38</f>
        <v>0</v>
      </c>
      <c r="W38" s="87"/>
      <c r="X38" s="87"/>
      <c r="Y38" s="88"/>
      <c r="Z38" s="73"/>
      <c r="AA38" s="73"/>
    </row>
    <row r="39" spans="1:29" ht="15.75" thickBot="1" x14ac:dyDescent="0.3">
      <c r="A39" s="52"/>
      <c r="B39" s="52"/>
      <c r="C39" s="53"/>
      <c r="D39" s="52"/>
      <c r="E39" s="52"/>
      <c r="F39" s="53">
        <f>F37-E38</f>
        <v>-1.890625</v>
      </c>
      <c r="G39" s="53"/>
      <c r="H39" s="59">
        <f>COS(D38)*SIN(D38)</f>
        <v>0</v>
      </c>
      <c r="I39" s="59">
        <f>-H39</f>
        <v>0</v>
      </c>
      <c r="J39" s="60">
        <f>COS(D38)^2-SIN(D38)^2</f>
        <v>1</v>
      </c>
      <c r="K39" s="77">
        <v>0</v>
      </c>
      <c r="L39" s="77">
        <v>0</v>
      </c>
      <c r="M39" s="78">
        <v>2436.1999999999998</v>
      </c>
      <c r="N39" s="89">
        <f>K39*$E38</f>
        <v>0</v>
      </c>
      <c r="O39" s="90">
        <f>L39*$E38</f>
        <v>0</v>
      </c>
      <c r="P39" s="91">
        <f>M39*$E38</f>
        <v>0</v>
      </c>
      <c r="Q39" s="92">
        <f>K39*$G38*$E38</f>
        <v>0</v>
      </c>
      <c r="R39" s="90">
        <f>L39*$G38*$E38</f>
        <v>0</v>
      </c>
      <c r="S39" s="91">
        <f>M39*$G38*$E38</f>
        <v>0</v>
      </c>
      <c r="T39" s="92">
        <f>K39*($G38^2+($E38^2/12))*$E38</f>
        <v>0</v>
      </c>
      <c r="U39" s="93">
        <f>L39*($G38^2+($E38^2/12))*$E38</f>
        <v>0</v>
      </c>
      <c r="V39" s="91">
        <f>M39*($G38^2+($E38^2/12))*$E38</f>
        <v>0</v>
      </c>
      <c r="W39" s="94">
        <f t="array" ref="W39:Y39">TRANSPOSE(MMULT(K37:M39,('[2]ABD-Rechner'!$S$45:$S$47+'[2]ABD-Rechner'!F39*'[2]ABD-Rechner'!$S$48:$S$50)))</f>
        <v>-8.2356101671877013</v>
      </c>
      <c r="X39" s="95">
        <v>19.353590146340792</v>
      </c>
      <c r="Y39" s="96">
        <v>-5.0379839150510186</v>
      </c>
      <c r="Z39" s="73"/>
      <c r="AA39" s="73"/>
    </row>
    <row r="40" spans="1:29" ht="15.75" thickBot="1" x14ac:dyDescent="0.3">
      <c r="A40" s="54"/>
      <c r="B40" s="54"/>
      <c r="C40" s="55"/>
      <c r="D40" s="54"/>
      <c r="E40" s="54"/>
      <c r="F40" s="55">
        <f>F39</f>
        <v>-1.890625</v>
      </c>
      <c r="G40" s="55"/>
      <c r="H40" s="56">
        <f>COS(D41)^2</f>
        <v>1</v>
      </c>
      <c r="I40" s="56">
        <f>SIN(D41)^2</f>
        <v>0</v>
      </c>
      <c r="J40" s="57">
        <f>-2*COS(D41)*SIN(D41)</f>
        <v>0</v>
      </c>
      <c r="K40" s="75">
        <f t="array" ref="K40:M42">MMULT(H40:J42,MMULT(F$3:H$5,TRANSPOSE(H40:J42)))</f>
        <v>145693.41148827883</v>
      </c>
      <c r="L40" s="75">
        <v>1762.1838867100489</v>
      </c>
      <c r="M40" s="76">
        <v>0</v>
      </c>
      <c r="N40" s="75">
        <f>K40*$E41</f>
        <v>0</v>
      </c>
      <c r="O40" s="75">
        <f>L40*$E41</f>
        <v>0</v>
      </c>
      <c r="P40" s="79">
        <f>M40*$E41</f>
        <v>0</v>
      </c>
      <c r="Q40" s="75">
        <f>K40*$G41*$E41</f>
        <v>0</v>
      </c>
      <c r="R40" s="75">
        <f>L40*$G41*$E41</f>
        <v>0</v>
      </c>
      <c r="S40" s="79">
        <f>M40*$G41*$E41</f>
        <v>0</v>
      </c>
      <c r="T40" s="80">
        <f>K40*($G41^2+($E41^2/12))*$E41</f>
        <v>0</v>
      </c>
      <c r="U40" s="80">
        <f>L40*($G41^2+($E41^2/12))*$E41</f>
        <v>0</v>
      </c>
      <c r="V40" s="79">
        <f>M40*($G41^2+($E41^2/12))*$E41</f>
        <v>0</v>
      </c>
      <c r="W40" s="56">
        <f t="array" ref="W40:Y40">TRANSPOSE(MMULT(K40:M42,('[2]ABD-Rechner'!$S$45:$S$47+'[2]ABD-Rechner'!F40*'[2]ABD-Rechner'!$S$48:$S$50)))</f>
        <v>-8.2356101671877013</v>
      </c>
      <c r="X40" s="56">
        <v>19.353590146340792</v>
      </c>
      <c r="Y40" s="57">
        <v>-5.0379839150510186</v>
      </c>
      <c r="Z40" s="73"/>
    </row>
    <row r="41" spans="1:29" ht="15.75" thickBot="1" x14ac:dyDescent="0.3">
      <c r="A41" s="54"/>
      <c r="B41" s="55">
        <v>11</v>
      </c>
      <c r="C41" s="58"/>
      <c r="D41" s="57">
        <f>RADIANS(C41)</f>
        <v>0</v>
      </c>
      <c r="E41" s="58">
        <v>0</v>
      </c>
      <c r="F41" s="55">
        <f>(F42+F40)/2</f>
        <v>-1.890625</v>
      </c>
      <c r="G41" s="55">
        <f>F41</f>
        <v>-1.890625</v>
      </c>
      <c r="H41" s="56">
        <f>I40</f>
        <v>0</v>
      </c>
      <c r="I41" s="56">
        <f>H40</f>
        <v>1</v>
      </c>
      <c r="J41" s="57">
        <f>-J40</f>
        <v>0</v>
      </c>
      <c r="K41" s="75">
        <v>1762.1838867100489</v>
      </c>
      <c r="L41" s="75">
        <v>6293.5138811073166</v>
      </c>
      <c r="M41" s="76">
        <v>0</v>
      </c>
      <c r="N41" s="75">
        <f>K41*$E41</f>
        <v>0</v>
      </c>
      <c r="O41" s="75">
        <f>L41*$E41</f>
        <v>0</v>
      </c>
      <c r="P41" s="86">
        <f>M41*$E41</f>
        <v>0</v>
      </c>
      <c r="Q41" s="75">
        <f>K41*$G41*$E41</f>
        <v>0</v>
      </c>
      <c r="R41" s="75">
        <f>L41*$G41*$E41</f>
        <v>0</v>
      </c>
      <c r="S41" s="86">
        <f>M41*$G41*$E41</f>
        <v>0</v>
      </c>
      <c r="T41" s="80">
        <f>K41*($G41^2+($E41^2/12))*$E41</f>
        <v>0</v>
      </c>
      <c r="U41" s="80">
        <f>L41*($G41^2+($E41^2/12))*$E41</f>
        <v>0</v>
      </c>
      <c r="V41" s="86">
        <f>M41*($G41^2+($E41^2/12))*$E41</f>
        <v>0</v>
      </c>
      <c r="W41" s="87"/>
      <c r="X41" s="87"/>
      <c r="Y41" s="88"/>
      <c r="Z41" s="73"/>
    </row>
    <row r="42" spans="1:29" ht="15.75" thickBot="1" x14ac:dyDescent="0.3">
      <c r="A42" s="52"/>
      <c r="B42" s="52"/>
      <c r="C42" s="53"/>
      <c r="D42" s="52"/>
      <c r="E42" s="52"/>
      <c r="F42" s="53">
        <f>F40-E41</f>
        <v>-1.890625</v>
      </c>
      <c r="G42" s="53"/>
      <c r="H42" s="59">
        <f>COS(D41)*SIN(D41)</f>
        <v>0</v>
      </c>
      <c r="I42" s="59">
        <f>-H42</f>
        <v>0</v>
      </c>
      <c r="J42" s="60">
        <f>COS(D41)^2-SIN(D41)^2</f>
        <v>1</v>
      </c>
      <c r="K42" s="77">
        <v>0</v>
      </c>
      <c r="L42" s="77">
        <v>0</v>
      </c>
      <c r="M42" s="78">
        <v>2436.1999999999998</v>
      </c>
      <c r="N42" s="89">
        <f>K42*$E41</f>
        <v>0</v>
      </c>
      <c r="O42" s="90">
        <f>L42*$E41</f>
        <v>0</v>
      </c>
      <c r="P42" s="91">
        <f>M42*$E41</f>
        <v>0</v>
      </c>
      <c r="Q42" s="92">
        <f>K42*$G41*$E41</f>
        <v>0</v>
      </c>
      <c r="R42" s="90">
        <f>L42*$G41*$E41</f>
        <v>0</v>
      </c>
      <c r="S42" s="91">
        <f>M42*$G41*$E41</f>
        <v>0</v>
      </c>
      <c r="T42" s="92">
        <f>K42*($G41^2+($E41^2/12))*$E41</f>
        <v>0</v>
      </c>
      <c r="U42" s="93">
        <f>L42*($G41^2+($E41^2/12))*$E41</f>
        <v>0</v>
      </c>
      <c r="V42" s="91">
        <f>M42*($G41^2+($E41^2/12))*$E41</f>
        <v>0</v>
      </c>
      <c r="W42" s="94">
        <f t="array" ref="W42:Y42">TRANSPOSE(MMULT(K40:M42,('[2]ABD-Rechner'!$S$45:$S$47+'[2]ABD-Rechner'!F42*'[2]ABD-Rechner'!$S$48:$S$50)))</f>
        <v>-8.2356101671877013</v>
      </c>
      <c r="X42" s="95">
        <v>19.353590146340792</v>
      </c>
      <c r="Y42" s="96">
        <v>-5.0379839150510186</v>
      </c>
      <c r="Z42" s="73"/>
    </row>
    <row r="44" spans="1:29" x14ac:dyDescent="0.25">
      <c r="H44" s="251" t="s">
        <v>345</v>
      </c>
      <c r="I44" s="251"/>
      <c r="J44" s="251"/>
      <c r="K44" s="251" t="s">
        <v>346</v>
      </c>
      <c r="L44" s="251"/>
      <c r="M44" s="251"/>
      <c r="N44" s="251" t="s">
        <v>347</v>
      </c>
      <c r="O44" s="251"/>
      <c r="P44" s="251"/>
    </row>
    <row r="45" spans="1:29" x14ac:dyDescent="0.25">
      <c r="H45" s="28">
        <f t="shared" ref="H45:P47" si="3">SUM(N10,N13,N16,N19,N22,N25,N28,N31,N34,N37,N40)</f>
        <v>156218.65054905906</v>
      </c>
      <c r="I45" s="28">
        <f t="shared" si="3"/>
        <v>137794.88804905905</v>
      </c>
      <c r="J45" s="108">
        <f t="shared" si="3"/>
        <v>0</v>
      </c>
      <c r="K45" s="28">
        <f t="shared" si="3"/>
        <v>0</v>
      </c>
      <c r="L45" s="28">
        <f t="shared" si="3"/>
        <v>0</v>
      </c>
      <c r="M45" s="108">
        <f t="shared" si="3"/>
        <v>0</v>
      </c>
      <c r="N45" s="28">
        <f t="shared" si="3"/>
        <v>186132.58973704214</v>
      </c>
      <c r="O45" s="28">
        <f t="shared" si="3"/>
        <v>164180.90461639594</v>
      </c>
      <c r="P45" s="108">
        <f t="shared" si="3"/>
        <v>117757.52163165018</v>
      </c>
      <c r="R45" s="47" t="s">
        <v>334</v>
      </c>
      <c r="S45" s="167">
        <f>Hilfsrechnungen!Q18</f>
        <v>0</v>
      </c>
      <c r="V45" s="47" t="s">
        <v>348</v>
      </c>
      <c r="W45" s="113">
        <f>1/Hilfsrechnungen!V18</f>
        <v>9170.1698896418766</v>
      </c>
      <c r="X45" t="s">
        <v>296</v>
      </c>
      <c r="Y45" t="s">
        <v>349</v>
      </c>
    </row>
    <row r="46" spans="1:29" x14ac:dyDescent="0.25">
      <c r="H46" s="28">
        <f t="shared" si="3"/>
        <v>137794.88804905905</v>
      </c>
      <c r="I46" s="28">
        <f t="shared" si="3"/>
        <v>156218.65054905895</v>
      </c>
      <c r="J46" s="108">
        <f t="shared" si="3"/>
        <v>0</v>
      </c>
      <c r="K46" s="28">
        <f t="shared" si="3"/>
        <v>0</v>
      </c>
      <c r="L46" s="28">
        <f t="shared" si="3"/>
        <v>0</v>
      </c>
      <c r="M46" s="108">
        <f t="shared" si="3"/>
        <v>0</v>
      </c>
      <c r="N46" s="28">
        <f t="shared" si="3"/>
        <v>164180.90461639594</v>
      </c>
      <c r="O46" s="28">
        <f t="shared" si="3"/>
        <v>186132.58973704203</v>
      </c>
      <c r="P46" s="108">
        <f t="shared" si="3"/>
        <v>117757.52163165015</v>
      </c>
      <c r="R46" s="47" t="s">
        <v>338</v>
      </c>
      <c r="S46" s="167">
        <f>Hilfsrechnungen!Q19</f>
        <v>0</v>
      </c>
      <c r="V46" s="47" t="s">
        <v>350</v>
      </c>
      <c r="W46" s="113">
        <f>1/Hilfsrechnungen!W19</f>
        <v>9170.1698896418711</v>
      </c>
      <c r="X46" t="s">
        <v>296</v>
      </c>
      <c r="Y46" t="s">
        <v>349</v>
      </c>
    </row>
    <row r="47" spans="1:29" x14ac:dyDescent="0.25">
      <c r="H47" s="28">
        <f t="shared" si="3"/>
        <v>0</v>
      </c>
      <c r="I47" s="28">
        <f t="shared" si="3"/>
        <v>0</v>
      </c>
      <c r="J47" s="108">
        <f t="shared" si="3"/>
        <v>140343.51147743664</v>
      </c>
      <c r="K47" s="28">
        <f t="shared" si="3"/>
        <v>0</v>
      </c>
      <c r="L47" s="28">
        <f t="shared" si="3"/>
        <v>0</v>
      </c>
      <c r="M47" s="108">
        <f t="shared" si="3"/>
        <v>-7.2759576141834259E-12</v>
      </c>
      <c r="N47" s="28">
        <f t="shared" si="3"/>
        <v>117757.52163165019</v>
      </c>
      <c r="O47" s="28">
        <f t="shared" si="3"/>
        <v>117757.52163165018</v>
      </c>
      <c r="P47" s="108">
        <f t="shared" si="3"/>
        <v>167217.55790536705</v>
      </c>
      <c r="R47" s="47" t="s">
        <v>339</v>
      </c>
      <c r="S47" s="167">
        <f>Hilfsrechnungen!Q20</f>
        <v>8.7605304851328409E-3</v>
      </c>
      <c r="V47" s="47" t="s">
        <v>351</v>
      </c>
      <c r="W47" s="113">
        <f>1/Hilfsrechnungen!X20</f>
        <v>37115.639398991509</v>
      </c>
      <c r="X47" t="s">
        <v>296</v>
      </c>
      <c r="Y47" t="s">
        <v>349</v>
      </c>
    </row>
    <row r="48" spans="1:29" x14ac:dyDescent="0.25">
      <c r="H48" s="8"/>
      <c r="I48" s="8"/>
      <c r="J48" s="8"/>
      <c r="K48" s="8"/>
      <c r="L48" s="8"/>
      <c r="M48" s="8"/>
      <c r="N48" s="8"/>
      <c r="O48" s="8"/>
      <c r="P48" s="8"/>
      <c r="R48" s="47" t="s">
        <v>340</v>
      </c>
      <c r="S48" s="167">
        <f>Hilfsrechnungen!Q21</f>
        <v>0</v>
      </c>
      <c r="V48" s="47" t="s">
        <v>352</v>
      </c>
      <c r="W48" s="168">
        <f>Hilfsrechnungen!V19*W45*-1</f>
        <v>0.88206425778710651</v>
      </c>
      <c r="Y48" t="s">
        <v>349</v>
      </c>
    </row>
    <row r="49" spans="8:22" x14ac:dyDescent="0.25">
      <c r="H49" s="268"/>
      <c r="I49" s="268"/>
      <c r="J49" s="268"/>
      <c r="K49" s="268"/>
      <c r="L49" s="268"/>
      <c r="M49" s="268"/>
      <c r="N49" s="268"/>
      <c r="O49" s="268"/>
      <c r="P49" s="268"/>
      <c r="R49" s="47" t="s">
        <v>341</v>
      </c>
      <c r="S49" s="167">
        <f>Hilfsrechnungen!Q22</f>
        <v>0</v>
      </c>
      <c r="V49" s="47"/>
    </row>
    <row r="50" spans="8:22" x14ac:dyDescent="0.25">
      <c r="H50" s="28"/>
      <c r="I50" s="28"/>
      <c r="J50" s="28"/>
      <c r="K50" s="28"/>
      <c r="L50" s="28"/>
      <c r="M50" s="28"/>
      <c r="N50" s="28"/>
      <c r="O50" s="28"/>
      <c r="P50" s="28"/>
      <c r="R50" s="47" t="s">
        <v>342</v>
      </c>
      <c r="S50" s="167">
        <f>Hilfsrechnungen!Q23</f>
        <v>7.2392583710357503E-19</v>
      </c>
    </row>
    <row r="51" spans="8:22" x14ac:dyDescent="0.25">
      <c r="H51" s="28"/>
      <c r="I51" s="28"/>
      <c r="J51" s="28"/>
      <c r="K51" s="28"/>
      <c r="L51" s="28"/>
      <c r="M51" s="28"/>
      <c r="N51" s="28"/>
      <c r="O51" s="28"/>
      <c r="P51" s="28"/>
    </row>
    <row r="52" spans="8:22" x14ac:dyDescent="0.25">
      <c r="H52" s="28"/>
      <c r="I52" s="28"/>
      <c r="J52" s="28"/>
      <c r="K52" s="28"/>
      <c r="L52" s="28"/>
      <c r="M52" s="28"/>
      <c r="N52" s="28"/>
      <c r="O52" s="28"/>
      <c r="P52" s="28"/>
    </row>
    <row r="55" spans="8:22" ht="27" customHeight="1" x14ac:dyDescent="0.25"/>
    <row r="63" spans="8:22" ht="25.5" customHeight="1" x14ac:dyDescent="0.25"/>
  </sheetData>
  <mergeCells count="14">
    <mergeCell ref="H49:J49"/>
    <mergeCell ref="K49:M49"/>
    <mergeCell ref="N49:P49"/>
    <mergeCell ref="C9:D9"/>
    <mergeCell ref="H9:J9"/>
    <mergeCell ref="K9:M9"/>
    <mergeCell ref="N9:P9"/>
    <mergeCell ref="AC9:AE9"/>
    <mergeCell ref="AC14:AE14"/>
    <mergeCell ref="H44:J44"/>
    <mergeCell ref="K44:M44"/>
    <mergeCell ref="N44:P44"/>
    <mergeCell ref="Q9:S9"/>
    <mergeCell ref="T9:V9"/>
  </mergeCells>
  <conditionalFormatting sqref="H45:P47 H50:P52 W45:W48 S45:S50 C10:Y42">
    <cfRule type="cellIs" dxfId="5" priority="4" operator="between">
      <formula>0.00000000000000001</formula>
      <formula>-0.00000000000000001</formula>
    </cfRule>
  </conditionalFormatting>
  <conditionalFormatting sqref="E10:E42">
    <cfRule type="cellIs" dxfId="4" priority="3" operator="notEqual">
      <formula>0</formula>
    </cfRule>
  </conditionalFormatting>
  <conditionalFormatting sqref="AL2:AQ4">
    <cfRule type="cellIs" dxfId="3" priority="2" operator="between">
      <formula>0.0000001</formula>
      <formula>-0.0000001</formula>
    </cfRule>
  </conditionalFormatting>
  <conditionalFormatting sqref="AL18:AM23 AO18:AY23 AL2:AY17">
    <cfRule type="cellIs" dxfId="2" priority="1" operator="between">
      <formula>-0.000000000000000001</formula>
      <formula>0.000000000000000001</formula>
    </cfRule>
  </conditionalFormatting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DJ478"/>
  <sheetViews>
    <sheetView tabSelected="1" topLeftCell="CE25" zoomScaleNormal="100" workbookViewId="0">
      <selection activeCell="CP48" sqref="CP48"/>
    </sheetView>
  </sheetViews>
  <sheetFormatPr baseColWidth="10" defaultColWidth="11.42578125" defaultRowHeight="15" x14ac:dyDescent="0.25"/>
  <cols>
    <col min="1" max="1" width="11.5703125" bestFit="1" customWidth="1"/>
    <col min="2" max="2" width="9.7109375" customWidth="1"/>
    <col min="6" max="6" width="12" customWidth="1"/>
    <col min="12" max="12" width="13.42578125" bestFit="1" customWidth="1"/>
    <col min="13" max="13" width="13.5703125" bestFit="1" customWidth="1"/>
    <col min="15" max="17" width="11.42578125" style="169"/>
    <col min="22" max="22" width="14.5703125" bestFit="1" customWidth="1"/>
    <col min="24" max="26" width="11.42578125" customWidth="1"/>
    <col min="28" max="28" width="12.42578125" bestFit="1" customWidth="1"/>
    <col min="29" max="29" width="12.5703125" bestFit="1" customWidth="1"/>
    <col min="30" max="30" width="13.42578125" bestFit="1" customWidth="1"/>
    <col min="31" max="31" width="12" bestFit="1" customWidth="1"/>
    <col min="36" max="36" width="13.42578125" bestFit="1" customWidth="1"/>
    <col min="41" max="41" width="11.42578125" style="169"/>
    <col min="48" max="48" width="12.42578125" bestFit="1" customWidth="1"/>
    <col min="49" max="49" width="12.5703125" bestFit="1" customWidth="1"/>
    <col min="50" max="50" width="13.42578125" bestFit="1" customWidth="1"/>
    <col min="51" max="51" width="12" bestFit="1" customWidth="1"/>
    <col min="56" max="56" width="13.42578125" bestFit="1" customWidth="1"/>
    <col min="86" max="86" width="11.5703125" customWidth="1"/>
    <col min="87" max="87" width="14.28515625" customWidth="1"/>
    <col min="103" max="103" width="11.42578125" customWidth="1"/>
  </cols>
  <sheetData>
    <row r="1" spans="1:90" x14ac:dyDescent="0.25">
      <c r="A1" s="279" t="s">
        <v>50</v>
      </c>
      <c r="B1" s="279"/>
      <c r="C1" s="279"/>
      <c r="D1" s="279"/>
      <c r="I1" s="279" t="s">
        <v>369</v>
      </c>
      <c r="J1" s="279"/>
      <c r="K1" s="206"/>
      <c r="L1" s="206"/>
      <c r="M1" s="206"/>
      <c r="N1" s="206"/>
      <c r="AM1" s="138" t="s">
        <v>231</v>
      </c>
      <c r="AN1" s="138"/>
      <c r="AO1" s="179"/>
      <c r="AS1" s="139" t="s">
        <v>356</v>
      </c>
      <c r="AT1" s="139"/>
      <c r="AU1" s="139"/>
      <c r="AV1" s="140"/>
      <c r="AW1" s="141" t="s">
        <v>357</v>
      </c>
      <c r="AX1" s="118"/>
      <c r="AY1" s="118"/>
      <c r="BB1" s="118"/>
      <c r="CH1" s="117"/>
      <c r="CI1" s="117"/>
      <c r="CJ1" s="117"/>
      <c r="CK1" s="117"/>
      <c r="CL1" s="117"/>
    </row>
    <row r="2" spans="1:90" x14ac:dyDescent="0.25">
      <c r="A2" s="280" t="s">
        <v>51</v>
      </c>
      <c r="B2" s="280"/>
      <c r="C2" s="29">
        <v>168960</v>
      </c>
      <c r="D2" t="s">
        <v>52</v>
      </c>
      <c r="F2" t="s">
        <v>457</v>
      </c>
      <c r="G2">
        <f>IF(E7="UTS50",0.92,IF(E7="IMS65",0.44,IF(E7="AS7",0.76,IF(E7="HTS40",0.74,IF(E7="T1100G",0.54,"FEHLER")))))</f>
        <v>0.74</v>
      </c>
      <c r="I2" s="12"/>
      <c r="J2" s="12"/>
      <c r="K2" s="12"/>
      <c r="L2" s="12"/>
      <c r="AM2" t="s">
        <v>232</v>
      </c>
      <c r="AN2" t="s">
        <v>233</v>
      </c>
      <c r="AO2" s="169" t="s">
        <v>234</v>
      </c>
      <c r="AP2" t="s">
        <v>235</v>
      </c>
      <c r="AQ2" t="s">
        <v>236</v>
      </c>
      <c r="AR2" t="s">
        <v>237</v>
      </c>
      <c r="AS2" s="112" t="s">
        <v>238</v>
      </c>
      <c r="AT2" t="s">
        <v>239</v>
      </c>
      <c r="AU2" t="s">
        <v>353</v>
      </c>
      <c r="AV2" t="s">
        <v>240</v>
      </c>
      <c r="AW2" s="116" t="s">
        <v>238</v>
      </c>
      <c r="AX2" s="117" t="s">
        <v>239</v>
      </c>
      <c r="AY2" s="117" t="s">
        <v>364</v>
      </c>
      <c r="BB2" s="117"/>
      <c r="CH2" s="117"/>
      <c r="CI2" s="211" t="s">
        <v>461</v>
      </c>
      <c r="CJ2" s="211"/>
      <c r="CK2" s="211"/>
      <c r="CL2" s="117"/>
    </row>
    <row r="3" spans="1:90" x14ac:dyDescent="0.25">
      <c r="A3" s="281" t="s">
        <v>241</v>
      </c>
      <c r="B3" s="281"/>
      <c r="C3" s="204">
        <v>1133</v>
      </c>
      <c r="D3" s="131" t="s">
        <v>63</v>
      </c>
      <c r="I3" s="282" t="s">
        <v>370</v>
      </c>
      <c r="J3" s="282"/>
      <c r="K3" s="207" t="s">
        <v>272</v>
      </c>
      <c r="L3" s="207" t="s">
        <v>371</v>
      </c>
      <c r="AM3" s="243" t="s">
        <v>242</v>
      </c>
      <c r="AN3" s="243">
        <v>0.33400000000000002</v>
      </c>
      <c r="AO3" s="275">
        <v>390</v>
      </c>
      <c r="AP3" s="8">
        <f>E51</f>
        <v>85.5</v>
      </c>
      <c r="AQ3" s="273">
        <f>6*AN3/AO3^2</f>
        <v>1.3175542406311636E-5</v>
      </c>
      <c r="AR3" s="39">
        <f>AQ3*AP3</f>
        <v>1.1265088757396449E-3</v>
      </c>
      <c r="AS3" s="113">
        <f>BerechnungenCLT!F$3*BerechnungenCLT!AC$15*'Berechnung freier Bereich'!AR3+BerechnungenCLT!G$3*BerechnungenCLT!AC$16*'Berechnung freier Bereich'!AR3+BerechnungenCLT!H$3*BerechnungenCLT!AC$17*'Berechnung freier Bereich'!AR3</f>
        <v>83.055018483699371</v>
      </c>
      <c r="AT3" s="274">
        <f>C$3/C$8*C6</f>
        <v>188.83333333333334</v>
      </c>
      <c r="AU3" s="8">
        <f>AS3+AT3</f>
        <v>271.88835181703269</v>
      </c>
      <c r="AV3" s="17">
        <f>C$3/AU3*$C$6</f>
        <v>1.041787918117997</v>
      </c>
      <c r="AW3" s="119">
        <f>AR3*$C$14</f>
        <v>225.30177514792896</v>
      </c>
      <c r="AX3" s="120" t="e">
        <f>($C$2*1000*2*AP3)/(PI()*((AP3^4)-(C51^4)))</f>
        <v>#DIV/0!</v>
      </c>
      <c r="AY3" s="121" t="e">
        <f>SQRT(AW3^2+3*AX3^2)</f>
        <v>#DIV/0!</v>
      </c>
      <c r="BB3" s="117"/>
      <c r="CH3" s="117"/>
      <c r="CI3" s="117" t="s">
        <v>462</v>
      </c>
      <c r="CJ3" s="117">
        <v>45</v>
      </c>
      <c r="CK3" s="117" t="s">
        <v>463</v>
      </c>
      <c r="CL3" s="117"/>
    </row>
    <row r="4" spans="1:90" x14ac:dyDescent="0.25">
      <c r="A4" s="281" t="s">
        <v>243</v>
      </c>
      <c r="B4" s="281"/>
      <c r="C4" s="205">
        <v>0.6</v>
      </c>
      <c r="D4" s="131"/>
      <c r="F4" t="s">
        <v>458</v>
      </c>
      <c r="G4">
        <f>2*(1+G2)/4</f>
        <v>0.87</v>
      </c>
      <c r="I4" s="282" t="str">
        <f>A21</f>
        <v>Konisch</v>
      </c>
      <c r="J4" s="282"/>
      <c r="K4" s="142" t="e">
        <f ca="1">F45</f>
        <v>#NAME?</v>
      </c>
      <c r="L4" s="143" t="e">
        <f ca="1">K45</f>
        <v>#NAME?</v>
      </c>
      <c r="AM4" s="243"/>
      <c r="AN4" s="243"/>
      <c r="AO4" s="275"/>
      <c r="AP4" s="8">
        <v>150</v>
      </c>
      <c r="AQ4" s="273"/>
      <c r="AR4" s="39">
        <f>AQ3*AP4</f>
        <v>1.9763313609467456E-3</v>
      </c>
      <c r="AS4" s="113">
        <f>BerechnungenCLT!F$3*BerechnungenCLT!AC$15*'Berechnung freier Bereich'!AR4+BerechnungenCLT!G$3*BerechnungenCLT!AC$16*'Berechnung freier Bereich'!AR4+BerechnungenCLT!H$3*BerechnungenCLT!AC$17*'Berechnung freier Bereich'!AR4</f>
        <v>145.71055874333223</v>
      </c>
      <c r="AT4" s="274"/>
      <c r="AU4" s="8">
        <f>AS4+AT3</f>
        <v>334.54389207666554</v>
      </c>
      <c r="AV4" s="17">
        <f>C$3/AU4*$C$6</f>
        <v>0.84667514998327686</v>
      </c>
      <c r="AW4" s="119">
        <f>AR4*$C$14</f>
        <v>395.26627218934914</v>
      </c>
      <c r="AX4" s="120">
        <f>($C$2*1000*2*AP4)/(PI()*((AP4^4)-((VLOOKUP(390.3,$B$51:$C$441,2))^4)))</f>
        <v>153.13750307060644</v>
      </c>
      <c r="AY4" s="121">
        <f t="shared" ref="AY4:AY6" si="0">SQRT(AW4^2+3*AX4^2)</f>
        <v>476.013351147386</v>
      </c>
      <c r="BB4" s="117"/>
      <c r="CH4" s="117"/>
      <c r="CI4" s="212" t="s">
        <v>464</v>
      </c>
      <c r="CJ4" s="212">
        <v>72</v>
      </c>
      <c r="CK4" s="117"/>
      <c r="CL4" s="117"/>
    </row>
    <row r="5" spans="1:90" x14ac:dyDescent="0.25">
      <c r="A5" s="281" t="s">
        <v>244</v>
      </c>
      <c r="B5" s="281"/>
      <c r="C5" s="205">
        <v>1.2</v>
      </c>
      <c r="D5" s="131"/>
      <c r="I5" s="282" t="str">
        <f>AA21</f>
        <v>Gestuft</v>
      </c>
      <c r="J5" s="282"/>
      <c r="K5" s="142" t="e">
        <f ca="1">AE45</f>
        <v>#NAME?</v>
      </c>
      <c r="L5" s="143" t="e">
        <f ca="1">AJ45</f>
        <v>#NAME?</v>
      </c>
      <c r="AM5" s="243" t="s">
        <v>245</v>
      </c>
      <c r="AN5" s="243">
        <v>1.2199999999999999E-3</v>
      </c>
      <c r="AO5" s="275"/>
      <c r="AP5" s="8">
        <f>AP3</f>
        <v>85.5</v>
      </c>
      <c r="AQ5" s="273">
        <f>4/$AO$3*AN5</f>
        <v>1.2512820512820512E-5</v>
      </c>
      <c r="AR5" s="39">
        <f>AQ5*AP5</f>
        <v>1.0698461538461539E-3</v>
      </c>
      <c r="AS5" s="113">
        <f>BerechnungenCLT!F$3*BerechnungenCLT!AC$15*'Berechnung freier Bereich'!AR5+BerechnungenCLT!G$3*BerechnungenCLT!AC$16*'Berechnung freier Bereich'!AR5+BerechnungenCLT!H$3*BerechnungenCLT!AC$17*'Berechnung freier Bereich'!AR5</f>
        <v>78.877400787513295</v>
      </c>
      <c r="AT5" s="274">
        <f>C$3/C$8*C6</f>
        <v>188.83333333333334</v>
      </c>
      <c r="AU5" s="8">
        <f>AS5+AT5</f>
        <v>267.71073412084661</v>
      </c>
      <c r="AV5" s="17">
        <f>C$3/AU5*$C$6</f>
        <v>1.0580449862430203</v>
      </c>
      <c r="AW5" s="119">
        <f>AR5*$C$14</f>
        <v>213.96923076923076</v>
      </c>
      <c r="AX5" s="120">
        <f>($C$2*1000*2*AP5)/(PI()*((AP5^4)-(C53^4)))</f>
        <v>2397499.9869581484</v>
      </c>
      <c r="AY5" s="121">
        <f t="shared" si="0"/>
        <v>4152591.7940697949</v>
      </c>
      <c r="BB5" s="117"/>
      <c r="CH5" s="117"/>
      <c r="CI5" s="212" t="s">
        <v>465</v>
      </c>
      <c r="CJ5" s="212">
        <v>7</v>
      </c>
      <c r="CK5" s="212" t="s">
        <v>93</v>
      </c>
      <c r="CL5" s="117"/>
    </row>
    <row r="6" spans="1:90" x14ac:dyDescent="0.25">
      <c r="A6" s="281" t="s">
        <v>246</v>
      </c>
      <c r="B6" s="281"/>
      <c r="C6" s="131">
        <f>0.5*C4/C5</f>
        <v>0.25</v>
      </c>
      <c r="D6" s="131"/>
      <c r="G6" s="117"/>
      <c r="H6" s="117"/>
      <c r="I6" s="282" t="str">
        <f>AU21</f>
        <v>Konvex</v>
      </c>
      <c r="J6" s="282"/>
      <c r="K6" s="142" t="e">
        <f ca="1">AY45</f>
        <v>#NAME?</v>
      </c>
      <c r="L6" s="143" t="e">
        <f ca="1">BD45</f>
        <v>#NAME?</v>
      </c>
      <c r="AM6" s="243"/>
      <c r="AN6" s="243"/>
      <c r="AO6" s="275"/>
      <c r="AP6" s="8">
        <f>AP4</f>
        <v>150</v>
      </c>
      <c r="AQ6" s="273"/>
      <c r="AR6" s="39">
        <f>AQ5*AP6</f>
        <v>1.8769230769230768E-3</v>
      </c>
      <c r="AS6" s="113">
        <f>BerechnungenCLT!F$3*BerechnungenCLT!AC$15*'Berechnung freier Bereich'!AR6+BerechnungenCLT!G$3*BerechnungenCLT!AC$16*'Berechnung freier Bereich'!AR6+BerechnungenCLT!H$3*BerechnungenCLT!AC$17*'Berechnung freier Bereich'!AR6</f>
        <v>138.3814048903742</v>
      </c>
      <c r="AT6" s="274"/>
      <c r="AU6" s="8">
        <f>AS6+AT5</f>
        <v>327.21473822370751</v>
      </c>
      <c r="AV6" s="17">
        <f>C$3/AU6*$C$6</f>
        <v>0.86563949270020335</v>
      </c>
      <c r="AW6" s="119">
        <f>AR6*$C$14</f>
        <v>375.38461538461536</v>
      </c>
      <c r="AX6" s="120">
        <f>($C$2*1000*2*AP6)/(PI()*((AP6^4)-((VLOOKUP(390.3,$B$51:$C$441,2))^4)))</f>
        <v>153.13750307060644</v>
      </c>
      <c r="AY6" s="121">
        <f t="shared" si="0"/>
        <v>459.63778566122647</v>
      </c>
      <c r="BB6" s="117"/>
      <c r="CH6" s="117"/>
      <c r="CI6" t="s">
        <v>478</v>
      </c>
      <c r="CJ6">
        <v>3300</v>
      </c>
      <c r="CK6" s="117" t="s">
        <v>479</v>
      </c>
      <c r="CL6" s="117"/>
    </row>
    <row r="7" spans="1:90" x14ac:dyDescent="0.25">
      <c r="A7" s="280" t="s">
        <v>490</v>
      </c>
      <c r="B7" s="280"/>
      <c r="C7" s="124">
        <f>IF(E7="IMS65",2*380/C8,IF(E7="HTS40",2*473.2/C8,IF(E7="T1100G",2*446.5/C8,IF(E7="AS7",2*392.1/C8,"Fehler"))))</f>
        <v>630.93333333333328</v>
      </c>
      <c r="D7" t="s">
        <v>63</v>
      </c>
      <c r="E7" s="124" t="s">
        <v>459</v>
      </c>
      <c r="G7" s="117"/>
      <c r="H7" s="117"/>
      <c r="I7" s="276" t="str">
        <f>BO21</f>
        <v>Konkav</v>
      </c>
      <c r="J7" s="276"/>
      <c r="K7" s="200" t="e">
        <f ca="1">BS45</f>
        <v>#NAME?</v>
      </c>
      <c r="L7" s="208" t="e">
        <f ca="1">BX45</f>
        <v>#NAME?</v>
      </c>
      <c r="CH7" s="117"/>
      <c r="CI7" s="117" t="s">
        <v>466</v>
      </c>
      <c r="CJ7" s="117">
        <v>0.6</v>
      </c>
      <c r="CK7" s="117"/>
      <c r="CL7" s="117"/>
    </row>
    <row r="8" spans="1:90" x14ac:dyDescent="0.25">
      <c r="A8" s="283" t="s">
        <v>247</v>
      </c>
      <c r="B8" s="283"/>
      <c r="C8" s="232">
        <v>1.5</v>
      </c>
      <c r="E8" s="17"/>
      <c r="G8" s="117"/>
      <c r="H8" s="117"/>
      <c r="I8" s="117"/>
      <c r="J8" s="117"/>
      <c r="CH8" s="117"/>
      <c r="CI8" s="226" t="s">
        <v>481</v>
      </c>
      <c r="CJ8" s="226">
        <v>0.6</v>
      </c>
      <c r="CK8" s="226" t="s">
        <v>93</v>
      </c>
      <c r="CL8" s="117"/>
    </row>
    <row r="9" spans="1:90" x14ac:dyDescent="0.25">
      <c r="A9" s="280" t="s">
        <v>248</v>
      </c>
      <c r="B9" s="280"/>
      <c r="C9" s="109">
        <f>BerechnungenCLT!W45</f>
        <v>9170.1698896418766</v>
      </c>
      <c r="D9" t="s">
        <v>63</v>
      </c>
      <c r="G9" s="117"/>
      <c r="H9" s="117"/>
      <c r="CH9" s="117"/>
      <c r="CI9" s="226" t="s">
        <v>482</v>
      </c>
      <c r="CJ9" s="226">
        <v>1.77</v>
      </c>
      <c r="CK9" s="226" t="s">
        <v>250</v>
      </c>
      <c r="CL9" s="117"/>
    </row>
    <row r="10" spans="1:90" x14ac:dyDescent="0.25">
      <c r="A10" s="280" t="s">
        <v>249</v>
      </c>
      <c r="B10" s="280"/>
      <c r="C10" s="38">
        <v>1.7</v>
      </c>
      <c r="D10" t="s">
        <v>250</v>
      </c>
      <c r="G10" s="117"/>
      <c r="H10" s="117"/>
    </row>
    <row r="11" spans="1:90" x14ac:dyDescent="0.25">
      <c r="A11" s="280" t="s">
        <v>361</v>
      </c>
      <c r="B11" s="280"/>
      <c r="C11" s="29">
        <v>184979</v>
      </c>
      <c r="D11" t="s">
        <v>81</v>
      </c>
      <c r="E11">
        <v>133201</v>
      </c>
    </row>
    <row r="12" spans="1:90" x14ac:dyDescent="0.25">
      <c r="A12" s="280"/>
      <c r="B12" s="280"/>
      <c r="C12" t="s">
        <v>32</v>
      </c>
    </row>
    <row r="13" spans="1:90" x14ac:dyDescent="0.25">
      <c r="A13" s="280" t="s">
        <v>251</v>
      </c>
      <c r="B13" s="280"/>
      <c r="C13" s="29">
        <v>900</v>
      </c>
      <c r="D13" t="s">
        <v>63</v>
      </c>
    </row>
    <row r="14" spans="1:90" x14ac:dyDescent="0.25">
      <c r="A14" s="280" t="s">
        <v>252</v>
      </c>
      <c r="B14" s="280" t="s">
        <v>252</v>
      </c>
      <c r="C14" s="29">
        <v>200000</v>
      </c>
      <c r="D14" t="s">
        <v>63</v>
      </c>
    </row>
    <row r="15" spans="1:90" x14ac:dyDescent="0.25">
      <c r="A15" s="115"/>
      <c r="B15" s="115" t="s">
        <v>362</v>
      </c>
      <c r="C15" s="124">
        <v>0.25</v>
      </c>
    </row>
    <row r="16" spans="1:90" x14ac:dyDescent="0.25">
      <c r="A16" s="49"/>
      <c r="B16" s="49" t="s">
        <v>359</v>
      </c>
      <c r="C16" s="109">
        <f>C14/(2*(1+C15))</f>
        <v>80000</v>
      </c>
      <c r="D16" t="s">
        <v>63</v>
      </c>
    </row>
    <row r="17" spans="1:90" x14ac:dyDescent="0.25">
      <c r="A17" s="280" t="s">
        <v>253</v>
      </c>
      <c r="B17" s="280"/>
      <c r="C17" s="38">
        <v>7.8</v>
      </c>
      <c r="D17" t="s">
        <v>250</v>
      </c>
    </row>
    <row r="18" spans="1:90" x14ac:dyDescent="0.25">
      <c r="A18" s="280" t="s">
        <v>380</v>
      </c>
      <c r="B18" s="280"/>
      <c r="C18">
        <v>1</v>
      </c>
    </row>
    <row r="19" spans="1:90" s="26" customFormat="1" x14ac:dyDescent="0.25">
      <c r="A19" s="26" t="s">
        <v>368</v>
      </c>
      <c r="O19" s="170"/>
      <c r="P19" s="170"/>
      <c r="Q19" s="170"/>
      <c r="AO19" s="170"/>
    </row>
    <row r="21" spans="1:90" x14ac:dyDescent="0.25">
      <c r="A21" s="277" t="s">
        <v>33</v>
      </c>
      <c r="B21" s="277"/>
      <c r="Y21" s="199"/>
      <c r="Z21" s="199"/>
      <c r="AA21" s="277" t="s">
        <v>254</v>
      </c>
      <c r="AB21" s="277"/>
      <c r="AC21" s="277"/>
      <c r="AU21" s="277" t="s">
        <v>448</v>
      </c>
      <c r="AV21" s="277"/>
      <c r="BO21" s="277" t="s">
        <v>447</v>
      </c>
      <c r="BP21" s="277"/>
      <c r="CI21" s="277" t="s">
        <v>444</v>
      </c>
      <c r="CJ21" s="277"/>
    </row>
    <row r="22" spans="1:90" x14ac:dyDescent="0.25">
      <c r="C22" t="s">
        <v>255</v>
      </c>
      <c r="D22" t="s">
        <v>256</v>
      </c>
      <c r="AB22" t="s">
        <v>255</v>
      </c>
      <c r="AC22" t="s">
        <v>256</v>
      </c>
      <c r="AV22" t="s">
        <v>255</v>
      </c>
      <c r="AW22" t="s">
        <v>256</v>
      </c>
      <c r="BP22" t="s">
        <v>255</v>
      </c>
      <c r="BQ22" t="s">
        <v>256</v>
      </c>
      <c r="CK22" t="s">
        <v>255</v>
      </c>
      <c r="CL22" t="s">
        <v>256</v>
      </c>
    </row>
    <row r="23" spans="1:90" x14ac:dyDescent="0.25">
      <c r="B23">
        <v>1</v>
      </c>
      <c r="C23" s="38">
        <v>0</v>
      </c>
      <c r="D23" s="38">
        <v>85.5</v>
      </c>
      <c r="AA23">
        <v>1</v>
      </c>
      <c r="AB23" s="29">
        <v>0</v>
      </c>
      <c r="AC23" s="29">
        <v>85.5</v>
      </c>
      <c r="AU23">
        <v>1</v>
      </c>
      <c r="AV23" s="29">
        <v>0</v>
      </c>
      <c r="AW23" s="29">
        <v>85.5</v>
      </c>
      <c r="BO23">
        <v>1</v>
      </c>
      <c r="BP23" s="29">
        <v>0</v>
      </c>
      <c r="BQ23" s="38">
        <v>85.5</v>
      </c>
      <c r="CJ23">
        <v>1</v>
      </c>
      <c r="CK23" s="29">
        <v>0</v>
      </c>
      <c r="CL23" s="38">
        <v>85.5</v>
      </c>
    </row>
    <row r="24" spans="1:90" x14ac:dyDescent="0.25">
      <c r="B24">
        <v>2</v>
      </c>
      <c r="C24" s="38">
        <f>(C$26-C$23)/3+C23</f>
        <v>20</v>
      </c>
      <c r="D24" s="38">
        <v>85.51</v>
      </c>
      <c r="V24" t="s">
        <v>376</v>
      </c>
      <c r="AA24">
        <v>2</v>
      </c>
      <c r="AB24" s="29">
        <f>(AB$26-AB$23)/3+AB23</f>
        <v>15</v>
      </c>
      <c r="AC24" s="29">
        <f>(AC$26-AC$23)/3+AC23</f>
        <v>85.5</v>
      </c>
      <c r="AU24">
        <v>2</v>
      </c>
      <c r="AV24" s="29">
        <f>(AV$26-AV$23)/3+AV23</f>
        <v>15</v>
      </c>
      <c r="AW24" s="29">
        <f>(AW$26-AW$23)/3+AW23</f>
        <v>85.5</v>
      </c>
      <c r="BO24">
        <v>2</v>
      </c>
      <c r="BP24" s="29">
        <f>(BP$26-BP$23)/3+BP23</f>
        <v>15</v>
      </c>
      <c r="BQ24" s="38">
        <f>(BQ$26-BQ$23)/3+BQ23</f>
        <v>85.5</v>
      </c>
      <c r="CJ24">
        <v>2</v>
      </c>
      <c r="CK24" s="29">
        <f>(CK$26-CK$23)/3+CK23</f>
        <v>43.333333333333336</v>
      </c>
      <c r="CL24" s="38">
        <f>(CL$26-CL$23)/3+CL23</f>
        <v>85.5</v>
      </c>
    </row>
    <row r="25" spans="1:90" x14ac:dyDescent="0.25">
      <c r="B25">
        <v>3</v>
      </c>
      <c r="C25" s="38">
        <f>(C$26-C$23)/3+C24</f>
        <v>40</v>
      </c>
      <c r="D25" s="38">
        <v>85.52</v>
      </c>
      <c r="V25" t="s">
        <v>375</v>
      </c>
      <c r="W25" s="17" t="e">
        <f>C11*C34^3/(3*C14*G51)</f>
        <v>#DIV/0!</v>
      </c>
      <c r="AA25">
        <v>3</v>
      </c>
      <c r="AB25" s="29">
        <f>(AB$26-AB$23)/3+AB24</f>
        <v>30</v>
      </c>
      <c r="AC25" s="29">
        <f>(AC$26-AC$23)/3+AC24</f>
        <v>85.5</v>
      </c>
      <c r="AU25">
        <v>3</v>
      </c>
      <c r="AV25" s="29">
        <f>(AV$26-AV$23)/3+AV24</f>
        <v>30</v>
      </c>
      <c r="AW25" s="29">
        <f>(AW$26-AW$23)/3+AW24</f>
        <v>85.5</v>
      </c>
      <c r="BO25">
        <v>3</v>
      </c>
      <c r="BP25" s="29">
        <f>(BP$26-BP$23)/3+BP24</f>
        <v>30</v>
      </c>
      <c r="BQ25" s="38">
        <f>(BQ$26-BQ$23)/3+BQ24</f>
        <v>85.5</v>
      </c>
      <c r="CJ25">
        <v>3</v>
      </c>
      <c r="CK25" s="29">
        <f>(CK$26-CK$23)/3+CK24</f>
        <v>86.666666666666671</v>
      </c>
      <c r="CL25" s="38">
        <f>(CL$26-CL$23)/3+CL24</f>
        <v>85.5</v>
      </c>
    </row>
    <row r="26" spans="1:90" x14ac:dyDescent="0.25">
      <c r="B26">
        <v>4</v>
      </c>
      <c r="C26" s="38">
        <v>60</v>
      </c>
      <c r="D26" s="38">
        <v>85.53</v>
      </c>
      <c r="V26" t="s">
        <v>374</v>
      </c>
      <c r="W26" s="123" t="e">
        <f>-C11*C34^2/(2*C14*G51)</f>
        <v>#DIV/0!</v>
      </c>
      <c r="AA26">
        <v>4</v>
      </c>
      <c r="AB26" s="29">
        <v>45</v>
      </c>
      <c r="AC26" s="29">
        <v>85.5</v>
      </c>
      <c r="AU26">
        <v>4</v>
      </c>
      <c r="AV26" s="29">
        <v>45</v>
      </c>
      <c r="AW26" s="29">
        <v>85.5</v>
      </c>
      <c r="BO26">
        <v>4</v>
      </c>
      <c r="BP26" s="29">
        <v>45</v>
      </c>
      <c r="BQ26" s="38">
        <v>85.5</v>
      </c>
      <c r="CJ26">
        <v>4</v>
      </c>
      <c r="CK26" s="29">
        <v>130</v>
      </c>
      <c r="CL26" s="38">
        <v>85.5</v>
      </c>
    </row>
    <row r="27" spans="1:90" x14ac:dyDescent="0.25">
      <c r="B27">
        <v>5</v>
      </c>
      <c r="C27" s="38">
        <v>105</v>
      </c>
      <c r="D27" s="38">
        <v>91.2</v>
      </c>
      <c r="V27" t="s">
        <v>372</v>
      </c>
      <c r="W27" s="17" t="e">
        <f>C11*C34*C34^2/(2*C14*G51)</f>
        <v>#DIV/0!</v>
      </c>
      <c r="AA27">
        <v>5</v>
      </c>
      <c r="AB27" s="29">
        <v>94.6</v>
      </c>
      <c r="AC27" s="29">
        <v>86</v>
      </c>
      <c r="AU27">
        <v>5</v>
      </c>
      <c r="AV27" s="29">
        <v>94.6</v>
      </c>
      <c r="AW27" s="29">
        <v>105</v>
      </c>
      <c r="BO27">
        <v>5</v>
      </c>
      <c r="BP27" s="29">
        <v>94.6</v>
      </c>
      <c r="BQ27" s="38">
        <v>86</v>
      </c>
      <c r="CJ27">
        <v>5</v>
      </c>
      <c r="CK27" s="29">
        <v>150</v>
      </c>
      <c r="CL27" s="38">
        <v>90</v>
      </c>
    </row>
    <row r="28" spans="1:90" x14ac:dyDescent="0.25">
      <c r="B28">
        <v>6</v>
      </c>
      <c r="C28" s="38">
        <v>150</v>
      </c>
      <c r="D28" s="38">
        <v>100</v>
      </c>
      <c r="V28" t="s">
        <v>373</v>
      </c>
      <c r="W28" s="123" t="e">
        <f>-C11*C34*C34/(C14*G51)</f>
        <v>#DIV/0!</v>
      </c>
      <c r="AA28">
        <v>6</v>
      </c>
      <c r="AB28" s="29">
        <v>135</v>
      </c>
      <c r="AC28" s="29">
        <v>88</v>
      </c>
      <c r="AU28">
        <v>6</v>
      </c>
      <c r="AV28" s="29">
        <v>135</v>
      </c>
      <c r="AW28" s="29">
        <v>115</v>
      </c>
      <c r="BO28">
        <v>6</v>
      </c>
      <c r="BP28" s="29">
        <v>150</v>
      </c>
      <c r="BQ28" s="38">
        <v>87</v>
      </c>
      <c r="CJ28">
        <v>6</v>
      </c>
      <c r="CK28" s="29">
        <v>190</v>
      </c>
      <c r="CL28" s="38">
        <v>120</v>
      </c>
    </row>
    <row r="29" spans="1:90" x14ac:dyDescent="0.25">
      <c r="B29">
        <v>7</v>
      </c>
      <c r="C29" s="38">
        <v>200</v>
      </c>
      <c r="D29" s="38">
        <v>111</v>
      </c>
      <c r="V29" t="s">
        <v>377</v>
      </c>
      <c r="W29">
        <v>0.57999999999999996</v>
      </c>
      <c r="AA29">
        <v>7</v>
      </c>
      <c r="AB29" s="29">
        <v>200</v>
      </c>
      <c r="AC29" s="29">
        <v>116</v>
      </c>
      <c r="AU29">
        <v>7</v>
      </c>
      <c r="AV29" s="29">
        <v>200</v>
      </c>
      <c r="AW29" s="29">
        <v>120</v>
      </c>
      <c r="BO29">
        <v>7</v>
      </c>
      <c r="BP29" s="29">
        <v>200</v>
      </c>
      <c r="BQ29" s="38">
        <v>92</v>
      </c>
      <c r="CJ29">
        <v>7</v>
      </c>
      <c r="CK29" s="29">
        <v>225</v>
      </c>
      <c r="CL29" s="38">
        <v>85.5</v>
      </c>
    </row>
    <row r="30" spans="1:90" x14ac:dyDescent="0.25">
      <c r="B30">
        <v>8</v>
      </c>
      <c r="C30" s="38">
        <v>240</v>
      </c>
      <c r="D30" s="38">
        <v>120.5</v>
      </c>
      <c r="V30" t="s">
        <v>379</v>
      </c>
      <c r="W30">
        <v>0.62</v>
      </c>
      <c r="AA30">
        <v>8</v>
      </c>
      <c r="AB30" s="29">
        <v>240</v>
      </c>
      <c r="AC30" s="29">
        <v>123</v>
      </c>
      <c r="AU30">
        <v>8</v>
      </c>
      <c r="AV30" s="29">
        <v>240</v>
      </c>
      <c r="AW30" s="29">
        <v>123</v>
      </c>
      <c r="BO30">
        <v>8</v>
      </c>
      <c r="BP30" s="29">
        <v>240</v>
      </c>
      <c r="BQ30" s="38">
        <v>105</v>
      </c>
      <c r="CJ30">
        <v>8</v>
      </c>
      <c r="CK30" s="29">
        <v>265</v>
      </c>
      <c r="CL30" s="38">
        <v>110</v>
      </c>
    </row>
    <row r="31" spans="1:90" x14ac:dyDescent="0.25">
      <c r="B31">
        <v>9</v>
      </c>
      <c r="C31" s="38">
        <v>268</v>
      </c>
      <c r="D31" s="38">
        <v>128.5</v>
      </c>
      <c r="AA31">
        <v>9</v>
      </c>
      <c r="AB31" s="29">
        <v>268.89999999999998</v>
      </c>
      <c r="AC31" s="29">
        <v>126</v>
      </c>
      <c r="AU31">
        <v>9</v>
      </c>
      <c r="AV31" s="29">
        <v>268.89999999999998</v>
      </c>
      <c r="AW31" s="29">
        <v>129</v>
      </c>
      <c r="BO31">
        <v>9</v>
      </c>
      <c r="BP31" s="29">
        <v>274</v>
      </c>
      <c r="BQ31" s="38">
        <v>129</v>
      </c>
      <c r="CJ31">
        <v>9</v>
      </c>
      <c r="CK31" s="29">
        <v>288</v>
      </c>
      <c r="CL31" s="38">
        <v>138</v>
      </c>
    </row>
    <row r="32" spans="1:90" x14ac:dyDescent="0.25">
      <c r="B32">
        <v>10</v>
      </c>
      <c r="C32" s="38">
        <v>302</v>
      </c>
      <c r="D32" s="38">
        <v>141.5</v>
      </c>
      <c r="AA32">
        <v>10</v>
      </c>
      <c r="AB32" s="29">
        <v>295.39999999999998</v>
      </c>
      <c r="AC32" s="29">
        <v>142</v>
      </c>
      <c r="AU32">
        <v>10</v>
      </c>
      <c r="AV32" s="29">
        <v>295.39999999999998</v>
      </c>
      <c r="AW32" s="29">
        <v>142</v>
      </c>
      <c r="BO32">
        <v>10</v>
      </c>
      <c r="BP32" s="29">
        <v>293</v>
      </c>
      <c r="BQ32" s="38">
        <v>138</v>
      </c>
      <c r="CJ32">
        <v>10</v>
      </c>
      <c r="CK32" s="29">
        <v>310</v>
      </c>
      <c r="CL32" s="38">
        <v>146</v>
      </c>
    </row>
    <row r="33" spans="1:108" x14ac:dyDescent="0.25">
      <c r="B33">
        <v>11</v>
      </c>
      <c r="C33" s="38">
        <v>310</v>
      </c>
      <c r="D33" s="38">
        <v>141.5</v>
      </c>
      <c r="V33" t="s">
        <v>378</v>
      </c>
      <c r="AA33">
        <v>11</v>
      </c>
      <c r="AB33" s="29">
        <v>310</v>
      </c>
      <c r="AC33" s="29">
        <v>142.6</v>
      </c>
      <c r="AU33">
        <v>11</v>
      </c>
      <c r="AV33" s="29">
        <v>310</v>
      </c>
      <c r="AW33" s="29">
        <v>142.6</v>
      </c>
      <c r="BO33">
        <v>11</v>
      </c>
      <c r="BP33" s="29">
        <v>310</v>
      </c>
      <c r="BQ33" s="38">
        <v>139.69999999999999</v>
      </c>
      <c r="CJ33">
        <v>11</v>
      </c>
      <c r="CK33" s="29">
        <v>350</v>
      </c>
      <c r="CL33" s="38">
        <v>146</v>
      </c>
    </row>
    <row r="34" spans="1:108" x14ac:dyDescent="0.25">
      <c r="B34">
        <v>12</v>
      </c>
      <c r="C34" s="38">
        <v>390.3</v>
      </c>
      <c r="D34" s="38">
        <v>141.5</v>
      </c>
      <c r="V34" t="s">
        <v>377</v>
      </c>
      <c r="W34">
        <v>0.77</v>
      </c>
      <c r="AA34">
        <v>12</v>
      </c>
      <c r="AB34" s="29">
        <v>390.3</v>
      </c>
      <c r="AC34" s="29">
        <v>145.9</v>
      </c>
      <c r="AU34">
        <v>12</v>
      </c>
      <c r="AV34" s="29">
        <v>390.3</v>
      </c>
      <c r="AW34" s="29">
        <v>145.9</v>
      </c>
      <c r="BO34">
        <v>12</v>
      </c>
      <c r="BP34" s="29">
        <v>390.3</v>
      </c>
      <c r="BQ34" s="38">
        <v>145.9</v>
      </c>
      <c r="CJ34">
        <v>12</v>
      </c>
      <c r="CK34" s="29">
        <v>390.3</v>
      </c>
      <c r="CL34" s="38">
        <v>146</v>
      </c>
    </row>
    <row r="35" spans="1:108" x14ac:dyDescent="0.25">
      <c r="V35" t="s">
        <v>379</v>
      </c>
      <c r="W35">
        <v>0.77</v>
      </c>
      <c r="DA35" t="s">
        <v>257</v>
      </c>
    </row>
    <row r="36" spans="1:108" x14ac:dyDescent="0.25">
      <c r="V36" t="s">
        <v>381</v>
      </c>
      <c r="W36">
        <v>0.3</v>
      </c>
    </row>
    <row r="37" spans="1:108" x14ac:dyDescent="0.25">
      <c r="C37" s="9"/>
      <c r="D37" s="9"/>
      <c r="AB37" s="9"/>
      <c r="AC37" s="9"/>
    </row>
    <row r="43" spans="1:108" x14ac:dyDescent="0.25">
      <c r="D43" s="1"/>
      <c r="E43" s="1"/>
      <c r="I43" s="278" t="s">
        <v>363</v>
      </c>
      <c r="J43" s="278"/>
      <c r="K43" s="278"/>
      <c r="L43" s="278"/>
      <c r="M43" s="278"/>
      <c r="O43" s="278" t="s">
        <v>258</v>
      </c>
      <c r="P43" s="278"/>
      <c r="Q43" s="278"/>
      <c r="R43" s="278"/>
      <c r="S43" s="278"/>
      <c r="T43" s="278"/>
      <c r="U43" s="278"/>
      <c r="V43" s="278"/>
      <c r="W43" s="278"/>
      <c r="X43" s="278"/>
      <c r="Y43" s="278"/>
      <c r="AC43" s="134"/>
      <c r="AD43" s="134"/>
      <c r="AH43" s="278" t="s">
        <v>367</v>
      </c>
      <c r="AI43" s="278"/>
      <c r="AJ43" s="278"/>
      <c r="AK43" s="278"/>
      <c r="AL43" s="278"/>
      <c r="AW43" s="134"/>
      <c r="AX43" s="134"/>
      <c r="BB43" s="278" t="s">
        <v>445</v>
      </c>
      <c r="BC43" s="278"/>
      <c r="BD43" s="278"/>
      <c r="BE43" s="278"/>
      <c r="BF43" s="278"/>
      <c r="BQ43" s="134"/>
      <c r="BR43" s="134"/>
      <c r="BV43" s="278" t="s">
        <v>446</v>
      </c>
      <c r="BW43" s="278"/>
      <c r="BX43" s="278"/>
      <c r="BY43" s="278"/>
      <c r="BZ43" s="278"/>
      <c r="CL43" s="198"/>
      <c r="CM43" s="198"/>
      <c r="CQ43" s="251"/>
      <c r="CR43" s="251"/>
      <c r="CS43" s="251" t="s">
        <v>474</v>
      </c>
      <c r="CT43" s="251"/>
      <c r="CU43" s="251"/>
      <c r="CV43" s="251" t="s">
        <v>475</v>
      </c>
      <c r="CW43" s="251"/>
      <c r="CX43" s="139"/>
      <c r="DA43" s="251" t="s">
        <v>494</v>
      </c>
      <c r="DB43" s="251"/>
      <c r="DC43" s="251"/>
    </row>
    <row r="44" spans="1:108" x14ac:dyDescent="0.25">
      <c r="B44" t="s">
        <v>259</v>
      </c>
      <c r="C44" s="1" t="s">
        <v>260</v>
      </c>
      <c r="D44" s="1" t="s">
        <v>148</v>
      </c>
      <c r="E44" s="1" t="s">
        <v>261</v>
      </c>
      <c r="F44" s="1" t="s">
        <v>262</v>
      </c>
      <c r="G44" s="1" t="s">
        <v>263</v>
      </c>
      <c r="H44" s="114" t="s">
        <v>366</v>
      </c>
      <c r="I44" s="1" t="s">
        <v>264</v>
      </c>
      <c r="J44" s="1" t="s">
        <v>265</v>
      </c>
      <c r="K44" s="1" t="s">
        <v>266</v>
      </c>
      <c r="L44" s="1" t="s">
        <v>237</v>
      </c>
      <c r="M44" s="48" t="s">
        <v>358</v>
      </c>
      <c r="N44" s="48" t="s">
        <v>389</v>
      </c>
      <c r="O44" s="144" t="s">
        <v>385</v>
      </c>
      <c r="P44" s="144" t="s">
        <v>384</v>
      </c>
      <c r="Q44" s="144"/>
      <c r="R44" s="1" t="s">
        <v>264</v>
      </c>
      <c r="S44" s="1" t="s">
        <v>265</v>
      </c>
      <c r="T44" s="1" t="s">
        <v>266</v>
      </c>
      <c r="U44" s="1" t="s">
        <v>237</v>
      </c>
      <c r="V44" s="48" t="s">
        <v>358</v>
      </c>
      <c r="W44" s="1" t="s">
        <v>365</v>
      </c>
      <c r="AA44" s="131"/>
      <c r="AB44" s="134" t="s">
        <v>260</v>
      </c>
      <c r="AC44" s="134" t="s">
        <v>148</v>
      </c>
      <c r="AD44" s="134" t="s">
        <v>261</v>
      </c>
      <c r="AE44" s="134" t="s">
        <v>262</v>
      </c>
      <c r="AF44" s="134" t="s">
        <v>263</v>
      </c>
      <c r="AG44" s="134" t="s">
        <v>366</v>
      </c>
      <c r="AH44" s="134" t="s">
        <v>264</v>
      </c>
      <c r="AI44" s="134" t="s">
        <v>265</v>
      </c>
      <c r="AJ44" s="134" t="s">
        <v>266</v>
      </c>
      <c r="AK44" s="134" t="s">
        <v>237</v>
      </c>
      <c r="AL44" s="134" t="s">
        <v>358</v>
      </c>
      <c r="AM44" s="134" t="s">
        <v>360</v>
      </c>
      <c r="AN44" s="144" t="s">
        <v>385</v>
      </c>
      <c r="AO44" s="171" t="s">
        <v>384</v>
      </c>
      <c r="AP44" s="131"/>
      <c r="AQ44" s="131"/>
      <c r="AR44" s="131"/>
      <c r="AS44" s="131"/>
      <c r="AT44" s="131"/>
      <c r="AU44" s="131"/>
      <c r="AV44" s="134" t="s">
        <v>260</v>
      </c>
      <c r="AW44" s="134" t="s">
        <v>148</v>
      </c>
      <c r="AX44" s="134" t="s">
        <v>261</v>
      </c>
      <c r="AY44" s="134" t="s">
        <v>262</v>
      </c>
      <c r="AZ44" s="134" t="s">
        <v>263</v>
      </c>
      <c r="BA44" s="134" t="s">
        <v>366</v>
      </c>
      <c r="BB44" s="134" t="s">
        <v>264</v>
      </c>
      <c r="BC44" s="134" t="s">
        <v>265</v>
      </c>
      <c r="BD44" s="134" t="s">
        <v>266</v>
      </c>
      <c r="BE44" s="134" t="s">
        <v>237</v>
      </c>
      <c r="BF44" s="134" t="s">
        <v>358</v>
      </c>
      <c r="BG44" s="134" t="s">
        <v>360</v>
      </c>
      <c r="BH44" s="144" t="s">
        <v>385</v>
      </c>
      <c r="BI44" s="144" t="s">
        <v>384</v>
      </c>
      <c r="BN44" s="131"/>
      <c r="BO44" s="131"/>
      <c r="BP44" s="134" t="s">
        <v>260</v>
      </c>
      <c r="BQ44" s="134" t="s">
        <v>148</v>
      </c>
      <c r="BR44" s="134" t="s">
        <v>261</v>
      </c>
      <c r="BS44" s="134" t="s">
        <v>262</v>
      </c>
      <c r="BT44" s="134" t="s">
        <v>263</v>
      </c>
      <c r="BU44" s="134" t="s">
        <v>366</v>
      </c>
      <c r="BV44" s="134" t="s">
        <v>264</v>
      </c>
      <c r="BW44" s="134" t="s">
        <v>265</v>
      </c>
      <c r="BX44" s="134" t="s">
        <v>266</v>
      </c>
      <c r="BY44" s="134" t="s">
        <v>237</v>
      </c>
      <c r="BZ44" s="134" t="s">
        <v>358</v>
      </c>
      <c r="CA44" s="134" t="s">
        <v>360</v>
      </c>
      <c r="CB44" s="144" t="s">
        <v>385</v>
      </c>
      <c r="CC44" s="144" t="s">
        <v>384</v>
      </c>
      <c r="CI44" s="131"/>
      <c r="CJ44" s="131"/>
      <c r="CK44" s="198" t="s">
        <v>260</v>
      </c>
      <c r="CL44" s="198" t="s">
        <v>148</v>
      </c>
      <c r="CM44" s="198" t="s">
        <v>261</v>
      </c>
      <c r="CN44" s="198" t="s">
        <v>262</v>
      </c>
      <c r="CO44" s="198" t="s">
        <v>385</v>
      </c>
      <c r="CP44" s="198" t="s">
        <v>384</v>
      </c>
      <c r="CQ44" s="209"/>
      <c r="CR44" s="209" t="s">
        <v>460</v>
      </c>
      <c r="CS44" s="210" t="s">
        <v>467</v>
      </c>
      <c r="CT44" s="210" t="s">
        <v>148</v>
      </c>
      <c r="CU44" s="213" t="s">
        <v>261</v>
      </c>
      <c r="CV44" s="213" t="s">
        <v>148</v>
      </c>
      <c r="CW44" s="213" t="s">
        <v>261</v>
      </c>
      <c r="CX44" s="224" t="s">
        <v>480</v>
      </c>
      <c r="CY44" s="284" t="s">
        <v>484</v>
      </c>
      <c r="CZ44" s="227" t="s">
        <v>467</v>
      </c>
      <c r="DA44" s="237" t="s">
        <v>491</v>
      </c>
      <c r="DB44" s="237" t="s">
        <v>148</v>
      </c>
      <c r="DC44" s="237" t="s">
        <v>261</v>
      </c>
      <c r="DD44" s="225"/>
    </row>
    <row r="45" spans="1:108" x14ac:dyDescent="0.25">
      <c r="A45" t="s">
        <v>354</v>
      </c>
      <c r="F45" s="127" t="e">
        <f ca="1">SUM(F52:OFFSET(F51,B47,0))</f>
        <v>#NAME?</v>
      </c>
      <c r="J45" s="36" t="e">
        <f ca="1">VLOOKUP(390.3,$B51:J441,COLUMN()-COLUMN($B$51)+1)</f>
        <v>#NAME?</v>
      </c>
      <c r="K45" s="17" t="e">
        <f ca="1">VLOOKUP(390.3,$B51:K441,COLUMN()-COLUMN($B$51)+1)</f>
        <v>#NAME?</v>
      </c>
      <c r="L45" s="39"/>
      <c r="M45" s="39" t="e">
        <f ca="1">VLOOKUP(390.3,$B51:M441,COLUMN()-COLUMN($B$51)+1)</f>
        <v>#DIV/0!</v>
      </c>
      <c r="O45" s="169" t="s">
        <v>383</v>
      </c>
      <c r="S45" s="123" t="e">
        <f ca="1">VLOOKUP(390.3,$B$51:$T$441,COLUMN()-COLUMN($B$51)+1)</f>
        <v>#NAME?</v>
      </c>
      <c r="T45" s="123" t="e">
        <f ca="1">VLOOKUP(390.3,$B$51:$T$441,COLUMN()-COLUMN($B$51)+1)</f>
        <v>#NAME?</v>
      </c>
      <c r="V45" s="122" t="e">
        <f>VLOOKUP(390.3,B51:V440,COLUMN()-COLUMN($B$51)+1)</f>
        <v>#DIV/0!</v>
      </c>
      <c r="W45" s="9" t="e">
        <f>MAX(W51:W441)</f>
        <v>#DIV/0!</v>
      </c>
      <c r="AA45" s="131"/>
      <c r="AE45" s="127" t="e">
        <f ca="1">SUM(AE52:OFFSET(AE51,$B$47,0))</f>
        <v>#NAME?</v>
      </c>
      <c r="AI45" s="39" t="e">
        <f ca="1">VLOOKUP(390.3,$B51:AI441,COLUMN()-COLUMN($B$51)+1)</f>
        <v>#NAME?</v>
      </c>
      <c r="AJ45" s="17" t="e">
        <f ca="1">VLOOKUP(390.3,$B51:AJ441,COLUMN()-COLUMN($B$51)+1)</f>
        <v>#NAME?</v>
      </c>
      <c r="AK45" s="39"/>
      <c r="AL45" s="39" t="e">
        <f ca="1">VLOOKUP(390.3,$B51:AL441,COLUMN()-COLUMN($B$51)+1)</f>
        <v>#NAME?</v>
      </c>
      <c r="AN45" s="169" t="s">
        <v>383</v>
      </c>
      <c r="AP45" s="131"/>
      <c r="AQ45" s="131"/>
      <c r="AR45" s="131"/>
      <c r="AS45" s="131"/>
      <c r="AT45" s="131"/>
      <c r="AU45" s="131"/>
      <c r="AY45" s="127" t="e">
        <f ca="1">SUM(AY52:OFFSET(AY51,$B$47,0))</f>
        <v>#NAME?</v>
      </c>
      <c r="BC45" s="39" t="e">
        <f ca="1">VLOOKUP(390.3,$B51:BC441,COLUMN()-COLUMN($B$51)+1)</f>
        <v>#NAME?</v>
      </c>
      <c r="BD45" s="17" t="e">
        <f ca="1">VLOOKUP(390.3,$B51:BD441,COLUMN()-COLUMN($B$51)+1)</f>
        <v>#NAME?</v>
      </c>
      <c r="BE45" s="39"/>
      <c r="BF45" s="39" t="e">
        <f ca="1">VLOOKUP(390.3,$B51:BF441,COLUMN()-COLUMN($B$51)+1)</f>
        <v>#NAME?</v>
      </c>
      <c r="BH45" s="169" t="s">
        <v>383</v>
      </c>
      <c r="BI45" s="169"/>
      <c r="BN45" s="131"/>
      <c r="BO45" s="131"/>
      <c r="BS45" s="127" t="e">
        <f ca="1">SUM(BS52:OFFSET(BS51,$B$47,0))</f>
        <v>#NAME?</v>
      </c>
      <c r="BW45" s="39" t="e">
        <f ca="1">VLOOKUP(390.3,$B51:BW441,COLUMN()-COLUMN($B$51)+1)</f>
        <v>#NAME?</v>
      </c>
      <c r="BX45" s="17" t="e">
        <f ca="1">VLOOKUP(390.3,$B51:BX441,COLUMN()-COLUMN($B$51)+1)</f>
        <v>#NAME?</v>
      </c>
      <c r="BY45" s="39"/>
      <c r="BZ45" s="39" t="e">
        <f ca="1">VLOOKUP(390.3,$B51:BZ441,COLUMN()-COLUMN($B$51)+1)</f>
        <v>#NAME?</v>
      </c>
      <c r="CB45" s="169" t="s">
        <v>383</v>
      </c>
      <c r="CC45" s="169"/>
      <c r="CI45" s="131"/>
      <c r="CJ45" s="131"/>
      <c r="CN45" s="127">
        <f ca="1">SUM(CN52:OFFSET(CN51,$B$47,0))</f>
        <v>3.6233329430138164</v>
      </c>
      <c r="CO45" s="169" t="s">
        <v>383</v>
      </c>
      <c r="CP45" s="169"/>
      <c r="CY45" s="284"/>
      <c r="DA45" t="s">
        <v>492</v>
      </c>
      <c r="DB45" t="s">
        <v>493</v>
      </c>
      <c r="DC45" t="s">
        <v>493</v>
      </c>
    </row>
    <row r="46" spans="1:108" x14ac:dyDescent="0.25">
      <c r="E46" t="s">
        <v>267</v>
      </c>
      <c r="F46" s="9">
        <f>660504/1000*7.8/1000</f>
        <v>5.1519311999999999</v>
      </c>
      <c r="K46" s="135"/>
      <c r="L46" s="136"/>
      <c r="M46" s="136"/>
      <c r="N46" s="136"/>
      <c r="O46" s="172"/>
      <c r="P46" s="172"/>
      <c r="Q46" s="172"/>
      <c r="R46" s="136"/>
      <c r="S46" s="136"/>
      <c r="T46" s="137"/>
      <c r="U46" s="136"/>
      <c r="V46" s="17"/>
      <c r="W46" s="9"/>
      <c r="AA46" s="132"/>
      <c r="AD46" t="s">
        <v>267</v>
      </c>
      <c r="AE46" s="9">
        <f>660504/1000*7.8/1000</f>
        <v>5.1519311999999999</v>
      </c>
      <c r="AJ46" s="135"/>
      <c r="AK46" s="136"/>
      <c r="AL46" s="136"/>
      <c r="AM46" s="136"/>
      <c r="AN46" s="172"/>
      <c r="AO46" s="172"/>
      <c r="AP46" s="131"/>
      <c r="AQ46" s="131"/>
      <c r="AR46" s="131"/>
      <c r="AS46" s="131"/>
      <c r="AT46" s="131"/>
      <c r="AU46" s="132"/>
      <c r="AX46" t="s">
        <v>267</v>
      </c>
      <c r="AY46" s="9">
        <f>660504/1000*7.8/1000</f>
        <v>5.1519311999999999</v>
      </c>
      <c r="BD46" s="135"/>
      <c r="BE46" s="136"/>
      <c r="BF46" s="136"/>
      <c r="BG46" s="136"/>
      <c r="BH46" s="172"/>
      <c r="BI46" s="172"/>
      <c r="BN46" s="131"/>
      <c r="BO46" s="132"/>
      <c r="BR46" t="s">
        <v>267</v>
      </c>
      <c r="BS46" s="9">
        <f>660504/1000*7.8/1000</f>
        <v>5.1519311999999999</v>
      </c>
      <c r="BX46" s="135"/>
      <c r="BY46" s="136"/>
      <c r="BZ46" s="136"/>
      <c r="CA46" s="136"/>
      <c r="CB46" s="172"/>
      <c r="CC46" s="172"/>
      <c r="CI46" s="131"/>
      <c r="CJ46" s="132"/>
      <c r="CM46" t="s">
        <v>267</v>
      </c>
      <c r="CN46" s="9">
        <f>660504/1000*7.8/1000</f>
        <v>5.1519311999999999</v>
      </c>
      <c r="CO46" s="172"/>
      <c r="CP46" s="172"/>
      <c r="CY46" t="s">
        <v>483</v>
      </c>
    </row>
    <row r="47" spans="1:108" x14ac:dyDescent="0.25">
      <c r="A47" t="s">
        <v>355</v>
      </c>
      <c r="B47" s="29">
        <v>390</v>
      </c>
      <c r="E47" t="s">
        <v>268</v>
      </c>
      <c r="F47" s="9">
        <v>7.35</v>
      </c>
      <c r="K47" s="135"/>
      <c r="L47" s="136"/>
      <c r="M47" s="136"/>
      <c r="N47" s="136"/>
      <c r="O47" s="172"/>
      <c r="P47" s="175">
        <f>MAX(P51:P441)-MIN(P51:P441)</f>
        <v>0</v>
      </c>
      <c r="Q47" s="172"/>
      <c r="R47" s="136"/>
      <c r="S47" s="136"/>
      <c r="T47" s="136"/>
      <c r="U47" s="136"/>
      <c r="V47" s="17"/>
      <c r="W47" s="9"/>
      <c r="AA47" s="132"/>
      <c r="AD47" t="s">
        <v>268</v>
      </c>
      <c r="AE47" s="9">
        <v>7.35</v>
      </c>
      <c r="AJ47" s="135"/>
      <c r="AK47" s="136"/>
      <c r="AL47" s="136"/>
      <c r="AM47" s="136"/>
      <c r="AN47" s="172"/>
      <c r="AO47" s="175">
        <f>MAX(AO51:AO441)-MIN(AO51:AO441)</f>
        <v>1.9649981780866597</v>
      </c>
      <c r="AP47" s="131"/>
      <c r="AQ47" s="131"/>
      <c r="AR47" s="131"/>
      <c r="AS47" s="131"/>
      <c r="AT47" s="131"/>
      <c r="AU47" s="132"/>
      <c r="AX47" t="s">
        <v>268</v>
      </c>
      <c r="AY47" s="9">
        <v>7.35</v>
      </c>
      <c r="BD47" s="135"/>
      <c r="BE47" s="136"/>
      <c r="BF47" s="136"/>
      <c r="BG47" s="136"/>
      <c r="BH47" s="172"/>
      <c r="BI47" s="175">
        <f>MAX(BI51:BI441)-MIN(BI51:BI441)</f>
        <v>1.9823422698528361</v>
      </c>
      <c r="BN47" s="131"/>
      <c r="BO47" s="132"/>
      <c r="BR47" t="s">
        <v>268</v>
      </c>
      <c r="BS47" s="9">
        <v>7.35</v>
      </c>
      <c r="BX47" s="135"/>
      <c r="BY47" s="136"/>
      <c r="BZ47" s="136"/>
      <c r="CA47" s="136"/>
      <c r="CB47" s="172"/>
      <c r="CC47" s="175">
        <f>MAX(CC51:CC441)-MIN(CC51:CC441)</f>
        <v>1.9912825296832466</v>
      </c>
      <c r="CI47" s="131"/>
      <c r="CJ47" s="132"/>
      <c r="CM47" t="s">
        <v>268</v>
      </c>
      <c r="CN47" s="9">
        <v>7.35</v>
      </c>
      <c r="CO47" s="172"/>
      <c r="CP47" s="175">
        <f>MAX(CP51:CP441)-MIN(CP51:CP441)</f>
        <v>1.9906908590334069</v>
      </c>
      <c r="CS47" t="s">
        <v>32</v>
      </c>
      <c r="CY47" t="s">
        <v>477</v>
      </c>
    </row>
    <row r="48" spans="1:108" x14ac:dyDescent="0.25">
      <c r="B48">
        <v>391</v>
      </c>
      <c r="E48" t="s">
        <v>269</v>
      </c>
      <c r="F48" s="9" t="e">
        <f ca="1">F46+F47+F45</f>
        <v>#NAME?</v>
      </c>
      <c r="L48" s="17"/>
      <c r="V48" s="17"/>
      <c r="W48" s="9"/>
      <c r="AA48" s="177">
        <v>391</v>
      </c>
      <c r="AD48" t="s">
        <v>269</v>
      </c>
      <c r="AE48" s="9" t="e">
        <f ca="1">AE46+AE47+AE45</f>
        <v>#NAME?</v>
      </c>
      <c r="AN48" s="169"/>
      <c r="AP48" s="131"/>
      <c r="AQ48" s="131"/>
      <c r="AR48" s="131"/>
      <c r="AS48" s="131"/>
      <c r="AT48" s="131"/>
      <c r="AU48" s="177">
        <v>391</v>
      </c>
      <c r="AX48" t="s">
        <v>269</v>
      </c>
      <c r="AY48" s="9" t="e">
        <f ca="1">AY46+AY47+AY45</f>
        <v>#NAME?</v>
      </c>
      <c r="BH48" s="169"/>
      <c r="BI48" s="169"/>
      <c r="BN48" s="131"/>
      <c r="BO48" s="177">
        <v>391</v>
      </c>
      <c r="BR48" t="s">
        <v>269</v>
      </c>
      <c r="BS48" s="9" t="e">
        <f ca="1">BS46+BS47+BS45</f>
        <v>#NAME?</v>
      </c>
      <c r="CB48" s="169"/>
      <c r="CC48" s="169"/>
      <c r="CI48" s="131"/>
      <c r="CJ48" s="177">
        <v>391</v>
      </c>
      <c r="CM48" t="s">
        <v>269</v>
      </c>
      <c r="CN48" s="9">
        <f ca="1">CN46+CN47+CN45</f>
        <v>16.125264143013815</v>
      </c>
      <c r="CO48" s="169"/>
      <c r="CP48" s="169"/>
    </row>
    <row r="49" spans="1:108" x14ac:dyDescent="0.25">
      <c r="T49" s="123"/>
      <c r="W49" s="9"/>
      <c r="AA49" s="132"/>
      <c r="AN49" s="169"/>
      <c r="AP49" s="131"/>
      <c r="AQ49" s="131"/>
      <c r="AR49" s="131"/>
      <c r="AS49" s="131"/>
      <c r="AT49" s="131"/>
      <c r="AU49" s="132"/>
      <c r="BH49" s="169"/>
      <c r="BI49" s="169"/>
      <c r="BN49" s="131"/>
      <c r="BO49" s="132"/>
      <c r="CB49" s="169"/>
      <c r="CC49" s="169"/>
      <c r="CI49" s="131"/>
      <c r="CJ49" s="132"/>
      <c r="CO49" s="169"/>
      <c r="CP49" s="169"/>
    </row>
    <row r="50" spans="1:108" x14ac:dyDescent="0.25">
      <c r="C50" s="1"/>
      <c r="D50" s="176" t="str">
        <f>IF('Berechnung freier Bereich'!E7="UTS50",9,IF('Berechnung freier Bereich'!E7="IMS65",12,"FEHLER"))</f>
        <v>FEHLER</v>
      </c>
      <c r="E50" s="1"/>
      <c r="F50" s="1"/>
      <c r="G50" s="1"/>
      <c r="H50" s="133">
        <f>G50/(1+ABS(C51-C50)*$H$45)</f>
        <v>0</v>
      </c>
      <c r="I50" s="1"/>
      <c r="J50" s="130">
        <v>0</v>
      </c>
      <c r="K50" s="130">
        <v>0</v>
      </c>
      <c r="O50" s="171"/>
      <c r="P50" s="171"/>
      <c r="Q50" s="171"/>
      <c r="R50" s="1"/>
      <c r="S50" s="1">
        <v>0</v>
      </c>
      <c r="T50" s="1">
        <v>0</v>
      </c>
      <c r="W50" s="9"/>
      <c r="AA50" s="132"/>
      <c r="AB50" s="134"/>
      <c r="AC50" s="178" t="str">
        <f>D50</f>
        <v>FEHLER</v>
      </c>
      <c r="AD50" s="134"/>
      <c r="AE50" s="134"/>
      <c r="AF50" s="134"/>
      <c r="AG50" s="133">
        <f>AF50/(1+ABS(AB51-AB50)*$H$45)</f>
        <v>0</v>
      </c>
      <c r="AH50" s="134"/>
      <c r="AI50" s="130">
        <v>0</v>
      </c>
      <c r="AJ50" s="130">
        <v>0</v>
      </c>
      <c r="AN50" s="171"/>
      <c r="AO50" s="171"/>
      <c r="AP50" s="131"/>
      <c r="AQ50" s="131"/>
      <c r="AR50" s="131"/>
      <c r="AS50" s="131"/>
      <c r="AT50" s="131"/>
      <c r="AU50" s="132"/>
      <c r="AV50" s="134"/>
      <c r="AW50" s="18" t="str">
        <f>D50</f>
        <v>FEHLER</v>
      </c>
      <c r="AX50" s="134"/>
      <c r="AY50" s="134"/>
      <c r="AZ50" s="134"/>
      <c r="BA50" s="133">
        <f>AZ50/(1+ABS(AV51-AV50)*$H$45)</f>
        <v>0</v>
      </c>
      <c r="BB50" s="134"/>
      <c r="BC50" s="134">
        <v>0</v>
      </c>
      <c r="BD50" s="134">
        <v>0</v>
      </c>
      <c r="BH50" s="171"/>
      <c r="BI50" s="171"/>
      <c r="BN50" s="131"/>
      <c r="BO50" s="132"/>
      <c r="BP50" s="134"/>
      <c r="BQ50" s="18" t="str">
        <f>D50</f>
        <v>FEHLER</v>
      </c>
      <c r="BR50" s="134"/>
      <c r="BS50" s="134"/>
      <c r="BT50" s="134"/>
      <c r="BU50" s="133">
        <f>BT50/(1+ABS(BP51-BP50)*$H$45)</f>
        <v>0</v>
      </c>
      <c r="BV50" s="134"/>
      <c r="BW50" s="134">
        <v>0</v>
      </c>
      <c r="BX50" s="134">
        <v>0</v>
      </c>
      <c r="CB50" s="171"/>
      <c r="CC50" s="171"/>
      <c r="CI50" s="131"/>
      <c r="CJ50" s="132"/>
      <c r="CK50" s="198"/>
      <c r="CL50" s="18">
        <v>9</v>
      </c>
      <c r="CM50" s="198"/>
      <c r="CN50" s="198"/>
      <c r="CO50" s="171"/>
      <c r="CP50" s="171"/>
    </row>
    <row r="51" spans="1:108" x14ac:dyDescent="0.25">
      <c r="B51" s="9">
        <v>0</v>
      </c>
      <c r="C51" s="129">
        <v>85.5</v>
      </c>
      <c r="D51" s="129"/>
      <c r="E51" s="129">
        <f>$C51+D51*SQRT((C52-C51)^2/(B52-B51)^2+1)</f>
        <v>85.5</v>
      </c>
      <c r="F51">
        <v>0</v>
      </c>
      <c r="G51" s="37">
        <f>(PI()/4)*(E51^4-$C51^4)</f>
        <v>0</v>
      </c>
      <c r="H51" s="36" t="e">
        <f>((E51^2-C51^2)*(E51+C51)^5*(E51-C51))/(2*(E51^4-C51^4)^2)</f>
        <v>#DIV/0!</v>
      </c>
      <c r="I51" s="37" t="e">
        <f>-($C$11*($C$34))/($C$9*$C$18*G51)</f>
        <v>#DIV/0!</v>
      </c>
      <c r="J51" s="37" t="e">
        <f>(-($C$11*($C$34))/($C$9*$C$18*G51))*$B$52+J50</f>
        <v>#DIV/0!</v>
      </c>
      <c r="K51" s="37" t="e">
        <f>(-$C$11*($C$34)/(2*$C$9*$C$18*G51))*$B$52^2+J50*$B$52+K50</f>
        <v>#DIV/0!</v>
      </c>
      <c r="L51" s="39" t="e">
        <f>-I51*E51</f>
        <v>#DIV/0!</v>
      </c>
      <c r="M51" s="39">
        <v>0</v>
      </c>
      <c r="N51" s="17">
        <v>1</v>
      </c>
      <c r="O51" s="175">
        <f>$C$2*1000/(2*PI()*((C51+E51)/2)^2)</f>
        <v>3678.5088314088625</v>
      </c>
      <c r="P51" s="175"/>
      <c r="Q51" s="173"/>
      <c r="R51" s="37" t="e">
        <f t="shared" ref="R51:R114" si="1">-$C$11*($C$34)/($C$14*$C$18*G51)</f>
        <v>#DIV/0!</v>
      </c>
      <c r="S51" s="37" t="e">
        <f t="shared" ref="S51:S114" si="2">(-$C$11*($C$34)/($C$14*$C$18*G51))*$B$52+S50</f>
        <v>#DIV/0!</v>
      </c>
      <c r="T51" s="37" t="e">
        <f t="shared" ref="T51:T114" si="3">(-$C$11*($C$34)/(2*$C$14*$C$18*G51))*$B$52^2+S50*$B$52+T50</f>
        <v>#DIV/0!</v>
      </c>
      <c r="U51" s="39" t="e">
        <f t="shared" ref="U51:U114" si="4">-R51*E51</f>
        <v>#DIV/0!</v>
      </c>
      <c r="V51" s="39">
        <v>0</v>
      </c>
      <c r="W51" s="9" t="e">
        <f>$C$14*U51</f>
        <v>#DIV/0!</v>
      </c>
      <c r="AA51" s="132"/>
      <c r="AB51" s="129">
        <v>85.5</v>
      </c>
      <c r="AC51" s="9">
        <v>15.25</v>
      </c>
      <c r="AD51" s="129">
        <f>$AB51+AC51*SQRT((AB52-AB51)^2/($B52-$B51)^2+1)</f>
        <v>100.75000040745788</v>
      </c>
      <c r="AF51" s="37">
        <f>(PI()/4)*(AD51^4-$C51^4)</f>
        <v>38951166.632984541</v>
      </c>
      <c r="AG51" s="36">
        <f t="shared" ref="AG51:AG114" si="5">((AD51^2-AB51^2)*(AD51+AB51)^5*(AD51-AB51))/(2*(AD51^4-AB51^4)^2)</f>
        <v>1.9734504760508802</v>
      </c>
      <c r="AH51" s="37">
        <f>-($C$11*($C$34))/($C$9*$C$18*AF51)</f>
        <v>-2.0212644008534895E-4</v>
      </c>
      <c r="AI51" s="37">
        <f>(-($C$11*($C$34))/($C$9*$C$18*AF51))*$B$52+AI50</f>
        <v>-2.0212644008534895E-4</v>
      </c>
      <c r="AJ51" s="37">
        <f>(-$C$11*($C$34)/(2*$C$9*$C$18*AF51))*$B$52^2+AI50*$B$52+AJ50</f>
        <v>-1.0106322004267448E-4</v>
      </c>
      <c r="AK51" s="39">
        <f>-AH51*AD51</f>
        <v>2.0364238920956918E-2</v>
      </c>
      <c r="AL51" s="39">
        <v>0</v>
      </c>
      <c r="AM51" s="37">
        <f t="shared" ref="AM51:AM114" si="6">AD51/AF51</f>
        <v>2.5865720879882706E-6</v>
      </c>
      <c r="AN51" s="173">
        <f>$C$2*1000/(2*PI()*((AB51+AD51)/2)^2)</f>
        <v>3100.7836048782128</v>
      </c>
      <c r="AO51" s="173">
        <v>-258.06073303097043</v>
      </c>
      <c r="AP51" s="131"/>
      <c r="AQ51" s="131"/>
      <c r="AR51" s="131"/>
      <c r="AS51" s="131"/>
      <c r="AT51" s="131"/>
      <c r="AU51" s="132"/>
      <c r="AV51" s="129">
        <v>85.5</v>
      </c>
      <c r="AW51" s="9">
        <v>15.25</v>
      </c>
      <c r="AX51" s="129">
        <f>AV51+AW51*SQRT((AV52-AV51)^2/($B52-$B51)^2+1)</f>
        <v>100.75011102987651</v>
      </c>
      <c r="AZ51" s="37">
        <f>(PI()/4)*(AX51^4-$C51^4)</f>
        <v>38951522.042382285</v>
      </c>
      <c r="BA51" s="36">
        <f t="shared" ref="BA51:BA114" si="7">((AX51^2-AV51^2)*(AX51+AV51)^5*(AX51-AV51))/(2*(AX51^4-AV51^4)^2)</f>
        <v>1.9734501259398924</v>
      </c>
      <c r="BB51" s="37">
        <f>-($C$11*($C$34))/($C$9*$C$18*AZ51)</f>
        <v>-2.0212459580218434E-4</v>
      </c>
      <c r="BC51" s="37">
        <f>(-($C$11*($C$34))/($C$9*$C$18*AZ51))*$B$52+BC50</f>
        <v>-2.0212459580218434E-4</v>
      </c>
      <c r="BD51" s="37">
        <f>(-$C$11*($C$34)/(2*$C$9*$C$18*AZ51))*$B$52^2+BC50*$B$52+BD50</f>
        <v>-1.0106229790109217E-4</v>
      </c>
      <c r="BE51" s="39">
        <f>-BB51*AX51</f>
        <v>2.0364075468938984E-2</v>
      </c>
      <c r="BF51" s="39">
        <v>0</v>
      </c>
      <c r="BG51" s="37">
        <f t="shared" ref="BG51:BG114" si="8">AX51/AZ51</f>
        <v>2.5865513270637423E-6</v>
      </c>
      <c r="BH51" s="173">
        <f>$C$2*1000/(2*PI()*((AV51+AX51)/2)^2)</f>
        <v>3100.7799214862589</v>
      </c>
      <c r="BI51" s="173">
        <v>-258.06073303097043</v>
      </c>
      <c r="BN51" s="131"/>
      <c r="BO51" s="132"/>
      <c r="BP51" s="129">
        <v>85.5</v>
      </c>
      <c r="BQ51" s="9">
        <v>15.25</v>
      </c>
      <c r="BR51" s="129">
        <f>BP51+BQ51*SQRT((BP52-BP51)^2/($B52-$B51)^2+1)</f>
        <v>100.75000008319414</v>
      </c>
      <c r="BT51" s="37">
        <f>(PI()/4)*(BR51^4-$C51^4)</f>
        <v>38951165.591186762</v>
      </c>
      <c r="BU51" s="36">
        <f t="shared" ref="BU51:BU114" si="9">((BR51^2-BP51^2)*(BR51+BP51)^5*(BR51-BP51))/(2*(BR51^4-BP51^4)^2)</f>
        <v>1.9734504770771468</v>
      </c>
      <c r="BV51" s="37">
        <f>-($C$11*($C$34))/($C$9*$C$18*BT51)</f>
        <v>-2.0212644549147412E-4</v>
      </c>
      <c r="BW51" s="37">
        <f>(-($C$11*($C$34))/($C$9*$C$18*BT51))*$B$52+BW50</f>
        <v>-2.0212644549147412E-4</v>
      </c>
      <c r="BX51" s="37">
        <f>(-$C$11*($C$34)/(2*$C$9*$C$18*BT51))*$B$52^2+BW50*$B$52+BX50</f>
        <v>-1.0106322274573706E-4</v>
      </c>
      <c r="BY51" s="39">
        <f>-BV51*BR51</f>
        <v>2.0364239400081752E-2</v>
      </c>
      <c r="BZ51" s="39">
        <v>0</v>
      </c>
      <c r="CA51" s="37">
        <f t="shared" ref="CA51:CA114" si="10">BR51/BT51</f>
        <v>2.5865721488445064E-6</v>
      </c>
      <c r="CB51" s="173">
        <f>$C$2*1000/(2*PI()*((BP51+BR51)/2)^2)</f>
        <v>3100.7836156752237</v>
      </c>
      <c r="CC51" s="173">
        <v>-258.06073280042926</v>
      </c>
      <c r="CI51" s="131"/>
      <c r="CJ51" s="9">
        <v>0</v>
      </c>
      <c r="CK51" s="129">
        <v>85.5</v>
      </c>
      <c r="CL51" s="9">
        <v>10.09375</v>
      </c>
      <c r="CM51" s="129">
        <f>CK51+CL51*SQRT((CK52-CK51)^2/($B52-$B51)^2+1)</f>
        <v>95.593751358015808</v>
      </c>
      <c r="CO51" s="173">
        <f>$C$2*1000/(2*PI()*((CK51+CM51)/2)^2)</f>
        <v>3279.8734956877652</v>
      </c>
      <c r="CP51" s="173">
        <v>-630.04654822583677</v>
      </c>
      <c r="CQ51" s="129"/>
      <c r="CR51" s="36">
        <f>(($CJ$5*$CJ$4)/(PI()*CM51*2*COS($CJ$3*PI()/180)))-(($CJ$5*$CJ$4)/(2*PI()*CM51*2*COS($CJ$3*PI()/180)))^2</f>
        <v>0.83463046470950086</v>
      </c>
      <c r="CS51" s="17">
        <f t="shared" ref="CS51:CS114" si="11">$CJ$7*CR51/$CR$51</f>
        <v>0.6</v>
      </c>
      <c r="CT51" s="9">
        <f t="shared" ref="CT51:CT114" si="12">CL51*$CJ$7/CS51</f>
        <v>10.09375</v>
      </c>
      <c r="CU51" s="9">
        <f>CK51+CT51*SQRT((CK52-CK51)^2/($B52-$B51)^2+1)</f>
        <v>95.593751358015808</v>
      </c>
      <c r="CV51" s="9">
        <v>13.2</v>
      </c>
      <c r="CW51" s="9">
        <f>CK51+CV51*SQRT((CK52-CK51)^2/($B52-$B51)^2+1)</f>
        <v>98.700001775931511</v>
      </c>
      <c r="CX51">
        <f>CV51/$CJ$8</f>
        <v>22</v>
      </c>
      <c r="CY51" s="9">
        <f t="shared" ref="CY51:CY114" si="13">$CJ$4*$CJ$6/(PI()*CK51*2*COS($CJ$3*PI()/180))</f>
        <v>625.48291438283161</v>
      </c>
      <c r="CZ51" s="17">
        <f>CX51*CY51/(CV51/1000)/($CJ$9*10^6)</f>
        <v>0.58896696269569837</v>
      </c>
      <c r="DA51">
        <v>45</v>
      </c>
      <c r="DB51" s="9">
        <f>$CL$51*$CK$51/CK51*COS($DA$51)/COS(DA51)</f>
        <v>10.09375</v>
      </c>
      <c r="DC51" s="9">
        <f>CR51+DB51*SQRT((CR52-CR51)^2/($B52-$B51)^2+1)</f>
        <v>10.928380464744109</v>
      </c>
      <c r="DD51" s="36"/>
    </row>
    <row r="52" spans="1:108" x14ac:dyDescent="0.25">
      <c r="B52" s="9">
        <f>IF(ROW()=ROW($B$51)+$B$47,$C$34,ROUND((C$34/$B$47)*(ROW()-ROW($B$51)),0))</f>
        <v>1</v>
      </c>
      <c r="C52" s="129">
        <v>85.499223224401888</v>
      </c>
      <c r="D52" s="9"/>
      <c r="E52" s="129">
        <f t="shared" ref="E52:E115" si="14">$C52+D52*SQRT((C53-C52)^2/(B53-B52)^2+1)</f>
        <v>85.499223224401888</v>
      </c>
      <c r="F52" s="36">
        <f>($B52-$B51)*PI()*(E52^2-C52^2)*$C$10/1000/1000</f>
        <v>0</v>
      </c>
      <c r="G52" s="37">
        <f t="shared" ref="G52:G81" si="15">(PI()/4)*(E52^4-C52^4)</f>
        <v>0</v>
      </c>
      <c r="H52" s="36" t="e">
        <f t="shared" ref="H52:H114" si="16">((E52^2-C52^2)*(E52+C52)^5*(E52-C52))/(2*(E52^4-C52^4)^2)</f>
        <v>#DIV/0!</v>
      </c>
      <c r="I52" s="37" t="e">
        <f t="shared" ref="I52:I115" si="17">-($C$11*($C$34))/($C$9*$C$18*G52)</f>
        <v>#DIV/0!</v>
      </c>
      <c r="J52" s="37" t="e">
        <f t="shared" ref="J52:J115" si="18">(-($C$11*($C$34))/($C$9*$C$18*G52))*$B$52+J51</f>
        <v>#DIV/0!</v>
      </c>
      <c r="K52" s="37" t="e">
        <f t="shared" ref="K52:K115" si="19">(-$C$11*($C$34)/(2*$C$9*$C$18*G52))*$B$52^2+J51*$B$52+K51</f>
        <v>#DIV/0!</v>
      </c>
      <c r="L52" s="39" t="e">
        <f t="shared" ref="L52:L114" si="20">-I52*E52</f>
        <v>#DIV/0!</v>
      </c>
      <c r="M52" s="39" t="e">
        <f>M51+(1000*$C$2*($B52-$B51))/(BerechnungenCLT!$W$47*2*'Berechnung freier Bereich'!$G52)</f>
        <v>#DIV/0!</v>
      </c>
      <c r="N52" s="17">
        <v>1</v>
      </c>
      <c r="O52" s="173">
        <f t="shared" ref="O52:O115" si="21">$C$2*1000/(2*PI()*((C52+E52)/2)^2)</f>
        <v>3678.5756715220195</v>
      </c>
      <c r="P52" s="173"/>
      <c r="Q52" s="173"/>
      <c r="R52" s="37" t="e">
        <f t="shared" si="1"/>
        <v>#DIV/0!</v>
      </c>
      <c r="S52" s="37" t="e">
        <f t="shared" si="2"/>
        <v>#DIV/0!</v>
      </c>
      <c r="T52" s="37" t="e">
        <f t="shared" si="3"/>
        <v>#DIV/0!</v>
      </c>
      <c r="U52" s="39" t="e">
        <f t="shared" si="4"/>
        <v>#DIV/0!</v>
      </c>
      <c r="V52" s="39" t="e">
        <f t="shared" ref="V52:V115" si="22">(1000*$C$2*($B52-B51))/($C$16*2*$G52)+V51</f>
        <v>#DIV/0!</v>
      </c>
      <c r="W52" s="9" t="e">
        <f t="shared" ref="W52:W115" si="23">$C$14*U52</f>
        <v>#DIV/0!</v>
      </c>
      <c r="AA52" s="132"/>
      <c r="AB52" s="129">
        <v>85.499768835343474</v>
      </c>
      <c r="AC52" s="9">
        <v>15.25</v>
      </c>
      <c r="AD52" s="129">
        <f t="shared" ref="AD52:AD115" si="24">$AB52+AC52*SQRT((AB53-AB52)^2/($B53-$B52)^2+1)</f>
        <v>100.74976922126558</v>
      </c>
      <c r="AE52" s="36">
        <f>($B52-$B51)*PI()*(AD52^2-AB52^2)*$C$10/1000/1000</f>
        <v>1.5169241063162923E-2</v>
      </c>
      <c r="AF52" s="37">
        <f t="shared" ref="AF52:AF115" si="25">(PI()/4)*(AD52^4-AB52^4)</f>
        <v>38950877.786286503</v>
      </c>
      <c r="AG52" s="36">
        <f t="shared" si="5"/>
        <v>1.9734503456257331</v>
      </c>
      <c r="AH52" s="37">
        <f t="shared" ref="AH52:AH115" si="26">-($C$11*($C$34))/($C$9*$C$18*AF52)</f>
        <v>-2.0212793898750786E-4</v>
      </c>
      <c r="AI52" s="37">
        <f t="shared" ref="AI52:AI115" si="27">(-($C$11*($C$34))/($C$9*$C$18*AF52))*$B$52+AI51</f>
        <v>-4.0425437907285681E-4</v>
      </c>
      <c r="AJ52" s="37">
        <f t="shared" ref="AJ52:AJ115" si="28">(-$C$11*($C$34)/(2*$C$9*$C$18*AF52))*$B$52^2+AI51*$B$52+AJ51</f>
        <v>-4.0425362962177738E-4</v>
      </c>
      <c r="AK52" s="39">
        <f t="shared" ref="AK52:AK115" si="29">-AH52*AD52</f>
        <v>2.0364343206161466E-2</v>
      </c>
      <c r="AL52" s="39">
        <f>AL51+(1000*$C$2*($B52-$B51))/(BerechnungenCLT!$W$47*2*AF52)</f>
        <v>5.8435896243685988E-5</v>
      </c>
      <c r="AM52" s="37">
        <f t="shared" si="6"/>
        <v>2.5865853338159354E-6</v>
      </c>
      <c r="AN52" s="173">
        <f t="shared" ref="AN52:AN115" si="30">$C$2*1000/(2*PI()*((AB52+AD52)/2)^2)</f>
        <v>3100.7989998341004</v>
      </c>
      <c r="AO52" s="173">
        <v>-258.06073303097043</v>
      </c>
      <c r="AP52" s="131"/>
      <c r="AQ52" s="131"/>
      <c r="AR52" s="131"/>
      <c r="AS52" s="131"/>
      <c r="AT52" s="131"/>
      <c r="AU52" s="132"/>
      <c r="AV52" s="129">
        <v>85.496184066524592</v>
      </c>
      <c r="AW52" s="9">
        <v>15.25</v>
      </c>
      <c r="AX52" s="129">
        <f t="shared" ref="AX52:AX115" si="31">AV52+AW52*SQRT((AV53-AV52)^2/($B53-$B52)^2+1)</f>
        <v>100.74628922805334</v>
      </c>
      <c r="AY52" s="36">
        <f>($B52-$B51)*PI()*(AX52^2-AV52^2)*$C$10/1000/1000</f>
        <v>1.5168769884820701E-2</v>
      </c>
      <c r="AZ52" s="37">
        <f t="shared" ref="AZ52:AZ115" si="32">(PI()/4)*(AX52^4-AV52^4)</f>
        <v>38946736.359920658</v>
      </c>
      <c r="BA52" s="36">
        <f t="shared" si="7"/>
        <v>1.9734479902560509</v>
      </c>
      <c r="BB52" s="37">
        <f t="shared" ref="BB52:BB115" si="33">-($C$11*($C$34))/($C$9*$C$18*AZ52)</f>
        <v>-2.0214943239245096E-4</v>
      </c>
      <c r="BC52" s="37">
        <f t="shared" ref="BC52:BC115" si="34">(-($C$11*($C$34))/($C$9*$C$18*AZ52))*$B$52+BC51</f>
        <v>-4.0427402819463531E-4</v>
      </c>
      <c r="BD52" s="37">
        <f t="shared" ref="BD52:BD115" si="35">(-$C$11*($C$34)/(2*$C$9*$C$18*AZ52))*$B$52^2+BC51*$B$52+BD51</f>
        <v>-4.0426160989950199E-4</v>
      </c>
      <c r="BE52" s="39">
        <f t="shared" ref="BE52:BE115" si="36">-BB52*AX52</f>
        <v>2.0365805183096681E-2</v>
      </c>
      <c r="BF52" s="39">
        <f>BF51+(1000*$C$2*($B52-$B51))/(BerechnungenCLT!$W$47*2*AZ52)</f>
        <v>5.8442110062455786E-5</v>
      </c>
      <c r="BG52" s="37">
        <f t="shared" si="8"/>
        <v>2.5867710274108982E-6</v>
      </c>
      <c r="BH52" s="173">
        <f t="shared" ref="BH52:BH115" si="37">$C$2*1000/(2*PI()*((AV52+AX52)/2)^2)</f>
        <v>3101.0342503883053</v>
      </c>
      <c r="BI52">
        <v>-258.06073303097043</v>
      </c>
      <c r="BN52" s="131"/>
      <c r="BO52" s="132"/>
      <c r="BP52" s="129">
        <v>85.499895545672999</v>
      </c>
      <c r="BQ52" s="9">
        <v>15.25</v>
      </c>
      <c r="BR52" s="129">
        <f t="shared" ref="BR52:BR115" si="38">BP52+BQ52*SQRT((BP53-BP52)^2/($B53-$B52)^2+1)</f>
        <v>100.74989562447</v>
      </c>
      <c r="BS52" s="36">
        <f>($B52-$B51)*PI()*(BR52^2-BP52^2)*$C$10/1000/1000</f>
        <v>1.5169261372695976E-2</v>
      </c>
      <c r="BT52" s="37">
        <f t="shared" ref="BT52:BT115" si="39">(PI()/4)*(BR52^4-BP52^4)</f>
        <v>38951035.089549445</v>
      </c>
      <c r="BU52" s="36">
        <f t="shared" si="9"/>
        <v>1.973450418126329</v>
      </c>
      <c r="BV52" s="37">
        <f t="shared" ref="BV52:BV115" si="40">-($C$11*($C$34))/($C$9*$C$18*BT52)</f>
        <v>-2.0212712269638075E-4</v>
      </c>
      <c r="BW52" s="37">
        <f t="shared" ref="BW52:BW115" si="41">(-($C$11*($C$34))/($C$9*$C$18*BT52))*$B$52+BW51</f>
        <v>-4.0425356818785487E-4</v>
      </c>
      <c r="BX52" s="37">
        <f t="shared" ref="BX52:BX115" si="42">(-$C$11*($C$34)/(2*$C$9*$C$18*BT52))*$B$52^2+BW51*$B$52+BX51</f>
        <v>-4.0425322958540161E-4</v>
      </c>
      <c r="BY52" s="39">
        <f t="shared" ref="BY52:BY115" si="43">-BV52*BR52</f>
        <v>2.0364286514534802E-2</v>
      </c>
      <c r="BZ52" s="39">
        <f>BZ51+(1000*$C$2*($B52-$B51))/(BerechnungenCLT!$W$47*2*BT52)</f>
        <v>5.8435660251057527E-5</v>
      </c>
      <c r="CA52" s="37">
        <f t="shared" si="10"/>
        <v>2.5865781331059203E-6</v>
      </c>
      <c r="CB52" s="173">
        <f t="shared" ref="CB52:CB115" si="44">$C$2*1000/(2*PI()*((BP52+BR52)/2)^2)</f>
        <v>3100.7905718658899</v>
      </c>
      <c r="CC52" s="9">
        <v>-258.06131172494747</v>
      </c>
      <c r="CI52" s="131"/>
      <c r="CJ52" s="9">
        <f>IF(ROW()=ROW($B$51)+$B$47,$C$34,ROUND((CK$34/$B$47)*(ROW()-ROW($B$51)),0))</f>
        <v>1</v>
      </c>
      <c r="CK52" s="129">
        <v>85.499481270253511</v>
      </c>
      <c r="CL52" s="9">
        <v>10.09375</v>
      </c>
      <c r="CM52" s="129">
        <f>CK52+CL52*SQRT((CK53-CK52)^2/($B53-$B52)^2+1)</f>
        <v>95.59323261960013</v>
      </c>
      <c r="CN52" s="36">
        <f>($B52-$B51)*PI()*(CM52^2-CK52^2)*$C$10/1000/1000</f>
        <v>9.7623050294332256E-3</v>
      </c>
      <c r="CO52" s="173">
        <f>$C$2*1000/(2*PI()*((CK52+CM52)/2)^2)</f>
        <v>3279.9110761514044</v>
      </c>
      <c r="CP52" s="9">
        <v>-630.05376723639552</v>
      </c>
      <c r="CQ52" s="129"/>
      <c r="CR52" s="36">
        <f t="shared" ref="CR52:CR115" si="45">(($CJ$5*$CJ$4)/(PI()*CM52*2*COS($CJ$3*PI()/180)))-(($CJ$5*$CJ$4)/(2*PI()*CM52*2*COS($CJ$3*PI()/180)))^2</f>
        <v>0.83463308339569098</v>
      </c>
      <c r="CS52" s="17">
        <f t="shared" si="11"/>
        <v>0.60000188252380005</v>
      </c>
      <c r="CT52" s="9">
        <f t="shared" si="12"/>
        <v>10.093718330558351</v>
      </c>
      <c r="CU52" s="9">
        <f t="shared" ref="CU52:CU115" si="46">CK52+CT52*SQRT((CK53-CK52)^2/($B53-$B52)^2+1)</f>
        <v>95.593200950154255</v>
      </c>
      <c r="CV52" s="9">
        <v>13.2</v>
      </c>
      <c r="CW52" s="9">
        <f t="shared" ref="CW52:CW115" si="47">CK52+CV52*SQRT((CK53-CK52)^2/($B53-$B52)^2+1)</f>
        <v>98.699483034847972</v>
      </c>
      <c r="CX52">
        <f t="shared" ref="CX52:CX115" si="48">CV52/$CJ$8</f>
        <v>22</v>
      </c>
      <c r="CY52" s="9">
        <f t="shared" si="13"/>
        <v>625.48670921981522</v>
      </c>
      <c r="CZ52" s="17">
        <f t="shared" ref="CZ52:CZ115" si="49">CX52*CY52/(CV52/1000)/($CJ$9*10^6)</f>
        <v>0.58897053598852656</v>
      </c>
      <c r="DA52">
        <v>45</v>
      </c>
      <c r="DB52" s="9">
        <f t="shared" ref="DB52:DB115" si="50">$CL$51*$CK$51/CK52*COS($DA$51)/COS(DA52)</f>
        <v>10.093811239299944</v>
      </c>
      <c r="DC52" s="9">
        <f t="shared" ref="DC52:DC115" si="51">CR52+DB52*SQRT((CR53-CR52)^2/($B53-$B52)^2+1)</f>
        <v>10.928444322730025</v>
      </c>
    </row>
    <row r="53" spans="1:108" x14ac:dyDescent="0.25">
      <c r="B53" s="9">
        <f>IF(ROW()=ROW($B$51)+$B$47,$C$34,ROUND((C$34/$B$47)*(ROW()-ROW($B$51)),0))</f>
        <v>2</v>
      </c>
      <c r="C53" s="129">
        <v>85.498465648436849</v>
      </c>
      <c r="D53" s="9"/>
      <c r="E53" s="129">
        <f t="shared" si="14"/>
        <v>85.498465648436849</v>
      </c>
      <c r="F53" s="36">
        <f t="shared" ref="F53:F116" si="52">($B53-$B52)*PI()*(E53^2-C53^2)*$C$10/1000/1000</f>
        <v>0</v>
      </c>
      <c r="G53" s="37">
        <f t="shared" si="15"/>
        <v>0</v>
      </c>
      <c r="H53" s="36" t="e">
        <f t="shared" si="16"/>
        <v>#DIV/0!</v>
      </c>
      <c r="I53" s="37" t="e">
        <f t="shared" si="17"/>
        <v>#DIV/0!</v>
      </c>
      <c r="J53" s="37" t="e">
        <f t="shared" si="18"/>
        <v>#DIV/0!</v>
      </c>
      <c r="K53" s="37" t="e">
        <f t="shared" si="19"/>
        <v>#DIV/0!</v>
      </c>
      <c r="L53" s="39" t="e">
        <f t="shared" si="20"/>
        <v>#DIV/0!</v>
      </c>
      <c r="M53" s="39" t="e">
        <f>M52+(1000*$C$2*(B53-B52))/(BerechnungenCLT!$W$47*2*'Berechnung freier Bereich'!G53)</f>
        <v>#DIV/0!</v>
      </c>
      <c r="N53" s="17">
        <v>1</v>
      </c>
      <c r="O53" s="173">
        <f t="shared" si="21"/>
        <v>3678.6408612968225</v>
      </c>
      <c r="P53" s="173"/>
      <c r="Q53" s="173"/>
      <c r="R53" s="37" t="e">
        <f t="shared" si="1"/>
        <v>#DIV/0!</v>
      </c>
      <c r="S53" s="37" t="e">
        <f t="shared" si="2"/>
        <v>#DIV/0!</v>
      </c>
      <c r="T53" s="37" t="e">
        <f t="shared" si="3"/>
        <v>#DIV/0!</v>
      </c>
      <c r="U53" s="39" t="e">
        <f t="shared" si="4"/>
        <v>#DIV/0!</v>
      </c>
      <c r="V53" s="39" t="e">
        <f t="shared" si="22"/>
        <v>#DIV/0!</v>
      </c>
      <c r="W53" s="9" t="e">
        <f t="shared" si="23"/>
        <v>#DIV/0!</v>
      </c>
      <c r="AA53" s="132"/>
      <c r="AB53" s="129">
        <v>85.499543862597406</v>
      </c>
      <c r="AC53" s="9">
        <v>15.25</v>
      </c>
      <c r="AD53" s="129">
        <f t="shared" si="24"/>
        <v>100.74954420720204</v>
      </c>
      <c r="AE53" s="36">
        <f t="shared" ref="AE53:AE116" si="53">($B53-$B52)*PI()*(AD53^2-AB53^2)*$C$10/1000/1000</f>
        <v>1.5169204372532424E-2</v>
      </c>
      <c r="AF53" s="37">
        <f t="shared" si="25"/>
        <v>38950596.612520732</v>
      </c>
      <c r="AG53" s="36">
        <f t="shared" si="5"/>
        <v>1.9734502187576313</v>
      </c>
      <c r="AH53" s="37">
        <f t="shared" si="26"/>
        <v>-2.0212939809413817E-4</v>
      </c>
      <c r="AI53" s="37">
        <f t="shared" si="27"/>
        <v>-6.0638377716699498E-4</v>
      </c>
      <c r="AJ53" s="37">
        <f t="shared" si="28"/>
        <v>-9.0957270774170323E-4</v>
      </c>
      <c r="AK53" s="39">
        <f t="shared" si="29"/>
        <v>2.0364444728860513E-2</v>
      </c>
      <c r="AL53" s="39">
        <f>AL52+(1000*$C$2*($B53-$B52))/(BerechnungenCLT!$W$47*2*AF53)</f>
        <v>1.1687221432021749E-4</v>
      </c>
      <c r="AM53" s="37">
        <f t="shared" si="6"/>
        <v>2.5865982287628407E-6</v>
      </c>
      <c r="AN53" s="173">
        <f t="shared" si="30"/>
        <v>3100.8139832130719</v>
      </c>
      <c r="AO53" s="173">
        <v>-258.06073303097043</v>
      </c>
      <c r="AP53" s="131"/>
      <c r="AQ53" s="131"/>
      <c r="AR53" s="131"/>
      <c r="AS53" s="131"/>
      <c r="AT53" s="131"/>
      <c r="AU53" s="132"/>
      <c r="AV53" s="129">
        <v>85.492470345553002</v>
      </c>
      <c r="AW53" s="9">
        <v>15.25</v>
      </c>
      <c r="AX53" s="129">
        <f t="shared" si="31"/>
        <v>100.74256424834489</v>
      </c>
      <c r="AY53" s="36">
        <f t="shared" ref="AY53:AY116" si="54">($B53-$B52)*PI()*(AX53^2-AV53^2)*$C$10/1000/1000</f>
        <v>1.5168152831550824E-2</v>
      </c>
      <c r="AZ53" s="37">
        <f t="shared" si="32"/>
        <v>38942061.424396127</v>
      </c>
      <c r="BA53" s="36">
        <f t="shared" si="7"/>
        <v>1.9734459290901627</v>
      </c>
      <c r="BB53" s="37">
        <f t="shared" si="33"/>
        <v>-2.0217370012580121E-4</v>
      </c>
      <c r="BC53" s="37">
        <f t="shared" si="34"/>
        <v>-6.0644772832043649E-4</v>
      </c>
      <c r="BD53" s="37">
        <f t="shared" si="35"/>
        <v>-9.0962248815703792E-4</v>
      </c>
      <c r="BE53" s="39">
        <f t="shared" si="36"/>
        <v>2.0367496974249142E-2</v>
      </c>
      <c r="BF53" s="39">
        <f>BF52+(1000*$C$2*($B53-$B52))/(BerechnungenCLT!$W$47*2*AZ53)</f>
        <v>1.1689123601175643E-4</v>
      </c>
      <c r="BG53" s="37">
        <f t="shared" si="8"/>
        <v>2.5869859109521217E-6</v>
      </c>
      <c r="BH53" s="173">
        <f t="shared" si="37"/>
        <v>3101.2819817169261</v>
      </c>
      <c r="BI53">
        <v>-258.06073303097043</v>
      </c>
      <c r="BN53" s="131"/>
      <c r="BO53" s="132"/>
      <c r="BP53" s="129">
        <v>85.499793889229764</v>
      </c>
      <c r="BQ53" s="9">
        <v>15.25</v>
      </c>
      <c r="BR53" s="129">
        <f t="shared" si="38"/>
        <v>100.74979395959062</v>
      </c>
      <c r="BS53" s="36">
        <f t="shared" ref="BS53:BS116" si="55">($B53-$B52)*PI()*(BR53^2-BP53^2)*$C$10/1000/1000</f>
        <v>1.5169244804638774E-2</v>
      </c>
      <c r="BT53" s="37">
        <f t="shared" si="39"/>
        <v>38950908.070417397</v>
      </c>
      <c r="BU53" s="36">
        <f t="shared" si="9"/>
        <v>1.973450360767518</v>
      </c>
      <c r="BV53" s="37">
        <f t="shared" si="40"/>
        <v>-2.0212778183407383E-4</v>
      </c>
      <c r="BW53" s="37">
        <f t="shared" si="41"/>
        <v>-6.0638135002192867E-4</v>
      </c>
      <c r="BX53" s="37">
        <f t="shared" si="42"/>
        <v>-9.0957068869029344E-4</v>
      </c>
      <c r="BY53" s="39">
        <f t="shared" si="43"/>
        <v>2.0364332373292021E-2</v>
      </c>
      <c r="BZ53" s="39">
        <f>BZ52+(1000*$C$2*($B53-$B52))/(BerechnungenCLT!$W$47*2*BT53)</f>
        <v>1.1687151106113444E-4</v>
      </c>
      <c r="CA53" s="37">
        <f t="shared" si="10"/>
        <v>2.5865839578746179E-6</v>
      </c>
      <c r="CB53" s="173">
        <f t="shared" si="44"/>
        <v>3100.7973418909032</v>
      </c>
      <c r="CC53" s="9">
        <v>-258.06187515594843</v>
      </c>
      <c r="CI53" s="131"/>
      <c r="CJ53" s="9">
        <f>IF(ROW()=ROW($B$51)+$B$47,$C$34,ROUND((CK$34/$B$47)*(ROW()-ROW($B$51)),0))</f>
        <v>2</v>
      </c>
      <c r="CK53" s="129">
        <v>85.498964198869885</v>
      </c>
      <c r="CL53" s="9">
        <v>10.09375</v>
      </c>
      <c r="CM53" s="129">
        <f t="shared" ref="CM53:CM115" si="56">CK53+CL53*SQRT((CK54-CK53)^2/($B54-$B53)^2+1)</f>
        <v>95.592715530961414</v>
      </c>
      <c r="CN53" s="36">
        <f t="shared" ref="CN53:CN116" si="57">($B53-$B52)*PI()*(CM53^2-CK53^2)*$C$10/1000/1000</f>
        <v>9.7622492634804325E-3</v>
      </c>
      <c r="CO53" s="173">
        <f t="shared" ref="CO53:CO115" si="58">$C$2*1000/(2*PI()*((CK53+CM53)/2)^2)</f>
        <v>3279.9485374262913</v>
      </c>
      <c r="CP53" s="9">
        <v>-630.06096335141808</v>
      </c>
      <c r="CQ53" s="129"/>
      <c r="CR53" s="36">
        <f t="shared" si="45"/>
        <v>0.83463569376115565</v>
      </c>
      <c r="CS53" s="17">
        <f t="shared" si="11"/>
        <v>0.60000375906598846</v>
      </c>
      <c r="CT53" s="9">
        <f t="shared" si="12"/>
        <v>10.093686761942324</v>
      </c>
      <c r="CU53" s="9">
        <f t="shared" si="46"/>
        <v>95.592652292895394</v>
      </c>
      <c r="CV53" s="9">
        <v>13.2</v>
      </c>
      <c r="CW53" s="9">
        <f t="shared" si="47"/>
        <v>98.698965940899171</v>
      </c>
      <c r="CX53">
        <f t="shared" si="48"/>
        <v>22</v>
      </c>
      <c r="CY53" s="9">
        <f t="shared" si="13"/>
        <v>625.49049197064983</v>
      </c>
      <c r="CZ53" s="17">
        <f t="shared" si="49"/>
        <v>0.58897409790080024</v>
      </c>
      <c r="DA53">
        <v>45</v>
      </c>
      <c r="DB53" s="9">
        <f t="shared" si="50"/>
        <v>10.093872283559282</v>
      </c>
      <c r="DC53" s="9">
        <f t="shared" si="51"/>
        <v>10.928507977354389</v>
      </c>
    </row>
    <row r="54" spans="1:108" x14ac:dyDescent="0.25">
      <c r="B54" s="9">
        <f t="shared" ref="B54:B116" si="59">IF(ROW()=ROW($B$51)+$B$47,$C$34,ROUND((C$34/$B$47)*(ROW()-ROW($B$51)),0))</f>
        <v>3</v>
      </c>
      <c r="C54" s="129">
        <v>85.497746471737898</v>
      </c>
      <c r="D54" s="9"/>
      <c r="E54" s="129">
        <f t="shared" si="14"/>
        <v>85.497746471737898</v>
      </c>
      <c r="F54" s="36">
        <f t="shared" si="52"/>
        <v>0</v>
      </c>
      <c r="G54" s="37">
        <f t="shared" si="15"/>
        <v>0</v>
      </c>
      <c r="H54" s="36" t="e">
        <f t="shared" si="16"/>
        <v>#DIV/0!</v>
      </c>
      <c r="I54" s="37" t="e">
        <f t="shared" si="17"/>
        <v>#DIV/0!</v>
      </c>
      <c r="J54" s="37" t="e">
        <f t="shared" si="18"/>
        <v>#DIV/0!</v>
      </c>
      <c r="K54" s="37" t="e">
        <f t="shared" si="19"/>
        <v>#DIV/0!</v>
      </c>
      <c r="L54" s="39" t="e">
        <f t="shared" si="20"/>
        <v>#DIV/0!</v>
      </c>
      <c r="M54" s="39" t="e">
        <f>M53+(1000*$C$2*(B54-B53))/(BerechnungenCLT!$W$47*2*'Berechnung freier Bereich'!G54)</f>
        <v>#DIV/0!</v>
      </c>
      <c r="N54" s="17">
        <v>1</v>
      </c>
      <c r="O54" s="173">
        <f t="shared" si="21"/>
        <v>3678.702748399754</v>
      </c>
      <c r="P54" s="173"/>
      <c r="Q54" s="173"/>
      <c r="R54" s="37" t="e">
        <f t="shared" si="1"/>
        <v>#DIV/0!</v>
      </c>
      <c r="S54" s="37" t="e">
        <f t="shared" si="2"/>
        <v>#DIV/0!</v>
      </c>
      <c r="T54" s="37" t="e">
        <f t="shared" si="3"/>
        <v>#DIV/0!</v>
      </c>
      <c r="U54" s="39" t="e">
        <f t="shared" si="4"/>
        <v>#DIV/0!</v>
      </c>
      <c r="V54" s="39" t="e">
        <f t="shared" si="22"/>
        <v>#DIV/0!</v>
      </c>
      <c r="W54" s="9" t="e">
        <f t="shared" si="23"/>
        <v>#DIV/0!</v>
      </c>
      <c r="AA54" s="132"/>
      <c r="AB54" s="129">
        <v>85.499331273672198</v>
      </c>
      <c r="AC54" s="9">
        <v>15.25</v>
      </c>
      <c r="AD54" s="129">
        <f t="shared" si="24"/>
        <v>100.74933156068573</v>
      </c>
      <c r="AE54" s="36">
        <f t="shared" si="53"/>
        <v>1.5169169681609522E-2</v>
      </c>
      <c r="AF54" s="37">
        <f t="shared" si="25"/>
        <v>38950330.857866675</v>
      </c>
      <c r="AG54" s="36">
        <f t="shared" si="5"/>
        <v>1.9734500989309665</v>
      </c>
      <c r="AH54" s="37">
        <f t="shared" si="26"/>
        <v>-2.0213077720510032E-4</v>
      </c>
      <c r="AI54" s="37">
        <f t="shared" si="27"/>
        <v>-8.085145543720953E-4</v>
      </c>
      <c r="AJ54" s="37">
        <f t="shared" si="28"/>
        <v>-1.6170218735112483E-3</v>
      </c>
      <c r="AK54" s="39">
        <f t="shared" si="29"/>
        <v>2.0364540691255751E-2</v>
      </c>
      <c r="AL54" s="39">
        <f>AL53+(1000*$C$2*($B54-$B53))/(BerechnungenCLT!$W$47*2*AF54)</f>
        <v>1.7530893110256619E-4</v>
      </c>
      <c r="AM54" s="37">
        <f t="shared" si="6"/>
        <v>2.5866104174654966E-6</v>
      </c>
      <c r="AN54" s="173">
        <f t="shared" si="30"/>
        <v>3100.8281425362943</v>
      </c>
      <c r="AO54" s="173">
        <v>-258.06073303097043</v>
      </c>
      <c r="AP54" s="131"/>
      <c r="AQ54" s="131"/>
      <c r="AR54" s="131"/>
      <c r="AS54" s="131"/>
      <c r="AT54" s="131"/>
      <c r="AU54" s="132"/>
      <c r="AV54" s="129">
        <v>85.488961049589008</v>
      </c>
      <c r="AW54" s="9">
        <v>15.25</v>
      </c>
      <c r="AX54" s="129">
        <f t="shared" si="31"/>
        <v>100.73903925917483</v>
      </c>
      <c r="AY54" s="36">
        <f t="shared" si="54"/>
        <v>1.5167564306821939E-2</v>
      </c>
      <c r="AZ54" s="37">
        <f t="shared" si="32"/>
        <v>38937627.938440919</v>
      </c>
      <c r="BA54" s="36">
        <f t="shared" si="7"/>
        <v>1.9734439971600883</v>
      </c>
      <c r="BB54" s="37">
        <f t="shared" si="33"/>
        <v>-2.0219671987064641E-4</v>
      </c>
      <c r="BC54" s="37">
        <f t="shared" si="34"/>
        <v>-8.0864444819108284E-4</v>
      </c>
      <c r="BD54" s="37">
        <f t="shared" si="35"/>
        <v>-1.6171685764127977E-3</v>
      </c>
      <c r="BE54" s="39">
        <f t="shared" si="36"/>
        <v>2.0369103301125423E-2</v>
      </c>
      <c r="BF54" s="39">
        <f>BF53+(1000*$C$2*($B54-$B53))/(BerechnungenCLT!$W$47*2*AZ54)</f>
        <v>1.753470170500471E-4</v>
      </c>
      <c r="BG54" s="37">
        <f t="shared" si="8"/>
        <v>2.587189939213551E-6</v>
      </c>
      <c r="BH54" s="173">
        <f t="shared" si="37"/>
        <v>3101.5162720890808</v>
      </c>
      <c r="BI54">
        <v>-258.06073303097043</v>
      </c>
      <c r="BN54" s="131"/>
      <c r="BO54" s="132"/>
      <c r="BP54" s="129">
        <v>85.499697828554019</v>
      </c>
      <c r="BQ54" s="9">
        <v>15.25</v>
      </c>
      <c r="BR54" s="129">
        <f t="shared" si="38"/>
        <v>100.749697887156</v>
      </c>
      <c r="BS54" s="36">
        <f t="shared" si="55"/>
        <v>1.5169229144509232E-2</v>
      </c>
      <c r="BT54" s="37">
        <f t="shared" si="39"/>
        <v>38950788.031251304</v>
      </c>
      <c r="BU54" s="36">
        <f t="shared" si="9"/>
        <v>1.9734503065778917</v>
      </c>
      <c r="BV54" s="37">
        <f t="shared" si="40"/>
        <v>-2.0212840475472836E-4</v>
      </c>
      <c r="BW54" s="37">
        <f t="shared" si="41"/>
        <v>-8.0850975477665698E-4</v>
      </c>
      <c r="BX54" s="37">
        <f t="shared" si="42"/>
        <v>-1.6170162410895864E-3</v>
      </c>
      <c r="BY54" s="39">
        <f t="shared" si="43"/>
        <v>2.036437571345167E-2</v>
      </c>
      <c r="BZ54" s="39">
        <f>BZ53+(1000*$C$2*($B54-$B53))/(BerechnungenCLT!$W$47*2*BT54)</f>
        <v>1.7530754195975784E-4</v>
      </c>
      <c r="CA54" s="37">
        <f t="shared" si="10"/>
        <v>2.5865894627426205E-6</v>
      </c>
      <c r="CB54" s="173">
        <f t="shared" si="44"/>
        <v>3100.8037394004682</v>
      </c>
      <c r="CC54" s="9">
        <v>-258.06240758458932</v>
      </c>
      <c r="CI54" s="131"/>
      <c r="CJ54" s="9">
        <f t="shared" ref="CJ54:CJ117" si="60">IF(ROW()=ROW($B$51)+$B$47,$C$34,ROUND((CK$34/$B$47)*(ROW()-ROW($B$51)),0))</f>
        <v>3</v>
      </c>
      <c r="CK54" s="129">
        <v>85.498450444211855</v>
      </c>
      <c r="CL54" s="9">
        <v>10.09375</v>
      </c>
      <c r="CM54" s="129">
        <f t="shared" si="56"/>
        <v>95.592201750628931</v>
      </c>
      <c r="CN54" s="36">
        <f t="shared" si="57"/>
        <v>9.7621938465257425E-3</v>
      </c>
      <c r="CO54" s="173">
        <f t="shared" si="58"/>
        <v>3279.985759352548</v>
      </c>
      <c r="CP54" s="9">
        <v>-630.06811348882047</v>
      </c>
      <c r="CQ54" s="129"/>
      <c r="CR54" s="36">
        <f t="shared" si="45"/>
        <v>0.8346382874332019</v>
      </c>
      <c r="CS54" s="17">
        <f t="shared" si="11"/>
        <v>0.60000562360759524</v>
      </c>
      <c r="CT54" s="9">
        <f t="shared" si="12"/>
        <v>10.093655395404756</v>
      </c>
      <c r="CU54" s="9">
        <f t="shared" si="46"/>
        <v>95.592107146021434</v>
      </c>
      <c r="CV54" s="9">
        <v>13.2</v>
      </c>
      <c r="CW54" s="9">
        <f t="shared" si="47"/>
        <v>98.698452152665638</v>
      </c>
      <c r="CX54">
        <f t="shared" si="48"/>
        <v>22</v>
      </c>
      <c r="CY54" s="9">
        <f t="shared" si="13"/>
        <v>625.49425050255456</v>
      </c>
      <c r="CZ54" s="17">
        <f t="shared" si="49"/>
        <v>0.58897763700805517</v>
      </c>
      <c r="DA54">
        <v>45</v>
      </c>
      <c r="DB54" s="9">
        <f t="shared" si="50"/>
        <v>10.093932936984885</v>
      </c>
      <c r="DC54" s="9">
        <f t="shared" si="51"/>
        <v>10.928571224451387</v>
      </c>
    </row>
    <row r="55" spans="1:108" x14ac:dyDescent="0.25">
      <c r="B55" s="9">
        <f t="shared" si="59"/>
        <v>4</v>
      </c>
      <c r="C55" s="129">
        <v>85.497084893938123</v>
      </c>
      <c r="D55" s="9"/>
      <c r="E55" s="129">
        <f>$C55+D55*SQRT((C56-C55)^2/(B56-B55)^2+1)</f>
        <v>85.497084893938123</v>
      </c>
      <c r="F55" s="36">
        <f t="shared" si="52"/>
        <v>0</v>
      </c>
      <c r="G55" s="37">
        <f t="shared" si="15"/>
        <v>0</v>
      </c>
      <c r="H55" s="36" t="e">
        <f t="shared" si="16"/>
        <v>#DIV/0!</v>
      </c>
      <c r="I55" s="37" t="e">
        <f t="shared" si="17"/>
        <v>#DIV/0!</v>
      </c>
      <c r="J55" s="37" t="e">
        <f t="shared" si="18"/>
        <v>#DIV/0!</v>
      </c>
      <c r="K55" s="37" t="e">
        <f t="shared" si="19"/>
        <v>#DIV/0!</v>
      </c>
      <c r="L55" s="39" t="e">
        <f>-I55*E55</f>
        <v>#DIV/0!</v>
      </c>
      <c r="M55" s="39" t="e">
        <f>M54+(1000*$C$2*(B55-B54))/(BerechnungenCLT!$W$47*2*'Berechnung freier Bereich'!G55)</f>
        <v>#DIV/0!</v>
      </c>
      <c r="N55" s="17">
        <v>1</v>
      </c>
      <c r="O55" s="173">
        <f t="shared" si="21"/>
        <v>3678.7596803405218</v>
      </c>
      <c r="P55" s="173"/>
      <c r="Q55" s="173"/>
      <c r="R55" s="37" t="e">
        <f t="shared" si="1"/>
        <v>#DIV/0!</v>
      </c>
      <c r="S55" s="37" t="e">
        <f t="shared" si="2"/>
        <v>#DIV/0!</v>
      </c>
      <c r="T55" s="37" t="e">
        <f t="shared" si="3"/>
        <v>#DIV/0!</v>
      </c>
      <c r="U55" s="39" t="e">
        <f t="shared" si="4"/>
        <v>#DIV/0!</v>
      </c>
      <c r="V55" s="39" t="e">
        <f t="shared" si="22"/>
        <v>#DIV/0!</v>
      </c>
      <c r="W55" s="9" t="e">
        <f t="shared" si="23"/>
        <v>#DIV/0!</v>
      </c>
      <c r="AA55" s="132"/>
      <c r="AB55" s="129">
        <v>85.499137260478321</v>
      </c>
      <c r="AC55" s="9">
        <v>15.25</v>
      </c>
      <c r="AD55" s="129">
        <f t="shared" si="24"/>
        <v>100.74913747888925</v>
      </c>
      <c r="AE55" s="36">
        <f t="shared" si="53"/>
        <v>1.5169138004667184E-2</v>
      </c>
      <c r="AF55" s="37">
        <f t="shared" si="25"/>
        <v>38950088.274006836</v>
      </c>
      <c r="AG55" s="36">
        <f t="shared" si="5"/>
        <v>1.9734499896246611</v>
      </c>
      <c r="AH55" s="37">
        <f t="shared" si="26"/>
        <v>-2.0213203608964461E-4</v>
      </c>
      <c r="AI55" s="37">
        <f t="shared" si="27"/>
        <v>-1.0106465904617399E-3</v>
      </c>
      <c r="AJ55" s="37">
        <f t="shared" si="28"/>
        <v>-2.5266024459281661E-3</v>
      </c>
      <c r="AK55" s="39">
        <f t="shared" si="29"/>
        <v>2.0364628292883408E-2</v>
      </c>
      <c r="AL55" s="39">
        <f>AL54+(1000*$C$2*($B55-$B54))/(BerechnungenCLT!$W$47*2*AF55)</f>
        <v>2.337460118328529E-4</v>
      </c>
      <c r="AM55" s="37">
        <f t="shared" si="6"/>
        <v>2.586621544221858E-6</v>
      </c>
      <c r="AN55" s="173">
        <f t="shared" si="30"/>
        <v>3100.8410652559655</v>
      </c>
      <c r="AO55" s="173">
        <v>-258.06073303097043</v>
      </c>
      <c r="AP55" s="131"/>
      <c r="AQ55" s="131"/>
      <c r="AR55" s="131"/>
      <c r="AS55" s="131"/>
      <c r="AT55" s="131"/>
      <c r="AU55" s="132"/>
      <c r="AV55" s="129">
        <v>85.485758391136429</v>
      </c>
      <c r="AW55" s="9">
        <v>15.25</v>
      </c>
      <c r="AX55" s="129">
        <f t="shared" si="31"/>
        <v>100.73581790693288</v>
      </c>
      <c r="AY55" s="36">
        <f t="shared" si="54"/>
        <v>1.5167022503514451E-2</v>
      </c>
      <c r="AZ55" s="37">
        <f t="shared" si="32"/>
        <v>38933568.101419866</v>
      </c>
      <c r="BA55" s="36">
        <f t="shared" si="7"/>
        <v>1.9734422476930391</v>
      </c>
      <c r="BB55" s="37">
        <f t="shared" si="33"/>
        <v>-2.0221780413722909E-4</v>
      </c>
      <c r="BC55" s="37">
        <f t="shared" si="34"/>
        <v>-1.0108622523283118E-3</v>
      </c>
      <c r="BD55" s="37">
        <f t="shared" si="35"/>
        <v>-2.5269219266724949E-3</v>
      </c>
      <c r="BE55" s="39">
        <f t="shared" si="36"/>
        <v>2.0370575895107726E-2</v>
      </c>
      <c r="BF55" s="39">
        <f>BF54+(1000*$C$2*($B55-$B54))/(BerechnungenCLT!$W$47*2*AZ55)</f>
        <v>2.3380889362377227E-4</v>
      </c>
      <c r="BG55" s="37">
        <f t="shared" si="8"/>
        <v>2.5873769813370677E-6</v>
      </c>
      <c r="BH55" s="173">
        <f t="shared" si="37"/>
        <v>3101.7302592945957</v>
      </c>
      <c r="BI55">
        <v>-258.06073303097043</v>
      </c>
      <c r="BN55" s="131"/>
      <c r="BO55" s="132"/>
      <c r="BP55" s="129">
        <v>85.49961016152956</v>
      </c>
      <c r="BQ55" s="9">
        <v>15.25</v>
      </c>
      <c r="BR55" s="129">
        <f t="shared" si="38"/>
        <v>100.74961020612437</v>
      </c>
      <c r="BS55" s="36">
        <f t="shared" si="55"/>
        <v>1.5169214849215344E-2</v>
      </c>
      <c r="BT55" s="37">
        <f t="shared" si="39"/>
        <v>38950678.470635913</v>
      </c>
      <c r="BU55" s="36">
        <f t="shared" si="9"/>
        <v>1.9734502571335015</v>
      </c>
      <c r="BV55" s="37">
        <f t="shared" si="40"/>
        <v>-2.0212897330226803E-4</v>
      </c>
      <c r="BW55" s="37">
        <f t="shared" si="41"/>
        <v>-1.010638728078925E-3</v>
      </c>
      <c r="BX55" s="37">
        <f t="shared" si="42"/>
        <v>-2.5265904825173772E-3</v>
      </c>
      <c r="BY55" s="39">
        <f t="shared" si="43"/>
        <v>2.0364415271567623E-2</v>
      </c>
      <c r="BZ55" s="39">
        <f>BZ54+(1000*$C$2*($B55-$B54))/(BerechnungenCLT!$W$47*2*BT55)</f>
        <v>2.3374373722746946E-4</v>
      </c>
      <c r="CA55" s="37">
        <f t="shared" si="10"/>
        <v>2.5865944872328053E-6</v>
      </c>
      <c r="CB55" s="173">
        <f t="shared" si="44"/>
        <v>3100.8095780306953</v>
      </c>
      <c r="CC55" s="9">
        <v>-258.06289350085495</v>
      </c>
      <c r="CI55" s="131"/>
      <c r="CJ55" s="9">
        <f t="shared" si="60"/>
        <v>4</v>
      </c>
      <c r="CK55" s="129">
        <v>85.497941664642283</v>
      </c>
      <c r="CL55" s="9">
        <v>10.09375</v>
      </c>
      <c r="CM55" s="129">
        <f t="shared" si="56"/>
        <v>95.591692937215385</v>
      </c>
      <c r="CN55" s="36">
        <f t="shared" si="57"/>
        <v>9.7621389576216851E-3</v>
      </c>
      <c r="CO55" s="173">
        <f t="shared" si="58"/>
        <v>3280.0226217591526</v>
      </c>
      <c r="CP55" s="9">
        <v>-630.07519456437751</v>
      </c>
      <c r="CQ55" s="129"/>
      <c r="CR55" s="36">
        <f t="shared" si="45"/>
        <v>0.83464085603861937</v>
      </c>
      <c r="CS55" s="17">
        <f t="shared" si="11"/>
        <v>0.60000747012927835</v>
      </c>
      <c r="CT55" s="9">
        <f t="shared" si="12"/>
        <v>10.093624332202252</v>
      </c>
      <c r="CU55" s="9">
        <f t="shared" si="46"/>
        <v>95.591567269401793</v>
      </c>
      <c r="CV55" s="9">
        <v>13.2</v>
      </c>
      <c r="CW55" s="9">
        <f t="shared" si="47"/>
        <v>98.697943328836956</v>
      </c>
      <c r="CX55">
        <f t="shared" si="48"/>
        <v>22</v>
      </c>
      <c r="CY55" s="9">
        <f t="shared" si="13"/>
        <v>625.49797268216912</v>
      </c>
      <c r="CZ55" s="17">
        <f t="shared" si="49"/>
        <v>0.58898114188528161</v>
      </c>
      <c r="DA55">
        <v>45</v>
      </c>
      <c r="DB55" s="9">
        <f t="shared" si="50"/>
        <v>10.093993003774271</v>
      </c>
      <c r="DC55" s="9">
        <f t="shared" si="51"/>
        <v>10.928633859845327</v>
      </c>
    </row>
    <row r="56" spans="1:108" x14ac:dyDescent="0.25">
      <c r="B56" s="9">
        <f t="shared" si="59"/>
        <v>5</v>
      </c>
      <c r="C56" s="129">
        <v>85.496500114670553</v>
      </c>
      <c r="D56" s="9"/>
      <c r="E56" s="129">
        <f t="shared" si="14"/>
        <v>85.496500114670553</v>
      </c>
      <c r="F56" s="36">
        <f t="shared" si="52"/>
        <v>0</v>
      </c>
      <c r="G56" s="37">
        <f t="shared" si="15"/>
        <v>0</v>
      </c>
      <c r="H56" s="36" t="e">
        <f t="shared" si="16"/>
        <v>#DIV/0!</v>
      </c>
      <c r="I56" s="37" t="e">
        <f t="shared" si="17"/>
        <v>#DIV/0!</v>
      </c>
      <c r="J56" s="37" t="e">
        <f t="shared" si="18"/>
        <v>#DIV/0!</v>
      </c>
      <c r="K56" s="37" t="e">
        <f t="shared" si="19"/>
        <v>#DIV/0!</v>
      </c>
      <c r="L56" s="39" t="e">
        <f t="shared" si="20"/>
        <v>#DIV/0!</v>
      </c>
      <c r="M56" s="39" t="e">
        <f>M55+(1000*$C$2*(B56-B55))/(BerechnungenCLT!$W$47*2*'Berechnung freier Bereich'!G56)</f>
        <v>#DIV/0!</v>
      </c>
      <c r="N56" s="17" t="e">
        <f t="shared" ref="N56:N115" si="61">-($C$11*($C$34))/G56*E56*D56</f>
        <v>#DIV/0!</v>
      </c>
      <c r="O56" s="173">
        <f t="shared" si="21"/>
        <v>3678.8100044998882</v>
      </c>
      <c r="P56" s="173"/>
      <c r="Q56" s="173"/>
      <c r="R56" s="37" t="e">
        <f t="shared" si="1"/>
        <v>#DIV/0!</v>
      </c>
      <c r="S56" s="37" t="e">
        <f t="shared" si="2"/>
        <v>#DIV/0!</v>
      </c>
      <c r="T56" s="37" t="e">
        <f t="shared" si="3"/>
        <v>#DIV/0!</v>
      </c>
      <c r="U56" s="39" t="e">
        <f t="shared" si="4"/>
        <v>#DIV/0!</v>
      </c>
      <c r="V56" s="39" t="e">
        <f t="shared" si="22"/>
        <v>#DIV/0!</v>
      </c>
      <c r="W56" s="9" t="e">
        <f t="shared" si="23"/>
        <v>#DIV/0!</v>
      </c>
      <c r="AA56" s="132"/>
      <c r="AB56" s="129">
        <v>85.49896801492622</v>
      </c>
      <c r="AC56" s="9">
        <v>15.25</v>
      </c>
      <c r="AD56" s="129">
        <f t="shared" si="24"/>
        <v>100.74896816073922</v>
      </c>
      <c r="AE56" s="36">
        <f t="shared" si="53"/>
        <v>1.5169110357865907E-2</v>
      </c>
      <c r="AF56" s="37">
        <f t="shared" si="25"/>
        <v>38949876.618152238</v>
      </c>
      <c r="AG56" s="36">
        <f t="shared" si="5"/>
        <v>1.973449894312167</v>
      </c>
      <c r="AH56" s="37">
        <f t="shared" si="26"/>
        <v>-2.0213313448667571E-4</v>
      </c>
      <c r="AI56" s="37">
        <f t="shared" si="27"/>
        <v>-1.2127797249484155E-3</v>
      </c>
      <c r="AJ56" s="37">
        <f t="shared" si="28"/>
        <v>-3.6383156036332437E-3</v>
      </c>
      <c r="AK56" s="39">
        <f t="shared" si="29"/>
        <v>2.036470473062851E-2</v>
      </c>
      <c r="AL56" s="39">
        <f>AL55+(1000*$C$2*($B56-$B55))/(BerechnungenCLT!$W$47*2*AF56)</f>
        <v>2.9218341011357462E-4</v>
      </c>
      <c r="AM56" s="37">
        <f t="shared" si="6"/>
        <v>2.5866312529931375E-6</v>
      </c>
      <c r="AN56" s="173">
        <f>$C$2*1000/(2*PI()*((AB56+AD56)/2)^2)</f>
        <v>3100.8523387573696</v>
      </c>
      <c r="AO56" s="173">
        <v>-258.06073303097043</v>
      </c>
      <c r="AP56" s="131"/>
      <c r="AQ56" s="131"/>
      <c r="AR56" s="131"/>
      <c r="AS56" s="131"/>
      <c r="AT56" s="131"/>
      <c r="AU56" s="132"/>
      <c r="AV56" s="129">
        <v>85.482964582699083</v>
      </c>
      <c r="AW56" s="9">
        <v>15.25</v>
      </c>
      <c r="AX56" s="129">
        <f t="shared" si="31"/>
        <v>100.73300431598039</v>
      </c>
      <c r="AY56" s="36">
        <f t="shared" si="54"/>
        <v>1.5166546128455171E-2</v>
      </c>
      <c r="AZ56" s="37">
        <f t="shared" si="32"/>
        <v>38930015.615642644</v>
      </c>
      <c r="BA56" s="36">
        <f t="shared" si="7"/>
        <v>1.9734407324203773</v>
      </c>
      <c r="BB56" s="37">
        <f t="shared" si="33"/>
        <v>-2.0223625714480532E-4</v>
      </c>
      <c r="BC56" s="37">
        <f t="shared" si="34"/>
        <v>-1.2130985094731173E-3</v>
      </c>
      <c r="BD56" s="37">
        <f t="shared" si="35"/>
        <v>-3.6389023075732094E-3</v>
      </c>
      <c r="BE56" s="39">
        <f t="shared" si="36"/>
        <v>2.0371865763815396E-2</v>
      </c>
      <c r="BF56" s="39">
        <f>BF55+(1000*$C$2*($B56-$B55))/(BerechnungenCLT!$W$47*2*AZ56)</f>
        <v>2.9227610502672246E-4</v>
      </c>
      <c r="BG56" s="37">
        <f t="shared" si="8"/>
        <v>2.5875408145355178E-6</v>
      </c>
      <c r="BH56" s="173">
        <f t="shared" si="37"/>
        <v>3101.9170628467596</v>
      </c>
      <c r="BI56">
        <v>-258.06073303097043</v>
      </c>
      <c r="BN56" s="131"/>
      <c r="BO56" s="132"/>
      <c r="BP56" s="129">
        <v>85.499533686040152</v>
      </c>
      <c r="BQ56" s="9">
        <v>15.25</v>
      </c>
      <c r="BR56" s="129">
        <f t="shared" si="38"/>
        <v>100.74953371581203</v>
      </c>
      <c r="BS56" s="36">
        <f t="shared" si="55"/>
        <v>1.5169202376050411E-2</v>
      </c>
      <c r="BT56" s="37">
        <f t="shared" si="39"/>
        <v>38950582.888284497</v>
      </c>
      <c r="BU56" s="36">
        <f t="shared" si="9"/>
        <v>1.9734502140092924</v>
      </c>
      <c r="BV56" s="37">
        <f t="shared" si="40"/>
        <v>-2.0212946931442305E-4</v>
      </c>
      <c r="BW56" s="37">
        <f t="shared" si="41"/>
        <v>-1.2127681973933481E-3</v>
      </c>
      <c r="BX56" s="37">
        <f t="shared" si="42"/>
        <v>-3.6382939452535134E-3</v>
      </c>
      <c r="BY56" s="39">
        <f t="shared" si="43"/>
        <v>2.036444978365266E-2</v>
      </c>
      <c r="BZ56" s="39">
        <f>BZ55+(1000*$C$2*($B56-$B55))/(BerechnungenCLT!$W$47*2*BT56)</f>
        <v>2.9218007589403515E-4</v>
      </c>
      <c r="CA56" s="37">
        <f t="shared" si="10"/>
        <v>2.5865988707993211E-6</v>
      </c>
      <c r="CB56" s="173">
        <f t="shared" si="44"/>
        <v>3100.8146714040431</v>
      </c>
      <c r="CC56" s="9">
        <v>-258.06331739359348</v>
      </c>
      <c r="CI56" s="131"/>
      <c r="CJ56" s="9">
        <f t="shared" si="60"/>
        <v>5</v>
      </c>
      <c r="CK56" s="129">
        <v>85.497439518523962</v>
      </c>
      <c r="CL56" s="9">
        <v>10.09375</v>
      </c>
      <c r="CM56" s="129">
        <f t="shared" si="56"/>
        <v>95.591190749416697</v>
      </c>
      <c r="CN56" s="36">
        <f t="shared" si="57"/>
        <v>9.7620847759058247E-3</v>
      </c>
      <c r="CO56" s="173">
        <f t="shared" si="58"/>
        <v>3280.0590044641044</v>
      </c>
      <c r="CP56" s="9">
        <v>-630.08218349175536</v>
      </c>
      <c r="CQ56" s="129"/>
      <c r="CR56" s="36">
        <f t="shared" si="45"/>
        <v>0.83464339120368214</v>
      </c>
      <c r="CS56" s="17">
        <f t="shared" si="11"/>
        <v>0.6000092926113253</v>
      </c>
      <c r="CT56" s="9">
        <f t="shared" si="12"/>
        <v>10.093593673595192</v>
      </c>
      <c r="CU56" s="9">
        <f t="shared" si="46"/>
        <v>95.59103442299282</v>
      </c>
      <c r="CV56" s="9">
        <v>13.2</v>
      </c>
      <c r="CW56" s="9">
        <f t="shared" si="47"/>
        <v>98.697441128211551</v>
      </c>
      <c r="CX56">
        <f t="shared" si="48"/>
        <v>22</v>
      </c>
      <c r="CY56" s="9">
        <f t="shared" si="13"/>
        <v>625.50164637556577</v>
      </c>
      <c r="CZ56" s="17">
        <f t="shared" si="49"/>
        <v>0.58898460110693585</v>
      </c>
      <c r="DA56">
        <v>45</v>
      </c>
      <c r="DB56" s="9">
        <f t="shared" si="50"/>
        <v>10.094052288115812</v>
      </c>
      <c r="DC56" s="9">
        <f t="shared" si="51"/>
        <v>10.92869567935087</v>
      </c>
    </row>
    <row r="57" spans="1:108" x14ac:dyDescent="0.25">
      <c r="B57" s="9">
        <f t="shared" si="59"/>
        <v>6</v>
      </c>
      <c r="C57" s="129">
        <v>85.496011333568262</v>
      </c>
      <c r="D57" s="9"/>
      <c r="E57" s="129">
        <f t="shared" si="14"/>
        <v>85.496011333568262</v>
      </c>
      <c r="F57" s="36">
        <f t="shared" si="52"/>
        <v>0</v>
      </c>
      <c r="G57" s="37">
        <f t="shared" si="15"/>
        <v>0</v>
      </c>
      <c r="H57" s="36" t="e">
        <f t="shared" si="16"/>
        <v>#DIV/0!</v>
      </c>
      <c r="I57" s="37" t="e">
        <f t="shared" si="17"/>
        <v>#DIV/0!</v>
      </c>
      <c r="J57" s="37" t="e">
        <f t="shared" si="18"/>
        <v>#DIV/0!</v>
      </c>
      <c r="K57" s="37" t="e">
        <f t="shared" si="19"/>
        <v>#DIV/0!</v>
      </c>
      <c r="L57" s="39" t="e">
        <f t="shared" si="20"/>
        <v>#DIV/0!</v>
      </c>
      <c r="M57" s="39" t="e">
        <f>M56+(1000*$C$2*(B57-B56))/(BerechnungenCLT!$W$47*2*'Berechnung freier Bereich'!G57)</f>
        <v>#DIV/0!</v>
      </c>
      <c r="N57" s="17" t="e">
        <f t="shared" si="61"/>
        <v>#DIV/0!</v>
      </c>
      <c r="O57" s="173">
        <f t="shared" si="21"/>
        <v>3678.852068168615</v>
      </c>
      <c r="P57" s="173"/>
      <c r="Q57" s="173"/>
      <c r="R57" s="37" t="e">
        <f t="shared" si="1"/>
        <v>#DIV/0!</v>
      </c>
      <c r="S57" s="37" t="e">
        <f t="shared" si="2"/>
        <v>#DIV/0!</v>
      </c>
      <c r="T57" s="37" t="e">
        <f t="shared" si="3"/>
        <v>#DIV/0!</v>
      </c>
      <c r="U57" s="39" t="e">
        <f t="shared" si="4"/>
        <v>#DIV/0!</v>
      </c>
      <c r="V57" s="39" t="e">
        <f t="shared" si="22"/>
        <v>#DIV/0!</v>
      </c>
      <c r="W57" s="9" t="e">
        <f t="shared" si="23"/>
        <v>#DIV/0!</v>
      </c>
      <c r="AA57" s="132"/>
      <c r="AB57" s="129">
        <v>85.498829728926339</v>
      </c>
      <c r="AC57" s="9">
        <v>15.25</v>
      </c>
      <c r="AD57" s="129">
        <f t="shared" si="24"/>
        <v>100.74882980691632</v>
      </c>
      <c r="AE57" s="36">
        <f t="shared" si="53"/>
        <v>1.5169087759253727E-2</v>
      </c>
      <c r="AF57" s="37">
        <f t="shared" si="25"/>
        <v>38949703.653078295</v>
      </c>
      <c r="AG57" s="36">
        <f t="shared" si="5"/>
        <v>1.9734498164614258</v>
      </c>
      <c r="AH57" s="37">
        <f t="shared" si="26"/>
        <v>-2.0213403210512398E-4</v>
      </c>
      <c r="AI57" s="37">
        <f t="shared" si="27"/>
        <v>-1.4149137570535395E-3</v>
      </c>
      <c r="AJ57" s="37">
        <f t="shared" si="28"/>
        <v>-4.9521623446342217E-3</v>
      </c>
      <c r="AK57" s="39">
        <f t="shared" si="29"/>
        <v>2.0364767198744894E-2</v>
      </c>
      <c r="AL57" s="39">
        <f>AL56+(1000*$C$2*($B57-$B56))/(BerechnungenCLT!$W$47*2*AF57)</f>
        <v>3.506210678989386E-4</v>
      </c>
      <c r="AM57" s="37">
        <f t="shared" si="6"/>
        <v>2.5866391874063432E-6</v>
      </c>
      <c r="AN57" s="173">
        <f t="shared" si="30"/>
        <v>3100.861550361753</v>
      </c>
      <c r="AO57" s="173">
        <v>-258.06073303097043</v>
      </c>
      <c r="AP57" s="131"/>
      <c r="AQ57" s="131"/>
      <c r="AR57" s="131"/>
      <c r="AS57" s="131"/>
      <c r="AT57" s="131"/>
      <c r="AU57" s="132"/>
      <c r="AV57" s="129">
        <v>85.480681836780761</v>
      </c>
      <c r="AW57" s="9">
        <v>15.25</v>
      </c>
      <c r="AX57" s="129">
        <f t="shared" si="31"/>
        <v>100.73070308865562</v>
      </c>
      <c r="AY57" s="36">
        <f t="shared" si="54"/>
        <v>1.5166154402393663E-2</v>
      </c>
      <c r="AZ57" s="37">
        <f t="shared" si="32"/>
        <v>38927105.695907608</v>
      </c>
      <c r="BA57" s="36">
        <f t="shared" si="7"/>
        <v>1.9734395015708643</v>
      </c>
      <c r="BB57" s="37">
        <f t="shared" si="33"/>
        <v>-2.0225137492110246E-4</v>
      </c>
      <c r="BC57" s="37">
        <f t="shared" si="34"/>
        <v>-1.4153498843942197E-3</v>
      </c>
      <c r="BD57" s="37">
        <f t="shared" si="35"/>
        <v>-4.9531265045068777E-3</v>
      </c>
      <c r="BE57" s="39">
        <f t="shared" si="36"/>
        <v>2.0372923196449941E-2</v>
      </c>
      <c r="BF57" s="39">
        <f>BF56+(1000*$C$2*($B57-$B56))/(BerechnungenCLT!$W$47*2*AZ57)</f>
        <v>3.5074768703183463E-4</v>
      </c>
      <c r="BG57" s="37">
        <f t="shared" si="8"/>
        <v>2.5876751247716163E-6</v>
      </c>
      <c r="BH57" s="173">
        <f t="shared" si="37"/>
        <v>3102.069784763738</v>
      </c>
      <c r="BI57">
        <v>-258.06073303097043</v>
      </c>
      <c r="BN57" s="131"/>
      <c r="BO57" s="132"/>
      <c r="BP57" s="129">
        <v>85.499471199969534</v>
      </c>
      <c r="BQ57" s="9">
        <v>15.25</v>
      </c>
      <c r="BR57" s="129">
        <f t="shared" si="38"/>
        <v>100.74947121589341</v>
      </c>
      <c r="BS57" s="36">
        <f t="shared" si="55"/>
        <v>1.5169192182693182E-2</v>
      </c>
      <c r="BT57" s="37">
        <f t="shared" si="39"/>
        <v>38950504.785046697</v>
      </c>
      <c r="BU57" s="36">
        <f t="shared" si="9"/>
        <v>1.9734501787790744</v>
      </c>
      <c r="BV57" s="37">
        <f t="shared" si="40"/>
        <v>-2.0212987462280338E-4</v>
      </c>
      <c r="BW57" s="37">
        <f t="shared" si="41"/>
        <v>-1.4148980720161514E-3</v>
      </c>
      <c r="BX57" s="37">
        <f t="shared" si="42"/>
        <v>-4.9521270799582628E-3</v>
      </c>
      <c r="BY57" s="39">
        <f t="shared" si="43"/>
        <v>2.0364477985182271E-2</v>
      </c>
      <c r="BZ57" s="39">
        <f>BZ56+(1000*$C$2*($B57-$B56))/(BerechnungenCLT!$W$47*2*BT57)</f>
        <v>3.5061653173667546E-4</v>
      </c>
      <c r="CA57" s="37">
        <f t="shared" si="10"/>
        <v>2.5866024528280737E-6</v>
      </c>
      <c r="CB57" s="173">
        <f t="shared" si="44"/>
        <v>3100.8188331298948</v>
      </c>
      <c r="CC57" s="9">
        <v>-258.06366375056518</v>
      </c>
      <c r="CI57" s="131"/>
      <c r="CJ57" s="9">
        <f t="shared" si="60"/>
        <v>6</v>
      </c>
      <c r="CK57" s="129">
        <v>85.496945664219723</v>
      </c>
      <c r="CL57" s="9">
        <v>10.09375</v>
      </c>
      <c r="CM57" s="129">
        <f t="shared" si="56"/>
        <v>95.590696846012079</v>
      </c>
      <c r="CN57" s="36">
        <f t="shared" si="57"/>
        <v>9.7620314806007111E-3</v>
      </c>
      <c r="CO57" s="173">
        <f t="shared" si="58"/>
        <v>3280.0947872746642</v>
      </c>
      <c r="CP57" s="9">
        <v>-630.08905718255744</v>
      </c>
      <c r="CQ57" s="129"/>
      <c r="CR57" s="36">
        <f t="shared" si="45"/>
        <v>0.83464588455415223</v>
      </c>
      <c r="CS57" s="17">
        <f t="shared" si="11"/>
        <v>0.60001108503365497</v>
      </c>
      <c r="CT57" s="9">
        <f t="shared" si="12"/>
        <v>10.093563520847788</v>
      </c>
      <c r="CU57" s="9">
        <f t="shared" si="46"/>
        <v>95.590510366838032</v>
      </c>
      <c r="CV57" s="9">
        <v>13.2</v>
      </c>
      <c r="CW57" s="9">
        <f t="shared" si="47"/>
        <v>98.696947209696788</v>
      </c>
      <c r="CX57">
        <f t="shared" si="48"/>
        <v>22</v>
      </c>
      <c r="CY57" s="9">
        <f t="shared" si="13"/>
        <v>625.50525944826643</v>
      </c>
      <c r="CZ57" s="17">
        <f t="shared" si="49"/>
        <v>0.58898800324695522</v>
      </c>
      <c r="DA57">
        <v>45</v>
      </c>
      <c r="DB57" s="9">
        <f t="shared" si="50"/>
        <v>10.094110594188981</v>
      </c>
      <c r="DC57" s="9">
        <f t="shared" si="51"/>
        <v>10.928756478773259</v>
      </c>
    </row>
    <row r="58" spans="1:108" x14ac:dyDescent="0.25">
      <c r="A58" s="9"/>
      <c r="B58" s="9">
        <f t="shared" si="59"/>
        <v>7</v>
      </c>
      <c r="C58" s="129">
        <v>85.495637750264294</v>
      </c>
      <c r="D58" s="9"/>
      <c r="E58" s="129">
        <f t="shared" si="14"/>
        <v>85.495637750264294</v>
      </c>
      <c r="F58" s="36">
        <f t="shared" si="52"/>
        <v>0</v>
      </c>
      <c r="G58" s="37">
        <f t="shared" si="15"/>
        <v>0</v>
      </c>
      <c r="H58" s="36" t="e">
        <f t="shared" si="16"/>
        <v>#DIV/0!</v>
      </c>
      <c r="I58" s="37" t="e">
        <f t="shared" si="17"/>
        <v>#DIV/0!</v>
      </c>
      <c r="J58" s="37" t="e">
        <f t="shared" si="18"/>
        <v>#DIV/0!</v>
      </c>
      <c r="K58" s="37" t="e">
        <f t="shared" si="19"/>
        <v>#DIV/0!</v>
      </c>
      <c r="L58" s="39" t="e">
        <f t="shared" si="20"/>
        <v>#DIV/0!</v>
      </c>
      <c r="M58" s="39" t="e">
        <f>M57+(1000*$C$2*(B58-B57))/(BerechnungenCLT!$W$47*2*'Berechnung freier Bereich'!G58)</f>
        <v>#DIV/0!</v>
      </c>
      <c r="N58" s="17" t="e">
        <f t="shared" si="61"/>
        <v>#DIV/0!</v>
      </c>
      <c r="O58" s="173">
        <f t="shared" si="21"/>
        <v>3678.8842185975564</v>
      </c>
      <c r="P58" s="173"/>
      <c r="Q58" s="173"/>
      <c r="R58" s="37" t="e">
        <f t="shared" si="1"/>
        <v>#DIV/0!</v>
      </c>
      <c r="S58" s="37" t="e">
        <f t="shared" si="2"/>
        <v>#DIV/0!</v>
      </c>
      <c r="T58" s="37" t="e">
        <f t="shared" si="3"/>
        <v>#DIV/0!</v>
      </c>
      <c r="U58" s="39" t="e">
        <f t="shared" si="4"/>
        <v>#DIV/0!</v>
      </c>
      <c r="V58" s="39" t="e">
        <f t="shared" si="22"/>
        <v>#DIV/0!</v>
      </c>
      <c r="W58" s="9" t="e">
        <f t="shared" si="23"/>
        <v>#DIV/0!</v>
      </c>
      <c r="AA58" s="132"/>
      <c r="AB58" s="129">
        <v>85.498728594389107</v>
      </c>
      <c r="AC58" s="9">
        <v>15.25</v>
      </c>
      <c r="AD58" s="129">
        <f t="shared" si="24"/>
        <v>100.74872861985523</v>
      </c>
      <c r="AE58" s="36">
        <f t="shared" si="53"/>
        <v>1.5169071228766207E-2</v>
      </c>
      <c r="AF58" s="37">
        <f t="shared" si="25"/>
        <v>38949577.147171125</v>
      </c>
      <c r="AG58" s="36">
        <f t="shared" si="5"/>
        <v>1.9734497595348359</v>
      </c>
      <c r="AH58" s="37">
        <f t="shared" si="26"/>
        <v>-2.0213468862442341E-4</v>
      </c>
      <c r="AI58" s="37">
        <f t="shared" si="27"/>
        <v>-1.6170484456779629E-3</v>
      </c>
      <c r="AJ58" s="37">
        <f t="shared" si="28"/>
        <v>-6.468143445999973E-3</v>
      </c>
      <c r="AK58" s="39">
        <f t="shared" si="29"/>
        <v>2.0364812888880972E-2</v>
      </c>
      <c r="AL58" s="39">
        <f>AL57+(1000*$C$2*($B58-$B57))/(BerechnungenCLT!$W$47*2*AF58)</f>
        <v>4.0905891548633519E-4</v>
      </c>
      <c r="AM58" s="37">
        <f t="shared" si="6"/>
        <v>2.5866449907575573E-6</v>
      </c>
      <c r="AN58" s="173">
        <f t="shared" si="30"/>
        <v>3100.8682873300345</v>
      </c>
      <c r="AO58" s="173">
        <v>-258.06073303097043</v>
      </c>
      <c r="AP58" s="131"/>
      <c r="AQ58" s="131"/>
      <c r="AR58" s="131"/>
      <c r="AS58" s="131"/>
      <c r="AT58" s="131"/>
      <c r="AU58" s="132"/>
      <c r="AV58" s="129">
        <v>85.479012365885268</v>
      </c>
      <c r="AW58" s="9">
        <v>15.25</v>
      </c>
      <c r="AX58" s="129">
        <f t="shared" si="31"/>
        <v>100.72901930527624</v>
      </c>
      <c r="AY58" s="36">
        <f t="shared" si="54"/>
        <v>1.5165867060054442E-2</v>
      </c>
      <c r="AZ58" s="37">
        <f t="shared" si="32"/>
        <v>38924975.08253587</v>
      </c>
      <c r="BA58" s="36">
        <f t="shared" si="7"/>
        <v>1.9734386038625291</v>
      </c>
      <c r="BB58" s="37">
        <f t="shared" si="33"/>
        <v>-2.0226244543516047E-4</v>
      </c>
      <c r="BC58" s="37">
        <f t="shared" si="34"/>
        <v>-1.6176123298293802E-3</v>
      </c>
      <c r="BD58" s="37">
        <f t="shared" si="35"/>
        <v>-6.4696076116186781E-3</v>
      </c>
      <c r="BE58" s="39">
        <f t="shared" si="36"/>
        <v>2.0373697770970662E-2</v>
      </c>
      <c r="BF58" s="39">
        <f>BF57+(1000*$C$2*($B58-$B57))/(BerechnungenCLT!$W$47*2*AZ58)</f>
        <v>4.092224695613973E-4</v>
      </c>
      <c r="BG58" s="37">
        <f t="shared" si="8"/>
        <v>2.5877735076693586E-6</v>
      </c>
      <c r="BH58" s="173">
        <f t="shared" si="37"/>
        <v>3102.1815105828005</v>
      </c>
      <c r="BI58">
        <v>-258.06073303097043</v>
      </c>
      <c r="BN58" s="131"/>
      <c r="BO58" s="132"/>
      <c r="BP58" s="129">
        <v>85.499425501201458</v>
      </c>
      <c r="BQ58" s="9">
        <v>15.25</v>
      </c>
      <c r="BR58" s="129">
        <f t="shared" si="38"/>
        <v>100.7494255064011</v>
      </c>
      <c r="BS58" s="36">
        <f t="shared" si="55"/>
        <v>1.5169184727207829E-2</v>
      </c>
      <c r="BT58" s="37">
        <f t="shared" si="39"/>
        <v>38950447.662917875</v>
      </c>
      <c r="BU58" s="36">
        <f t="shared" si="9"/>
        <v>1.9734501530155364</v>
      </c>
      <c r="BV58" s="37">
        <f t="shared" si="40"/>
        <v>-2.021301710529969E-4</v>
      </c>
      <c r="BW58" s="37">
        <f t="shared" si="41"/>
        <v>-1.6170282430691483E-3</v>
      </c>
      <c r="BX58" s="37">
        <f t="shared" si="42"/>
        <v>-6.4680902375009123E-3</v>
      </c>
      <c r="BY58" s="39">
        <f t="shared" si="43"/>
        <v>2.0364498611100023E-2</v>
      </c>
      <c r="BZ58" s="39">
        <f>BZ57+(1000*$C$2*($B58-$B57))/(BerechnungenCLT!$W$47*2*BT58)</f>
        <v>4.0905307327832464E-4</v>
      </c>
      <c r="CA58" s="37">
        <f t="shared" si="10"/>
        <v>2.5866050726374043E-6</v>
      </c>
      <c r="CB58" s="173">
        <f t="shared" si="44"/>
        <v>3100.8218768053143</v>
      </c>
      <c r="CC58" s="9">
        <v>-258.0639170585049</v>
      </c>
      <c r="CI58" s="131"/>
      <c r="CJ58" s="9">
        <f t="shared" si="60"/>
        <v>7</v>
      </c>
      <c r="CK58" s="129">
        <v>85.496461760092359</v>
      </c>
      <c r="CL58" s="9">
        <v>10.09375</v>
      </c>
      <c r="CM58" s="129">
        <f t="shared" si="56"/>
        <v>95.590212885863991</v>
      </c>
      <c r="CN58" s="36">
        <f t="shared" si="57"/>
        <v>9.7619792510139237E-3</v>
      </c>
      <c r="CO58" s="173">
        <f t="shared" si="58"/>
        <v>3280.129849987643</v>
      </c>
      <c r="CP58" s="9">
        <v>-630.09579254637936</v>
      </c>
      <c r="CQ58" s="129"/>
      <c r="CR58" s="36">
        <f t="shared" si="45"/>
        <v>0.8346483277152833</v>
      </c>
      <c r="CS58" s="17">
        <f t="shared" si="11"/>
        <v>0.60001284137582156</v>
      </c>
      <c r="CT58" s="9">
        <f t="shared" si="12"/>
        <v>10.093533975228093</v>
      </c>
      <c r="CU58" s="9">
        <f t="shared" si="46"/>
        <v>95.589996861067988</v>
      </c>
      <c r="CV58" s="9">
        <v>13.2</v>
      </c>
      <c r="CW58" s="9">
        <f t="shared" si="47"/>
        <v>98.696463232308886</v>
      </c>
      <c r="CX58">
        <f t="shared" si="48"/>
        <v>22</v>
      </c>
      <c r="CY58" s="9">
        <f t="shared" si="13"/>
        <v>625.50879976526323</v>
      </c>
      <c r="CZ58" s="17">
        <f t="shared" si="49"/>
        <v>0.58899133687877891</v>
      </c>
      <c r="DA58">
        <v>45</v>
      </c>
      <c r="DB58" s="9">
        <f t="shared" si="50"/>
        <v>10.094167726164715</v>
      </c>
      <c r="DC58" s="9">
        <f t="shared" si="51"/>
        <v>10.928816053908697</v>
      </c>
    </row>
    <row r="59" spans="1:108" x14ac:dyDescent="0.25">
      <c r="A59" s="9"/>
      <c r="B59" s="9">
        <f t="shared" si="59"/>
        <v>8</v>
      </c>
      <c r="C59" s="129">
        <v>85.495398564391692</v>
      </c>
      <c r="D59" s="9"/>
      <c r="E59" s="129">
        <f t="shared" si="14"/>
        <v>85.495398564391692</v>
      </c>
      <c r="F59" s="36">
        <f t="shared" si="52"/>
        <v>0</v>
      </c>
      <c r="G59" s="37">
        <f t="shared" si="15"/>
        <v>0</v>
      </c>
      <c r="H59" s="36" t="e">
        <f t="shared" si="16"/>
        <v>#DIV/0!</v>
      </c>
      <c r="I59" s="37" t="e">
        <f t="shared" si="17"/>
        <v>#DIV/0!</v>
      </c>
      <c r="J59" s="37" t="e">
        <f t="shared" si="18"/>
        <v>#DIV/0!</v>
      </c>
      <c r="K59" s="37" t="e">
        <f t="shared" si="19"/>
        <v>#DIV/0!</v>
      </c>
      <c r="L59" s="39" t="e">
        <f t="shared" si="20"/>
        <v>#DIV/0!</v>
      </c>
      <c r="M59" s="39" t="e">
        <f>M58+(1000*$C$2*(B59-B58))/(BerechnungenCLT!$W$47*2*'Berechnung freier Bereich'!G59)</f>
        <v>#DIV/0!</v>
      </c>
      <c r="N59" s="17" t="e">
        <f t="shared" si="61"/>
        <v>#DIV/0!</v>
      </c>
      <c r="O59" s="173">
        <f t="shared" si="21"/>
        <v>3678.9048030588883</v>
      </c>
      <c r="P59" s="173"/>
      <c r="Q59" s="173"/>
      <c r="R59" s="37" t="e">
        <f t="shared" si="1"/>
        <v>#DIV/0!</v>
      </c>
      <c r="S59" s="37" t="e">
        <f t="shared" si="2"/>
        <v>#DIV/0!</v>
      </c>
      <c r="T59" s="37" t="e">
        <f t="shared" si="3"/>
        <v>#DIV/0!</v>
      </c>
      <c r="U59" s="39" t="e">
        <f t="shared" si="4"/>
        <v>#DIV/0!</v>
      </c>
      <c r="V59" s="39" t="e">
        <f t="shared" si="22"/>
        <v>#DIV/0!</v>
      </c>
      <c r="W59" s="9" t="e">
        <f t="shared" si="23"/>
        <v>#DIV/0!</v>
      </c>
      <c r="AA59" s="132"/>
      <c r="AB59" s="129">
        <v>85.498670803224982</v>
      </c>
      <c r="AC59" s="9">
        <v>15.25</v>
      </c>
      <c r="AD59" s="129">
        <f t="shared" si="24"/>
        <v>100.7486708037447</v>
      </c>
      <c r="AE59" s="36">
        <f t="shared" si="53"/>
        <v>1.5169061788226433E-2</v>
      </c>
      <c r="AF59" s="37">
        <f t="shared" si="25"/>
        <v>38949504.874484107</v>
      </c>
      <c r="AG59" s="36">
        <f t="shared" si="5"/>
        <v>1.9734497269892382</v>
      </c>
      <c r="AH59" s="37">
        <f t="shared" si="26"/>
        <v>-2.0213506369509845E-4</v>
      </c>
      <c r="AI59" s="37">
        <f t="shared" si="27"/>
        <v>-1.8191835093730613E-3</v>
      </c>
      <c r="AJ59" s="37">
        <f t="shared" si="28"/>
        <v>-8.1862594235254851E-3</v>
      </c>
      <c r="AK59" s="39">
        <f t="shared" si="29"/>
        <v>2.036483899011144E-2</v>
      </c>
      <c r="AL59" s="39">
        <f>AL58+(1000*$C$2*($B59-$B58))/(BerechnungenCLT!$W$47*2*AF59)</f>
        <v>4.6749687150797974E-4</v>
      </c>
      <c r="AM59" s="37">
        <f t="shared" si="6"/>
        <v>2.5866483060159603E-6</v>
      </c>
      <c r="AN59" s="173">
        <f t="shared" si="30"/>
        <v>3100.8721368673205</v>
      </c>
      <c r="AO59" s="173">
        <v>-258.06073303097043</v>
      </c>
      <c r="AP59" s="131"/>
      <c r="AQ59" s="131"/>
      <c r="AR59" s="131"/>
      <c r="AS59" s="131"/>
      <c r="AT59" s="131"/>
      <c r="AU59" s="132"/>
      <c r="AV59" s="129">
        <v>85.478058382516409</v>
      </c>
      <c r="AW59" s="9">
        <v>15.25</v>
      </c>
      <c r="AX59" s="129">
        <f t="shared" si="31"/>
        <v>100.72805852413667</v>
      </c>
      <c r="AY59" s="36">
        <f t="shared" si="54"/>
        <v>1.5165704350280895E-2</v>
      </c>
      <c r="AZ59" s="37">
        <f t="shared" si="32"/>
        <v>38923762.058054805</v>
      </c>
      <c r="BA59" s="36">
        <f t="shared" si="7"/>
        <v>1.9734380864932084</v>
      </c>
      <c r="BB59" s="37">
        <f t="shared" si="33"/>
        <v>-2.0226874876466772E-4</v>
      </c>
      <c r="BC59" s="37">
        <f t="shared" si="34"/>
        <v>-1.8198810785940479E-3</v>
      </c>
      <c r="BD59" s="37">
        <f t="shared" si="35"/>
        <v>-8.1883543158303915E-3</v>
      </c>
      <c r="BE59" s="39">
        <f t="shared" si="36"/>
        <v>2.0374138363171347E-2</v>
      </c>
      <c r="BF59" s="39">
        <f>BF58+(1000*$C$2*($B59-$B58))/(BerechnungenCLT!$W$47*2*AZ59)</f>
        <v>4.6769907440563315E-4</v>
      </c>
      <c r="BG59" s="37">
        <f t="shared" si="8"/>
        <v>2.5878294696669026E-6</v>
      </c>
      <c r="BH59" s="173">
        <f t="shared" si="37"/>
        <v>3102.2453106092885</v>
      </c>
      <c r="BI59">
        <v>-258.06073303097043</v>
      </c>
      <c r="BN59" s="131"/>
      <c r="BO59" s="132"/>
      <c r="BP59" s="129">
        <v>85.499399387619718</v>
      </c>
      <c r="BQ59" s="9">
        <v>15.25</v>
      </c>
      <c r="BR59" s="129">
        <f t="shared" si="38"/>
        <v>100.74939938772583</v>
      </c>
      <c r="BS59" s="36">
        <f t="shared" si="55"/>
        <v>1.5169180468043884E-2</v>
      </c>
      <c r="BT59" s="37">
        <f t="shared" si="39"/>
        <v>38950415.025050513</v>
      </c>
      <c r="BU59" s="36">
        <f t="shared" si="9"/>
        <v>1.9734501382902241</v>
      </c>
      <c r="BV59" s="37">
        <f t="shared" si="40"/>
        <v>-2.021303404246893E-4</v>
      </c>
      <c r="BW59" s="37">
        <f t="shared" si="41"/>
        <v>-1.8191585834938376E-3</v>
      </c>
      <c r="BX59" s="37">
        <f t="shared" si="42"/>
        <v>-8.186183650782405E-3</v>
      </c>
      <c r="BY59" s="39">
        <f t="shared" si="43"/>
        <v>2.0364510395824004E-2</v>
      </c>
      <c r="BZ59" s="39">
        <f>BZ58+(1000*$C$2*($B59-$B58))/(BerechnungenCLT!$W$47*2*BT59)</f>
        <v>4.6748966378592425E-4</v>
      </c>
      <c r="CA59" s="37">
        <f t="shared" si="10"/>
        <v>2.5866065694789132E-6</v>
      </c>
      <c r="CB59" s="173">
        <f t="shared" si="44"/>
        <v>3100.8236160159718</v>
      </c>
      <c r="CC59" s="9">
        <v>-258.06406180319925</v>
      </c>
      <c r="CI59" s="131"/>
      <c r="CJ59" s="9">
        <f t="shared" si="60"/>
        <v>8</v>
      </c>
      <c r="CK59" s="129">
        <v>85.495989464504703</v>
      </c>
      <c r="CL59" s="9">
        <v>10.09375</v>
      </c>
      <c r="CM59" s="129">
        <f t="shared" si="56"/>
        <v>95.589740527918224</v>
      </c>
      <c r="CN59" s="36">
        <f t="shared" si="57"/>
        <v>9.761928266538043E-3</v>
      </c>
      <c r="CO59" s="173">
        <f t="shared" si="58"/>
        <v>3280.1640723897622</v>
      </c>
      <c r="CP59" s="9">
        <v>-630.10236649087926</v>
      </c>
      <c r="CQ59" s="129"/>
      <c r="CR59" s="36">
        <f t="shared" si="45"/>
        <v>0.83465071231182386</v>
      </c>
      <c r="CS59" s="17">
        <f t="shared" si="11"/>
        <v>0.60001455561701555</v>
      </c>
      <c r="CT59" s="9">
        <f t="shared" si="12"/>
        <v>10.09350513800811</v>
      </c>
      <c r="CU59" s="9">
        <f t="shared" si="46"/>
        <v>95.589495665900529</v>
      </c>
      <c r="CV59" s="9">
        <v>13.2</v>
      </c>
      <c r="CW59" s="9">
        <f t="shared" si="47"/>
        <v>98.695990855173036</v>
      </c>
      <c r="CX59">
        <f t="shared" si="48"/>
        <v>22</v>
      </c>
      <c r="CY59" s="9">
        <f t="shared" si="13"/>
        <v>625.51225519104423</v>
      </c>
      <c r="CZ59" s="17">
        <f t="shared" si="49"/>
        <v>0.58899459057537118</v>
      </c>
      <c r="DA59">
        <v>45</v>
      </c>
      <c r="DB59" s="9">
        <f t="shared" si="50"/>
        <v>10.094223488205811</v>
      </c>
      <c r="DC59" s="9">
        <f t="shared" si="51"/>
        <v>10.928874200544746</v>
      </c>
    </row>
    <row r="60" spans="1:108" x14ac:dyDescent="0.25">
      <c r="A60" s="9"/>
      <c r="B60" s="9">
        <f t="shared" si="59"/>
        <v>9</v>
      </c>
      <c r="C60" s="129">
        <v>85.495312975583559</v>
      </c>
      <c r="D60" s="9"/>
      <c r="E60" s="129">
        <f t="shared" si="14"/>
        <v>85.495312975583559</v>
      </c>
      <c r="F60" s="36">
        <f t="shared" si="52"/>
        <v>0</v>
      </c>
      <c r="G60" s="37">
        <f t="shared" si="15"/>
        <v>0</v>
      </c>
      <c r="H60" s="36" t="e">
        <f t="shared" si="16"/>
        <v>#DIV/0!</v>
      </c>
      <c r="I60" s="37" t="e">
        <f t="shared" si="17"/>
        <v>#DIV/0!</v>
      </c>
      <c r="J60" s="37" t="e">
        <f t="shared" si="18"/>
        <v>#DIV/0!</v>
      </c>
      <c r="K60" s="37" t="e">
        <f t="shared" si="19"/>
        <v>#DIV/0!</v>
      </c>
      <c r="L60" s="39" t="e">
        <f t="shared" si="20"/>
        <v>#DIV/0!</v>
      </c>
      <c r="M60" s="39" t="e">
        <f>M59+(1000*$C$2*(B60-B59))/(BerechnungenCLT!$W$47*2*'Berechnung freier Bereich'!G60)</f>
        <v>#DIV/0!</v>
      </c>
      <c r="N60" s="17" t="e">
        <f t="shared" si="61"/>
        <v>#DIV/0!</v>
      </c>
      <c r="O60" s="173">
        <f t="shared" si="21"/>
        <v>3678.9121689184658</v>
      </c>
      <c r="P60" s="173"/>
      <c r="Q60" s="173"/>
      <c r="R60" s="37" t="e">
        <f t="shared" si="1"/>
        <v>#DIV/0!</v>
      </c>
      <c r="S60" s="37" t="e">
        <f t="shared" si="2"/>
        <v>#DIV/0!</v>
      </c>
      <c r="T60" s="37" t="e">
        <f t="shared" si="3"/>
        <v>#DIV/0!</v>
      </c>
      <c r="U60" s="39" t="e">
        <f t="shared" si="4"/>
        <v>#DIV/0!</v>
      </c>
      <c r="V60" s="39" t="e">
        <f t="shared" si="22"/>
        <v>#DIV/0!</v>
      </c>
      <c r="W60" s="9" t="e">
        <f t="shared" si="23"/>
        <v>#DIV/0!</v>
      </c>
      <c r="AA60" s="132"/>
      <c r="AB60" s="129">
        <v>85.498662547344381</v>
      </c>
      <c r="AC60" s="9">
        <v>15.25</v>
      </c>
      <c r="AD60" s="129">
        <f t="shared" si="24"/>
        <v>100.74866256452751</v>
      </c>
      <c r="AE60" s="36">
        <f t="shared" si="53"/>
        <v>1.516906046134513E-2</v>
      </c>
      <c r="AF60" s="37">
        <f t="shared" si="25"/>
        <v>38949494.614805326</v>
      </c>
      <c r="AG60" s="36">
        <f t="shared" si="5"/>
        <v>1.9734497222758438</v>
      </c>
      <c r="AH60" s="37">
        <f t="shared" si="26"/>
        <v>-2.0213511693945615E-4</v>
      </c>
      <c r="AI60" s="37">
        <f t="shared" si="27"/>
        <v>-2.0213186263125177E-3</v>
      </c>
      <c r="AJ60" s="37">
        <f t="shared" si="28"/>
        <v>-1.0106510491368275E-2</v>
      </c>
      <c r="AK60" s="39">
        <f t="shared" si="29"/>
        <v>2.0364842688974576E-2</v>
      </c>
      <c r="AL60" s="39">
        <f>AL59+(1000*$C$2*($B60-$B59))/(BerechnungenCLT!$W$47*2*AF60)</f>
        <v>5.2593484292275485E-4</v>
      </c>
      <c r="AM60" s="37">
        <f t="shared" si="6"/>
        <v>2.5866487758285655E-6</v>
      </c>
      <c r="AN60" s="173">
        <f t="shared" si="30"/>
        <v>3100.8726861282712</v>
      </c>
      <c r="AO60" s="173">
        <v>-258.06073303097043</v>
      </c>
      <c r="AP60" s="131"/>
      <c r="AQ60" s="131"/>
      <c r="AR60" s="131"/>
      <c r="AS60" s="131"/>
      <c r="AT60" s="131"/>
      <c r="AU60" s="132"/>
      <c r="AV60" s="129">
        <v>85.477922099178002</v>
      </c>
      <c r="AW60" s="9">
        <v>15.25</v>
      </c>
      <c r="AX60" s="129">
        <f t="shared" si="31"/>
        <v>100.72792678149699</v>
      </c>
      <c r="AY60" s="36">
        <f t="shared" si="54"/>
        <v>1.5165687036286381E-2</v>
      </c>
      <c r="AZ60" s="37">
        <f t="shared" si="32"/>
        <v>38923606.46768938</v>
      </c>
      <c r="BA60" s="36">
        <f t="shared" si="7"/>
        <v>1.9734379951299117</v>
      </c>
      <c r="BB60" s="37">
        <f t="shared" si="33"/>
        <v>-2.0226955729890671E-4</v>
      </c>
      <c r="BC60" s="37">
        <f t="shared" si="34"/>
        <v>-2.0221506358929545E-3</v>
      </c>
      <c r="BD60" s="37">
        <f t="shared" si="35"/>
        <v>-1.0109370173073893E-2</v>
      </c>
      <c r="BE60" s="39">
        <f t="shared" si="36"/>
        <v>2.0374193157730085E-2</v>
      </c>
      <c r="BF60" s="39">
        <f>BF59+(1000*$C$2*($B60-$B59))/(BerechnungenCLT!$W$47*2*AZ60)</f>
        <v>5.2617591299995389E-4</v>
      </c>
      <c r="BG60" s="37">
        <f t="shared" si="8"/>
        <v>2.5878364294200639E-6</v>
      </c>
      <c r="BH60" s="173">
        <f t="shared" si="37"/>
        <v>3102.2542414021409</v>
      </c>
      <c r="BI60">
        <v>-258.06073303097043</v>
      </c>
      <c r="BN60" s="131"/>
      <c r="BO60" s="132"/>
      <c r="BP60" s="129">
        <v>85.499395657108039</v>
      </c>
      <c r="BQ60" s="9">
        <v>15.25</v>
      </c>
      <c r="BR60" s="129">
        <f t="shared" si="38"/>
        <v>100.74939566061647</v>
      </c>
      <c r="BS60" s="36">
        <f t="shared" si="55"/>
        <v>1.5169179864036339E-2</v>
      </c>
      <c r="BT60" s="37">
        <f t="shared" si="39"/>
        <v>38950410.37576808</v>
      </c>
      <c r="BU60" s="36">
        <f t="shared" si="9"/>
        <v>1.9734501361735355</v>
      </c>
      <c r="BV60" s="37">
        <f t="shared" si="40"/>
        <v>-2.0213036455180456E-4</v>
      </c>
      <c r="BW60" s="37">
        <f t="shared" si="41"/>
        <v>-2.0212889480456424E-3</v>
      </c>
      <c r="BX60" s="37">
        <f t="shared" si="42"/>
        <v>-1.0106407416552145E-2</v>
      </c>
      <c r="BY60" s="39">
        <f t="shared" si="43"/>
        <v>2.0364512073254404E-2</v>
      </c>
      <c r="BZ60" s="39">
        <f>BZ59+(1000*$C$2*($B60-$B59))/(BerechnungenCLT!$W$47*2*BT60)</f>
        <v>5.2592626126875752E-4</v>
      </c>
      <c r="CA60" s="37">
        <f t="shared" si="10"/>
        <v>2.5866067825384175E-6</v>
      </c>
      <c r="CB60" s="173">
        <f t="shared" si="44"/>
        <v>3100.8238643372388</v>
      </c>
      <c r="CC60" s="9">
        <v>-258.0640824695779</v>
      </c>
      <c r="CI60" s="131"/>
      <c r="CJ60" s="9">
        <f t="shared" si="60"/>
        <v>9</v>
      </c>
      <c r="CK60" s="129">
        <v>85.495530435819603</v>
      </c>
      <c r="CL60" s="9">
        <v>10.09375</v>
      </c>
      <c r="CM60" s="129">
        <f t="shared" si="56"/>
        <v>95.589281431203844</v>
      </c>
      <c r="CN60" s="36">
        <f t="shared" si="57"/>
        <v>9.7618787066506944E-3</v>
      </c>
      <c r="CO60" s="173">
        <f t="shared" si="58"/>
        <v>3280.1973342580859</v>
      </c>
      <c r="CP60" s="9">
        <v>-630.1087559218596</v>
      </c>
      <c r="CQ60" s="129"/>
      <c r="CR60" s="36">
        <f t="shared" si="45"/>
        <v>0.83465302996802304</v>
      </c>
      <c r="CS60" s="17">
        <f t="shared" si="11"/>
        <v>0.60001622173606861</v>
      </c>
      <c r="CT60" s="9">
        <f t="shared" si="12"/>
        <v>10.093477110463832</v>
      </c>
      <c r="CU60" s="9">
        <f t="shared" si="46"/>
        <v>95.589008541640766</v>
      </c>
      <c r="CV60" s="9">
        <v>13.2</v>
      </c>
      <c r="CW60" s="9">
        <f t="shared" si="47"/>
        <v>98.695531737523325</v>
      </c>
      <c r="CX60">
        <f t="shared" si="48"/>
        <v>22</v>
      </c>
      <c r="CY60" s="9">
        <f t="shared" si="13"/>
        <v>625.51561358962431</v>
      </c>
      <c r="CZ60" s="17">
        <f t="shared" si="49"/>
        <v>0.58899775290925072</v>
      </c>
      <c r="DA60">
        <v>45</v>
      </c>
      <c r="DB60" s="9">
        <f t="shared" si="50"/>
        <v>10.094277684467432</v>
      </c>
      <c r="DC60" s="9">
        <f t="shared" si="51"/>
        <v>10.928930714460833</v>
      </c>
    </row>
    <row r="61" spans="1:108" x14ac:dyDescent="0.25">
      <c r="A61" s="9"/>
      <c r="B61" s="9">
        <f t="shared" si="59"/>
        <v>10</v>
      </c>
      <c r="C61" s="129">
        <v>85.495400183472881</v>
      </c>
      <c r="D61" s="9"/>
      <c r="E61" s="129">
        <f t="shared" si="14"/>
        <v>85.495400183472881</v>
      </c>
      <c r="F61" s="36">
        <f t="shared" si="52"/>
        <v>0</v>
      </c>
      <c r="G61" s="37">
        <f t="shared" si="15"/>
        <v>0</v>
      </c>
      <c r="H61" s="36" t="e">
        <f t="shared" si="16"/>
        <v>#DIV/0!</v>
      </c>
      <c r="I61" s="37" t="e">
        <f t="shared" si="17"/>
        <v>#DIV/0!</v>
      </c>
      <c r="J61" s="37" t="e">
        <f t="shared" si="18"/>
        <v>#DIV/0!</v>
      </c>
      <c r="K61" s="37" t="e">
        <f t="shared" si="19"/>
        <v>#DIV/0!</v>
      </c>
      <c r="L61" s="39" t="e">
        <f t="shared" si="20"/>
        <v>#DIV/0!</v>
      </c>
      <c r="M61" s="39" t="e">
        <f>M60+(1000*$C$2*(B61-B60))/(BerechnungenCLT!$W$47*2*'Berechnung freier Bereich'!G61)</f>
        <v>#DIV/0!</v>
      </c>
      <c r="N61" s="17" t="e">
        <f t="shared" si="61"/>
        <v>#DIV/0!</v>
      </c>
      <c r="O61" s="173">
        <f t="shared" si="21"/>
        <v>3678.9046637193337</v>
      </c>
      <c r="P61" s="173"/>
      <c r="Q61" s="173"/>
      <c r="R61" s="37" t="e">
        <f t="shared" si="1"/>
        <v>#DIV/0!</v>
      </c>
      <c r="S61" s="37" t="e">
        <f t="shared" si="2"/>
        <v>#DIV/0!</v>
      </c>
      <c r="T61" s="37" t="e">
        <f t="shared" si="3"/>
        <v>#DIV/0!</v>
      </c>
      <c r="U61" s="39" t="e">
        <f t="shared" si="4"/>
        <v>#DIV/0!</v>
      </c>
      <c r="V61" s="39" t="e">
        <f t="shared" si="22"/>
        <v>#DIV/0!</v>
      </c>
      <c r="W61" s="9" t="e">
        <f t="shared" si="23"/>
        <v>#DIV/0!</v>
      </c>
      <c r="AA61" s="132"/>
      <c r="AB61" s="129">
        <v>85.498710018657775</v>
      </c>
      <c r="AC61" s="9">
        <v>15.25</v>
      </c>
      <c r="AD61" s="129">
        <f t="shared" si="24"/>
        <v>100.74871010990053</v>
      </c>
      <c r="AE61" s="36">
        <f t="shared" si="53"/>
        <v>1.5169068273720769E-2</v>
      </c>
      <c r="AF61" s="37">
        <f t="shared" si="25"/>
        <v>38949554.153735362</v>
      </c>
      <c r="AG61" s="36">
        <f t="shared" si="5"/>
        <v>1.9734497488401972</v>
      </c>
      <c r="AH61" s="37">
        <f t="shared" si="26"/>
        <v>-2.0213480795238696E-4</v>
      </c>
      <c r="AI61" s="37">
        <f t="shared" si="27"/>
        <v>-2.2234534342649047E-3</v>
      </c>
      <c r="AJ61" s="37">
        <f t="shared" si="28"/>
        <v>-1.2228896521656986E-2</v>
      </c>
      <c r="AK61" s="39">
        <f t="shared" si="29"/>
        <v>2.0364821169515449E-2</v>
      </c>
      <c r="AL61" s="39">
        <f>AL60+(1000*$C$2*($B61-$B60))/(BerechnungenCLT!$W$47*2*AF61)</f>
        <v>5.8437272500828431E-4</v>
      </c>
      <c r="AM61" s="37">
        <f t="shared" si="6"/>
        <v>2.5866460425257134E-6</v>
      </c>
      <c r="AN61" s="173">
        <f t="shared" si="30"/>
        <v>3100.869522223265</v>
      </c>
      <c r="AO61" s="173">
        <v>-258.06073303097043</v>
      </c>
      <c r="AP61" s="131"/>
      <c r="AQ61" s="131"/>
      <c r="AR61" s="131"/>
      <c r="AS61" s="131"/>
      <c r="AT61" s="131"/>
      <c r="AU61" s="132"/>
      <c r="AV61" s="129">
        <v>85.478705728373853</v>
      </c>
      <c r="AW61" s="9">
        <v>15.25</v>
      </c>
      <c r="AX61" s="129">
        <f t="shared" si="31"/>
        <v>100.72873059155978</v>
      </c>
      <c r="AY61" s="36">
        <f t="shared" si="54"/>
        <v>1.5165836396027388E-2</v>
      </c>
      <c r="AZ61" s="37">
        <f t="shared" si="32"/>
        <v>38924649.743819617</v>
      </c>
      <c r="BA61" s="36">
        <f t="shared" si="7"/>
        <v>1.9734383738971295</v>
      </c>
      <c r="BB61" s="37">
        <f t="shared" si="33"/>
        <v>-2.0226413597842233E-4</v>
      </c>
      <c r="BC61" s="37">
        <f t="shared" si="34"/>
        <v>-2.2244147718713768E-3</v>
      </c>
      <c r="BD61" s="37">
        <f t="shared" si="35"/>
        <v>-1.223265287695606E-2</v>
      </c>
      <c r="BE61" s="39">
        <f t="shared" si="36"/>
        <v>2.0373809661305118E-2</v>
      </c>
      <c r="BF61" s="39">
        <f>BF60+(1000*$C$2*($B61-$B60))/(BerechnungenCLT!$W$47*2*AZ61)</f>
        <v>5.8465118427150414E-4</v>
      </c>
      <c r="BG61" s="37">
        <f t="shared" si="8"/>
        <v>2.5877877194656916E-6</v>
      </c>
      <c r="BH61" s="173">
        <f t="shared" si="37"/>
        <v>3102.2013474975911</v>
      </c>
      <c r="BI61">
        <v>-258.06073303097043</v>
      </c>
      <c r="BN61" s="131"/>
      <c r="BO61" s="132"/>
      <c r="BP61" s="129">
        <v>85.499417107550187</v>
      </c>
      <c r="BQ61" s="9">
        <v>15.25</v>
      </c>
      <c r="BR61" s="129">
        <f t="shared" si="38"/>
        <v>100.74941712617999</v>
      </c>
      <c r="BS61" s="36">
        <f t="shared" si="55"/>
        <v>1.5169183374405549E-2</v>
      </c>
      <c r="BT61" s="37">
        <f t="shared" si="39"/>
        <v>38950437.220580585</v>
      </c>
      <c r="BU61" s="36">
        <f t="shared" si="9"/>
        <v>1.9734501482347118</v>
      </c>
      <c r="BV61" s="37">
        <f t="shared" si="40"/>
        <v>-2.0213022524266902E-4</v>
      </c>
      <c r="BW61" s="37">
        <f t="shared" si="41"/>
        <v>-2.2234191732883116E-3</v>
      </c>
      <c r="BX61" s="37">
        <f t="shared" si="42"/>
        <v>-1.2228761477219121E-2</v>
      </c>
      <c r="BY61" s="39">
        <f t="shared" si="43"/>
        <v>2.0364502376782376E-2</v>
      </c>
      <c r="BZ61" s="39">
        <f>BZ60+(1000*$C$2*($B61-$B60))/(BerechnungenCLT!$W$47*2*BT61)</f>
        <v>5.8436281847683096E-4</v>
      </c>
      <c r="CA61" s="37">
        <f t="shared" si="10"/>
        <v>2.5866055509370801E-6</v>
      </c>
      <c r="CB61" s="173">
        <f t="shared" si="44"/>
        <v>3100.822435335444</v>
      </c>
      <c r="CC61" s="9">
        <v>-258.0639635418176</v>
      </c>
      <c r="CI61" s="131"/>
      <c r="CJ61" s="9">
        <f t="shared" si="60"/>
        <v>10</v>
      </c>
      <c r="CK61" s="129">
        <v>85.495086332399808</v>
      </c>
      <c r="CL61" s="9">
        <v>10.09375</v>
      </c>
      <c r="CM61" s="129">
        <f t="shared" si="56"/>
        <v>95.588837254833123</v>
      </c>
      <c r="CN61" s="36">
        <f t="shared" si="57"/>
        <v>9.7618307509144582E-3</v>
      </c>
      <c r="CO61" s="173">
        <f t="shared" si="58"/>
        <v>3280.2295153605237</v>
      </c>
      <c r="CP61" s="9">
        <v>-630.11493774336464</v>
      </c>
      <c r="CQ61" s="129"/>
      <c r="CR61" s="36">
        <f t="shared" si="45"/>
        <v>0.83465527230763725</v>
      </c>
      <c r="CS61" s="17">
        <f t="shared" si="11"/>
        <v>0.60001783371145823</v>
      </c>
      <c r="CT61" s="9">
        <f t="shared" si="12"/>
        <v>10.093449993875318</v>
      </c>
      <c r="CU61" s="9">
        <f t="shared" si="46"/>
        <v>95.588537248681021</v>
      </c>
      <c r="CV61" s="9">
        <v>13.2</v>
      </c>
      <c r="CW61" s="9">
        <f t="shared" si="47"/>
        <v>98.695087538702694</v>
      </c>
      <c r="CX61">
        <f t="shared" si="48"/>
        <v>22</v>
      </c>
      <c r="CY61" s="9">
        <f t="shared" si="13"/>
        <v>625.51886282458088</v>
      </c>
      <c r="CZ61" s="17">
        <f t="shared" si="49"/>
        <v>0.58900081245252434</v>
      </c>
      <c r="DA61">
        <v>45</v>
      </c>
      <c r="DB61" s="9">
        <f t="shared" si="50"/>
        <v>10.094330119097682</v>
      </c>
      <c r="DC61" s="9">
        <f t="shared" si="51"/>
        <v>10.928985391428839</v>
      </c>
    </row>
    <row r="62" spans="1:108" x14ac:dyDescent="0.25">
      <c r="A62" s="9"/>
      <c r="B62" s="9">
        <f t="shared" si="59"/>
        <v>11</v>
      </c>
      <c r="C62" s="129">
        <v>85.495679387692761</v>
      </c>
      <c r="D62" s="9"/>
      <c r="E62" s="129">
        <f t="shared" si="14"/>
        <v>85.495679387692761</v>
      </c>
      <c r="F62" s="36">
        <f t="shared" si="52"/>
        <v>0</v>
      </c>
      <c r="G62" s="37">
        <f t="shared" si="15"/>
        <v>0</v>
      </c>
      <c r="H62" s="36" t="e">
        <f t="shared" si="16"/>
        <v>#DIV/0!</v>
      </c>
      <c r="I62" s="37" t="e">
        <f t="shared" si="17"/>
        <v>#DIV/0!</v>
      </c>
      <c r="J62" s="37" t="e">
        <f t="shared" si="18"/>
        <v>#DIV/0!</v>
      </c>
      <c r="K62" s="37" t="e">
        <f t="shared" si="19"/>
        <v>#DIV/0!</v>
      </c>
      <c r="L62" s="39" t="e">
        <f t="shared" si="20"/>
        <v>#DIV/0!</v>
      </c>
      <c r="M62" s="39" t="e">
        <f>M61+(1000*$C$2*(B62-B61))/(BerechnungenCLT!$W$47*2*'Berechnung freier Bereich'!G62)</f>
        <v>#DIV/0!</v>
      </c>
      <c r="N62" s="17" t="e">
        <f t="shared" si="61"/>
        <v>#DIV/0!</v>
      </c>
      <c r="O62" s="173">
        <f t="shared" si="21"/>
        <v>3678.880635276334</v>
      </c>
      <c r="P62" s="173"/>
      <c r="Q62" s="173"/>
      <c r="R62" s="37" t="e">
        <f t="shared" si="1"/>
        <v>#DIV/0!</v>
      </c>
      <c r="S62" s="37" t="e">
        <f t="shared" si="2"/>
        <v>#DIV/0!</v>
      </c>
      <c r="T62" s="37" t="e">
        <f t="shared" si="3"/>
        <v>#DIV/0!</v>
      </c>
      <c r="U62" s="39" t="e">
        <f t="shared" si="4"/>
        <v>#DIV/0!</v>
      </c>
      <c r="V62" s="39" t="e">
        <f t="shared" si="22"/>
        <v>#DIV/0!</v>
      </c>
      <c r="W62" s="9" t="e">
        <f t="shared" si="23"/>
        <v>#DIV/0!</v>
      </c>
      <c r="AA62" s="132"/>
      <c r="AB62" s="129">
        <v>85.498819409075594</v>
      </c>
      <c r="AC62" s="9">
        <v>15.25</v>
      </c>
      <c r="AD62" s="129">
        <f t="shared" si="24"/>
        <v>100.74881964931463</v>
      </c>
      <c r="AE62" s="36">
        <f t="shared" si="53"/>
        <v>1.5169086252839626E-2</v>
      </c>
      <c r="AF62" s="37">
        <f t="shared" si="25"/>
        <v>38949691.282775417</v>
      </c>
      <c r="AG62" s="36">
        <f t="shared" si="5"/>
        <v>1.9734498101221185</v>
      </c>
      <c r="AH62" s="37">
        <f t="shared" si="26"/>
        <v>-2.0213409630227464E-4</v>
      </c>
      <c r="AI62" s="37">
        <f t="shared" si="27"/>
        <v>-2.4255875305671795E-3</v>
      </c>
      <c r="AJ62" s="37">
        <f t="shared" si="28"/>
        <v>-1.4553417004073029E-2</v>
      </c>
      <c r="AK62" s="39">
        <f t="shared" si="29"/>
        <v>2.0364771613335064E-2</v>
      </c>
      <c r="AL62" s="39">
        <f>AL61+(1000*$C$2*($B62-$B61))/(BerechnungenCLT!$W$47*2*AF62)</f>
        <v>6.428104013532698E-4</v>
      </c>
      <c r="AM62" s="37">
        <f t="shared" si="6"/>
        <v>2.5866397481273083E-6</v>
      </c>
      <c r="AN62" s="173">
        <f t="shared" si="30"/>
        <v>3100.8622322254123</v>
      </c>
      <c r="AO62" s="173">
        <v>-258.06073303097043</v>
      </c>
      <c r="AP62" s="131"/>
      <c r="AQ62" s="131"/>
      <c r="AR62" s="131"/>
      <c r="AS62" s="131"/>
      <c r="AT62" s="131"/>
      <c r="AU62" s="132"/>
      <c r="AV62" s="129">
        <v>85.480511482607753</v>
      </c>
      <c r="AW62" s="9">
        <v>15.25</v>
      </c>
      <c r="AX62" s="129">
        <f t="shared" si="31"/>
        <v>100.73057694643057</v>
      </c>
      <c r="AY62" s="36">
        <f t="shared" si="54"/>
        <v>1.5166174222712981E-2</v>
      </c>
      <c r="AZ62" s="37">
        <f t="shared" si="32"/>
        <v>38927034.934562162</v>
      </c>
      <c r="BA62" s="36">
        <f t="shared" si="7"/>
        <v>1.9734392653641466</v>
      </c>
      <c r="BB62" s="37">
        <f t="shared" si="33"/>
        <v>-2.0225174257251574E-4</v>
      </c>
      <c r="BC62" s="37">
        <f t="shared" si="34"/>
        <v>-2.4266665144438925E-3</v>
      </c>
      <c r="BD62" s="37">
        <f t="shared" si="35"/>
        <v>-1.4558193520113696E-2</v>
      </c>
      <c r="BE62" s="39">
        <f t="shared" si="36"/>
        <v>2.0372934717750465E-2</v>
      </c>
      <c r="BF62" s="39">
        <f>BF61+(1000*$C$2*($B62-$B61))/(BerechnungenCLT!$W$47*2*AZ62)</f>
        <v>6.4312287256592965E-4</v>
      </c>
      <c r="BG62" s="37">
        <f t="shared" si="8"/>
        <v>2.5876765881542875E-6</v>
      </c>
      <c r="BH62" s="173">
        <f t="shared" si="37"/>
        <v>3102.0796633725545</v>
      </c>
      <c r="BI62">
        <v>-258.06073303097043</v>
      </c>
      <c r="BN62" s="131"/>
      <c r="BO62" s="132"/>
      <c r="BP62" s="129">
        <v>85.499466536829928</v>
      </c>
      <c r="BQ62" s="9">
        <v>15.25</v>
      </c>
      <c r="BR62" s="129">
        <f t="shared" si="38"/>
        <v>100.74946658588158</v>
      </c>
      <c r="BS62" s="36">
        <f t="shared" si="55"/>
        <v>1.5169191458757364E-2</v>
      </c>
      <c r="BT62" s="37">
        <f t="shared" si="39"/>
        <v>38950499.066202797</v>
      </c>
      <c r="BU62" s="36">
        <f t="shared" si="9"/>
        <v>1.973450176041831</v>
      </c>
      <c r="BV62" s="37">
        <f t="shared" si="40"/>
        <v>-2.0212990430019465E-4</v>
      </c>
      <c r="BW62" s="37">
        <f t="shared" si="41"/>
        <v>-2.4255490775885063E-3</v>
      </c>
      <c r="BX62" s="37">
        <f t="shared" si="42"/>
        <v>-1.4553245602657531E-2</v>
      </c>
      <c r="BY62" s="39">
        <f t="shared" si="43"/>
        <v>2.0364480039299901E-2</v>
      </c>
      <c r="BZ62" s="39">
        <f>BZ61+(1000*$C$2*($B62-$B61))/(BerechnungenCLT!$W$47*2*BT62)</f>
        <v>6.4279928289930923E-4</v>
      </c>
      <c r="CA62" s="37">
        <f t="shared" si="10"/>
        <v>2.5866027137326597E-6</v>
      </c>
      <c r="CB62" s="173">
        <f t="shared" si="44"/>
        <v>3100.8191425693021</v>
      </c>
      <c r="CC62" s="9">
        <v>-258.06368950346194</v>
      </c>
      <c r="CI62" s="131"/>
      <c r="CJ62" s="9">
        <f t="shared" si="60"/>
        <v>11</v>
      </c>
      <c r="CK62" s="129">
        <v>85.494658812608165</v>
      </c>
      <c r="CL62" s="9">
        <v>10.09375</v>
      </c>
      <c r="CM62" s="129">
        <f t="shared" si="56"/>
        <v>95.588409658001666</v>
      </c>
      <c r="CN62" s="36">
        <f t="shared" si="57"/>
        <v>9.7617845789769436E-3</v>
      </c>
      <c r="CO62" s="173">
        <f t="shared" si="58"/>
        <v>3280.260495456374</v>
      </c>
      <c r="CP62" s="9">
        <v>-630.12088885778394</v>
      </c>
      <c r="CQ62" s="129"/>
      <c r="CR62" s="36">
        <f t="shared" si="45"/>
        <v>0.83465743095393519</v>
      </c>
      <c r="CS62" s="17">
        <f t="shared" si="11"/>
        <v>0.60001938552131107</v>
      </c>
      <c r="CT62" s="9">
        <f t="shared" si="12"/>
        <v>10.093423889526813</v>
      </c>
      <c r="CU62" s="9">
        <f t="shared" si="46"/>
        <v>95.588083547501171</v>
      </c>
      <c r="CV62" s="9">
        <v>13.2</v>
      </c>
      <c r="CW62" s="9">
        <f t="shared" si="47"/>
        <v>98.694659918163012</v>
      </c>
      <c r="CX62">
        <f t="shared" si="48"/>
        <v>22</v>
      </c>
      <c r="CY62" s="9">
        <f t="shared" si="13"/>
        <v>625.52199075909311</v>
      </c>
      <c r="CZ62" s="17">
        <f t="shared" si="49"/>
        <v>0.58900375777692393</v>
      </c>
      <c r="DA62">
        <v>45</v>
      </c>
      <c r="DB62" s="9">
        <f t="shared" si="50"/>
        <v>10.094380596238235</v>
      </c>
      <c r="DC62" s="9">
        <f t="shared" si="51"/>
        <v>10.929038027213727</v>
      </c>
    </row>
    <row r="63" spans="1:108" x14ac:dyDescent="0.25">
      <c r="A63" s="9"/>
      <c r="B63" s="9">
        <f t="shared" si="59"/>
        <v>12</v>
      </c>
      <c r="C63" s="129">
        <v>85.496169787876241</v>
      </c>
      <c r="D63" s="9"/>
      <c r="E63" s="129">
        <f t="shared" si="14"/>
        <v>85.496169787876241</v>
      </c>
      <c r="F63" s="36">
        <f t="shared" si="52"/>
        <v>0</v>
      </c>
      <c r="G63" s="37">
        <f t="shared" si="15"/>
        <v>0</v>
      </c>
      <c r="H63" s="36" t="e">
        <f t="shared" si="16"/>
        <v>#DIV/0!</v>
      </c>
      <c r="I63" s="37" t="e">
        <f t="shared" si="17"/>
        <v>#DIV/0!</v>
      </c>
      <c r="J63" s="37" t="e">
        <f t="shared" si="18"/>
        <v>#DIV/0!</v>
      </c>
      <c r="K63" s="37" t="e">
        <f t="shared" si="19"/>
        <v>#DIV/0!</v>
      </c>
      <c r="L63" s="39" t="e">
        <f t="shared" si="20"/>
        <v>#DIV/0!</v>
      </c>
      <c r="M63" s="39" t="e">
        <f>M62+(1000*$C$2*(B63-B62))/(BerechnungenCLT!$W$47*2*'Berechnung freier Bereich'!G63)</f>
        <v>#DIV/0!</v>
      </c>
      <c r="N63" s="17" t="e">
        <f t="shared" si="61"/>
        <v>#DIV/0!</v>
      </c>
      <c r="O63" s="173">
        <f t="shared" si="21"/>
        <v>3678.8384317818654</v>
      </c>
      <c r="P63" s="173"/>
      <c r="Q63" s="173"/>
      <c r="R63" s="37" t="e">
        <f t="shared" si="1"/>
        <v>#DIV/0!</v>
      </c>
      <c r="S63" s="37" t="e">
        <f t="shared" si="2"/>
        <v>#DIV/0!</v>
      </c>
      <c r="T63" s="37" t="e">
        <f t="shared" si="3"/>
        <v>#DIV/0!</v>
      </c>
      <c r="U63" s="39" t="e">
        <f t="shared" si="4"/>
        <v>#DIV/0!</v>
      </c>
      <c r="V63" s="39" t="e">
        <f t="shared" si="22"/>
        <v>#DIV/0!</v>
      </c>
      <c r="W63" s="9" t="e">
        <f t="shared" si="23"/>
        <v>#DIV/0!</v>
      </c>
      <c r="AA63" s="132"/>
      <c r="AB63" s="129">
        <v>85.498996910508296</v>
      </c>
      <c r="AC63" s="9">
        <v>15.25</v>
      </c>
      <c r="AD63" s="129">
        <f t="shared" si="24"/>
        <v>100.74899739397473</v>
      </c>
      <c r="AE63" s="36">
        <f t="shared" si="53"/>
        <v>1.5169115428075941E-2</v>
      </c>
      <c r="AF63" s="37">
        <f t="shared" si="25"/>
        <v>38949913.79942631</v>
      </c>
      <c r="AG63" s="36">
        <f t="shared" si="5"/>
        <v>1.9734499095556324</v>
      </c>
      <c r="AH63" s="37">
        <f t="shared" si="26"/>
        <v>-2.0213294153201321E-4</v>
      </c>
      <c r="AI63" s="37">
        <f t="shared" si="27"/>
        <v>-2.6277204720991927E-3</v>
      </c>
      <c r="AJ63" s="37">
        <f t="shared" si="28"/>
        <v>-1.7080071005406216E-2</v>
      </c>
      <c r="AK63" s="39">
        <f t="shared" si="29"/>
        <v>2.0364691199645246E-2</v>
      </c>
      <c r="AL63" s="39">
        <f>AL62+(1000*$C$2*($B63-$B62))/(BerechnungenCLT!$W$47*2*AF63)</f>
        <v>7.0124774385012169E-4</v>
      </c>
      <c r="AM63" s="37">
        <f t="shared" si="6"/>
        <v>2.5866295343497951E-6</v>
      </c>
      <c r="AN63" s="173">
        <f t="shared" si="30"/>
        <v>3100.8504031783846</v>
      </c>
      <c r="AO63" s="173">
        <v>-258.06073303097043</v>
      </c>
      <c r="AP63" s="131"/>
      <c r="AQ63" s="131"/>
      <c r="AR63" s="131"/>
      <c r="AS63" s="131"/>
      <c r="AT63" s="131"/>
      <c r="AU63" s="132"/>
      <c r="AV63" s="129">
        <v>85.483441574383505</v>
      </c>
      <c r="AW63" s="9">
        <v>15.25</v>
      </c>
      <c r="AX63" s="129">
        <f t="shared" si="31"/>
        <v>100.7335733160576</v>
      </c>
      <c r="AY63" s="36">
        <f t="shared" si="54"/>
        <v>1.5166722825465034E-2</v>
      </c>
      <c r="AZ63" s="37">
        <f t="shared" si="32"/>
        <v>38930906.736635923</v>
      </c>
      <c r="BA63" s="36">
        <f t="shared" si="7"/>
        <v>1.9734407105315548</v>
      </c>
      <c r="BB63" s="37">
        <f t="shared" si="33"/>
        <v>-2.022316279956421E-4</v>
      </c>
      <c r="BC63" s="37">
        <f t="shared" si="34"/>
        <v>-2.6288981424395347E-3</v>
      </c>
      <c r="BD63" s="37">
        <f t="shared" si="35"/>
        <v>-1.708597584855541E-2</v>
      </c>
      <c r="BE63" s="39">
        <f t="shared" si="36"/>
        <v>2.03715145255247E-2</v>
      </c>
      <c r="BF63" s="39">
        <f>BF62+(1000*$C$2*($B63-$B62))/(BerechnungenCLT!$W$47*2*AZ63)</f>
        <v>7.0158874566561731E-4</v>
      </c>
      <c r="BG63" s="37">
        <f t="shared" si="8"/>
        <v>2.5874962018611884E-6</v>
      </c>
      <c r="BH63" s="173">
        <f t="shared" si="37"/>
        <v>3101.8822156489091</v>
      </c>
      <c r="BI63">
        <v>-258.06073303097043</v>
      </c>
      <c r="BN63" s="131"/>
      <c r="BO63" s="132"/>
      <c r="BP63" s="129">
        <v>85.499546742831029</v>
      </c>
      <c r="BQ63" s="9">
        <v>15.25</v>
      </c>
      <c r="BR63" s="129">
        <f t="shared" si="38"/>
        <v>100.74954684154447</v>
      </c>
      <c r="BS63" s="36">
        <f t="shared" si="55"/>
        <v>1.5169204577083002E-2</v>
      </c>
      <c r="BT63" s="37">
        <f t="shared" si="39"/>
        <v>38950599.420573905</v>
      </c>
      <c r="BU63" s="36">
        <f t="shared" si="9"/>
        <v>1.9734502211617813</v>
      </c>
      <c r="BV63" s="37">
        <f t="shared" si="40"/>
        <v>-2.0212938352208779E-4</v>
      </c>
      <c r="BW63" s="37">
        <f t="shared" si="41"/>
        <v>-2.6276784611105942E-3</v>
      </c>
      <c r="BX63" s="37">
        <f t="shared" si="42"/>
        <v>-1.7079859372007081E-2</v>
      </c>
      <c r="BY63" s="39">
        <f t="shared" si="43"/>
        <v>2.036444379321109E-2</v>
      </c>
      <c r="BZ63" s="39">
        <f>BZ62+(1000*$C$2*($B63-$B62))/(BerechnungenCLT!$W$47*2*BT63)</f>
        <v>7.0123559676300981E-4</v>
      </c>
      <c r="CA63" s="37">
        <f t="shared" si="10"/>
        <v>2.586598109920949E-6</v>
      </c>
      <c r="CB63" s="173">
        <f t="shared" si="44"/>
        <v>3100.813799591514</v>
      </c>
      <c r="CC63" s="9">
        <v>-258.0632448375535</v>
      </c>
      <c r="CI63" s="131"/>
      <c r="CJ63" s="9">
        <f t="shared" si="60"/>
        <v>12</v>
      </c>
      <c r="CK63" s="129">
        <v>85.49424953480748</v>
      </c>
      <c r="CL63" s="9">
        <v>10.09375</v>
      </c>
      <c r="CM63" s="129">
        <f t="shared" si="56"/>
        <v>95.58800029998838</v>
      </c>
      <c r="CN63" s="36">
        <f t="shared" si="57"/>
        <v>9.761740370570789E-3</v>
      </c>
      <c r="CO63" s="173">
        <f t="shared" si="58"/>
        <v>3280.2901542969635</v>
      </c>
      <c r="CP63" s="9">
        <v>-630.12658616597662</v>
      </c>
      <c r="CQ63" s="129"/>
      <c r="CR63" s="36">
        <f t="shared" si="45"/>
        <v>0.83465949752970636</v>
      </c>
      <c r="CS63" s="17">
        <f t="shared" si="11"/>
        <v>0.60002087114340996</v>
      </c>
      <c r="CT63" s="9">
        <f t="shared" si="12"/>
        <v>10.093398898706818</v>
      </c>
      <c r="CU63" s="9">
        <f t="shared" si="46"/>
        <v>95.587649198668572</v>
      </c>
      <c r="CV63" s="9">
        <v>13.2</v>
      </c>
      <c r="CW63" s="9">
        <f t="shared" si="47"/>
        <v>98.694250535465102</v>
      </c>
      <c r="CX63">
        <f t="shared" si="48"/>
        <v>22</v>
      </c>
      <c r="CY63" s="9">
        <f t="shared" si="13"/>
        <v>625.52498525598662</v>
      </c>
      <c r="CZ63" s="17">
        <f t="shared" si="49"/>
        <v>0.5890065774538481</v>
      </c>
      <c r="DA63">
        <v>45</v>
      </c>
      <c r="DB63" s="9">
        <f t="shared" si="50"/>
        <v>10.094428920025065</v>
      </c>
      <c r="DC63" s="9">
        <f t="shared" si="51"/>
        <v>10.929088417574281</v>
      </c>
    </row>
    <row r="64" spans="1:108" x14ac:dyDescent="0.25">
      <c r="A64" s="9"/>
      <c r="B64" s="9">
        <f t="shared" si="59"/>
        <v>13</v>
      </c>
      <c r="C64" s="129">
        <v>85.496890583656366</v>
      </c>
      <c r="D64" s="9"/>
      <c r="E64" s="129">
        <f t="shared" si="14"/>
        <v>85.496890583656366</v>
      </c>
      <c r="F64" s="36">
        <f t="shared" si="52"/>
        <v>0</v>
      </c>
      <c r="G64" s="37">
        <f t="shared" si="15"/>
        <v>0</v>
      </c>
      <c r="H64" s="36" t="e">
        <f t="shared" si="16"/>
        <v>#DIV/0!</v>
      </c>
      <c r="I64" s="37" t="e">
        <f t="shared" si="17"/>
        <v>#DIV/0!</v>
      </c>
      <c r="J64" s="37" t="e">
        <f t="shared" si="18"/>
        <v>#DIV/0!</v>
      </c>
      <c r="K64" s="37" t="e">
        <f t="shared" si="19"/>
        <v>#DIV/0!</v>
      </c>
      <c r="L64" s="39" t="e">
        <f t="shared" si="20"/>
        <v>#DIV/0!</v>
      </c>
      <c r="M64" s="39" t="e">
        <f>M63+(1000*$C$2*(B64-B63))/(BerechnungenCLT!$W$47*2*'Berechnung freier Bereich'!G64)</f>
        <v>#DIV/0!</v>
      </c>
      <c r="N64" s="17" t="e">
        <f t="shared" si="61"/>
        <v>#DIV/0!</v>
      </c>
      <c r="O64" s="173">
        <f t="shared" si="21"/>
        <v>3678.7764019227311</v>
      </c>
      <c r="P64" s="173"/>
      <c r="Q64" s="173"/>
      <c r="R64" s="37" t="e">
        <f t="shared" si="1"/>
        <v>#DIV/0!</v>
      </c>
      <c r="S64" s="37" t="e">
        <f t="shared" si="2"/>
        <v>#DIV/0!</v>
      </c>
      <c r="T64" s="37" t="e">
        <f t="shared" si="3"/>
        <v>#DIV/0!</v>
      </c>
      <c r="U64" s="39" t="e">
        <f t="shared" si="4"/>
        <v>#DIV/0!</v>
      </c>
      <c r="V64" s="39" t="e">
        <f t="shared" si="22"/>
        <v>#DIV/0!</v>
      </c>
      <c r="W64" s="9" t="e">
        <f t="shared" si="23"/>
        <v>#DIV/0!</v>
      </c>
      <c r="AA64" s="132"/>
      <c r="AB64" s="129">
        <v>85.499248714866297</v>
      </c>
      <c r="AC64" s="9">
        <v>15.25</v>
      </c>
      <c r="AD64" s="129">
        <f t="shared" si="24"/>
        <v>100.74924955683977</v>
      </c>
      <c r="AE64" s="36">
        <f t="shared" si="53"/>
        <v>1.5169156830692122E-2</v>
      </c>
      <c r="AF64" s="37">
        <f t="shared" si="25"/>
        <v>38950229.507297955</v>
      </c>
      <c r="AG64" s="36">
        <f t="shared" si="5"/>
        <v>1.973450050568909</v>
      </c>
      <c r="AH64" s="37">
        <f t="shared" si="26"/>
        <v>-2.021313031601328E-4</v>
      </c>
      <c r="AI64" s="37">
        <f t="shared" si="27"/>
        <v>-2.8298517752593255E-3</v>
      </c>
      <c r="AJ64" s="37">
        <f t="shared" si="28"/>
        <v>-1.9808857129085474E-2</v>
      </c>
      <c r="AK64" s="39">
        <f t="shared" si="29"/>
        <v>2.0364577105329455E-2</v>
      </c>
      <c r="AL64" s="39">
        <f>AL63+(1000*$C$2*($B64-$B63))/(BerechnungenCLT!$W$47*2*AF64)</f>
        <v>7.5968461268791532E-4</v>
      </c>
      <c r="AM64" s="37">
        <f t="shared" si="6"/>
        <v>2.5866150426138766E-6</v>
      </c>
      <c r="AN64" s="173">
        <f t="shared" si="30"/>
        <v>3100.8336221050663</v>
      </c>
      <c r="AO64" s="173">
        <v>-258.06073303097043</v>
      </c>
      <c r="AP64" s="131"/>
      <c r="AQ64" s="131"/>
      <c r="AR64" s="131"/>
      <c r="AS64" s="131"/>
      <c r="AT64" s="131"/>
      <c r="AU64" s="132"/>
      <c r="AV64" s="129">
        <v>85.48759821620493</v>
      </c>
      <c r="AW64" s="9">
        <v>15.25</v>
      </c>
      <c r="AX64" s="129">
        <f t="shared" si="31"/>
        <v>100.73782764814504</v>
      </c>
      <c r="AY64" s="36">
        <f t="shared" si="54"/>
        <v>1.5167505030141946E-2</v>
      </c>
      <c r="AZ64" s="37">
        <f t="shared" si="32"/>
        <v>38936411.532668956</v>
      </c>
      <c r="BA64" s="36">
        <f t="shared" si="7"/>
        <v>1.9734427488170327</v>
      </c>
      <c r="BB64" s="37">
        <f t="shared" si="33"/>
        <v>-2.0220303666378272E-4</v>
      </c>
      <c r="BC64" s="37">
        <f t="shared" si="34"/>
        <v>-2.8311011791033176E-3</v>
      </c>
      <c r="BD64" s="37">
        <f t="shared" si="35"/>
        <v>-1.9815975509326837E-2</v>
      </c>
      <c r="BE64" s="39">
        <f t="shared" si="36"/>
        <v>2.0369494657367697E-2</v>
      </c>
      <c r="BF64" s="39">
        <f>BF63+(1000*$C$2*($B64-$B63))/(BerechnungenCLT!$W$47*2*AZ64)</f>
        <v>7.6004635291096359E-4</v>
      </c>
      <c r="BG64" s="37">
        <f t="shared" si="8"/>
        <v>2.5872396474858148E-6</v>
      </c>
      <c r="BH64" s="173">
        <f t="shared" si="37"/>
        <v>3101.6020255397243</v>
      </c>
      <c r="BI64">
        <v>-258.06073303097043</v>
      </c>
      <c r="BN64" s="131"/>
      <c r="BO64" s="132"/>
      <c r="BP64" s="129">
        <v>85.499660523437228</v>
      </c>
      <c r="BQ64" s="9">
        <v>15.25</v>
      </c>
      <c r="BR64" s="129">
        <f t="shared" si="38"/>
        <v>100.74966069535012</v>
      </c>
      <c r="BS64" s="36">
        <f t="shared" si="55"/>
        <v>1.5169223189759244E-2</v>
      </c>
      <c r="BT64" s="37">
        <f t="shared" si="39"/>
        <v>38950741.792880155</v>
      </c>
      <c r="BU64" s="36">
        <f t="shared" si="9"/>
        <v>1.9734502851602553</v>
      </c>
      <c r="BV64" s="37">
        <f t="shared" si="40"/>
        <v>-2.0212864470107517E-4</v>
      </c>
      <c r="BW64" s="37">
        <f t="shared" si="41"/>
        <v>-2.8298071058116695E-3</v>
      </c>
      <c r="BX64" s="37">
        <f t="shared" si="42"/>
        <v>-1.9808602155468213E-2</v>
      </c>
      <c r="BY64" s="39">
        <f t="shared" si="43"/>
        <v>2.0364392370444302E-2</v>
      </c>
      <c r="BZ64" s="39">
        <f>BZ63+(1000*$C$2*($B64-$B63))/(BerechnungenCLT!$W$47*2*BT64)</f>
        <v>7.5967169703096383E-4</v>
      </c>
      <c r="CA64" s="37">
        <f t="shared" si="10"/>
        <v>2.5865915784373135E-6</v>
      </c>
      <c r="CB64" s="173">
        <f t="shared" si="44"/>
        <v>3100.8062199505298</v>
      </c>
      <c r="CC64" s="9">
        <v>-258.06261402678138</v>
      </c>
      <c r="CI64" s="131"/>
      <c r="CJ64" s="9">
        <f t="shared" si="60"/>
        <v>13</v>
      </c>
      <c r="CK64" s="129">
        <v>85.493860157360587</v>
      </c>
      <c r="CL64" s="9">
        <v>10.09375</v>
      </c>
      <c r="CM64" s="129">
        <f t="shared" si="56"/>
        <v>95.587610840155406</v>
      </c>
      <c r="CN64" s="36">
        <f t="shared" si="57"/>
        <v>9.761698305513598E-3</v>
      </c>
      <c r="CO64" s="173">
        <f t="shared" si="58"/>
        <v>3280.3183716263347</v>
      </c>
      <c r="CP64" s="9">
        <v>-630.13200656740173</v>
      </c>
      <c r="CQ64" s="129"/>
      <c r="CR64" s="36">
        <f t="shared" si="45"/>
        <v>0.83466146365726923</v>
      </c>
      <c r="CS64" s="17">
        <f t="shared" si="11"/>
        <v>0.60002228455519824</v>
      </c>
      <c r="CT64" s="9">
        <f t="shared" si="12"/>
        <v>10.093375122708235</v>
      </c>
      <c r="CU64" s="9">
        <f t="shared" si="46"/>
        <v>95.587235962838278</v>
      </c>
      <c r="CV64" s="9">
        <v>13.2</v>
      </c>
      <c r="CW64" s="9">
        <f t="shared" si="47"/>
        <v>98.693861050278642</v>
      </c>
      <c r="CX64">
        <f t="shared" si="48"/>
        <v>22</v>
      </c>
      <c r="CY64" s="9">
        <f t="shared" si="13"/>
        <v>625.52783417778392</v>
      </c>
      <c r="CZ64" s="17">
        <f t="shared" si="49"/>
        <v>0.58900926005441046</v>
      </c>
      <c r="DA64">
        <v>45</v>
      </c>
      <c r="DB64" s="9">
        <f t="shared" si="50"/>
        <v>10.094474894589244</v>
      </c>
      <c r="DC64" s="9">
        <f t="shared" si="51"/>
        <v>10.929136358263925</v>
      </c>
    </row>
    <row r="65" spans="1:107" x14ac:dyDescent="0.25">
      <c r="A65" s="9"/>
      <c r="B65" s="9">
        <f t="shared" si="59"/>
        <v>14</v>
      </c>
      <c r="C65" s="129">
        <v>85.497860974666196</v>
      </c>
      <c r="D65" s="9"/>
      <c r="E65" s="129">
        <f t="shared" si="14"/>
        <v>85.497860974666196</v>
      </c>
      <c r="F65" s="36">
        <f t="shared" si="52"/>
        <v>0</v>
      </c>
      <c r="G65" s="37">
        <f t="shared" si="15"/>
        <v>0</v>
      </c>
      <c r="H65" s="36" t="e">
        <f t="shared" si="16"/>
        <v>#DIV/0!</v>
      </c>
      <c r="I65" s="37" t="e">
        <f t="shared" si="17"/>
        <v>#DIV/0!</v>
      </c>
      <c r="J65" s="37" t="e">
        <f t="shared" si="18"/>
        <v>#DIV/0!</v>
      </c>
      <c r="K65" s="37" t="e">
        <f t="shared" si="19"/>
        <v>#DIV/0!</v>
      </c>
      <c r="L65" s="39" t="e">
        <f t="shared" si="20"/>
        <v>#DIV/0!</v>
      </c>
      <c r="M65" s="39" t="e">
        <f>M64+(1000*$C$2*(B65-B64))/(BerechnungenCLT!$W$47*2*'Berechnung freier Bereich'!G65)</f>
        <v>#DIV/0!</v>
      </c>
      <c r="N65" s="17" t="e">
        <f t="shared" si="61"/>
        <v>#DIV/0!</v>
      </c>
      <c r="O65" s="173">
        <f t="shared" si="21"/>
        <v>3678.6928950080978</v>
      </c>
      <c r="P65" s="173"/>
      <c r="Q65" s="173"/>
      <c r="R65" s="37" t="e">
        <f t="shared" si="1"/>
        <v>#DIV/0!</v>
      </c>
      <c r="S65" s="37" t="e">
        <f t="shared" si="2"/>
        <v>#DIV/0!</v>
      </c>
      <c r="T65" s="37" t="e">
        <f t="shared" si="3"/>
        <v>#DIV/0!</v>
      </c>
      <c r="U65" s="39" t="e">
        <f t="shared" si="4"/>
        <v>#DIV/0!</v>
      </c>
      <c r="V65" s="39" t="e">
        <f t="shared" si="22"/>
        <v>#DIV/0!</v>
      </c>
      <c r="W65" s="9" t="e">
        <f t="shared" si="23"/>
        <v>#DIV/0!</v>
      </c>
      <c r="AA65" s="132"/>
      <c r="AB65" s="129">
        <v>85.499581014060041</v>
      </c>
      <c r="AC65" s="9">
        <v>15.25</v>
      </c>
      <c r="AD65" s="129">
        <f t="shared" si="24"/>
        <v>100.74958235262277</v>
      </c>
      <c r="AE65" s="36">
        <f t="shared" si="53"/>
        <v>1.5169211493839093E-2</v>
      </c>
      <c r="AF65" s="37">
        <f t="shared" si="25"/>
        <v>38950646.216229945</v>
      </c>
      <c r="AG65" s="36">
        <f t="shared" si="5"/>
        <v>1.9734502365841693</v>
      </c>
      <c r="AH65" s="37">
        <f t="shared" si="26"/>
        <v>-2.0212914068203181E-4</v>
      </c>
      <c r="AI65" s="37">
        <f t="shared" si="27"/>
        <v>-3.0319809159413571E-3</v>
      </c>
      <c r="AJ65" s="37">
        <f t="shared" si="28"/>
        <v>-2.2739773474685816E-2</v>
      </c>
      <c r="AK65" s="39">
        <f t="shared" si="29"/>
        <v>2.0364426505009237E-2</v>
      </c>
      <c r="AL65" s="39">
        <f>AL64+(1000*$C$2*($B65-$B64))/(BerechnungenCLT!$W$47*2*AF65)</f>
        <v>8.1812085634570385E-4</v>
      </c>
      <c r="AM65" s="37">
        <f t="shared" si="6"/>
        <v>2.58659591405296E-6</v>
      </c>
      <c r="AN65" s="173">
        <f t="shared" si="30"/>
        <v>3100.8114760170392</v>
      </c>
      <c r="AO65" s="173">
        <v>-258.06073303097043</v>
      </c>
      <c r="AP65" s="131"/>
      <c r="AQ65" s="131"/>
      <c r="AR65" s="131"/>
      <c r="AS65" s="131"/>
      <c r="AT65" s="131"/>
      <c r="AU65" s="132"/>
      <c r="AV65" s="129">
        <v>85.493083620575831</v>
      </c>
      <c r="AW65" s="9">
        <v>15.25</v>
      </c>
      <c r="AX65" s="129">
        <f t="shared" si="31"/>
        <v>100.74344836803442</v>
      </c>
      <c r="AY65" s="36">
        <f t="shared" si="54"/>
        <v>1.5168544180339534E-2</v>
      </c>
      <c r="AZ65" s="37">
        <f t="shared" si="32"/>
        <v>38943697.433108531</v>
      </c>
      <c r="BA65" s="36">
        <f t="shared" si="7"/>
        <v>1.9734454180405168</v>
      </c>
      <c r="BB65" s="37">
        <f t="shared" si="33"/>
        <v>-2.0216520689180891E-4</v>
      </c>
      <c r="BC65" s="37">
        <f t="shared" si="34"/>
        <v>-3.0332663859951267E-3</v>
      </c>
      <c r="BD65" s="37">
        <f t="shared" si="35"/>
        <v>-2.2748159291876058E-2</v>
      </c>
      <c r="BE65" s="39">
        <f t="shared" si="36"/>
        <v>2.0366820082317948E-2</v>
      </c>
      <c r="BF65" s="39">
        <f>BF64+(1000*$C$2*($B65-$B64))/(BerechnungenCLT!$W$47*2*AZ65)</f>
        <v>8.1849302343652204E-4</v>
      </c>
      <c r="BG65" s="37">
        <f t="shared" si="8"/>
        <v>2.586899935248212E-6</v>
      </c>
      <c r="BH65" s="173">
        <f t="shared" si="37"/>
        <v>3101.2321115381542</v>
      </c>
      <c r="BI65">
        <v>-258.06073303097043</v>
      </c>
      <c r="BN65" s="131"/>
      <c r="BO65" s="132"/>
      <c r="BP65" s="129">
        <v>85.499810676532306</v>
      </c>
      <c r="BQ65" s="9">
        <v>15.25</v>
      </c>
      <c r="BR65" s="129">
        <f t="shared" si="38"/>
        <v>100.74981094983804</v>
      </c>
      <c r="BS65" s="36">
        <f t="shared" si="55"/>
        <v>1.5169247757548243E-2</v>
      </c>
      <c r="BT65" s="37">
        <f t="shared" si="39"/>
        <v>38950929.693578608</v>
      </c>
      <c r="BU65" s="36">
        <f t="shared" si="9"/>
        <v>1.9734503696017325</v>
      </c>
      <c r="BV65" s="37">
        <f t="shared" si="40"/>
        <v>-2.0212766962515746E-4</v>
      </c>
      <c r="BW65" s="37">
        <f t="shared" si="41"/>
        <v>-3.0319347754368267E-3</v>
      </c>
      <c r="BX65" s="37">
        <f t="shared" si="42"/>
        <v>-2.273947309609246E-2</v>
      </c>
      <c r="BY65" s="39">
        <f t="shared" si="43"/>
        <v>2.0364324502465933E-2</v>
      </c>
      <c r="BZ65" s="39">
        <f>BZ64+(1000*$C$2*($B65-$B64))/(BerechnungenCLT!$W$47*2*BT65)</f>
        <v>8.1810751540104941E-4</v>
      </c>
      <c r="CA65" s="37">
        <f t="shared" si="10"/>
        <v>2.5865829581584415E-6</v>
      </c>
      <c r="CB65" s="173">
        <f t="shared" si="44"/>
        <v>3100.7962171924833</v>
      </c>
      <c r="CC65" s="9">
        <v>-258.06178155364188</v>
      </c>
      <c r="CI65" s="131"/>
      <c r="CJ65" s="9">
        <f t="shared" si="60"/>
        <v>14</v>
      </c>
      <c r="CK65" s="129">
        <v>85.49349233863029</v>
      </c>
      <c r="CL65" s="9">
        <v>10.09375</v>
      </c>
      <c r="CM65" s="129">
        <f t="shared" si="56"/>
        <v>95.58724293794819</v>
      </c>
      <c r="CN65" s="36">
        <f t="shared" si="57"/>
        <v>9.7616585637079773E-3</v>
      </c>
      <c r="CO65" s="173">
        <f t="shared" si="58"/>
        <v>3280.3450271820102</v>
      </c>
      <c r="CP65" s="9">
        <v>-630.13712696026641</v>
      </c>
      <c r="CQ65" s="129"/>
      <c r="CR65" s="36">
        <f t="shared" si="45"/>
        <v>0.8346633209584805</v>
      </c>
      <c r="CS65" s="17">
        <f t="shared" si="11"/>
        <v>0.60002361973378793</v>
      </c>
      <c r="CT65" s="9">
        <f t="shared" si="12"/>
        <v>10.09335266282846</v>
      </c>
      <c r="CU65" s="9">
        <f t="shared" si="46"/>
        <v>95.586845600753051</v>
      </c>
      <c r="CV65" s="9">
        <v>13.2</v>
      </c>
      <c r="CW65" s="9">
        <f t="shared" si="47"/>
        <v>98.693493122382236</v>
      </c>
      <c r="CX65">
        <f t="shared" si="48"/>
        <v>22</v>
      </c>
      <c r="CY65" s="9">
        <f t="shared" si="13"/>
        <v>625.53052538675706</v>
      </c>
      <c r="CZ65" s="17">
        <f t="shared" si="49"/>
        <v>0.58901179414948879</v>
      </c>
      <c r="DA65">
        <v>45</v>
      </c>
      <c r="DB65" s="9">
        <f t="shared" si="50"/>
        <v>10.094518324057816</v>
      </c>
      <c r="DC65" s="9">
        <f t="shared" si="51"/>
        <v>10.929181645031578</v>
      </c>
    </row>
    <row r="66" spans="1:107" x14ac:dyDescent="0.25">
      <c r="A66" s="9"/>
      <c r="B66" s="9">
        <f t="shared" si="59"/>
        <v>15</v>
      </c>
      <c r="C66" s="129">
        <v>85.499100160538788</v>
      </c>
      <c r="D66" s="9"/>
      <c r="E66" s="129">
        <f t="shared" si="14"/>
        <v>85.499100160538788</v>
      </c>
      <c r="F66" s="36">
        <f t="shared" si="52"/>
        <v>0</v>
      </c>
      <c r="G66" s="37">
        <f t="shared" si="15"/>
        <v>0</v>
      </c>
      <c r="H66" s="36" t="e">
        <f t="shared" si="16"/>
        <v>#DIV/0!</v>
      </c>
      <c r="I66" s="37" t="e">
        <f t="shared" si="17"/>
        <v>#DIV/0!</v>
      </c>
      <c r="J66" s="37" t="e">
        <f t="shared" si="18"/>
        <v>#DIV/0!</v>
      </c>
      <c r="K66" s="37" t="e">
        <f t="shared" si="19"/>
        <v>#DIV/0!</v>
      </c>
      <c r="L66" s="39" t="e">
        <f t="shared" si="20"/>
        <v>#DIV/0!</v>
      </c>
      <c r="M66" s="39" t="e">
        <f>M65+(1000*$C$2*(B66-B65))/(BerechnungenCLT!$W$47*2*'Berechnung freier Bereich'!G66)</f>
        <v>#DIV/0!</v>
      </c>
      <c r="N66" s="17" t="e">
        <f t="shared" si="61"/>
        <v>#DIV/0!</v>
      </c>
      <c r="O66" s="173">
        <f t="shared" si="21"/>
        <v>3678.5862611085245</v>
      </c>
      <c r="P66" s="173"/>
      <c r="Q66" s="173"/>
      <c r="R66" s="37" t="e">
        <f t="shared" si="1"/>
        <v>#DIV/0!</v>
      </c>
      <c r="S66" s="37" t="e">
        <f t="shared" si="2"/>
        <v>#DIV/0!</v>
      </c>
      <c r="T66" s="37" t="e">
        <f t="shared" si="3"/>
        <v>#DIV/0!</v>
      </c>
      <c r="U66" s="39" t="e">
        <f t="shared" si="4"/>
        <v>#DIV/0!</v>
      </c>
      <c r="V66" s="39" t="e">
        <f t="shared" si="22"/>
        <v>#DIV/0!</v>
      </c>
      <c r="W66" s="9" t="e">
        <f t="shared" si="23"/>
        <v>#DIV/0!</v>
      </c>
      <c r="AA66" s="132"/>
      <c r="AB66" s="129">
        <v>85.5</v>
      </c>
      <c r="AC66" s="9">
        <v>15.25</v>
      </c>
      <c r="AD66" s="129">
        <f t="shared" si="24"/>
        <v>100.75000194974947</v>
      </c>
      <c r="AE66" s="36">
        <f t="shared" si="53"/>
        <v>1.5169280400856655E-2</v>
      </c>
      <c r="AF66" s="37">
        <f t="shared" si="25"/>
        <v>38951171.58807452</v>
      </c>
      <c r="AG66" s="36">
        <f t="shared" si="5"/>
        <v>1.9734504711696639</v>
      </c>
      <c r="AH66" s="37">
        <f t="shared" si="26"/>
        <v>-2.0212641437226622E-4</v>
      </c>
      <c r="AI66" s="37">
        <f t="shared" si="27"/>
        <v>-3.2341073303136232E-3</v>
      </c>
      <c r="AJ66" s="37">
        <f t="shared" si="28"/>
        <v>-2.5872817597813305E-2</v>
      </c>
      <c r="AK66" s="39">
        <f t="shared" si="29"/>
        <v>2.0364236642101692E-2</v>
      </c>
      <c r="AL66" s="39">
        <f>AL65+(1000*$C$2*($B66-$B65))/(BerechnungenCLT!$W$47*2*AF66)</f>
        <v>8.7655631181777496E-4</v>
      </c>
      <c r="AM66" s="37">
        <f t="shared" si="6"/>
        <v>2.5865717985385473E-6</v>
      </c>
      <c r="AN66" s="173">
        <f t="shared" si="30"/>
        <v>3100.7835535245226</v>
      </c>
      <c r="AO66" s="173">
        <v>-258.06073303097043</v>
      </c>
      <c r="AP66" s="131"/>
      <c r="AQ66" s="131"/>
      <c r="AR66" s="131"/>
      <c r="AS66" s="131"/>
      <c r="AT66" s="131"/>
      <c r="AU66" s="132"/>
      <c r="AV66" s="129">
        <v>85.5</v>
      </c>
      <c r="AW66" s="9">
        <v>15.25</v>
      </c>
      <c r="AX66" s="129">
        <f t="shared" si="31"/>
        <v>100.75053128798699</v>
      </c>
      <c r="AY66" s="36">
        <f t="shared" si="54"/>
        <v>1.5169850051065387E-2</v>
      </c>
      <c r="AZ66" s="37">
        <f t="shared" si="32"/>
        <v>38952872.264736474</v>
      </c>
      <c r="BA66" s="36">
        <f t="shared" si="7"/>
        <v>1.9734487958404259</v>
      </c>
      <c r="BB66" s="37">
        <f t="shared" si="33"/>
        <v>-2.021175895628054E-4</v>
      </c>
      <c r="BC66" s="37">
        <f t="shared" si="34"/>
        <v>-3.2353839755579318E-3</v>
      </c>
      <c r="BD66" s="37">
        <f t="shared" si="35"/>
        <v>-2.5882484472652588E-2</v>
      </c>
      <c r="BE66" s="39">
        <f t="shared" si="36"/>
        <v>2.0363454531099938E-2</v>
      </c>
      <c r="BF66" s="39">
        <f>BF65+(1000*$C$2*($B66-$B65))/(BerechnungenCLT!$W$47*2*AZ66)</f>
        <v>8.7692592762521988E-4</v>
      </c>
      <c r="BG66" s="37">
        <f t="shared" si="8"/>
        <v>2.5864724583916019E-6</v>
      </c>
      <c r="BH66" s="173">
        <f t="shared" si="37"/>
        <v>3100.7659282221161</v>
      </c>
      <c r="BI66">
        <v>-258.06073303097043</v>
      </c>
      <c r="BN66" s="131"/>
      <c r="BO66" s="132"/>
      <c r="BP66" s="129">
        <v>85.5</v>
      </c>
      <c r="BQ66" s="9">
        <v>15.25</v>
      </c>
      <c r="BR66" s="129">
        <f t="shared" si="38"/>
        <v>100.75000039809693</v>
      </c>
      <c r="BS66" s="36">
        <f t="shared" si="55"/>
        <v>1.5169278731041777E-2</v>
      </c>
      <c r="BT66" s="37">
        <f t="shared" si="39"/>
        <v>38951166.60290961</v>
      </c>
      <c r="BU66" s="36">
        <f t="shared" si="9"/>
        <v>1.9734504760805047</v>
      </c>
      <c r="BV66" s="37">
        <f t="shared" si="40"/>
        <v>-2.0212644024141459E-4</v>
      </c>
      <c r="BW66" s="37">
        <f t="shared" si="41"/>
        <v>-3.2340612156782412E-3</v>
      </c>
      <c r="BX66" s="37">
        <f t="shared" si="42"/>
        <v>-2.5872471091649994E-2</v>
      </c>
      <c r="BY66" s="39">
        <f t="shared" si="43"/>
        <v>2.0364238934788434E-2</v>
      </c>
      <c r="BZ66" s="39">
        <f>BZ65+(1000*$C$2*($B66-$B65))/(BerechnungenCLT!$W$47*2*BT66)</f>
        <v>8.7654297835198212E-4</v>
      </c>
      <c r="CA66" s="37">
        <f t="shared" si="10"/>
        <v>2.5865720897450864E-6</v>
      </c>
      <c r="CB66" s="173">
        <f t="shared" si="44"/>
        <v>3100.7836051899048</v>
      </c>
      <c r="CC66" s="9">
        <v>-258.06073192779536</v>
      </c>
      <c r="CI66" s="131"/>
      <c r="CJ66" s="9">
        <f t="shared" si="60"/>
        <v>15</v>
      </c>
      <c r="CK66" s="129">
        <v>85.49314773697941</v>
      </c>
      <c r="CL66" s="9">
        <v>10.09375</v>
      </c>
      <c r="CM66" s="129">
        <f t="shared" si="56"/>
        <v>95.586898252895423</v>
      </c>
      <c r="CN66" s="36">
        <f t="shared" si="57"/>
        <v>9.7616213251415507E-3</v>
      </c>
      <c r="CO66" s="173">
        <f t="shared" si="58"/>
        <v>3280.3700006958143</v>
      </c>
      <c r="CP66" s="9">
        <v>-630.141924241683</v>
      </c>
      <c r="CQ66" s="129"/>
      <c r="CR66" s="36">
        <f t="shared" si="45"/>
        <v>0.83466506105474436</v>
      </c>
      <c r="CS66" s="17">
        <f t="shared" si="11"/>
        <v>0.60002487065596555</v>
      </c>
      <c r="CT66" s="9">
        <f t="shared" si="12"/>
        <v>10.093331620369538</v>
      </c>
      <c r="CU66" s="9">
        <f t="shared" si="46"/>
        <v>95.586479873243576</v>
      </c>
      <c r="CV66" s="9">
        <v>13.2</v>
      </c>
      <c r="CW66" s="9">
        <f t="shared" si="47"/>
        <v>98.693148411663387</v>
      </c>
      <c r="CX66">
        <f t="shared" si="48"/>
        <v>22</v>
      </c>
      <c r="CY66" s="9">
        <f t="shared" si="13"/>
        <v>625.53304674498793</v>
      </c>
      <c r="CZ66" s="17">
        <f t="shared" si="49"/>
        <v>0.58901416830978148</v>
      </c>
      <c r="DA66">
        <v>45</v>
      </c>
      <c r="DB66" s="9">
        <f t="shared" si="50"/>
        <v>10.094559012554747</v>
      </c>
      <c r="DC66" s="9">
        <f t="shared" si="51"/>
        <v>10.929224073622649</v>
      </c>
    </row>
    <row r="67" spans="1:107" x14ac:dyDescent="0.25">
      <c r="A67" s="9"/>
      <c r="B67" s="9">
        <f t="shared" si="59"/>
        <v>16</v>
      </c>
      <c r="C67" s="129">
        <v>85.500627340907172</v>
      </c>
      <c r="D67" s="9"/>
      <c r="E67" s="129">
        <f t="shared" si="14"/>
        <v>85.500627340907172</v>
      </c>
      <c r="F67" s="36">
        <f t="shared" si="52"/>
        <v>0</v>
      </c>
      <c r="G67" s="37">
        <f t="shared" si="15"/>
        <v>0</v>
      </c>
      <c r="H67" s="36" t="e">
        <f t="shared" si="16"/>
        <v>#DIV/0!</v>
      </c>
      <c r="I67" s="37" t="e">
        <f t="shared" si="17"/>
        <v>#DIV/0!</v>
      </c>
      <c r="J67" s="37" t="e">
        <f t="shared" si="18"/>
        <v>#DIV/0!</v>
      </c>
      <c r="K67" s="37" t="e">
        <f t="shared" si="19"/>
        <v>#DIV/0!</v>
      </c>
      <c r="L67" s="39" t="e">
        <f t="shared" si="20"/>
        <v>#DIV/0!</v>
      </c>
      <c r="M67" s="39" t="e">
        <f>M66+(1000*$C$2*(B67-B66))/(BerechnungenCLT!$W$47*2*'Berechnung freier Bereich'!G67)</f>
        <v>#DIV/0!</v>
      </c>
      <c r="N67" s="17" t="e">
        <f t="shared" si="61"/>
        <v>#DIV/0!</v>
      </c>
      <c r="O67" s="173">
        <f t="shared" si="21"/>
        <v>3678.4548512060715</v>
      </c>
      <c r="P67" s="173"/>
      <c r="Q67" s="173"/>
      <c r="R67" s="37" t="e">
        <f t="shared" si="1"/>
        <v>#DIV/0!</v>
      </c>
      <c r="S67" s="37" t="e">
        <f t="shared" si="2"/>
        <v>#DIV/0!</v>
      </c>
      <c r="T67" s="37" t="e">
        <f t="shared" si="3"/>
        <v>#DIV/0!</v>
      </c>
      <c r="U67" s="39" t="e">
        <f t="shared" si="4"/>
        <v>#DIV/0!</v>
      </c>
      <c r="V67" s="39" t="e">
        <f t="shared" si="22"/>
        <v>#DIV/0!</v>
      </c>
      <c r="W67" s="9" t="e">
        <f t="shared" si="23"/>
        <v>#DIV/0!</v>
      </c>
      <c r="AA67" s="132"/>
      <c r="AB67" s="129">
        <v>85.500505672686145</v>
      </c>
      <c r="AC67" s="9">
        <v>15.25</v>
      </c>
      <c r="AD67" s="129">
        <f t="shared" si="24"/>
        <v>100.75050812915931</v>
      </c>
      <c r="AE67" s="36">
        <f t="shared" si="53"/>
        <v>1.5169363316004282E-2</v>
      </c>
      <c r="AF67" s="37">
        <f t="shared" si="25"/>
        <v>38951804.921966903</v>
      </c>
      <c r="AG67" s="36">
        <f t="shared" si="5"/>
        <v>1.9734507550167582</v>
      </c>
      <c r="AH67" s="37">
        <f t="shared" si="26"/>
        <v>-2.0212312791329407E-4</v>
      </c>
      <c r="AI67" s="37">
        <f t="shared" si="27"/>
        <v>-3.4362304582269171E-3</v>
      </c>
      <c r="AJ67" s="37">
        <f t="shared" si="28"/>
        <v>-2.9207986492083574E-2</v>
      </c>
      <c r="AK67" s="39">
        <f t="shared" si="29"/>
        <v>2.036400784191944E-2</v>
      </c>
      <c r="AL67" s="39">
        <f>AL66+(1000*$C$2*($B67-$B66))/(BerechnungenCLT!$W$47*2*AF67)</f>
        <v>9.3499081716302813E-4</v>
      </c>
      <c r="AM67" s="37">
        <f t="shared" si="6"/>
        <v>2.5865427373903535E-6</v>
      </c>
      <c r="AN67" s="173">
        <f t="shared" si="30"/>
        <v>3100.7498621555346</v>
      </c>
      <c r="AO67" s="173">
        <v>-258.06073303097043</v>
      </c>
      <c r="AP67" s="131"/>
      <c r="AQ67" s="131"/>
      <c r="AR67" s="131"/>
      <c r="AS67" s="131"/>
      <c r="AT67" s="131"/>
      <c r="AU67" s="132"/>
      <c r="AV67" s="129">
        <v>85.508347354477451</v>
      </c>
      <c r="AW67" s="9">
        <v>15.25</v>
      </c>
      <c r="AX67" s="129">
        <f t="shared" si="31"/>
        <v>100.75901671677866</v>
      </c>
      <c r="AY67" s="36">
        <f t="shared" si="54"/>
        <v>1.5171358414411399E-2</v>
      </c>
      <c r="AZ67" s="37">
        <f t="shared" si="32"/>
        <v>38963745.126159236</v>
      </c>
      <c r="BA67" s="36">
        <f t="shared" si="7"/>
        <v>1.9734530706603863</v>
      </c>
      <c r="BB67" s="37">
        <f t="shared" si="33"/>
        <v>-2.0206118850240158E-4</v>
      </c>
      <c r="BC67" s="37">
        <f t="shared" si="34"/>
        <v>-3.4374451640603334E-3</v>
      </c>
      <c r="BD67" s="37">
        <f t="shared" si="35"/>
        <v>-2.9218899042461721E-2</v>
      </c>
      <c r="BE67" s="39">
        <f t="shared" si="36"/>
        <v>2.0359486670125646E-2</v>
      </c>
      <c r="BF67" s="39">
        <f>BF66+(1000*$C$2*($B67-$B66))/(BerechnungenCLT!$W$47*2*AZ67)</f>
        <v>9.3534252606949518E-4</v>
      </c>
      <c r="BG67" s="37">
        <f t="shared" si="8"/>
        <v>2.585968478916358E-6</v>
      </c>
      <c r="BH67" s="173">
        <f t="shared" si="37"/>
        <v>3100.2055277169957</v>
      </c>
      <c r="BI67">
        <v>-258.06073303097043</v>
      </c>
      <c r="BN67" s="131"/>
      <c r="BO67" s="132"/>
      <c r="BP67" s="129">
        <v>85.500228493840325</v>
      </c>
      <c r="BQ67" s="9">
        <v>15.25</v>
      </c>
      <c r="BR67" s="129">
        <f t="shared" si="38"/>
        <v>100.75022899539935</v>
      </c>
      <c r="BS67" s="36">
        <f t="shared" si="55"/>
        <v>1.5169316062106461E-2</v>
      </c>
      <c r="BT67" s="37">
        <f t="shared" si="39"/>
        <v>38951452.377769597</v>
      </c>
      <c r="BU67" s="36">
        <f t="shared" si="9"/>
        <v>1.9734506047377371</v>
      </c>
      <c r="BV67" s="37">
        <f t="shared" si="40"/>
        <v>-2.0212495730171314E-4</v>
      </c>
      <c r="BW67" s="37">
        <f t="shared" si="41"/>
        <v>-3.4361861729799545E-3</v>
      </c>
      <c r="BX67" s="37">
        <f t="shared" si="42"/>
        <v>-2.9207594785979091E-2</v>
      </c>
      <c r="BY67" s="39">
        <f t="shared" si="43"/>
        <v>2.0364135733832917E-2</v>
      </c>
      <c r="BZ67" s="39">
        <f>BZ66+(1000*$C$2*($B67-$B66))/(BerechnungenCLT!$W$47*2*BT67)</f>
        <v>9.3497801257984487E-4</v>
      </c>
      <c r="CA67" s="37">
        <f t="shared" si="10"/>
        <v>2.5865589816337531E-6</v>
      </c>
      <c r="CB67" s="173">
        <f t="shared" si="44"/>
        <v>3100.768385479827</v>
      </c>
      <c r="CC67" s="9">
        <v>-258.05946527716037</v>
      </c>
      <c r="CI67" s="131"/>
      <c r="CJ67" s="9">
        <f t="shared" si="60"/>
        <v>16</v>
      </c>
      <c r="CK67" s="129">
        <v>85.492828010770751</v>
      </c>
      <c r="CL67" s="9">
        <v>10.09375</v>
      </c>
      <c r="CM67" s="129">
        <f t="shared" si="56"/>
        <v>95.586578444609131</v>
      </c>
      <c r="CN67" s="36">
        <f t="shared" si="57"/>
        <v>9.7615867698869676E-3</v>
      </c>
      <c r="CO67" s="173">
        <f t="shared" si="58"/>
        <v>3280.3931718947638</v>
      </c>
      <c r="CP67" s="9">
        <v>-630.14637530784012</v>
      </c>
      <c r="CQ67" s="129"/>
      <c r="CR67" s="36">
        <f t="shared" si="45"/>
        <v>0.83466667556702279</v>
      </c>
      <c r="CS67" s="17">
        <f t="shared" si="11"/>
        <v>0.60002603129819931</v>
      </c>
      <c r="CT67" s="9">
        <f t="shared" si="12"/>
        <v>10.093312096638321</v>
      </c>
      <c r="CU67" s="9">
        <f t="shared" si="46"/>
        <v>95.58614054122863</v>
      </c>
      <c r="CV67" s="9">
        <v>13.2</v>
      </c>
      <c r="CW67" s="9">
        <f t="shared" si="47"/>
        <v>98.692828578118522</v>
      </c>
      <c r="CX67">
        <f t="shared" si="48"/>
        <v>22</v>
      </c>
      <c r="CY67" s="9">
        <f t="shared" si="13"/>
        <v>625.53538611443071</v>
      </c>
      <c r="CZ67" s="17">
        <f t="shared" si="49"/>
        <v>0.58901637110586702</v>
      </c>
      <c r="DA67">
        <v>45</v>
      </c>
      <c r="DB67" s="9">
        <f t="shared" si="50"/>
        <v>10.094596764201947</v>
      </c>
      <c r="DC67" s="9">
        <f t="shared" si="51"/>
        <v>10.929263439780033</v>
      </c>
    </row>
    <row r="68" spans="1:107" x14ac:dyDescent="0.25">
      <c r="A68" s="9"/>
      <c r="B68" s="9">
        <f t="shared" si="59"/>
        <v>17</v>
      </c>
      <c r="C68" s="129">
        <v>85.502461715404465</v>
      </c>
      <c r="D68" s="9"/>
      <c r="E68" s="129">
        <f t="shared" si="14"/>
        <v>85.502461715404465</v>
      </c>
      <c r="F68" s="36">
        <f t="shared" si="52"/>
        <v>0</v>
      </c>
      <c r="G68" s="37">
        <f t="shared" si="15"/>
        <v>0</v>
      </c>
      <c r="H68" s="36" t="e">
        <f t="shared" si="16"/>
        <v>#DIV/0!</v>
      </c>
      <c r="I68" s="37" t="e">
        <f t="shared" si="17"/>
        <v>#DIV/0!</v>
      </c>
      <c r="J68" s="37" t="e">
        <f t="shared" si="18"/>
        <v>#DIV/0!</v>
      </c>
      <c r="K68" s="37" t="e">
        <f t="shared" si="19"/>
        <v>#DIV/0!</v>
      </c>
      <c r="L68" s="39" t="e">
        <f t="shared" si="20"/>
        <v>#DIV/0!</v>
      </c>
      <c r="M68" s="39" t="e">
        <f>M67+(1000*$C$2*(B68-B67))/(BerechnungenCLT!$W$47*2*'Berechnung freier Bereich'!G68)</f>
        <v>#DIV/0!</v>
      </c>
      <c r="N68" s="17" t="e">
        <f t="shared" si="61"/>
        <v>#DIV/0!</v>
      </c>
      <c r="O68" s="173">
        <f t="shared" si="21"/>
        <v>3678.2970173554259</v>
      </c>
      <c r="P68" s="173"/>
      <c r="Q68" s="173"/>
      <c r="R68" s="37" t="e">
        <f t="shared" si="1"/>
        <v>#DIV/0!</v>
      </c>
      <c r="S68" s="37" t="e">
        <f t="shared" si="2"/>
        <v>#DIV/0!</v>
      </c>
      <c r="T68" s="37" t="e">
        <f t="shared" si="3"/>
        <v>#DIV/0!</v>
      </c>
      <c r="U68" s="39" t="e">
        <f t="shared" si="4"/>
        <v>#DIV/0!</v>
      </c>
      <c r="V68" s="39" t="e">
        <f t="shared" si="22"/>
        <v>#DIV/0!</v>
      </c>
      <c r="W68" s="9" t="e">
        <f t="shared" si="23"/>
        <v>#DIV/0!</v>
      </c>
      <c r="AA68" s="132"/>
      <c r="AB68" s="129">
        <v>85.501073264476744</v>
      </c>
      <c r="AC68" s="9">
        <v>15.25</v>
      </c>
      <c r="AD68" s="129">
        <f t="shared" si="24"/>
        <v>100.75107599623729</v>
      </c>
      <c r="AE68" s="36">
        <f t="shared" si="53"/>
        <v>1.5169456068196608E-2</v>
      </c>
      <c r="AF68" s="37">
        <f t="shared" si="25"/>
        <v>38952514.872221418</v>
      </c>
      <c r="AG68" s="36">
        <f t="shared" si="5"/>
        <v>1.9734510745440392</v>
      </c>
      <c r="AH68" s="37">
        <f t="shared" si="26"/>
        <v>-2.0211944400824774E-4</v>
      </c>
      <c r="AI68" s="37">
        <f t="shared" si="27"/>
        <v>-3.638349902235165E-3</v>
      </c>
      <c r="AJ68" s="37">
        <f t="shared" si="28"/>
        <v>-3.2745276672314617E-2</v>
      </c>
      <c r="AK68" s="39">
        <f t="shared" si="29"/>
        <v>2.0363751463592195E-2</v>
      </c>
      <c r="AL68" s="39">
        <f>AL67+(1000*$C$2*($B68-$B67))/(BerechnungenCLT!$W$47*2*AF68)</f>
        <v>9.9342425747840895E-4</v>
      </c>
      <c r="AM68" s="37">
        <f t="shared" si="6"/>
        <v>2.5865101733928578E-6</v>
      </c>
      <c r="AN68" s="173">
        <f t="shared" si="30"/>
        <v>3100.7120557386725</v>
      </c>
      <c r="AO68" s="173">
        <v>-258.06073303097043</v>
      </c>
      <c r="AP68" s="131"/>
      <c r="AQ68" s="131"/>
      <c r="AR68" s="131"/>
      <c r="AS68" s="131"/>
      <c r="AT68" s="131"/>
      <c r="AU68" s="132"/>
      <c r="AV68" s="129">
        <v>85.517716833992978</v>
      </c>
      <c r="AW68" s="9">
        <v>15.25</v>
      </c>
      <c r="AX68" s="129">
        <f t="shared" si="31"/>
        <v>100.76846120729662</v>
      </c>
      <c r="AY68" s="36">
        <f t="shared" si="54"/>
        <v>1.5172965428758305E-2</v>
      </c>
      <c r="AZ68" s="37">
        <f t="shared" si="32"/>
        <v>38975694.77423092</v>
      </c>
      <c r="BA68" s="36">
        <f t="shared" si="7"/>
        <v>1.9734581206283894</v>
      </c>
      <c r="BB68" s="37">
        <f t="shared" si="33"/>
        <v>-2.0199923809701342E-4</v>
      </c>
      <c r="BC68" s="37">
        <f t="shared" si="34"/>
        <v>-3.6394444021573468E-3</v>
      </c>
      <c r="BD68" s="37">
        <f t="shared" si="35"/>
        <v>-3.2757343825570565E-2</v>
      </c>
      <c r="BE68" s="39">
        <f t="shared" si="36"/>
        <v>2.035515238808237E-2</v>
      </c>
      <c r="BF68" s="39">
        <f>BF67+(1000*$C$2*($B68-$B67))/(BerechnungenCLT!$W$47*2*AZ68)</f>
        <v>9.9374121443424534E-4</v>
      </c>
      <c r="BG68" s="37">
        <f t="shared" si="8"/>
        <v>2.5854179583200264E-6</v>
      </c>
      <c r="BH68" s="173">
        <f t="shared" si="37"/>
        <v>3099.579348908313</v>
      </c>
      <c r="BI68">
        <v>-258.06073303097043</v>
      </c>
      <c r="BN68" s="131"/>
      <c r="BO68" s="132"/>
      <c r="BP68" s="129">
        <v>85.500484966518258</v>
      </c>
      <c r="BQ68" s="9">
        <v>15.25</v>
      </c>
      <c r="BR68" s="129">
        <f t="shared" si="38"/>
        <v>100.75048552428505</v>
      </c>
      <c r="BS68" s="36">
        <f t="shared" si="55"/>
        <v>1.5169357899835761E-2</v>
      </c>
      <c r="BT68" s="37">
        <f t="shared" si="39"/>
        <v>38951772.954615302</v>
      </c>
      <c r="BU68" s="36">
        <f t="shared" si="9"/>
        <v>1.97345074933745</v>
      </c>
      <c r="BV68" s="37">
        <f t="shared" si="40"/>
        <v>-2.0212329379383316E-4</v>
      </c>
      <c r="BW68" s="37">
        <f t="shared" si="41"/>
        <v>-3.6383094667737878E-3</v>
      </c>
      <c r="BX68" s="37">
        <f t="shared" si="42"/>
        <v>-3.2744842605855959E-2</v>
      </c>
      <c r="BY68" s="39">
        <f t="shared" si="43"/>
        <v>2.0364019985496404E-2</v>
      </c>
      <c r="BZ68" s="39">
        <f>BZ67+(1000*$C$2*($B68-$B67))/(BerechnungenCLT!$W$47*2*BT68)</f>
        <v>9.9341256588174375E-4</v>
      </c>
      <c r="CA68" s="37">
        <f t="shared" si="10"/>
        <v>2.5865442798117197E-6</v>
      </c>
      <c r="CB68" s="173">
        <f t="shared" si="44"/>
        <v>3100.7513042604892</v>
      </c>
      <c r="CC68" s="9">
        <v>-258.05804370360806</v>
      </c>
      <c r="CI68" s="131"/>
      <c r="CJ68" s="9">
        <f t="shared" si="60"/>
        <v>17</v>
      </c>
      <c r="CK68" s="129">
        <v>85.492534818367133</v>
      </c>
      <c r="CL68" s="9">
        <v>10.09375</v>
      </c>
      <c r="CM68" s="129">
        <f t="shared" si="56"/>
        <v>95.586285172784557</v>
      </c>
      <c r="CN68" s="36">
        <f t="shared" si="57"/>
        <v>9.7615550781018339E-3</v>
      </c>
      <c r="CO68" s="173">
        <f t="shared" si="58"/>
        <v>3280.4144205020293</v>
      </c>
      <c r="CP68" s="9">
        <v>-630.150457054188</v>
      </c>
      <c r="CQ68" s="129"/>
      <c r="CR68" s="36">
        <f t="shared" si="45"/>
        <v>0.83466815611584833</v>
      </c>
      <c r="CS68" s="17">
        <f t="shared" si="11"/>
        <v>0.60002709563664958</v>
      </c>
      <c r="CT68" s="9">
        <f t="shared" si="12"/>
        <v>10.093294192946583</v>
      </c>
      <c r="CU68" s="9">
        <f t="shared" si="46"/>
        <v>95.585829365715142</v>
      </c>
      <c r="CV68" s="9">
        <v>13.2</v>
      </c>
      <c r="CW68" s="9">
        <f t="shared" si="47"/>
        <v>98.692535281852955</v>
      </c>
      <c r="CX68">
        <f t="shared" si="48"/>
        <v>22</v>
      </c>
      <c r="CY68" s="9">
        <f t="shared" si="13"/>
        <v>625.53753135698082</v>
      </c>
      <c r="CZ68" s="17">
        <f t="shared" si="49"/>
        <v>0.58901839110826826</v>
      </c>
      <c r="DA68">
        <v>45</v>
      </c>
      <c r="DB68" s="9">
        <f t="shared" si="50"/>
        <v>10.094631383120372</v>
      </c>
      <c r="DC68" s="9">
        <f t="shared" si="51"/>
        <v>10.929299539245259</v>
      </c>
    </row>
    <row r="69" spans="1:107" x14ac:dyDescent="0.25">
      <c r="A69" s="9"/>
      <c r="B69" s="9">
        <f t="shared" si="59"/>
        <v>18</v>
      </c>
      <c r="C69" s="129">
        <v>85.504622483663638</v>
      </c>
      <c r="D69" s="9"/>
      <c r="E69" s="129">
        <f t="shared" si="14"/>
        <v>85.504622483663638</v>
      </c>
      <c r="F69" s="36">
        <f t="shared" si="52"/>
        <v>0</v>
      </c>
      <c r="G69" s="37">
        <f t="shared" si="15"/>
        <v>0</v>
      </c>
      <c r="H69" s="36" t="e">
        <f t="shared" si="16"/>
        <v>#DIV/0!</v>
      </c>
      <c r="I69" s="37" t="e">
        <f t="shared" si="17"/>
        <v>#DIV/0!</v>
      </c>
      <c r="J69" s="37" t="e">
        <f t="shared" si="18"/>
        <v>#DIV/0!</v>
      </c>
      <c r="K69" s="37" t="e">
        <f t="shared" si="19"/>
        <v>#DIV/0!</v>
      </c>
      <c r="L69" s="39" t="e">
        <f t="shared" si="20"/>
        <v>#DIV/0!</v>
      </c>
      <c r="M69" s="39" t="e">
        <f>M68+(1000*$C$2*(B69-B68))/(BerechnungenCLT!$W$47*2*'Berechnung freier Bereich'!G69)</f>
        <v>#DIV/0!</v>
      </c>
      <c r="N69" s="17" t="e">
        <f t="shared" si="61"/>
        <v>#DIV/0!</v>
      </c>
      <c r="O69" s="173">
        <f t="shared" si="21"/>
        <v>3678.1111128560747</v>
      </c>
      <c r="P69" s="173"/>
      <c r="Q69" s="173"/>
      <c r="R69" s="37" t="e">
        <f t="shared" si="1"/>
        <v>#DIV/0!</v>
      </c>
      <c r="S69" s="37" t="e">
        <f t="shared" si="2"/>
        <v>#DIV/0!</v>
      </c>
      <c r="T69" s="37" t="e">
        <f t="shared" si="3"/>
        <v>#DIV/0!</v>
      </c>
      <c r="U69" s="39" t="e">
        <f t="shared" si="4"/>
        <v>#DIV/0!</v>
      </c>
      <c r="V69" s="39" t="e">
        <f t="shared" si="22"/>
        <v>#DIV/0!</v>
      </c>
      <c r="W69" s="9" t="e">
        <f t="shared" si="23"/>
        <v>#DIV/0!</v>
      </c>
      <c r="AA69" s="132"/>
      <c r="AB69" s="129">
        <v>85.50167181581952</v>
      </c>
      <c r="AC69" s="9">
        <v>15.25</v>
      </c>
      <c r="AD69" s="129">
        <f t="shared" si="24"/>
        <v>100.75167454758007</v>
      </c>
      <c r="AE69" s="36">
        <f t="shared" si="53"/>
        <v>1.5169553567187464E-2</v>
      </c>
      <c r="AF69" s="37">
        <f t="shared" si="25"/>
        <v>38953262.623675086</v>
      </c>
      <c r="AG69" s="36">
        <f t="shared" si="5"/>
        <v>1.9734514124125995</v>
      </c>
      <c r="AH69" s="37">
        <f t="shared" si="26"/>
        <v>-2.0211556409940586E-4</v>
      </c>
      <c r="AI69" s="37">
        <f t="shared" si="27"/>
        <v>-3.8404654663345707E-3</v>
      </c>
      <c r="AJ69" s="37">
        <f t="shared" si="28"/>
        <v>-3.6484684356599482E-2</v>
      </c>
      <c r="AK69" s="39">
        <f t="shared" si="29"/>
        <v>2.0363481535143897E-2</v>
      </c>
      <c r="AL69" s="39">
        <f>AL68+(1000*$C$2*($B69-$B68))/(BerechnungenCLT!$W$47*2*AF69)</f>
        <v>1.0518565760985325E-3</v>
      </c>
      <c r="AM69" s="37">
        <f t="shared" si="6"/>
        <v>2.586475888321227E-6</v>
      </c>
      <c r="AN69" s="173">
        <f t="shared" si="30"/>
        <v>3100.6721975683572</v>
      </c>
      <c r="AO69" s="173">
        <v>-258.06073303097043</v>
      </c>
      <c r="AP69" s="131"/>
      <c r="AQ69" s="131"/>
      <c r="AR69" s="131"/>
      <c r="AS69" s="131"/>
      <c r="AT69" s="131"/>
      <c r="AU69" s="132"/>
      <c r="AV69" s="129">
        <v>85.527597376027487</v>
      </c>
      <c r="AW69" s="9">
        <v>15.25</v>
      </c>
      <c r="AX69" s="129">
        <f t="shared" si="31"/>
        <v>100.77834174933113</v>
      </c>
      <c r="AY69" s="36">
        <f t="shared" si="54"/>
        <v>1.5174574964412353E-2</v>
      </c>
      <c r="AZ69" s="37">
        <f t="shared" si="32"/>
        <v>38988044.557821229</v>
      </c>
      <c r="BA69" s="36">
        <f t="shared" si="7"/>
        <v>1.9734636946626887</v>
      </c>
      <c r="BB69" s="37">
        <f t="shared" si="33"/>
        <v>-2.0193525317793891E-4</v>
      </c>
      <c r="BC69" s="37">
        <f t="shared" si="34"/>
        <v>-3.8413796553352858E-3</v>
      </c>
      <c r="BD69" s="37">
        <f t="shared" si="35"/>
        <v>-3.6497755854316881E-2</v>
      </c>
      <c r="BE69" s="39">
        <f t="shared" si="36"/>
        <v>2.0350699956004033E-2</v>
      </c>
      <c r="BF69" s="39">
        <f>BF68+(1000*$C$2*($B69-$B68))/(BerechnungenCLT!$W$47*2*AZ69)</f>
        <v>1.0521214045344264E-3</v>
      </c>
      <c r="BG69" s="37">
        <f t="shared" si="8"/>
        <v>2.5848524308489435E-6</v>
      </c>
      <c r="BH69" s="173">
        <f t="shared" si="37"/>
        <v>3098.9218518902971</v>
      </c>
      <c r="BI69">
        <v>-258.06073303097043</v>
      </c>
      <c r="BN69" s="131"/>
      <c r="BO69" s="132"/>
      <c r="BP69" s="129">
        <v>85.500755428614951</v>
      </c>
      <c r="BQ69" s="9">
        <v>15.25</v>
      </c>
      <c r="BR69" s="129">
        <f t="shared" si="38"/>
        <v>100.75075598638175</v>
      </c>
      <c r="BS69" s="36">
        <f t="shared" si="55"/>
        <v>1.5169401955835387E-2</v>
      </c>
      <c r="BT69" s="37">
        <f t="shared" si="39"/>
        <v>38952110.828942016</v>
      </c>
      <c r="BU69" s="36">
        <f t="shared" si="9"/>
        <v>1.9734509020107371</v>
      </c>
      <c r="BV69" s="37">
        <f t="shared" si="40"/>
        <v>-2.0212154055709319E-4</v>
      </c>
      <c r="BW69" s="37">
        <f t="shared" si="41"/>
        <v>-3.8404310073308807E-3</v>
      </c>
      <c r="BX69" s="37">
        <f t="shared" si="42"/>
        <v>-3.6484212842908294E-2</v>
      </c>
      <c r="BY69" s="39">
        <f t="shared" si="43"/>
        <v>2.0363898012259258E-2</v>
      </c>
      <c r="BZ69" s="39">
        <f>BZ68+(1000*$C$2*($B69-$B68))/(BerechnungenCLT!$W$47*2*BT69)</f>
        <v>1.0518466123167506E-3</v>
      </c>
      <c r="CA69" s="37">
        <f t="shared" si="10"/>
        <v>2.5865287873314017E-6</v>
      </c>
      <c r="CB69" s="173">
        <f t="shared" si="44"/>
        <v>3100.733293464767</v>
      </c>
      <c r="CC69" s="9">
        <v>-258.05654476665586</v>
      </c>
      <c r="CI69" s="131"/>
      <c r="CJ69" s="9">
        <f t="shared" si="60"/>
        <v>18</v>
      </c>
      <c r="CK69" s="129">
        <v>85.492269818131362</v>
      </c>
      <c r="CL69" s="9">
        <v>10.09375</v>
      </c>
      <c r="CM69" s="129">
        <f t="shared" si="56"/>
        <v>95.586020097200247</v>
      </c>
      <c r="CN69" s="36">
        <f t="shared" si="57"/>
        <v>9.761526430028802E-3</v>
      </c>
      <c r="CO69" s="173">
        <f t="shared" si="58"/>
        <v>3280.4336262379588</v>
      </c>
      <c r="CP69" s="9">
        <v>-630.15414637563413</v>
      </c>
      <c r="CQ69" s="129"/>
      <c r="CR69" s="36">
        <f t="shared" si="45"/>
        <v>0.83466949432133497</v>
      </c>
      <c r="CS69" s="17">
        <f t="shared" si="11"/>
        <v>0.60002805764717515</v>
      </c>
      <c r="CT69" s="9">
        <f t="shared" si="12"/>
        <v>10.093278010611229</v>
      </c>
      <c r="CU69" s="9">
        <f t="shared" si="46"/>
        <v>95.585548107798431</v>
      </c>
      <c r="CV69" s="9">
        <v>13.2</v>
      </c>
      <c r="CW69" s="9">
        <f t="shared" si="47"/>
        <v>98.692270183080893</v>
      </c>
      <c r="CX69">
        <f t="shared" si="48"/>
        <v>22</v>
      </c>
      <c r="CY69" s="9">
        <f t="shared" si="13"/>
        <v>625.53947033454733</v>
      </c>
      <c r="CZ69" s="17">
        <f t="shared" si="49"/>
        <v>0.58902021688752104</v>
      </c>
      <c r="DA69">
        <v>45</v>
      </c>
      <c r="DB69" s="9">
        <f t="shared" si="50"/>
        <v>10.094662673431207</v>
      </c>
      <c r="DC69" s="9">
        <f t="shared" si="51"/>
        <v>10.929332167759663</v>
      </c>
    </row>
    <row r="70" spans="1:107" x14ac:dyDescent="0.25">
      <c r="A70" s="9"/>
      <c r="B70" s="9">
        <f t="shared" si="59"/>
        <v>19</v>
      </c>
      <c r="C70" s="129">
        <v>85.507128845317808</v>
      </c>
      <c r="D70" s="9"/>
      <c r="E70" s="129">
        <f t="shared" si="14"/>
        <v>85.507128845317808</v>
      </c>
      <c r="F70" s="36">
        <f t="shared" si="52"/>
        <v>0</v>
      </c>
      <c r="G70" s="37">
        <f t="shared" si="15"/>
        <v>0</v>
      </c>
      <c r="H70" s="36" t="e">
        <f t="shared" si="16"/>
        <v>#DIV/0!</v>
      </c>
      <c r="I70" s="37" t="e">
        <f t="shared" si="17"/>
        <v>#DIV/0!</v>
      </c>
      <c r="J70" s="37" t="e">
        <f t="shared" si="18"/>
        <v>#DIV/0!</v>
      </c>
      <c r="K70" s="37" t="e">
        <f t="shared" si="19"/>
        <v>#DIV/0!</v>
      </c>
      <c r="L70" s="39" t="e">
        <f t="shared" si="20"/>
        <v>#DIV/0!</v>
      </c>
      <c r="M70" s="39" t="e">
        <f>M69+(1000*$C$2*(B70-B69))/(BerechnungenCLT!$W$47*2*'Berechnung freier Bereich'!G70)</f>
        <v>#DIV/0!</v>
      </c>
      <c r="N70" s="17" t="e">
        <f t="shared" si="61"/>
        <v>#DIV/0!</v>
      </c>
      <c r="O70" s="173">
        <f t="shared" si="21"/>
        <v>3677.8954924354189</v>
      </c>
      <c r="P70" s="173"/>
      <c r="Q70" s="173"/>
      <c r="R70" s="37" t="e">
        <f t="shared" si="1"/>
        <v>#DIV/0!</v>
      </c>
      <c r="S70" s="37" t="e">
        <f t="shared" si="2"/>
        <v>#DIV/0!</v>
      </c>
      <c r="T70" s="37" t="e">
        <f t="shared" si="3"/>
        <v>#DIV/0!</v>
      </c>
      <c r="U70" s="39" t="e">
        <f t="shared" si="4"/>
        <v>#DIV/0!</v>
      </c>
      <c r="V70" s="39" t="e">
        <f t="shared" si="22"/>
        <v>#DIV/0!</v>
      </c>
      <c r="W70" s="9" t="e">
        <f t="shared" si="23"/>
        <v>#DIV/0!</v>
      </c>
      <c r="AA70" s="132"/>
      <c r="AB70" s="129">
        <v>85.502270367162311</v>
      </c>
      <c r="AC70" s="9">
        <v>15.25</v>
      </c>
      <c r="AD70" s="129">
        <f t="shared" si="24"/>
        <v>100.75227282363548</v>
      </c>
      <c r="AE70" s="36">
        <f t="shared" si="53"/>
        <v>1.5169650769920415E-2</v>
      </c>
      <c r="AF70" s="37">
        <f t="shared" si="25"/>
        <v>38954009.500213526</v>
      </c>
      <c r="AG70" s="36">
        <f t="shared" si="5"/>
        <v>1.9734517511459482</v>
      </c>
      <c r="AH70" s="37">
        <f t="shared" si="26"/>
        <v>-2.0211168887899041E-4</v>
      </c>
      <c r="AI70" s="37">
        <f t="shared" si="27"/>
        <v>-4.0425771552135611E-3</v>
      </c>
      <c r="AJ70" s="37">
        <f t="shared" si="28"/>
        <v>-4.0426205667373552E-2</v>
      </c>
      <c r="AK70" s="39">
        <f t="shared" si="29"/>
        <v>2.0363212018781773E-2</v>
      </c>
      <c r="AL70" s="39">
        <f>AL69+(1000*$C$2*($B70-$B69))/(BerechnungenCLT!$W$47*2*AF70)</f>
        <v>1.1102877743788392E-3</v>
      </c>
      <c r="AM70" s="37">
        <f t="shared" si="6"/>
        <v>2.5864416555908888E-6</v>
      </c>
      <c r="AN70" s="173">
        <f t="shared" si="30"/>
        <v>3100.6323493321502</v>
      </c>
      <c r="AO70" s="173">
        <v>-258.06073303097043</v>
      </c>
      <c r="AP70" s="131"/>
      <c r="AQ70" s="131"/>
      <c r="AR70" s="131"/>
      <c r="AS70" s="131"/>
      <c r="AT70" s="131"/>
      <c r="AU70" s="132"/>
      <c r="AV70" s="129">
        <v>85.537477918062024</v>
      </c>
      <c r="AW70" s="9">
        <v>15.25</v>
      </c>
      <c r="AX70" s="129">
        <f t="shared" si="31"/>
        <v>100.78814728036323</v>
      </c>
      <c r="AY70" s="36">
        <f t="shared" si="54"/>
        <v>1.5176103746189282E-2</v>
      </c>
      <c r="AZ70" s="37">
        <f t="shared" si="32"/>
        <v>39000155.685465567</v>
      </c>
      <c r="BA70" s="36">
        <f t="shared" si="7"/>
        <v>1.9734695041795602</v>
      </c>
      <c r="BB70" s="37">
        <f t="shared" si="33"/>
        <v>-2.0187254410449689E-4</v>
      </c>
      <c r="BC70" s="37">
        <f t="shared" si="34"/>
        <v>-4.043252199439783E-3</v>
      </c>
      <c r="BD70" s="37">
        <f t="shared" si="35"/>
        <v>-4.0440071781704418E-2</v>
      </c>
      <c r="BE70" s="39">
        <f t="shared" si="36"/>
        <v>2.0346359707065654E-2</v>
      </c>
      <c r="BF70" s="39">
        <f>BF69+(1000*$C$2*($B70-$B69))/(BerechnungenCLT!$W$47*2*AZ70)</f>
        <v>1.1104834652214866E-3</v>
      </c>
      <c r="BG70" s="37">
        <f t="shared" si="8"/>
        <v>2.5843011523650042E-6</v>
      </c>
      <c r="BH70" s="173">
        <f t="shared" si="37"/>
        <v>3098.2670586572999</v>
      </c>
      <c r="BI70">
        <v>-258.06073303097043</v>
      </c>
      <c r="BN70" s="131"/>
      <c r="BO70" s="132"/>
      <c r="BP70" s="129">
        <v>85.501025890711674</v>
      </c>
      <c r="BQ70" s="9">
        <v>15.25</v>
      </c>
      <c r="BR70" s="129">
        <f t="shared" si="38"/>
        <v>100.7510263922707</v>
      </c>
      <c r="BS70" s="36">
        <f t="shared" si="55"/>
        <v>1.5169445951346268E-2</v>
      </c>
      <c r="BT70" s="37">
        <f t="shared" si="39"/>
        <v>38952448.524636544</v>
      </c>
      <c r="BU70" s="36">
        <f t="shared" si="9"/>
        <v>1.9734510548606026</v>
      </c>
      <c r="BV70" s="37">
        <f t="shared" si="40"/>
        <v>-2.0211978827767039E-4</v>
      </c>
      <c r="BW70" s="37">
        <f t="shared" si="41"/>
        <v>-4.0425507956085511E-3</v>
      </c>
      <c r="BX70" s="37">
        <f t="shared" si="42"/>
        <v>-4.0425703744378011E-2</v>
      </c>
      <c r="BY70" s="39">
        <f t="shared" si="43"/>
        <v>2.0363776123163736E-2</v>
      </c>
      <c r="BZ70" s="39">
        <f>BZ69+(1000*$C$2*($B70-$B69))/(BerechnungenCLT!$W$47*2*BT70)</f>
        <v>1.1102801521616292E-3</v>
      </c>
      <c r="CA70" s="37">
        <f t="shared" si="10"/>
        <v>2.5865133055383657E-6</v>
      </c>
      <c r="CB70" s="173">
        <f t="shared" si="44"/>
        <v>3100.7152846974541</v>
      </c>
      <c r="CC70" s="9">
        <v>-258.05504599851668</v>
      </c>
      <c r="CI70" s="131"/>
      <c r="CJ70" s="9">
        <f t="shared" si="60"/>
        <v>19</v>
      </c>
      <c r="CK70" s="129">
        <v>85.492034668426271</v>
      </c>
      <c r="CL70" s="9">
        <v>10.09375</v>
      </c>
      <c r="CM70" s="129">
        <f t="shared" si="56"/>
        <v>95.585784877718055</v>
      </c>
      <c r="CN70" s="36">
        <f t="shared" si="57"/>
        <v>9.7615010059955119E-3</v>
      </c>
      <c r="CO70" s="173">
        <f t="shared" si="58"/>
        <v>3280.4506688211609</v>
      </c>
      <c r="CP70" s="9">
        <v>-630.15742016675244</v>
      </c>
      <c r="CQ70" s="129"/>
      <c r="CR70" s="36">
        <f t="shared" si="45"/>
        <v>0.83467068180319148</v>
      </c>
      <c r="CS70" s="17">
        <f t="shared" si="11"/>
        <v>0.60002891130534364</v>
      </c>
      <c r="CT70" s="9">
        <f t="shared" si="12"/>
        <v>10.093263650954455</v>
      </c>
      <c r="CU70" s="9">
        <f t="shared" si="46"/>
        <v>95.585298528662435</v>
      </c>
      <c r="CV70" s="9">
        <v>13.2</v>
      </c>
      <c r="CW70" s="9">
        <f t="shared" si="47"/>
        <v>98.692034942125503</v>
      </c>
      <c r="CX70">
        <f t="shared" si="48"/>
        <v>22</v>
      </c>
      <c r="CY70" s="9">
        <f t="shared" si="13"/>
        <v>625.54119090913116</v>
      </c>
      <c r="CZ70" s="17">
        <f t="shared" si="49"/>
        <v>0.58902183701424782</v>
      </c>
      <c r="DA70">
        <v>45</v>
      </c>
      <c r="DB70" s="9">
        <f t="shared" si="50"/>
        <v>10.094690439257109</v>
      </c>
      <c r="DC70" s="9">
        <f t="shared" si="51"/>
        <v>10.929361121065639</v>
      </c>
    </row>
    <row r="71" spans="1:107" x14ac:dyDescent="0.25">
      <c r="A71" s="9"/>
      <c r="B71" s="9">
        <f t="shared" si="59"/>
        <v>20</v>
      </c>
      <c r="C71" s="129">
        <v>85.51</v>
      </c>
      <c r="D71" s="9"/>
      <c r="E71" s="129">
        <f t="shared" si="14"/>
        <v>85.51</v>
      </c>
      <c r="F71" s="36">
        <f t="shared" si="52"/>
        <v>0</v>
      </c>
      <c r="G71" s="37">
        <f t="shared" si="15"/>
        <v>0</v>
      </c>
      <c r="H71" s="36" t="e">
        <f t="shared" si="16"/>
        <v>#DIV/0!</v>
      </c>
      <c r="I71" s="37" t="e">
        <f t="shared" si="17"/>
        <v>#DIV/0!</v>
      </c>
      <c r="J71" s="37" t="e">
        <f t="shared" si="18"/>
        <v>#DIV/0!</v>
      </c>
      <c r="K71" s="37" t="e">
        <f t="shared" si="19"/>
        <v>#DIV/0!</v>
      </c>
      <c r="L71" s="39" t="e">
        <f t="shared" si="20"/>
        <v>#DIV/0!</v>
      </c>
      <c r="M71" s="39" t="e">
        <f>M70+(1000*$C$2*(B71-B70))/(BerechnungenCLT!$W$47*2*'Berechnung freier Bereich'!G71)</f>
        <v>#DIV/0!</v>
      </c>
      <c r="N71" s="17" t="e">
        <f t="shared" si="61"/>
        <v>#DIV/0!</v>
      </c>
      <c r="O71" s="173">
        <f t="shared" si="21"/>
        <v>3677.6485124428718</v>
      </c>
      <c r="P71" s="173"/>
      <c r="Q71" s="173"/>
      <c r="R71" s="37" t="e">
        <f t="shared" si="1"/>
        <v>#DIV/0!</v>
      </c>
      <c r="S71" s="37" t="e">
        <f t="shared" si="2"/>
        <v>#DIV/0!</v>
      </c>
      <c r="T71" s="37" t="e">
        <f t="shared" si="3"/>
        <v>#DIV/0!</v>
      </c>
      <c r="U71" s="39" t="e">
        <f t="shared" si="4"/>
        <v>#DIV/0!</v>
      </c>
      <c r="V71" s="39" t="e">
        <f t="shared" si="22"/>
        <v>#DIV/0!</v>
      </c>
      <c r="W71" s="9" t="e">
        <f t="shared" si="23"/>
        <v>#DIV/0!</v>
      </c>
      <c r="AA71" s="132"/>
      <c r="AB71" s="129">
        <v>85.502837958952881</v>
      </c>
      <c r="AC71" s="9">
        <v>15.25</v>
      </c>
      <c r="AD71" s="129">
        <f t="shared" si="24"/>
        <v>100.75283990870236</v>
      </c>
      <c r="AE71" s="36">
        <f t="shared" si="53"/>
        <v>1.5169742680530986E-2</v>
      </c>
      <c r="AF71" s="37">
        <f t="shared" si="25"/>
        <v>38954716.964662373</v>
      </c>
      <c r="AG71" s="36">
        <f t="shared" si="5"/>
        <v>1.9734520731301444</v>
      </c>
      <c r="AH71" s="37">
        <f t="shared" si="26"/>
        <v>-2.0210801828796269E-4</v>
      </c>
      <c r="AI71" s="37">
        <f t="shared" si="27"/>
        <v>-4.2446851735015237E-3</v>
      </c>
      <c r="AJ71" s="37">
        <f t="shared" si="28"/>
        <v>-4.4569836831731095E-2</v>
      </c>
      <c r="AK71" s="39">
        <f t="shared" si="29"/>
        <v>2.0362956810832195E-2</v>
      </c>
      <c r="AL71" s="39">
        <f>AL70+(1000*$C$2*($B71-$B70))/(BerechnungenCLT!$W$47*2*AF71)</f>
        <v>1.1687179114784031E-3</v>
      </c>
      <c r="AM71" s="37">
        <f t="shared" si="6"/>
        <v>2.5864092402493881E-6</v>
      </c>
      <c r="AN71" s="173">
        <f t="shared" si="30"/>
        <v>3100.5945711006993</v>
      </c>
      <c r="AO71" s="173">
        <v>-258.06073303097043</v>
      </c>
      <c r="AP71" s="131"/>
      <c r="AQ71" s="131"/>
      <c r="AR71" s="131"/>
      <c r="AS71" s="131"/>
      <c r="AT71" s="131"/>
      <c r="AU71" s="132"/>
      <c r="AV71" s="129">
        <v>85.546847397577537</v>
      </c>
      <c r="AW71" s="9">
        <v>15.25</v>
      </c>
      <c r="AX71" s="129">
        <f t="shared" si="31"/>
        <v>100.79737868556452</v>
      </c>
      <c r="AY71" s="36">
        <f t="shared" si="54"/>
        <v>1.5177481363487639E-2</v>
      </c>
      <c r="AZ71" s="37">
        <f t="shared" si="32"/>
        <v>39011427.280519396</v>
      </c>
      <c r="BA71" s="36">
        <f t="shared" si="7"/>
        <v>1.9734752231763228</v>
      </c>
      <c r="BB71" s="37">
        <f t="shared" si="33"/>
        <v>-2.0181421694939769E-4</v>
      </c>
      <c r="BC71" s="37">
        <f t="shared" si="34"/>
        <v>-4.2450664163891805E-3</v>
      </c>
      <c r="BD71" s="37">
        <f t="shared" si="35"/>
        <v>-4.4584231089618898E-2</v>
      </c>
      <c r="BE71" s="39">
        <f t="shared" si="36"/>
        <v>2.0342344049979113E-2</v>
      </c>
      <c r="BF71" s="39">
        <f>BF70+(1000*$C$2*($B71-$B70))/(BerechnungenCLT!$W$47*2*AZ71)</f>
        <v>1.1688286633233908E-3</v>
      </c>
      <c r="BG71" s="37">
        <f t="shared" si="8"/>
        <v>2.5837911020471258E-6</v>
      </c>
      <c r="BH71" s="173">
        <f t="shared" si="37"/>
        <v>3097.6485513576431</v>
      </c>
      <c r="BI71">
        <v>-258.06073303097043</v>
      </c>
      <c r="BN71" s="131"/>
      <c r="BO71" s="132"/>
      <c r="BP71" s="129">
        <v>85.501282363389592</v>
      </c>
      <c r="BQ71" s="9">
        <v>15.25</v>
      </c>
      <c r="BR71" s="129">
        <f t="shared" si="38"/>
        <v>100.75128276148652</v>
      </c>
      <c r="BS71" s="36">
        <f t="shared" si="55"/>
        <v>1.5169487617244723E-2</v>
      </c>
      <c r="BT71" s="37">
        <f t="shared" si="39"/>
        <v>38952768.593952648</v>
      </c>
      <c r="BU71" s="36">
        <f t="shared" si="9"/>
        <v>1.9734511999619775</v>
      </c>
      <c r="BV71" s="37">
        <f t="shared" si="40"/>
        <v>-2.0211812748834165E-4</v>
      </c>
      <c r="BW71" s="37">
        <f t="shared" si="41"/>
        <v>-4.2446689230968924E-3</v>
      </c>
      <c r="BX71" s="37">
        <f t="shared" si="42"/>
        <v>-4.4569313603730731E-2</v>
      </c>
      <c r="BY71" s="39">
        <f t="shared" si="43"/>
        <v>2.0363660613800093E-2</v>
      </c>
      <c r="BZ71" s="39">
        <f>BZ70+(1000*$C$2*($B71-$B70))/(BerechnungenCLT!$W$47*2*BT71)</f>
        <v>1.1687132118664866E-3</v>
      </c>
      <c r="CA71" s="37">
        <f t="shared" si="10"/>
        <v>2.5864986340695686E-6</v>
      </c>
      <c r="CB71" s="173">
        <f t="shared" si="44"/>
        <v>3100.6982092331968</v>
      </c>
      <c r="CC71" s="9">
        <v>-258.0536249039273</v>
      </c>
      <c r="CI71" s="131"/>
      <c r="CJ71" s="9">
        <f t="shared" si="60"/>
        <v>20</v>
      </c>
      <c r="CK71" s="129">
        <v>85.491831027614666</v>
      </c>
      <c r="CL71" s="9">
        <v>10.09375</v>
      </c>
      <c r="CM71" s="129">
        <f t="shared" si="56"/>
        <v>95.585581174283078</v>
      </c>
      <c r="CN71" s="36">
        <f t="shared" si="57"/>
        <v>9.7614789864146484E-3</v>
      </c>
      <c r="CO71" s="173">
        <f t="shared" si="58"/>
        <v>3280.4654279696692</v>
      </c>
      <c r="CP71" s="9">
        <v>-630.16025532200604</v>
      </c>
      <c r="CQ71" s="129"/>
      <c r="CR71" s="36">
        <f t="shared" si="45"/>
        <v>0.83467171018073549</v>
      </c>
      <c r="CS71" s="17">
        <f t="shared" si="11"/>
        <v>0.60002965058644175</v>
      </c>
      <c r="CT71" s="9">
        <f t="shared" si="12"/>
        <v>10.093251215303937</v>
      </c>
      <c r="CU71" s="9">
        <f t="shared" si="46"/>
        <v>95.585082389579767</v>
      </c>
      <c r="CV71" s="9">
        <v>13.2</v>
      </c>
      <c r="CW71" s="9">
        <f t="shared" si="47"/>
        <v>98.691831219418802</v>
      </c>
      <c r="CX71">
        <f t="shared" si="48"/>
        <v>22</v>
      </c>
      <c r="CY71" s="9">
        <f t="shared" si="13"/>
        <v>625.54268094290728</v>
      </c>
      <c r="CZ71" s="17">
        <f t="shared" si="49"/>
        <v>0.58902324005923479</v>
      </c>
      <c r="DA71">
        <v>45</v>
      </c>
      <c r="DB71" s="9">
        <f t="shared" si="50"/>
        <v>10.09471448472355</v>
      </c>
      <c r="DC71" s="9">
        <f t="shared" si="51"/>
        <v>10.929386194908027</v>
      </c>
    </row>
    <row r="72" spans="1:107" x14ac:dyDescent="0.25">
      <c r="A72" s="9"/>
      <c r="B72" s="9">
        <f t="shared" si="59"/>
        <v>21</v>
      </c>
      <c r="C72" s="129">
        <v>85.513235947710214</v>
      </c>
      <c r="D72" s="9"/>
      <c r="E72" s="129">
        <f t="shared" si="14"/>
        <v>85.513235947710214</v>
      </c>
      <c r="F72" s="36">
        <f t="shared" si="52"/>
        <v>0</v>
      </c>
      <c r="G72" s="37">
        <f t="shared" si="15"/>
        <v>0</v>
      </c>
      <c r="H72" s="36" t="e">
        <f t="shared" si="16"/>
        <v>#DIV/0!</v>
      </c>
      <c r="I72" s="37" t="e">
        <f t="shared" si="17"/>
        <v>#DIV/0!</v>
      </c>
      <c r="J72" s="37" t="e">
        <f t="shared" si="18"/>
        <v>#DIV/0!</v>
      </c>
      <c r="K72" s="37" t="e">
        <f t="shared" si="19"/>
        <v>#DIV/0!</v>
      </c>
      <c r="L72" s="39" t="e">
        <f t="shared" si="20"/>
        <v>#DIV/0!</v>
      </c>
      <c r="M72" s="39" t="e">
        <f>M71+(1000*$C$2*(B72-B71))/(BerechnungenCLT!$W$47*2*'Berechnung freier Bereich'!G72)</f>
        <v>#DIV/0!</v>
      </c>
      <c r="N72" s="17" t="e">
        <f t="shared" si="61"/>
        <v>#DIV/0!</v>
      </c>
      <c r="O72" s="173">
        <f t="shared" si="21"/>
        <v>3677.3701823579149</v>
      </c>
      <c r="P72" s="173"/>
      <c r="Q72" s="173"/>
      <c r="R72" s="37" t="e">
        <f t="shared" si="1"/>
        <v>#DIV/0!</v>
      </c>
      <c r="S72" s="37" t="e">
        <f t="shared" si="2"/>
        <v>#DIV/0!</v>
      </c>
      <c r="T72" s="37" t="e">
        <f t="shared" si="3"/>
        <v>#DIV/0!</v>
      </c>
      <c r="U72" s="39" t="e">
        <f t="shared" si="4"/>
        <v>#DIV/0!</v>
      </c>
      <c r="V72" s="39" t="e">
        <f t="shared" si="22"/>
        <v>#DIV/0!</v>
      </c>
      <c r="W72" s="9" t="e">
        <f t="shared" si="23"/>
        <v>#DIV/0!</v>
      </c>
      <c r="AA72" s="132"/>
      <c r="AB72" s="129">
        <v>85.503343631639027</v>
      </c>
      <c r="AC72" s="9">
        <v>15.25</v>
      </c>
      <c r="AD72" s="129">
        <f t="shared" si="24"/>
        <v>100.75334493093067</v>
      </c>
      <c r="AE72" s="36">
        <f t="shared" si="53"/>
        <v>1.516982435034875E-2</v>
      </c>
      <c r="AF72" s="37">
        <f t="shared" si="25"/>
        <v>38955346.618934378</v>
      </c>
      <c r="AG72" s="36">
        <f t="shared" si="5"/>
        <v>1.9734523606137131</v>
      </c>
      <c r="AH72" s="37">
        <f t="shared" si="26"/>
        <v>-2.0210475151746346E-4</v>
      </c>
      <c r="AI72" s="37">
        <f t="shared" si="27"/>
        <v>-4.4467899250189872E-3</v>
      </c>
      <c r="AJ72" s="37">
        <f t="shared" si="28"/>
        <v>-4.8915574380991353E-2</v>
      </c>
      <c r="AK72" s="39">
        <f t="shared" si="29"/>
        <v>2.0362729741819029E-2</v>
      </c>
      <c r="AL72" s="39">
        <f>AL71+(1000*$C$2*($B72-$B71))/(BerechnungenCLT!$W$47*2*AF72)</f>
        <v>1.2271471041431555E-3</v>
      </c>
      <c r="AM72" s="37">
        <f t="shared" si="6"/>
        <v>2.58638039898634E-6</v>
      </c>
      <c r="AN72" s="173">
        <f t="shared" si="30"/>
        <v>3100.5609213382495</v>
      </c>
      <c r="AO72" s="173">
        <v>-258.06073303097043</v>
      </c>
      <c r="AP72" s="131"/>
      <c r="AQ72" s="131"/>
      <c r="AR72" s="131"/>
      <c r="AS72" s="131"/>
      <c r="AT72" s="131"/>
      <c r="AU72" s="132"/>
      <c r="AV72" s="129">
        <v>85.555194752054987</v>
      </c>
      <c r="AW72" s="9">
        <v>15.25</v>
      </c>
      <c r="AX72" s="129">
        <f t="shared" si="31"/>
        <v>100.80554879858518</v>
      </c>
      <c r="AY72" s="36">
        <f t="shared" si="54"/>
        <v>1.5178650280429877E-2</v>
      </c>
      <c r="AZ72" s="37">
        <f t="shared" si="32"/>
        <v>39021296.501862243</v>
      </c>
      <c r="BA72" s="36">
        <f t="shared" si="7"/>
        <v>1.9734804882628705</v>
      </c>
      <c r="BB72" s="37">
        <f t="shared" si="33"/>
        <v>-2.0176317433021889E-4</v>
      </c>
      <c r="BC72" s="37">
        <f t="shared" si="34"/>
        <v>-4.4468295907193998E-3</v>
      </c>
      <c r="BD72" s="37">
        <f t="shared" si="35"/>
        <v>-4.8930179093173189E-2</v>
      </c>
      <c r="BE72" s="39">
        <f t="shared" si="36"/>
        <v>2.0338847515702328E-2</v>
      </c>
      <c r="BF72" s="39">
        <f>BF71+(1000*$C$2*($B72-$B71))/(BerechnungenCLT!$W$47*2*AZ72)</f>
        <v>1.2271591048250285E-3</v>
      </c>
      <c r="BG72" s="37">
        <f t="shared" si="8"/>
        <v>2.5833469883240389E-6</v>
      </c>
      <c r="BH72" s="173">
        <f t="shared" si="37"/>
        <v>3097.0994760442604</v>
      </c>
      <c r="BI72">
        <v>-258.06073303097043</v>
      </c>
      <c r="BN72" s="131"/>
      <c r="BO72" s="132"/>
      <c r="BP72" s="129">
        <v>85.501510857229917</v>
      </c>
      <c r="BQ72" s="9">
        <v>15.25</v>
      </c>
      <c r="BR72" s="129">
        <f t="shared" si="38"/>
        <v>100.75151112251734</v>
      </c>
      <c r="BS72" s="36">
        <f t="shared" si="55"/>
        <v>1.5169524694042728E-2</v>
      </c>
      <c r="BT72" s="37">
        <f t="shared" si="39"/>
        <v>38953053.617539227</v>
      </c>
      <c r="BU72" s="36">
        <f t="shared" si="9"/>
        <v>1.9734513293617133</v>
      </c>
      <c r="BV72" s="37">
        <f t="shared" si="40"/>
        <v>-2.0211664856876387E-4</v>
      </c>
      <c r="BW72" s="37">
        <f t="shared" si="41"/>
        <v>-4.4467855716656566E-3</v>
      </c>
      <c r="BX72" s="37">
        <f t="shared" si="42"/>
        <v>-4.8915040851112007E-2</v>
      </c>
      <c r="BY72" s="39">
        <f t="shared" si="43"/>
        <v>2.0363557766321743E-2</v>
      </c>
      <c r="BZ72" s="39">
        <f>BZ71+(1000*$C$2*($B72-$B71))/(BerechnungenCLT!$W$47*2*BT72)</f>
        <v>1.227145844010506E-3</v>
      </c>
      <c r="CA72" s="37">
        <f t="shared" si="10"/>
        <v>2.5864855708552819E-6</v>
      </c>
      <c r="CB72" s="173">
        <f t="shared" si="44"/>
        <v>3100.6829980185989</v>
      </c>
      <c r="CC72" s="9">
        <v>-258.05235896032315</v>
      </c>
      <c r="CI72" s="131"/>
      <c r="CJ72" s="9">
        <f t="shared" si="60"/>
        <v>21</v>
      </c>
      <c r="CK72" s="129">
        <v>85.491660554059365</v>
      </c>
      <c r="CL72" s="9">
        <v>10.09375</v>
      </c>
      <c r="CM72" s="129">
        <f t="shared" si="56"/>
        <v>95.585410646923691</v>
      </c>
      <c r="CN72" s="36">
        <f t="shared" si="57"/>
        <v>9.7614605517838786E-3</v>
      </c>
      <c r="CO72" s="173">
        <f t="shared" si="58"/>
        <v>3280.4777834021647</v>
      </c>
      <c r="CP72" s="9">
        <v>-630.16262873598259</v>
      </c>
      <c r="CQ72" s="129"/>
      <c r="CR72" s="36">
        <f t="shared" si="45"/>
        <v>0.83467257107290771</v>
      </c>
      <c r="CS72" s="17">
        <f t="shared" si="11"/>
        <v>0.60003026946548477</v>
      </c>
      <c r="CT72" s="9">
        <f t="shared" si="12"/>
        <v>10.093240804993039</v>
      </c>
      <c r="CU72" s="9">
        <f t="shared" si="46"/>
        <v>95.584901451912046</v>
      </c>
      <c r="CV72" s="9">
        <v>13.2</v>
      </c>
      <c r="CW72" s="9">
        <f t="shared" si="47"/>
        <v>98.691660675501751</v>
      </c>
      <c r="CX72">
        <f t="shared" si="48"/>
        <v>22</v>
      </c>
      <c r="CY72" s="9">
        <f t="shared" si="13"/>
        <v>625.54392829831147</v>
      </c>
      <c r="CZ72" s="17">
        <f t="shared" si="49"/>
        <v>0.58902441459351362</v>
      </c>
      <c r="DA72">
        <v>45</v>
      </c>
      <c r="DB72" s="9">
        <f t="shared" si="50"/>
        <v>10.094734613960213</v>
      </c>
      <c r="DC72" s="9">
        <f t="shared" si="51"/>
        <v>10.929407185035489</v>
      </c>
    </row>
    <row r="73" spans="1:107" x14ac:dyDescent="0.25">
      <c r="A73" s="9"/>
      <c r="B73" s="9">
        <f t="shared" si="59"/>
        <v>22</v>
      </c>
      <c r="C73" s="129">
        <v>85.516759889916258</v>
      </c>
      <c r="D73" s="9"/>
      <c r="E73" s="129">
        <f t="shared" si="14"/>
        <v>85.516759889916258</v>
      </c>
      <c r="F73" s="36">
        <f t="shared" si="52"/>
        <v>0</v>
      </c>
      <c r="G73" s="37">
        <f t="shared" si="15"/>
        <v>0</v>
      </c>
      <c r="H73" s="36" t="e">
        <f t="shared" si="16"/>
        <v>#DIV/0!</v>
      </c>
      <c r="I73" s="37" t="e">
        <f t="shared" si="17"/>
        <v>#DIV/0!</v>
      </c>
      <c r="J73" s="37" t="e">
        <f t="shared" si="18"/>
        <v>#DIV/0!</v>
      </c>
      <c r="K73" s="37" t="e">
        <f t="shared" si="19"/>
        <v>#DIV/0!</v>
      </c>
      <c r="L73" s="39" t="e">
        <f t="shared" si="20"/>
        <v>#DIV/0!</v>
      </c>
      <c r="M73" s="39" t="e">
        <f>M72+(1000*$C$2*(B73-B72))/(BerechnungenCLT!$W$47*2*'Berechnung freier Bereich'!G73)</f>
        <v>#DIV/0!</v>
      </c>
      <c r="N73" s="17" t="e">
        <f t="shared" si="61"/>
        <v>#DIV/0!</v>
      </c>
      <c r="O73" s="173">
        <f t="shared" si="21"/>
        <v>3677.0671172509565</v>
      </c>
      <c r="P73" s="173"/>
      <c r="Q73" s="173"/>
      <c r="R73" s="37" t="e">
        <f t="shared" si="1"/>
        <v>#DIV/0!</v>
      </c>
      <c r="S73" s="37" t="e">
        <f t="shared" si="2"/>
        <v>#DIV/0!</v>
      </c>
      <c r="T73" s="37" t="e">
        <f t="shared" si="3"/>
        <v>#DIV/0!</v>
      </c>
      <c r="U73" s="39" t="e">
        <f t="shared" si="4"/>
        <v>#DIV/0!</v>
      </c>
      <c r="V73" s="39" t="e">
        <f t="shared" si="22"/>
        <v>#DIV/0!</v>
      </c>
      <c r="W73" s="9" t="e">
        <f t="shared" si="23"/>
        <v>#DIV/0!</v>
      </c>
      <c r="AA73" s="132"/>
      <c r="AB73" s="129">
        <v>85.503756425668541</v>
      </c>
      <c r="AC73" s="9">
        <v>15.25</v>
      </c>
      <c r="AD73" s="129">
        <f t="shared" si="24"/>
        <v>100.75375706232145</v>
      </c>
      <c r="AE73" s="36">
        <f t="shared" si="53"/>
        <v>1.516989087789883E-2</v>
      </c>
      <c r="AF73" s="37">
        <f t="shared" si="25"/>
        <v>38955860.204427399</v>
      </c>
      <c r="AG73" s="36">
        <f t="shared" si="5"/>
        <v>1.9734525957073799</v>
      </c>
      <c r="AH73" s="37">
        <f t="shared" si="26"/>
        <v>-2.021020870128702E-4</v>
      </c>
      <c r="AI73" s="37">
        <f t="shared" si="27"/>
        <v>-4.6488920120318572E-3</v>
      </c>
      <c r="AJ73" s="37">
        <f t="shared" si="28"/>
        <v>-5.3463415349516777E-2</v>
      </c>
      <c r="AK73" s="39">
        <f t="shared" si="29"/>
        <v>2.0362544576682875E-2</v>
      </c>
      <c r="AL73" s="39">
        <f>AL72+(1000*$C$2*($B73-$B72))/(BerechnungenCLT!$W$47*2*AF73)</f>
        <v>1.2855755264902827E-3</v>
      </c>
      <c r="AM73" s="37">
        <f t="shared" si="6"/>
        <v>2.586356880161271E-6</v>
      </c>
      <c r="AN73" s="173">
        <f t="shared" si="30"/>
        <v>3100.5334569336283</v>
      </c>
      <c r="AO73" s="173">
        <v>-258.06073303097043</v>
      </c>
      <c r="AP73" s="131"/>
      <c r="AQ73" s="131"/>
      <c r="AR73" s="131"/>
      <c r="AS73" s="131"/>
      <c r="AT73" s="131"/>
      <c r="AU73" s="132"/>
      <c r="AV73" s="129">
        <v>85.562008918975351</v>
      </c>
      <c r="AW73" s="9">
        <v>15.25</v>
      </c>
      <c r="AX73" s="129">
        <f t="shared" si="31"/>
        <v>100.81218240280216</v>
      </c>
      <c r="AY73" s="36">
        <f t="shared" si="54"/>
        <v>1.5179565843489704E-2</v>
      </c>
      <c r="AZ73" s="37">
        <f t="shared" si="32"/>
        <v>39029238.709140912</v>
      </c>
      <c r="BA73" s="36">
        <f t="shared" si="7"/>
        <v>1.9734848986286162</v>
      </c>
      <c r="BB73" s="37">
        <f t="shared" si="33"/>
        <v>-2.0172211677939978E-4</v>
      </c>
      <c r="BC73" s="37">
        <f t="shared" si="34"/>
        <v>-4.6485517074987999E-3</v>
      </c>
      <c r="BD73" s="37">
        <f t="shared" si="35"/>
        <v>-5.3477869742282289E-2</v>
      </c>
      <c r="BE73" s="39">
        <f t="shared" si="36"/>
        <v>2.0336046831444209E-2</v>
      </c>
      <c r="BF73" s="39">
        <f>BF72+(1000*$C$2*($B73-$B72))/(BerechnungenCLT!$W$47*2*AZ73)</f>
        <v>1.2854776764446908E-3</v>
      </c>
      <c r="BG73" s="37">
        <f t="shared" si="8"/>
        <v>2.5829912582740507E-6</v>
      </c>
      <c r="BH73" s="173">
        <f t="shared" si="37"/>
        <v>3096.6525516921297</v>
      </c>
      <c r="BI73">
        <v>-258.06073303097043</v>
      </c>
      <c r="BN73" s="131"/>
      <c r="BO73" s="132"/>
      <c r="BP73" s="129">
        <v>85.501697382813859</v>
      </c>
      <c r="BQ73" s="9">
        <v>15.25</v>
      </c>
      <c r="BR73" s="129">
        <f t="shared" si="38"/>
        <v>100.7516975128047</v>
      </c>
      <c r="BS73" s="36">
        <f t="shared" si="55"/>
        <v>1.5169554931887937E-2</v>
      </c>
      <c r="BT73" s="37">
        <f t="shared" si="39"/>
        <v>38953286.204519793</v>
      </c>
      <c r="BU73" s="36">
        <f t="shared" si="9"/>
        <v>1.9734514350785275</v>
      </c>
      <c r="BV73" s="37">
        <f t="shared" si="40"/>
        <v>-2.0211544174629538E-4</v>
      </c>
      <c r="BW73" s="37">
        <f t="shared" si="41"/>
        <v>-4.6489010134119517E-3</v>
      </c>
      <c r="BX73" s="37">
        <f t="shared" si="42"/>
        <v>-5.3462884143650809E-2</v>
      </c>
      <c r="BY73" s="39">
        <f t="shared" si="43"/>
        <v>2.0363473849489652E-2</v>
      </c>
      <c r="BZ73" s="39">
        <f>BZ72+(1000*$C$2*($B73-$B72))/(BerechnungenCLT!$W$47*2*BT73)</f>
        <v>1.2855781272579161E-3</v>
      </c>
      <c r="CA73" s="37">
        <f t="shared" si="10"/>
        <v>2.5864749121247275E-6</v>
      </c>
      <c r="CB73" s="173">
        <f t="shared" si="44"/>
        <v>3100.6705816785379</v>
      </c>
      <c r="CC73" s="9">
        <v>-258.0513256183645</v>
      </c>
      <c r="CI73" s="131"/>
      <c r="CJ73" s="9">
        <f t="shared" si="60"/>
        <v>22</v>
      </c>
      <c r="CK73" s="129">
        <v>85.491524906123175</v>
      </c>
      <c r="CL73" s="9">
        <v>10.09375</v>
      </c>
      <c r="CM73" s="129">
        <f t="shared" si="56"/>
        <v>95.585274955751572</v>
      </c>
      <c r="CN73" s="36">
        <f t="shared" si="57"/>
        <v>9.7614458826859422E-3</v>
      </c>
      <c r="CO73" s="173">
        <f t="shared" si="58"/>
        <v>3280.4876148392586</v>
      </c>
      <c r="CP73" s="9">
        <v>-630.1645173036402</v>
      </c>
      <c r="CQ73" s="129"/>
      <c r="CR73" s="36">
        <f t="shared" si="45"/>
        <v>0.83467325609828724</v>
      </c>
      <c r="CS73" s="17">
        <f t="shared" si="11"/>
        <v>0.60003076191722859</v>
      </c>
      <c r="CT73" s="9">
        <f t="shared" si="12"/>
        <v>10.093232521361013</v>
      </c>
      <c r="CU73" s="9">
        <f t="shared" si="46"/>
        <v>95.584757477110031</v>
      </c>
      <c r="CV73" s="9">
        <v>13.2</v>
      </c>
      <c r="CW73" s="9">
        <f t="shared" si="47"/>
        <v>98.691524971024208</v>
      </c>
      <c r="CX73">
        <f t="shared" si="48"/>
        <v>22</v>
      </c>
      <c r="CY73" s="9">
        <f t="shared" si="13"/>
        <v>625.54492083813295</v>
      </c>
      <c r="CZ73" s="17">
        <f t="shared" si="49"/>
        <v>0.58902534918844918</v>
      </c>
      <c r="DA73">
        <v>45</v>
      </c>
      <c r="DB73" s="9">
        <f t="shared" si="50"/>
        <v>10.094750631102476</v>
      </c>
      <c r="DC73" s="9">
        <f t="shared" si="51"/>
        <v>10.929423887202029</v>
      </c>
    </row>
    <row r="74" spans="1:107" x14ac:dyDescent="0.25">
      <c r="A74" s="9"/>
      <c r="B74" s="9">
        <f t="shared" si="59"/>
        <v>23</v>
      </c>
      <c r="C74" s="9">
        <v>85.520475828452859</v>
      </c>
      <c r="D74" s="9"/>
      <c r="E74" s="129">
        <f t="shared" si="14"/>
        <v>85.520475828452859</v>
      </c>
      <c r="F74" s="36">
        <f t="shared" si="52"/>
        <v>0</v>
      </c>
      <c r="G74" s="37">
        <f t="shared" si="15"/>
        <v>0</v>
      </c>
      <c r="H74" s="36" t="e">
        <f t="shared" si="16"/>
        <v>#DIV/0!</v>
      </c>
      <c r="I74" s="37" t="e">
        <f t="shared" si="17"/>
        <v>#DIV/0!</v>
      </c>
      <c r="J74" s="37" t="e">
        <f t="shared" si="18"/>
        <v>#DIV/0!</v>
      </c>
      <c r="K74" s="37" t="e">
        <f t="shared" si="19"/>
        <v>#DIV/0!</v>
      </c>
      <c r="L74" s="39" t="e">
        <f t="shared" si="20"/>
        <v>#DIV/0!</v>
      </c>
      <c r="M74" s="39" t="e">
        <f>M73+(1000*$C$2*(B74-B73))/(BerechnungenCLT!$W$47*2*'Berechnung freier Bereich'!G74)</f>
        <v>#DIV/0!</v>
      </c>
      <c r="N74" s="17" t="e">
        <f t="shared" si="61"/>
        <v>#DIV/0!</v>
      </c>
      <c r="O74" s="173">
        <f t="shared" si="21"/>
        <v>3676.7475807091096</v>
      </c>
      <c r="P74" s="173"/>
      <c r="Q74" s="173"/>
      <c r="R74" s="37" t="e">
        <f t="shared" si="1"/>
        <v>#DIV/0!</v>
      </c>
      <c r="S74" s="37" t="e">
        <f t="shared" si="2"/>
        <v>#DIV/0!</v>
      </c>
      <c r="T74" s="37" t="e">
        <f t="shared" si="3"/>
        <v>#DIV/0!</v>
      </c>
      <c r="U74" s="39" t="e">
        <f t="shared" si="4"/>
        <v>#DIV/0!</v>
      </c>
      <c r="V74" s="39" t="e">
        <f t="shared" si="22"/>
        <v>#DIV/0!</v>
      </c>
      <c r="W74" s="9" t="e">
        <f t="shared" si="23"/>
        <v>#DIV/0!</v>
      </c>
      <c r="AA74" s="132"/>
      <c r="AB74" s="129">
        <v>85.504045381489206</v>
      </c>
      <c r="AC74" s="9">
        <v>15.25</v>
      </c>
      <c r="AD74" s="129">
        <f t="shared" si="24"/>
        <v>100.7540455187269</v>
      </c>
      <c r="AE74" s="36">
        <f t="shared" si="53"/>
        <v>1.5169937408902155E-2</v>
      </c>
      <c r="AF74" s="37">
        <f t="shared" si="25"/>
        <v>38956219.602668211</v>
      </c>
      <c r="AG74" s="36">
        <f t="shared" si="5"/>
        <v>1.9734527603836693</v>
      </c>
      <c r="AH74" s="37">
        <f t="shared" si="26"/>
        <v>-2.0210022248044691E-4</v>
      </c>
      <c r="AI74" s="37">
        <f t="shared" si="27"/>
        <v>-4.8509922345123038E-3</v>
      </c>
      <c r="AJ74" s="37">
        <f t="shared" si="28"/>
        <v>-5.8213357472788857E-2</v>
      </c>
      <c r="AK74" s="39">
        <f t="shared" si="29"/>
        <v>2.036241501513978E-2</v>
      </c>
      <c r="AL74" s="39">
        <f>AL73+(1000*$C$2*($B74-$B73))/(BerechnungenCLT!$W$47*2*AF74)</f>
        <v>1.3440034097945456E-3</v>
      </c>
      <c r="AM74" s="37">
        <f t="shared" si="6"/>
        <v>2.5863404238491869E-6</v>
      </c>
      <c r="AN74" s="173">
        <f t="shared" si="30"/>
        <v>3100.5142332516734</v>
      </c>
      <c r="AO74" s="173">
        <v>-258.06073303097043</v>
      </c>
      <c r="AP74" s="131"/>
      <c r="AQ74" s="131"/>
      <c r="AR74" s="131"/>
      <c r="AS74" s="131"/>
      <c r="AT74" s="131"/>
      <c r="AU74" s="132"/>
      <c r="AV74" s="129">
        <v>85.566778835819605</v>
      </c>
      <c r="AW74" s="9">
        <v>15.25</v>
      </c>
      <c r="AX74" s="129">
        <f t="shared" si="31"/>
        <v>100.8168162323726</v>
      </c>
      <c r="AY74" s="36">
        <f t="shared" si="54"/>
        <v>1.5180196283723616E-2</v>
      </c>
      <c r="AZ74" s="37">
        <f t="shared" si="32"/>
        <v>39034767.650920503</v>
      </c>
      <c r="BA74" s="36">
        <f t="shared" si="7"/>
        <v>1.9734880159320085</v>
      </c>
      <c r="BB74" s="37">
        <f t="shared" si="33"/>
        <v>-2.0169354456272097E-4</v>
      </c>
      <c r="BC74" s="37">
        <f t="shared" si="34"/>
        <v>-4.8502452520615205E-3</v>
      </c>
      <c r="BD74" s="37">
        <f t="shared" si="35"/>
        <v>-5.822726822206245E-2</v>
      </c>
      <c r="BE74" s="39">
        <f t="shared" si="36"/>
        <v>2.0334101017435696E-2</v>
      </c>
      <c r="BF74" s="39">
        <f>BF73+(1000*$C$2*($B74-$B73))/(BerechnungenCLT!$W$47*2*AZ74)</f>
        <v>1.3437879877362775E-3</v>
      </c>
      <c r="BG74" s="37">
        <f t="shared" si="8"/>
        <v>2.5827441099164626E-6</v>
      </c>
      <c r="BH74" s="173">
        <f t="shared" si="37"/>
        <v>3096.3400842701949</v>
      </c>
      <c r="BI74">
        <v>-258.06073303097043</v>
      </c>
      <c r="BN74" s="131"/>
      <c r="BO74" s="132"/>
      <c r="BP74" s="129">
        <v>85.501827950722614</v>
      </c>
      <c r="BQ74" s="9">
        <v>15.25</v>
      </c>
      <c r="BR74" s="129">
        <f t="shared" si="38"/>
        <v>100.75182797874359</v>
      </c>
      <c r="BS74" s="36">
        <f t="shared" si="55"/>
        <v>1.5169576090563833E-2</v>
      </c>
      <c r="BT74" s="37">
        <f t="shared" si="39"/>
        <v>38953448.992624</v>
      </c>
      <c r="BU74" s="36">
        <f t="shared" si="9"/>
        <v>1.9734515091029075</v>
      </c>
      <c r="BV74" s="37">
        <f t="shared" si="40"/>
        <v>-2.021145970973505E-4</v>
      </c>
      <c r="BW74" s="37">
        <f t="shared" si="41"/>
        <v>-4.8510156105093022E-3</v>
      </c>
      <c r="BX74" s="37">
        <f t="shared" si="42"/>
        <v>-5.8212842455611438E-2</v>
      </c>
      <c r="BY74" s="39">
        <f t="shared" si="43"/>
        <v>2.0363415118745325E-2</v>
      </c>
      <c r="BZ74" s="39">
        <f>BZ73+(1000*$C$2*($B74-$B73))/(BerechnungenCLT!$W$47*2*BT74)</f>
        <v>1.344010166314353E-3</v>
      </c>
      <c r="CA74" s="37">
        <f t="shared" si="10"/>
        <v>2.586467452415353E-6</v>
      </c>
      <c r="CB74" s="173">
        <f t="shared" si="44"/>
        <v>3100.6618905266664</v>
      </c>
      <c r="CC74" s="9">
        <v>-258.05060230280986</v>
      </c>
      <c r="CI74" s="131"/>
      <c r="CJ74" s="9">
        <f t="shared" si="60"/>
        <v>23</v>
      </c>
      <c r="CK74" s="129">
        <v>85.491425742168914</v>
      </c>
      <c r="CL74" s="9">
        <v>10.09375</v>
      </c>
      <c r="CM74" s="129">
        <f t="shared" si="56"/>
        <v>95.585175760961647</v>
      </c>
      <c r="CN74" s="36">
        <f t="shared" si="57"/>
        <v>9.7614351597885684E-3</v>
      </c>
      <c r="CO74" s="173">
        <f t="shared" si="58"/>
        <v>3280.4948020048514</v>
      </c>
      <c r="CP74" s="9">
        <v>-630.16589792056914</v>
      </c>
      <c r="CQ74" s="129"/>
      <c r="CR74" s="36">
        <f t="shared" si="45"/>
        <v>0.8346737568751077</v>
      </c>
      <c r="CS74" s="17">
        <f t="shared" si="11"/>
        <v>0.60003112191618013</v>
      </c>
      <c r="CT74" s="9">
        <f t="shared" si="12"/>
        <v>10.093226465753242</v>
      </c>
      <c r="CU74" s="9">
        <f t="shared" si="46"/>
        <v>95.584652226713914</v>
      </c>
      <c r="CV74" s="9">
        <v>13.2</v>
      </c>
      <c r="CW74" s="9">
        <f t="shared" si="47"/>
        <v>98.691425766744914</v>
      </c>
      <c r="CX74">
        <f t="shared" si="48"/>
        <v>22</v>
      </c>
      <c r="CY74" s="9">
        <f t="shared" si="13"/>
        <v>625.54564642561013</v>
      </c>
      <c r="CZ74" s="17">
        <f t="shared" si="49"/>
        <v>0.58902603241582874</v>
      </c>
      <c r="DA74">
        <v>45</v>
      </c>
      <c r="DB74" s="9">
        <f t="shared" si="50"/>
        <v>10.094762340292974</v>
      </c>
      <c r="DC74" s="9">
        <f t="shared" si="51"/>
        <v>10.92943609716856</v>
      </c>
    </row>
    <row r="75" spans="1:107" x14ac:dyDescent="0.25">
      <c r="A75" s="9"/>
      <c r="B75" s="9">
        <f t="shared" si="59"/>
        <v>24</v>
      </c>
      <c r="C75" s="9">
        <v>85.52428776515471</v>
      </c>
      <c r="D75" s="9"/>
      <c r="E75" s="129">
        <f t="shared" si="14"/>
        <v>85.52428776515471</v>
      </c>
      <c r="F75" s="36">
        <f t="shared" si="52"/>
        <v>0</v>
      </c>
      <c r="G75" s="37">
        <f t="shared" si="15"/>
        <v>0</v>
      </c>
      <c r="H75" s="36" t="e">
        <f t="shared" si="16"/>
        <v>#DIV/0!</v>
      </c>
      <c r="I75" s="37" t="e">
        <f t="shared" si="17"/>
        <v>#DIV/0!</v>
      </c>
      <c r="J75" s="37" t="e">
        <f t="shared" si="18"/>
        <v>#DIV/0!</v>
      </c>
      <c r="K75" s="37" t="e">
        <f t="shared" si="19"/>
        <v>#DIV/0!</v>
      </c>
      <c r="L75" s="39" t="e">
        <f t="shared" si="20"/>
        <v>#DIV/0!</v>
      </c>
      <c r="M75" s="39" t="e">
        <f>M74+(1000*$C$2*(B75-B74))/(BerechnungenCLT!$W$47*2*'Berechnung freier Bereich'!G75)</f>
        <v>#DIV/0!</v>
      </c>
      <c r="N75" s="17" t="e">
        <f t="shared" si="61"/>
        <v>#DIV/0!</v>
      </c>
      <c r="O75" s="173">
        <f t="shared" si="21"/>
        <v>3676.4198324853774</v>
      </c>
      <c r="P75" s="173"/>
      <c r="Q75" s="173"/>
      <c r="R75" s="37" t="e">
        <f t="shared" si="1"/>
        <v>#DIV/0!</v>
      </c>
      <c r="S75" s="37" t="e">
        <f t="shared" si="2"/>
        <v>#DIV/0!</v>
      </c>
      <c r="T75" s="37" t="e">
        <f t="shared" si="3"/>
        <v>#DIV/0!</v>
      </c>
      <c r="U75" s="39" t="e">
        <f t="shared" si="4"/>
        <v>#DIV/0!</v>
      </c>
      <c r="V75" s="39" t="e">
        <f t="shared" si="22"/>
        <v>#DIV/0!</v>
      </c>
      <c r="W75" s="9" t="e">
        <f t="shared" si="23"/>
        <v>#DIV/0!</v>
      </c>
      <c r="AA75" s="132"/>
      <c r="AB75" s="129">
        <v>85.504179539548787</v>
      </c>
      <c r="AC75" s="9">
        <v>15.25</v>
      </c>
      <c r="AD75" s="129">
        <f t="shared" si="24"/>
        <v>100.75417955985021</v>
      </c>
      <c r="AE75" s="36">
        <f t="shared" si="53"/>
        <v>1.5169959136274046E-2</v>
      </c>
      <c r="AF75" s="37">
        <f t="shared" si="25"/>
        <v>38956386.836198136</v>
      </c>
      <c r="AG75" s="36">
        <f t="shared" si="5"/>
        <v>1.9734528364762727</v>
      </c>
      <c r="AH75" s="37">
        <f t="shared" si="26"/>
        <v>-2.0209935489655763E-4</v>
      </c>
      <c r="AI75" s="37">
        <f t="shared" si="27"/>
        <v>-5.0530915894088611E-3</v>
      </c>
      <c r="AJ75" s="37">
        <f t="shared" si="28"/>
        <v>-6.3165399384749438E-2</v>
      </c>
      <c r="AK75" s="39">
        <f t="shared" si="29"/>
        <v>2.0362354692177662E-2</v>
      </c>
      <c r="AL75" s="39">
        <f>AL74+(1000*$C$2*($B75-$B74))/(BerechnungenCLT!$W$47*2*AF75)</f>
        <v>1.4024310422772624E-3</v>
      </c>
      <c r="AM75" s="37">
        <f t="shared" si="6"/>
        <v>2.5863327619036218E-6</v>
      </c>
      <c r="AN75" s="173">
        <f t="shared" si="30"/>
        <v>3100.5053042050604</v>
      </c>
      <c r="AO75" s="173">
        <v>-258.06073303097043</v>
      </c>
      <c r="AP75" s="131"/>
      <c r="AQ75" s="131"/>
      <c r="AR75" s="131"/>
      <c r="AS75" s="131"/>
      <c r="AT75" s="131"/>
      <c r="AU75" s="132"/>
      <c r="AV75" s="129">
        <v>85.568993440068724</v>
      </c>
      <c r="AW75" s="9">
        <v>15.25</v>
      </c>
      <c r="AX75" s="129">
        <f t="shared" si="31"/>
        <v>100.81899897210897</v>
      </c>
      <c r="AY75" s="36">
        <f t="shared" si="54"/>
        <v>1.5180522710424579E-2</v>
      </c>
      <c r="AZ75" s="37">
        <f t="shared" si="32"/>
        <v>39037435.653501011</v>
      </c>
      <c r="BA75" s="36">
        <f t="shared" si="7"/>
        <v>1.9734893640999984</v>
      </c>
      <c r="BB75" s="37">
        <f t="shared" si="33"/>
        <v>-2.0167975987404055E-4</v>
      </c>
      <c r="BC75" s="37">
        <f t="shared" si="34"/>
        <v>-5.0519250119355607E-3</v>
      </c>
      <c r="BD75" s="37">
        <f t="shared" si="35"/>
        <v>-6.3178353354060995E-2</v>
      </c>
      <c r="BE75" s="39">
        <f t="shared" si="36"/>
        <v>2.0333151503436078E-2</v>
      </c>
      <c r="BF75" s="39">
        <f>BF74+(1000*$C$2*($B75-$B74))/(BerechnungenCLT!$W$47*2*AZ75)</f>
        <v>1.4020943138260088E-3</v>
      </c>
      <c r="BG75" s="37">
        <f t="shared" si="8"/>
        <v>2.5826235070096662E-6</v>
      </c>
      <c r="BH75" s="173">
        <f t="shared" si="37"/>
        <v>3096.1939856759986</v>
      </c>
      <c r="BI75">
        <v>-258.06073303097043</v>
      </c>
      <c r="BN75" s="131"/>
      <c r="BO75" s="132"/>
      <c r="BP75" s="129">
        <v>85.501888571537393</v>
      </c>
      <c r="BQ75" s="9">
        <v>15.25</v>
      </c>
      <c r="BR75" s="129">
        <f t="shared" si="38"/>
        <v>100.75188857568251</v>
      </c>
      <c r="BS75" s="36">
        <f t="shared" si="55"/>
        <v>1.5169585939489551E-2</v>
      </c>
      <c r="BT75" s="37">
        <f t="shared" si="39"/>
        <v>38953524.648369692</v>
      </c>
      <c r="BU75" s="36">
        <f t="shared" si="9"/>
        <v>1.9734515433969964</v>
      </c>
      <c r="BV75" s="37">
        <f t="shared" si="40"/>
        <v>-2.0211420454928979E-4</v>
      </c>
      <c r="BW75" s="37">
        <f t="shared" si="41"/>
        <v>-5.0531298150585918E-3</v>
      </c>
      <c r="BX75" s="37">
        <f t="shared" si="42"/>
        <v>-6.3164915168395383E-2</v>
      </c>
      <c r="BY75" s="39">
        <f t="shared" si="43"/>
        <v>2.036338781631275E-2</v>
      </c>
      <c r="BZ75" s="39">
        <f>BZ74+(1000*$C$2*($B75-$B74))/(BerechnungenCLT!$W$47*2*BT75)</f>
        <v>1.4024420918837684E-3</v>
      </c>
      <c r="CA75" s="37">
        <f t="shared" si="10"/>
        <v>2.5864639845857762E-6</v>
      </c>
      <c r="CB75" s="173">
        <f t="shared" si="44"/>
        <v>3100.6578545800908</v>
      </c>
      <c r="CC75" s="9">
        <v>-258.05026641373797</v>
      </c>
      <c r="CI75" s="131"/>
      <c r="CJ75" s="9">
        <f t="shared" si="60"/>
        <v>24</v>
      </c>
      <c r="CK75" s="129">
        <v>85.491364720559403</v>
      </c>
      <c r="CL75" s="9">
        <v>10.09375</v>
      </c>
      <c r="CM75" s="129">
        <f t="shared" si="56"/>
        <v>95.585114722832145</v>
      </c>
      <c r="CN75" s="36">
        <f t="shared" si="57"/>
        <v>9.7614285638445569E-3</v>
      </c>
      <c r="CO75" s="173">
        <f t="shared" si="58"/>
        <v>3280.4992246275519</v>
      </c>
      <c r="CP75" s="9">
        <v>-630.16674748326432</v>
      </c>
      <c r="CQ75" s="129"/>
      <c r="CR75" s="36">
        <f t="shared" si="45"/>
        <v>0.8346740650212745</v>
      </c>
      <c r="CS75" s="17">
        <f t="shared" si="11"/>
        <v>0.60003134343661102</v>
      </c>
      <c r="CT75" s="9">
        <f t="shared" si="12"/>
        <v>10.093222739521437</v>
      </c>
      <c r="CU75" s="9">
        <f t="shared" si="46"/>
        <v>95.584587462353468</v>
      </c>
      <c r="CV75" s="9">
        <v>13.2</v>
      </c>
      <c r="CW75" s="9">
        <f t="shared" si="47"/>
        <v>98.691364723531564</v>
      </c>
      <c r="CX75">
        <f t="shared" si="48"/>
        <v>22</v>
      </c>
      <c r="CY75" s="9">
        <f t="shared" si="13"/>
        <v>625.54609292453188</v>
      </c>
      <c r="CZ75" s="17">
        <f t="shared" si="49"/>
        <v>0.5890264528479584</v>
      </c>
      <c r="DA75">
        <v>45</v>
      </c>
      <c r="DB75" s="9">
        <f t="shared" si="50"/>
        <v>10.094769545683221</v>
      </c>
      <c r="DC75" s="9">
        <f t="shared" si="51"/>
        <v>10.929443610704555</v>
      </c>
    </row>
    <row r="76" spans="1:107" x14ac:dyDescent="0.25">
      <c r="A76" s="9"/>
      <c r="B76" s="9">
        <f t="shared" si="59"/>
        <v>25</v>
      </c>
      <c r="C76" s="9">
        <v>85.528099701856561</v>
      </c>
      <c r="D76" s="9"/>
      <c r="E76" s="129">
        <f t="shared" si="14"/>
        <v>85.528099701856561</v>
      </c>
      <c r="F76" s="36">
        <f t="shared" si="52"/>
        <v>0</v>
      </c>
      <c r="G76" s="37">
        <f t="shared" si="15"/>
        <v>0</v>
      </c>
      <c r="H76" s="36" t="e">
        <f t="shared" si="16"/>
        <v>#DIV/0!</v>
      </c>
      <c r="I76" s="37" t="e">
        <f t="shared" si="17"/>
        <v>#DIV/0!</v>
      </c>
      <c r="J76" s="37" t="e">
        <f t="shared" si="18"/>
        <v>#DIV/0!</v>
      </c>
      <c r="K76" s="37" t="e">
        <f t="shared" si="19"/>
        <v>#DIV/0!</v>
      </c>
      <c r="L76" s="39" t="e">
        <f t="shared" si="20"/>
        <v>#DIV/0!</v>
      </c>
      <c r="M76" s="39" t="e">
        <f>M75+(1000*$C$2*(B76-B75))/(BerechnungenCLT!$W$47*2*'Berechnung freier Bereich'!G76)</f>
        <v>#DIV/0!</v>
      </c>
      <c r="N76" s="17" t="e">
        <f t="shared" si="61"/>
        <v>#DIV/0!</v>
      </c>
      <c r="O76" s="173">
        <f t="shared" si="21"/>
        <v>3676.0921280832999</v>
      </c>
      <c r="P76" s="173"/>
      <c r="Q76" s="173"/>
      <c r="R76" s="37" t="e">
        <f t="shared" si="1"/>
        <v>#DIV/0!</v>
      </c>
      <c r="S76" s="37" t="e">
        <f t="shared" si="2"/>
        <v>#DIV/0!</v>
      </c>
      <c r="T76" s="37" t="e">
        <f t="shared" si="3"/>
        <v>#DIV/0!</v>
      </c>
      <c r="U76" s="39" t="e">
        <f t="shared" si="4"/>
        <v>#DIV/0!</v>
      </c>
      <c r="V76" s="39" t="e">
        <f t="shared" si="22"/>
        <v>#DIV/0!</v>
      </c>
      <c r="W76" s="9" t="e">
        <f t="shared" si="23"/>
        <v>#DIV/0!</v>
      </c>
      <c r="AA76" s="132"/>
      <c r="AB76" s="129">
        <v>85.504127940295106</v>
      </c>
      <c r="AC76" s="9">
        <v>15.25</v>
      </c>
      <c r="AD76" s="129">
        <f t="shared" si="24"/>
        <v>100.75412848924584</v>
      </c>
      <c r="AE76" s="36">
        <f t="shared" si="53"/>
        <v>1.5169951300120742E-2</v>
      </c>
      <c r="AF76" s="37">
        <f t="shared" si="25"/>
        <v>38956324.069696143</v>
      </c>
      <c r="AG76" s="36">
        <f t="shared" si="5"/>
        <v>1.9734528056792675</v>
      </c>
      <c r="AH76" s="37">
        <f t="shared" si="26"/>
        <v>-2.0209968051941514E-4</v>
      </c>
      <c r="AI76" s="37">
        <f t="shared" si="27"/>
        <v>-5.2551912699282761E-3</v>
      </c>
      <c r="AJ76" s="37">
        <f t="shared" si="28"/>
        <v>-6.8319540814418003E-2</v>
      </c>
      <c r="AK76" s="39">
        <f t="shared" si="29"/>
        <v>2.036237717868869E-2</v>
      </c>
      <c r="AL76" s="39">
        <f>AL75+(1000*$C$2*($B76-$B75))/(BerechnungenCLT!$W$47*2*AF76)</f>
        <v>1.4608587688986897E-3</v>
      </c>
      <c r="AM76" s="37">
        <f t="shared" si="6"/>
        <v>2.5863356180369645E-6</v>
      </c>
      <c r="AN76" s="173">
        <f t="shared" si="30"/>
        <v>3100.5087223464448</v>
      </c>
      <c r="AO76" s="173">
        <v>-258.06073303097043</v>
      </c>
      <c r="AP76" s="131"/>
      <c r="AQ76" s="131"/>
      <c r="AR76" s="131"/>
      <c r="AS76" s="131"/>
      <c r="AT76" s="131"/>
      <c r="AU76" s="132"/>
      <c r="AV76" s="129">
        <v>85.568141669203683</v>
      </c>
      <c r="AW76" s="9">
        <v>15.25</v>
      </c>
      <c r="AX76" s="129">
        <f t="shared" si="31"/>
        <v>100.81829125486544</v>
      </c>
      <c r="AY76" s="36">
        <f t="shared" si="54"/>
        <v>1.5180539092715767E-2</v>
      </c>
      <c r="AZ76" s="37">
        <f t="shared" si="32"/>
        <v>39036833.787572004</v>
      </c>
      <c r="BA76" s="36">
        <f t="shared" si="7"/>
        <v>1.9734884290251031</v>
      </c>
      <c r="BB76" s="37">
        <f t="shared" si="33"/>
        <v>-2.0168286935204533E-4</v>
      </c>
      <c r="BC76" s="37">
        <f t="shared" si="34"/>
        <v>-5.2536078812876058E-3</v>
      </c>
      <c r="BD76" s="37">
        <f t="shared" si="35"/>
        <v>-6.833111980067258E-2</v>
      </c>
      <c r="BE76" s="39">
        <f t="shared" si="36"/>
        <v>2.033332226345148E-2</v>
      </c>
      <c r="BF76" s="39">
        <f>BF75+(1000*$C$2*($B76-$B75))/(BerechnungenCLT!$W$47*2*AZ76)</f>
        <v>1.4604015388767395E-3</v>
      </c>
      <c r="BG76" s="37">
        <f t="shared" si="8"/>
        <v>2.5826451961624653E-6</v>
      </c>
      <c r="BH76" s="173">
        <f t="shared" si="37"/>
        <v>3096.245797364506</v>
      </c>
      <c r="BI76">
        <v>-258.06073303097043</v>
      </c>
      <c r="BN76" s="131"/>
      <c r="BO76" s="132"/>
      <c r="BP76" s="129">
        <v>85.501865255839405</v>
      </c>
      <c r="BQ76" s="9">
        <v>15.25</v>
      </c>
      <c r="BR76" s="129">
        <f t="shared" si="38"/>
        <v>100.75186536792334</v>
      </c>
      <c r="BS76" s="36">
        <f t="shared" si="55"/>
        <v>1.5169582257719477E-2</v>
      </c>
      <c r="BT76" s="37">
        <f t="shared" si="39"/>
        <v>38953495.867295586</v>
      </c>
      <c r="BU76" s="36">
        <f t="shared" si="9"/>
        <v>1.9734515298944284</v>
      </c>
      <c r="BV76" s="37">
        <f t="shared" si="40"/>
        <v>-2.0211435388284174E-4</v>
      </c>
      <c r="BW76" s="37">
        <f t="shared" si="41"/>
        <v>-5.2552441689414338E-3</v>
      </c>
      <c r="BX76" s="37">
        <f t="shared" si="42"/>
        <v>-6.8319102160395398E-2</v>
      </c>
      <c r="BY76" s="39">
        <f t="shared" si="43"/>
        <v>2.0363398171328886E-2</v>
      </c>
      <c r="BZ76" s="39">
        <f>BZ75+(1000*$C$2*($B76-$B75))/(BerechnungenCLT!$W$47*2*BT76)</f>
        <v>1.4608740606260376E-3</v>
      </c>
      <c r="CA76" s="37">
        <f t="shared" si="10"/>
        <v>2.5864652998323616E-6</v>
      </c>
      <c r="CB76" s="173">
        <f t="shared" si="44"/>
        <v>3100.6594035782282</v>
      </c>
      <c r="CC76" s="9">
        <v>-258.05039532811708</v>
      </c>
      <c r="CI76" s="131"/>
      <c r="CJ76" s="9">
        <f t="shared" si="60"/>
        <v>25</v>
      </c>
      <c r="CK76" s="129">
        <v>85.491343499657461</v>
      </c>
      <c r="CL76" s="9">
        <v>10.09375</v>
      </c>
      <c r="CM76" s="129">
        <f t="shared" si="56"/>
        <v>95.585093501724572</v>
      </c>
      <c r="CN76" s="36">
        <f t="shared" si="57"/>
        <v>9.7614262756917577E-3</v>
      </c>
      <c r="CO76" s="173">
        <f t="shared" si="58"/>
        <v>3280.5007624421678</v>
      </c>
      <c r="CP76" s="9">
        <v>-630.16704288941082</v>
      </c>
      <c r="CQ76" s="129"/>
      <c r="CR76" s="36">
        <f t="shared" si="45"/>
        <v>0.83467417215438156</v>
      </c>
      <c r="CS76" s="17">
        <f t="shared" si="11"/>
        <v>0.60003142045256819</v>
      </c>
      <c r="CT76" s="9">
        <f t="shared" si="12"/>
        <v>10.093221444023929</v>
      </c>
      <c r="CU76" s="9">
        <f t="shared" si="46"/>
        <v>95.584564945748397</v>
      </c>
      <c r="CV76" s="9">
        <v>13.2</v>
      </c>
      <c r="CW76" s="9">
        <f t="shared" si="47"/>
        <v>98.691343502360709</v>
      </c>
      <c r="CX76">
        <f t="shared" si="48"/>
        <v>22</v>
      </c>
      <c r="CY76" s="9">
        <f t="shared" si="13"/>
        <v>625.54624819934384</v>
      </c>
      <c r="CZ76" s="17">
        <f t="shared" si="49"/>
        <v>0.58902659905776256</v>
      </c>
      <c r="DA76">
        <v>45</v>
      </c>
      <c r="DB76" s="9">
        <f t="shared" si="50"/>
        <v>10.094772051435335</v>
      </c>
      <c r="DC76" s="9">
        <f t="shared" si="51"/>
        <v>10.929446223589769</v>
      </c>
    </row>
    <row r="77" spans="1:107" x14ac:dyDescent="0.25">
      <c r="A77" s="9"/>
      <c r="B77" s="9">
        <f t="shared" si="59"/>
        <v>26</v>
      </c>
      <c r="C77" s="9">
        <v>85.531815640393148</v>
      </c>
      <c r="D77" s="9"/>
      <c r="E77" s="129">
        <f t="shared" si="14"/>
        <v>85.531815640393148</v>
      </c>
      <c r="F77" s="36">
        <f t="shared" si="52"/>
        <v>0</v>
      </c>
      <c r="G77" s="37">
        <f t="shared" si="15"/>
        <v>0</v>
      </c>
      <c r="H77" s="36" t="e">
        <f t="shared" si="16"/>
        <v>#DIV/0!</v>
      </c>
      <c r="I77" s="37" t="e">
        <f t="shared" si="17"/>
        <v>#DIV/0!</v>
      </c>
      <c r="J77" s="37" t="e">
        <f t="shared" si="18"/>
        <v>#DIV/0!</v>
      </c>
      <c r="K77" s="37" t="e">
        <f t="shared" si="19"/>
        <v>#DIV/0!</v>
      </c>
      <c r="L77" s="39" t="e">
        <f t="shared" si="20"/>
        <v>#DIV/0!</v>
      </c>
      <c r="M77" s="39" t="e">
        <f>M76+(1000*$C$2*(B77-B76))/(BerechnungenCLT!$W$47*2*'Berechnung freier Bereich'!G77)</f>
        <v>#DIV/0!</v>
      </c>
      <c r="N77" s="17" t="e">
        <f t="shared" si="61"/>
        <v>#DIV/0!</v>
      </c>
      <c r="O77" s="173">
        <f t="shared" si="21"/>
        <v>3675.7727186198722</v>
      </c>
      <c r="P77" s="173"/>
      <c r="Q77" s="173"/>
      <c r="R77" s="37" t="e">
        <f t="shared" si="1"/>
        <v>#DIV/0!</v>
      </c>
      <c r="S77" s="37" t="e">
        <f t="shared" si="2"/>
        <v>#DIV/0!</v>
      </c>
      <c r="T77" s="37" t="e">
        <f t="shared" si="3"/>
        <v>#DIV/0!</v>
      </c>
      <c r="U77" s="39" t="e">
        <f t="shared" si="4"/>
        <v>#DIV/0!</v>
      </c>
      <c r="V77" s="39" t="e">
        <f t="shared" si="22"/>
        <v>#DIV/0!</v>
      </c>
      <c r="W77" s="9" t="e">
        <f t="shared" si="23"/>
        <v>#DIV/0!</v>
      </c>
      <c r="AA77" s="131"/>
      <c r="AB77" s="129">
        <v>85.503859624175917</v>
      </c>
      <c r="AC77" s="9">
        <v>15.25</v>
      </c>
      <c r="AD77" s="129">
        <f t="shared" si="24"/>
        <v>100.75386165431905</v>
      </c>
      <c r="AE77" s="36">
        <f t="shared" si="53"/>
        <v>1.5169909187732904E-2</v>
      </c>
      <c r="AF77" s="37">
        <f t="shared" si="25"/>
        <v>38955993.611333482</v>
      </c>
      <c r="AG77" s="36">
        <f t="shared" si="5"/>
        <v>1.9734526495461244</v>
      </c>
      <c r="AH77" s="37">
        <f t="shared" si="26"/>
        <v>-2.0210139490334757E-4</v>
      </c>
      <c r="AI77" s="37">
        <f t="shared" si="27"/>
        <v>-5.4572926648316237E-3</v>
      </c>
      <c r="AJ77" s="37">
        <f t="shared" si="28"/>
        <v>-7.3675782781797955E-2</v>
      </c>
      <c r="AK77" s="39">
        <f t="shared" si="29"/>
        <v>2.0362495982236783E-2</v>
      </c>
      <c r="AL77" s="39">
        <f>AL76+(1000*$C$2*($B77-$B76))/(BerechnungenCLT!$W$47*2*AF77)</f>
        <v>1.519286991154526E-3</v>
      </c>
      <c r="AM77" s="37">
        <f t="shared" si="6"/>
        <v>2.5863507079179389E-6</v>
      </c>
      <c r="AN77" s="173">
        <f t="shared" si="30"/>
        <v>3100.5265389809242</v>
      </c>
      <c r="AO77" s="173">
        <v>-258.06073303097043</v>
      </c>
      <c r="AP77" s="131"/>
      <c r="AQ77" s="131"/>
      <c r="AR77" s="131"/>
      <c r="AS77" s="131"/>
      <c r="AT77" s="131"/>
      <c r="AU77" s="131"/>
      <c r="AV77" s="129">
        <v>85.563712460705446</v>
      </c>
      <c r="AW77" s="9">
        <v>15.25</v>
      </c>
      <c r="AX77" s="129">
        <f t="shared" si="31"/>
        <v>100.81426565479687</v>
      </c>
      <c r="AY77" s="36">
        <f t="shared" si="54"/>
        <v>1.5180252225304926E-2</v>
      </c>
      <c r="AZ77" s="37">
        <f t="shared" si="32"/>
        <v>39032591.989339791</v>
      </c>
      <c r="BA77" s="36">
        <f t="shared" si="7"/>
        <v>1.9734846581476722</v>
      </c>
      <c r="BB77" s="37">
        <f t="shared" si="33"/>
        <v>-2.0170478688288514E-4</v>
      </c>
      <c r="BC77" s="37">
        <f t="shared" si="34"/>
        <v>-5.4553126681704906E-3</v>
      </c>
      <c r="BD77" s="37">
        <f t="shared" si="35"/>
        <v>-7.368558007540163E-2</v>
      </c>
      <c r="BE77" s="39">
        <f t="shared" si="36"/>
        <v>2.0334719968655369E-2</v>
      </c>
      <c r="BF77" s="39">
        <f>BF76+(1000*$C$2*($B77-$B76))/(BerechnungenCLT!$W$47*2*AZ77)</f>
        <v>1.5187151003625246E-3</v>
      </c>
      <c r="BG77" s="37">
        <f t="shared" si="8"/>
        <v>2.5828227262573364E-6</v>
      </c>
      <c r="BH77" s="173">
        <f t="shared" si="37"/>
        <v>3096.5267185283415</v>
      </c>
      <c r="BI77">
        <v>-258.06073303097043</v>
      </c>
      <c r="BN77" s="131"/>
      <c r="BO77" s="131"/>
      <c r="BP77" s="129">
        <v>85.501744014209834</v>
      </c>
      <c r="BQ77" s="9">
        <v>15.25</v>
      </c>
      <c r="BR77" s="129">
        <f t="shared" si="38"/>
        <v>100.75174442872142</v>
      </c>
      <c r="BS77" s="36">
        <f t="shared" si="55"/>
        <v>1.5169562833942768E-2</v>
      </c>
      <c r="BT77" s="37">
        <f t="shared" si="39"/>
        <v>38953345.374244496</v>
      </c>
      <c r="BU77" s="36">
        <f t="shared" si="9"/>
        <v>1.9734514605001341</v>
      </c>
      <c r="BV77" s="37">
        <f t="shared" si="40"/>
        <v>-2.0211513473505078E-4</v>
      </c>
      <c r="BW77" s="37">
        <f t="shared" si="41"/>
        <v>-5.4573593036764843E-3</v>
      </c>
      <c r="BX77" s="37">
        <f t="shared" si="42"/>
        <v>-7.367540389670435E-2</v>
      </c>
      <c r="BY77" s="39">
        <f t="shared" si="43"/>
        <v>2.0363452400002431E-2</v>
      </c>
      <c r="BZ77" s="39">
        <f>BZ76+(1000*$C$2*($B77-$B76))/(BerechnungenCLT!$W$47*2*BT77)</f>
        <v>1.5193062551154199E-3</v>
      </c>
      <c r="CA77" s="37">
        <f t="shared" si="10"/>
        <v>2.5864721877093852E-6</v>
      </c>
      <c r="CB77" s="173">
        <f t="shared" si="44"/>
        <v>3100.6674670058401</v>
      </c>
      <c r="CC77" s="9">
        <v>-258.05106640172176</v>
      </c>
      <c r="CI77" s="131"/>
      <c r="CJ77" s="9">
        <f t="shared" si="60"/>
        <v>26</v>
      </c>
      <c r="CK77" s="129">
        <v>85.491363737825893</v>
      </c>
      <c r="CL77" s="9">
        <v>10.09375</v>
      </c>
      <c r="CM77" s="129">
        <f t="shared" si="56"/>
        <v>95.585113758083708</v>
      </c>
      <c r="CN77" s="36">
        <f t="shared" si="57"/>
        <v>9.7614284762530985E-3</v>
      </c>
      <c r="CO77" s="173">
        <f t="shared" si="58"/>
        <v>3280.4992951912513</v>
      </c>
      <c r="CP77" s="9">
        <v>-630.1667610381819</v>
      </c>
      <c r="CQ77" s="129"/>
      <c r="CR77" s="36">
        <f t="shared" si="45"/>
        <v>0.83467406989173143</v>
      </c>
      <c r="CS77" s="17">
        <f t="shared" si="11"/>
        <v>0.60003134693788995</v>
      </c>
      <c r="CT77" s="9">
        <f t="shared" si="12"/>
        <v>10.093222680625868</v>
      </c>
      <c r="CU77" s="9">
        <f t="shared" si="46"/>
        <v>95.584586438708513</v>
      </c>
      <c r="CV77" s="9">
        <v>13.2</v>
      </c>
      <c r="CW77" s="9">
        <f t="shared" si="47"/>
        <v>98.691363764317842</v>
      </c>
      <c r="CX77">
        <f t="shared" si="48"/>
        <v>22</v>
      </c>
      <c r="CY77" s="9">
        <f t="shared" si="13"/>
        <v>625.54610011525938</v>
      </c>
      <c r="CZ77" s="17">
        <f t="shared" si="49"/>
        <v>0.58902645961888833</v>
      </c>
      <c r="DA77">
        <v>45</v>
      </c>
      <c r="DB77" s="9">
        <f t="shared" si="50"/>
        <v>10.094769661723811</v>
      </c>
      <c r="DC77" s="9">
        <f t="shared" si="51"/>
        <v>10.929443731616058</v>
      </c>
    </row>
    <row r="78" spans="1:107" x14ac:dyDescent="0.25">
      <c r="A78" s="9"/>
      <c r="B78" s="9">
        <f t="shared" si="59"/>
        <v>27</v>
      </c>
      <c r="C78" s="9">
        <v>85.535339582599178</v>
      </c>
      <c r="D78" s="9"/>
      <c r="E78" s="129">
        <f t="shared" si="14"/>
        <v>85.535339582599178</v>
      </c>
      <c r="F78" s="36">
        <f t="shared" si="52"/>
        <v>0</v>
      </c>
      <c r="G78" s="37">
        <f t="shared" si="15"/>
        <v>0</v>
      </c>
      <c r="H78" s="36" t="e">
        <f t="shared" si="16"/>
        <v>#DIV/0!</v>
      </c>
      <c r="I78" s="37" t="e">
        <f t="shared" si="17"/>
        <v>#DIV/0!</v>
      </c>
      <c r="J78" s="37" t="e">
        <f t="shared" si="18"/>
        <v>#DIV/0!</v>
      </c>
      <c r="K78" s="37" t="e">
        <f t="shared" si="19"/>
        <v>#DIV/0!</v>
      </c>
      <c r="L78" s="39" t="e">
        <f t="shared" si="20"/>
        <v>#DIV/0!</v>
      </c>
      <c r="M78" s="39" t="e">
        <f>M77+(1000*$C$2*(B78-B77))/(BerechnungenCLT!$W$47*2*'Berechnung freier Bereich'!G78)</f>
        <v>#DIV/0!</v>
      </c>
      <c r="N78" s="17" t="e">
        <f t="shared" si="61"/>
        <v>#DIV/0!</v>
      </c>
      <c r="O78" s="173">
        <f t="shared" si="21"/>
        <v>3675.4698509663713</v>
      </c>
      <c r="P78" s="173"/>
      <c r="Q78" s="173"/>
      <c r="R78" s="37" t="e">
        <f t="shared" si="1"/>
        <v>#DIV/0!</v>
      </c>
      <c r="S78" s="37" t="e">
        <f t="shared" si="2"/>
        <v>#DIV/0!</v>
      </c>
      <c r="T78" s="37" t="e">
        <f t="shared" si="3"/>
        <v>#DIV/0!</v>
      </c>
      <c r="U78" s="39" t="e">
        <f t="shared" si="4"/>
        <v>#DIV/0!</v>
      </c>
      <c r="V78" s="39" t="e">
        <f t="shared" si="22"/>
        <v>#DIV/0!</v>
      </c>
      <c r="W78" s="9" t="e">
        <f t="shared" si="23"/>
        <v>#DIV/0!</v>
      </c>
      <c r="AA78" s="131"/>
      <c r="AB78" s="129">
        <v>85.503343631639027</v>
      </c>
      <c r="AC78" s="9">
        <v>15.25</v>
      </c>
      <c r="AD78" s="129">
        <f t="shared" si="24"/>
        <v>100.75334844632606</v>
      </c>
      <c r="AE78" s="36">
        <f t="shared" si="53"/>
        <v>1.5169828133576185E-2</v>
      </c>
      <c r="AF78" s="37">
        <f t="shared" si="25"/>
        <v>38955357.91435726</v>
      </c>
      <c r="AG78" s="36">
        <f t="shared" si="5"/>
        <v>1.9734523494885456</v>
      </c>
      <c r="AH78" s="37">
        <f t="shared" si="26"/>
        <v>-2.021046929155469E-4</v>
      </c>
      <c r="AI78" s="37">
        <f t="shared" si="27"/>
        <v>-5.6593973577471705E-3</v>
      </c>
      <c r="AJ78" s="37">
        <f t="shared" si="28"/>
        <v>-7.9234127793087347E-2</v>
      </c>
      <c r="AK78" s="39">
        <f t="shared" si="29"/>
        <v>2.036272454795782E-2</v>
      </c>
      <c r="AL78" s="39">
        <f>AL77+(1000*$C$2*($B78-$B77))/(BerechnungenCLT!$W$47*2*AF78)</f>
        <v>1.5777161668772588E-3</v>
      </c>
      <c r="AM78" s="37">
        <f t="shared" si="6"/>
        <v>2.5863797392859463E-6</v>
      </c>
      <c r="AN78" s="173">
        <f t="shared" si="30"/>
        <v>3100.5608042987246</v>
      </c>
      <c r="AO78" s="173">
        <v>-258.06073303097043</v>
      </c>
      <c r="AP78" s="131"/>
      <c r="AQ78" s="131"/>
      <c r="AR78" s="131"/>
      <c r="AS78" s="131"/>
      <c r="AT78" s="131"/>
      <c r="AU78" s="131"/>
      <c r="AV78" s="129">
        <v>85.555194752054987</v>
      </c>
      <c r="AW78" s="9">
        <v>15.25</v>
      </c>
      <c r="AX78" s="129">
        <f t="shared" si="31"/>
        <v>100.80650667452697</v>
      </c>
      <c r="AY78" s="36">
        <f t="shared" si="54"/>
        <v>1.5179681674326272E-2</v>
      </c>
      <c r="AZ78" s="37">
        <f t="shared" si="32"/>
        <v>39024379.112291209</v>
      </c>
      <c r="BA78" s="36">
        <f t="shared" si="7"/>
        <v>1.9734774599111942</v>
      </c>
      <c r="BB78" s="37">
        <f t="shared" si="33"/>
        <v>-2.0174723667074757E-4</v>
      </c>
      <c r="BC78" s="37">
        <f t="shared" si="34"/>
        <v>-5.6570599048412383E-3</v>
      </c>
      <c r="BD78" s="37">
        <f t="shared" si="35"/>
        <v>-7.9241766361907495E-2</v>
      </c>
      <c r="BE78" s="39">
        <f t="shared" si="36"/>
        <v>2.0337434160017088E-2</v>
      </c>
      <c r="BF78" s="39">
        <f>BF77+(1000*$C$2*($B78-$B77))/(BerechnungenCLT!$W$47*2*AZ78)</f>
        <v>1.5770409342308984E-3</v>
      </c>
      <c r="BG78" s="37">
        <f t="shared" si="8"/>
        <v>2.583167470376914E-6</v>
      </c>
      <c r="BH78" s="173">
        <f t="shared" si="37"/>
        <v>3097.0676387146946</v>
      </c>
      <c r="BI78">
        <v>-258.06073303097043</v>
      </c>
      <c r="BN78" s="131"/>
      <c r="BO78" s="131"/>
      <c r="BP78" s="129">
        <v>85.501510857229917</v>
      </c>
      <c r="BQ78" s="9">
        <v>15.25</v>
      </c>
      <c r="BR78" s="129">
        <f t="shared" si="38"/>
        <v>100.7515118402856</v>
      </c>
      <c r="BS78" s="36">
        <f t="shared" si="55"/>
        <v>1.5169525466482462E-2</v>
      </c>
      <c r="BT78" s="37">
        <f t="shared" si="39"/>
        <v>38953055.923696019</v>
      </c>
      <c r="BU78" s="36">
        <f t="shared" si="9"/>
        <v>1.97345132709011</v>
      </c>
      <c r="BV78" s="37">
        <f t="shared" si="40"/>
        <v>-2.0211663660275325E-4</v>
      </c>
      <c r="BW78" s="37">
        <f t="shared" si="41"/>
        <v>-5.6594759402792379E-3</v>
      </c>
      <c r="BX78" s="37">
        <f t="shared" si="42"/>
        <v>-7.9233821518682218E-2</v>
      </c>
      <c r="BY78" s="39">
        <f t="shared" si="43"/>
        <v>2.0363556705800995E-2</v>
      </c>
      <c r="BZ78" s="39">
        <f>BZ77+(1000*$C$2*($B78-$B77))/(BerechnungenCLT!$W$47*2*BT78)</f>
        <v>1.5777388838000236E-3</v>
      </c>
      <c r="CA78" s="37">
        <f t="shared" si="10"/>
        <v>2.5864854361528075E-6</v>
      </c>
      <c r="CB78" s="173">
        <f t="shared" si="44"/>
        <v>3100.6829741202282</v>
      </c>
      <c r="CC78" s="9">
        <v>-258.05235697139659</v>
      </c>
      <c r="CI78" s="131"/>
      <c r="CJ78" s="9">
        <f t="shared" si="60"/>
        <v>27</v>
      </c>
      <c r="CK78" s="129">
        <v>85.491427093427504</v>
      </c>
      <c r="CL78" s="9">
        <v>10.09375</v>
      </c>
      <c r="CM78" s="129">
        <f t="shared" si="56"/>
        <v>95.585177152437581</v>
      </c>
      <c r="CN78" s="36">
        <f t="shared" si="57"/>
        <v>9.7614353465365344E-3</v>
      </c>
      <c r="CO78" s="173">
        <f t="shared" si="58"/>
        <v>3280.4947026267305</v>
      </c>
      <c r="CP78" s="9">
        <v>-630.16587883055172</v>
      </c>
      <c r="CQ78" s="129"/>
      <c r="CR78" s="36">
        <f t="shared" si="45"/>
        <v>0.83467374985035292</v>
      </c>
      <c r="CS78" s="17">
        <f t="shared" si="11"/>
        <v>0.60003111686621735</v>
      </c>
      <c r="CT78" s="9">
        <f t="shared" si="12"/>
        <v>10.093226550699534</v>
      </c>
      <c r="CU78" s="9">
        <f t="shared" si="46"/>
        <v>95.584653703134052</v>
      </c>
      <c r="CV78" s="9">
        <v>13.2</v>
      </c>
      <c r="CW78" s="9">
        <f t="shared" si="47"/>
        <v>98.691427170597336</v>
      </c>
      <c r="CX78">
        <f t="shared" si="48"/>
        <v>22</v>
      </c>
      <c r="CY78" s="9">
        <f t="shared" si="13"/>
        <v>625.54563653837408</v>
      </c>
      <c r="CZ78" s="17">
        <f t="shared" si="49"/>
        <v>0.58902602310581365</v>
      </c>
      <c r="DA78">
        <v>45</v>
      </c>
      <c r="DB78" s="9">
        <f t="shared" si="50"/>
        <v>10.094762180737392</v>
      </c>
      <c r="DC78" s="9">
        <f t="shared" si="51"/>
        <v>10.929435930589252</v>
      </c>
    </row>
    <row r="79" spans="1:107" x14ac:dyDescent="0.25">
      <c r="A79" s="9"/>
      <c r="B79" s="9">
        <f t="shared" si="59"/>
        <v>28</v>
      </c>
      <c r="C79" s="9">
        <v>85.538575530309416</v>
      </c>
      <c r="D79" s="9"/>
      <c r="E79" s="129">
        <f t="shared" si="14"/>
        <v>85.538575530309416</v>
      </c>
      <c r="F79" s="36">
        <f t="shared" si="52"/>
        <v>0</v>
      </c>
      <c r="G79" s="37">
        <f t="shared" si="15"/>
        <v>0</v>
      </c>
      <c r="H79" s="36" t="e">
        <f t="shared" si="16"/>
        <v>#DIV/0!</v>
      </c>
      <c r="I79" s="37" t="e">
        <f t="shared" si="17"/>
        <v>#DIV/0!</v>
      </c>
      <c r="J79" s="37" t="e">
        <f t="shared" si="18"/>
        <v>#DIV/0!</v>
      </c>
      <c r="K79" s="37" t="e">
        <f t="shared" si="19"/>
        <v>#DIV/0!</v>
      </c>
      <c r="L79" s="39" t="e">
        <f t="shared" si="20"/>
        <v>#DIV/0!</v>
      </c>
      <c r="M79" s="39" t="e">
        <f>M78+(1000*$C$2*(B79-B78))/(BerechnungenCLT!$W$47*2*'Berechnung freier Bereich'!G79)</f>
        <v>#DIV/0!</v>
      </c>
      <c r="N79" s="17" t="e">
        <f t="shared" si="61"/>
        <v>#DIV/0!</v>
      </c>
      <c r="O79" s="173">
        <f t="shared" si="21"/>
        <v>3675.1917681667701</v>
      </c>
      <c r="P79" s="173"/>
      <c r="Q79" s="173"/>
      <c r="R79" s="37" t="e">
        <f t="shared" si="1"/>
        <v>#DIV/0!</v>
      </c>
      <c r="S79" s="37" t="e">
        <f t="shared" si="2"/>
        <v>#DIV/0!</v>
      </c>
      <c r="T79" s="37" t="e">
        <f t="shared" si="3"/>
        <v>#DIV/0!</v>
      </c>
      <c r="U79" s="39" t="e">
        <f t="shared" si="4"/>
        <v>#DIV/0!</v>
      </c>
      <c r="V79" s="39" t="e">
        <f t="shared" si="22"/>
        <v>#DIV/0!</v>
      </c>
      <c r="W79" s="9" t="e">
        <f t="shared" si="23"/>
        <v>#DIV/0!</v>
      </c>
      <c r="AA79" s="131"/>
      <c r="AB79" s="129">
        <v>85.502549003132231</v>
      </c>
      <c r="AC79" s="9">
        <v>15.25</v>
      </c>
      <c r="AD79" s="129">
        <f t="shared" si="24"/>
        <v>100.75255830037354</v>
      </c>
      <c r="AE79" s="36">
        <f t="shared" si="53"/>
        <v>1.5169703519277711E-2</v>
      </c>
      <c r="AF79" s="37">
        <f t="shared" si="25"/>
        <v>38954379.578896306</v>
      </c>
      <c r="AG79" s="36">
        <f t="shared" si="5"/>
        <v>1.9734518867750805</v>
      </c>
      <c r="AH79" s="37">
        <f t="shared" si="26"/>
        <v>-2.0210976875528665E-4</v>
      </c>
      <c r="AI79" s="37">
        <f t="shared" si="27"/>
        <v>-5.8615071265024571E-3</v>
      </c>
      <c r="AJ79" s="37">
        <f t="shared" si="28"/>
        <v>-8.4994580035212167E-2</v>
      </c>
      <c r="AK79" s="39">
        <f t="shared" si="29"/>
        <v>2.0363076259592033E-2</v>
      </c>
      <c r="AL79" s="39">
        <f>AL78+(1000*$C$2*($B79-$B78))/(BerechnungenCLT!$W$47*2*AF79)</f>
        <v>1.6361468100430669E-3</v>
      </c>
      <c r="AM79" s="37">
        <f t="shared" si="6"/>
        <v>2.5864244120821948E-6</v>
      </c>
      <c r="AN79" s="173">
        <f t="shared" si="30"/>
        <v>3100.6135675281216</v>
      </c>
      <c r="AO79" s="173">
        <v>-258.06073303097043</v>
      </c>
      <c r="AP79" s="131"/>
      <c r="AQ79" s="131"/>
      <c r="AR79" s="131"/>
      <c r="AS79" s="131"/>
      <c r="AT79" s="131"/>
      <c r="AU79" s="131"/>
      <c r="AV79" s="129">
        <v>85.542077480733269</v>
      </c>
      <c r="AW79" s="9">
        <v>15.25</v>
      </c>
      <c r="AX79" s="129">
        <f t="shared" si="31"/>
        <v>100.7946107239401</v>
      </c>
      <c r="AY79" s="36">
        <f t="shared" si="54"/>
        <v>1.5178859698912101E-2</v>
      </c>
      <c r="AZ79" s="37">
        <f t="shared" si="32"/>
        <v>39011902.885385275</v>
      </c>
      <c r="BA79" s="36">
        <f t="shared" si="7"/>
        <v>1.9734662030782208</v>
      </c>
      <c r="BB79" s="37">
        <f t="shared" si="33"/>
        <v>-2.0181175657662718E-4</v>
      </c>
      <c r="BC79" s="37">
        <f t="shared" si="34"/>
        <v>-5.8588716614178657E-3</v>
      </c>
      <c r="BD79" s="37">
        <f t="shared" si="35"/>
        <v>-8.4999732145037046E-2</v>
      </c>
      <c r="BE79" s="39">
        <f t="shared" si="36"/>
        <v>2.0341537443655695E-2</v>
      </c>
      <c r="BF79" s="39">
        <f>BF78+(1000*$C$2*($B79-$B78))/(BerechnungenCLT!$W$47*2*AZ79)</f>
        <v>1.6353854210304033E-3</v>
      </c>
      <c r="BG79" s="37">
        <f t="shared" si="8"/>
        <v>2.5836886506169378E-6</v>
      </c>
      <c r="BH79" s="173">
        <f t="shared" si="37"/>
        <v>3097.8991747944619</v>
      </c>
      <c r="BI79">
        <v>-258.06073303097043</v>
      </c>
      <c r="BN79" s="131"/>
      <c r="BO79" s="131"/>
      <c r="BP79" s="129">
        <v>85.501151795480837</v>
      </c>
      <c r="BQ79" s="9">
        <v>15.25</v>
      </c>
      <c r="BR79" s="129">
        <f t="shared" si="38"/>
        <v>100.75115369377805</v>
      </c>
      <c r="BS79" s="36">
        <f t="shared" si="55"/>
        <v>1.5169467963294188E-2</v>
      </c>
      <c r="BT79" s="37">
        <f t="shared" si="39"/>
        <v>38952610.300148331</v>
      </c>
      <c r="BU79" s="36">
        <f t="shared" si="9"/>
        <v>1.9734511215111408</v>
      </c>
      <c r="BV79" s="37">
        <f t="shared" si="40"/>
        <v>-2.0211894884657864E-4</v>
      </c>
      <c r="BW79" s="37">
        <f t="shared" si="41"/>
        <v>-5.8615948891258167E-3</v>
      </c>
      <c r="BX79" s="37">
        <f t="shared" si="42"/>
        <v>-8.4994356933384752E-2</v>
      </c>
      <c r="BY79" s="39">
        <f t="shared" si="43"/>
        <v>2.0363717279666509E-2</v>
      </c>
      <c r="BZ79" s="39">
        <f>BZ78+(1000*$C$2*($B79-$B78))/(BerechnungenCLT!$W$47*2*BT79)</f>
        <v>1.6361721809624288E-3</v>
      </c>
      <c r="CA79" s="37">
        <f t="shared" si="10"/>
        <v>2.5865058315076355E-6</v>
      </c>
      <c r="CB79" s="173">
        <f t="shared" si="44"/>
        <v>3100.7068539826123</v>
      </c>
      <c r="CC79" s="9">
        <v>-258.05434435766728</v>
      </c>
      <c r="CI79" s="131"/>
      <c r="CJ79" s="9">
        <f t="shared" si="60"/>
        <v>28</v>
      </c>
      <c r="CK79" s="129">
        <v>85.491535224825142</v>
      </c>
      <c r="CL79" s="9">
        <v>10.09375</v>
      </c>
      <c r="CM79" s="129">
        <f t="shared" si="56"/>
        <v>95.585285345397565</v>
      </c>
      <c r="CN79" s="36">
        <f t="shared" si="57"/>
        <v>9.761447067635166E-3</v>
      </c>
      <c r="CO79" s="173">
        <f t="shared" si="58"/>
        <v>3280.4868645115807</v>
      </c>
      <c r="CP79" s="9">
        <v>-630.16437316961662</v>
      </c>
      <c r="CQ79" s="129"/>
      <c r="CR79" s="36">
        <f t="shared" si="45"/>
        <v>0.83467320364702169</v>
      </c>
      <c r="CS79" s="17">
        <f t="shared" si="11"/>
        <v>0.60003072421100923</v>
      </c>
      <c r="CT79" s="9">
        <f t="shared" si="12"/>
        <v>10.093233155624601</v>
      </c>
      <c r="CU79" s="9">
        <f t="shared" si="46"/>
        <v>95.584768501015986</v>
      </c>
      <c r="CV79" s="9">
        <v>13.2</v>
      </c>
      <c r="CW79" s="9">
        <f t="shared" si="47"/>
        <v>98.691535382502522</v>
      </c>
      <c r="CX79">
        <f t="shared" si="48"/>
        <v>22</v>
      </c>
      <c r="CY79" s="9">
        <f t="shared" si="13"/>
        <v>625.54484533578545</v>
      </c>
      <c r="CZ79" s="17">
        <f t="shared" si="49"/>
        <v>0.58902527809395999</v>
      </c>
      <c r="DA79">
        <v>45</v>
      </c>
      <c r="DB79" s="9">
        <f t="shared" si="50"/>
        <v>10.094749412680992</v>
      </c>
      <c r="DC79" s="9">
        <f t="shared" si="51"/>
        <v>10.929422616331088</v>
      </c>
    </row>
    <row r="80" spans="1:107" x14ac:dyDescent="0.25">
      <c r="A80" s="9"/>
      <c r="B80" s="9">
        <f t="shared" si="59"/>
        <v>29</v>
      </c>
      <c r="C80" s="9">
        <v>85.541427485358554</v>
      </c>
      <c r="D80" s="9"/>
      <c r="E80" s="129">
        <f t="shared" si="14"/>
        <v>85.541427485358554</v>
      </c>
      <c r="F80" s="36">
        <f t="shared" si="52"/>
        <v>0</v>
      </c>
      <c r="G80" s="37">
        <f t="shared" si="15"/>
        <v>0</v>
      </c>
      <c r="H80" s="36" t="e">
        <f t="shared" si="16"/>
        <v>#DIV/0!</v>
      </c>
      <c r="I80" s="37" t="e">
        <f t="shared" si="17"/>
        <v>#DIV/0!</v>
      </c>
      <c r="J80" s="37" t="e">
        <f t="shared" si="18"/>
        <v>#DIV/0!</v>
      </c>
      <c r="K80" s="37" t="e">
        <f t="shared" si="19"/>
        <v>#DIV/0!</v>
      </c>
      <c r="L80" s="39" t="e">
        <f t="shared" si="20"/>
        <v>#DIV/0!</v>
      </c>
      <c r="M80" s="39" t="e">
        <f>M79+(1000*$C$2*(B80-B79))/(BerechnungenCLT!$W$47*2*'Berechnung freier Bereich'!G80)</f>
        <v>#DIV/0!</v>
      </c>
      <c r="N80" s="17" t="e">
        <f t="shared" si="61"/>
        <v>#DIV/0!</v>
      </c>
      <c r="O80" s="173">
        <f t="shared" si="21"/>
        <v>3674.9467101334553</v>
      </c>
      <c r="P80" s="173"/>
      <c r="Q80" s="173"/>
      <c r="R80" s="37" t="e">
        <f t="shared" si="1"/>
        <v>#DIV/0!</v>
      </c>
      <c r="S80" s="37" t="e">
        <f t="shared" si="2"/>
        <v>#DIV/0!</v>
      </c>
      <c r="T80" s="37" t="e">
        <f t="shared" si="3"/>
        <v>#DIV/0!</v>
      </c>
      <c r="U80" s="39" t="e">
        <f t="shared" si="4"/>
        <v>#DIV/0!</v>
      </c>
      <c r="V80" s="39" t="e">
        <f t="shared" si="22"/>
        <v>#DIV/0!</v>
      </c>
      <c r="W80" s="9" t="e">
        <f t="shared" si="23"/>
        <v>#DIV/0!</v>
      </c>
      <c r="AA80" s="131"/>
      <c r="AB80" s="129">
        <v>85.501444779103281</v>
      </c>
      <c r="AC80" s="9">
        <v>15.25</v>
      </c>
      <c r="AD80" s="129">
        <f t="shared" si="24"/>
        <v>100.75146069541823</v>
      </c>
      <c r="AE80" s="36">
        <f t="shared" si="53"/>
        <v>1.5169530773608416E-2</v>
      </c>
      <c r="AF80" s="37">
        <f t="shared" si="25"/>
        <v>38953021.353986144</v>
      </c>
      <c r="AG80" s="36">
        <f t="shared" si="5"/>
        <v>1.9734512425295732</v>
      </c>
      <c r="AH80" s="37">
        <f t="shared" si="26"/>
        <v>-2.0211681597557841E-4</v>
      </c>
      <c r="AI80" s="37">
        <f t="shared" si="27"/>
        <v>-6.0636239424780355E-3</v>
      </c>
      <c r="AJ80" s="37">
        <f t="shared" si="28"/>
        <v>-9.0957145569702413E-2</v>
      </c>
      <c r="AK80" s="39">
        <f t="shared" si="29"/>
        <v>2.0363564440646569E-2</v>
      </c>
      <c r="AL80" s="39">
        <f>AL79+(1000*$C$2*($B80-$B79))/(BerechnungenCLT!$W$47*2*AF80)</f>
        <v>1.6945794905849835E-3</v>
      </c>
      <c r="AM80" s="37">
        <f t="shared" si="6"/>
        <v>2.586486418597363E-6</v>
      </c>
      <c r="AN80" s="173">
        <f t="shared" si="30"/>
        <v>3100.6868771085342</v>
      </c>
      <c r="AO80" s="173">
        <v>-258.06073303097043</v>
      </c>
      <c r="AP80" s="131"/>
      <c r="AQ80" s="131"/>
      <c r="AR80" s="131"/>
      <c r="AS80" s="131"/>
      <c r="AT80" s="131"/>
      <c r="AU80" s="131"/>
      <c r="AV80" s="129">
        <v>85.523849584221281</v>
      </c>
      <c r="AW80" s="9">
        <v>15.25</v>
      </c>
      <c r="AX80" s="129">
        <f t="shared" si="31"/>
        <v>100.77818608799512</v>
      </c>
      <c r="AY80" s="36">
        <f t="shared" si="54"/>
        <v>1.5177831143862026E-2</v>
      </c>
      <c r="AZ80" s="37">
        <f t="shared" si="32"/>
        <v>38994909.753210843</v>
      </c>
      <c r="BA80" s="36">
        <f t="shared" si="7"/>
        <v>1.9734502158945124</v>
      </c>
      <c r="BB80" s="37">
        <f t="shared" si="33"/>
        <v>-2.0189970174371605E-4</v>
      </c>
      <c r="BC80" s="37">
        <f t="shared" si="34"/>
        <v>-6.0607713631615819E-3</v>
      </c>
      <c r="BD80" s="37">
        <f t="shared" si="35"/>
        <v>-9.0959553657326775E-2</v>
      </c>
      <c r="BE80" s="39">
        <f t="shared" si="36"/>
        <v>2.034708571343893E-2</v>
      </c>
      <c r="BF80" s="39">
        <f>BF79+(1000*$C$2*($B80-$B79))/(BerechnungenCLT!$W$47*2*AZ80)</f>
        <v>1.693755333086233E-3</v>
      </c>
      <c r="BG80" s="37">
        <f t="shared" si="8"/>
        <v>2.5843933663597477E-6</v>
      </c>
      <c r="BH80" s="173">
        <f t="shared" si="37"/>
        <v>3099.0517122315578</v>
      </c>
      <c r="BI80">
        <v>-258.06073303097043</v>
      </c>
      <c r="BN80" s="131"/>
      <c r="BO80" s="131"/>
      <c r="BP80" s="129">
        <v>85.50065283954379</v>
      </c>
      <c r="BQ80" s="9">
        <v>15.25</v>
      </c>
      <c r="BR80" s="129">
        <f t="shared" si="38"/>
        <v>100.7506560893144</v>
      </c>
      <c r="BS80" s="36">
        <f t="shared" si="55"/>
        <v>1.5169388141964613E-2</v>
      </c>
      <c r="BT80" s="37">
        <f t="shared" si="39"/>
        <v>38951991.318549417</v>
      </c>
      <c r="BU80" s="36">
        <f t="shared" si="9"/>
        <v>1.9734508355804938</v>
      </c>
      <c r="BV80" s="37">
        <f t="shared" si="40"/>
        <v>-2.021221606954699E-4</v>
      </c>
      <c r="BW80" s="37">
        <f t="shared" si="41"/>
        <v>-6.0637170498212866E-3</v>
      </c>
      <c r="BX80" s="37">
        <f t="shared" si="42"/>
        <v>-9.0957012902858306E-2</v>
      </c>
      <c r="BY80" s="39">
        <f t="shared" si="43"/>
        <v>2.036394030025843E-2</v>
      </c>
      <c r="BZ80" s="39">
        <f>BZ79+(1000*$C$2*($B80-$B79))/(BerechnungenCLT!$W$47*2*BT80)</f>
        <v>1.6946064066816159E-3</v>
      </c>
      <c r="CA80" s="37">
        <f t="shared" si="10"/>
        <v>2.5865341585588128E-6</v>
      </c>
      <c r="CB80" s="173">
        <f t="shared" si="44"/>
        <v>3100.7400354936531</v>
      </c>
      <c r="CC80" s="9">
        <v>-258.05710586769692</v>
      </c>
      <c r="CI80" s="131"/>
      <c r="CJ80" s="9">
        <f t="shared" si="60"/>
        <v>29</v>
      </c>
      <c r="CK80" s="129">
        <v>85.491689790381585</v>
      </c>
      <c r="CL80" s="9">
        <v>10.09375</v>
      </c>
      <c r="CM80" s="129">
        <f t="shared" si="56"/>
        <v>95.585439997658241</v>
      </c>
      <c r="CN80" s="36">
        <f t="shared" si="57"/>
        <v>9.7614638207271526E-3</v>
      </c>
      <c r="CO80" s="173">
        <f t="shared" si="58"/>
        <v>3280.4756606215874</v>
      </c>
      <c r="CP80" s="9">
        <v>-630.16222096093361</v>
      </c>
      <c r="CQ80" s="129"/>
      <c r="CR80" s="36">
        <f t="shared" si="45"/>
        <v>0.83467242289828159</v>
      </c>
      <c r="CS80" s="17">
        <f t="shared" si="11"/>
        <v>0.60003016294555844</v>
      </c>
      <c r="CT80" s="9">
        <f t="shared" si="12"/>
        <v>10.093242596788407</v>
      </c>
      <c r="CU80" s="9">
        <f t="shared" si="46"/>
        <v>95.584932594436225</v>
      </c>
      <c r="CV80" s="9">
        <v>13.2</v>
      </c>
      <c r="CW80" s="9">
        <f t="shared" si="47"/>
        <v>98.691690061445541</v>
      </c>
      <c r="CX80">
        <f t="shared" si="48"/>
        <v>22</v>
      </c>
      <c r="CY80" s="9">
        <f t="shared" si="13"/>
        <v>625.5437143757199</v>
      </c>
      <c r="CZ80" s="17">
        <f t="shared" si="49"/>
        <v>0.58902421315981157</v>
      </c>
      <c r="DA80">
        <v>45</v>
      </c>
      <c r="DB80" s="9">
        <f t="shared" si="50"/>
        <v>10.09473116177773</v>
      </c>
      <c r="DC80" s="9">
        <f t="shared" si="51"/>
        <v>10.929403584681301</v>
      </c>
    </row>
    <row r="81" spans="1:107" x14ac:dyDescent="0.25">
      <c r="A81" s="9"/>
      <c r="B81" s="9">
        <f t="shared" si="59"/>
        <v>30</v>
      </c>
      <c r="C81" s="9">
        <v>85.543799449581343</v>
      </c>
      <c r="D81" s="9"/>
      <c r="E81" s="129">
        <f t="shared" si="14"/>
        <v>85.543799449581343</v>
      </c>
      <c r="F81" s="36">
        <f t="shared" si="52"/>
        <v>0</v>
      </c>
      <c r="G81" s="37">
        <f t="shared" si="15"/>
        <v>0</v>
      </c>
      <c r="H81" s="36" t="e">
        <f t="shared" si="16"/>
        <v>#DIV/0!</v>
      </c>
      <c r="I81" s="37" t="e">
        <f t="shared" si="17"/>
        <v>#DIV/0!</v>
      </c>
      <c r="J81" s="37" t="e">
        <f t="shared" si="18"/>
        <v>#DIV/0!</v>
      </c>
      <c r="K81" s="37" t="e">
        <f t="shared" si="19"/>
        <v>#DIV/0!</v>
      </c>
      <c r="L81" s="39" t="e">
        <f t="shared" si="20"/>
        <v>#DIV/0!</v>
      </c>
      <c r="M81" s="39" t="e">
        <f>M80+(1000*$C$2*(B81-B80))/(BerechnungenCLT!$W$47*2*'Berechnung freier Bereich'!G81)</f>
        <v>#DIV/0!</v>
      </c>
      <c r="N81" s="17" t="e">
        <f t="shared" si="61"/>
        <v>#DIV/0!</v>
      </c>
      <c r="O81" s="173">
        <f t="shared" si="21"/>
        <v>3674.7429146199856</v>
      </c>
      <c r="P81" s="173"/>
      <c r="Q81" s="173"/>
      <c r="R81" s="37" t="e">
        <f t="shared" si="1"/>
        <v>#DIV/0!</v>
      </c>
      <c r="S81" s="37" t="e">
        <f t="shared" si="2"/>
        <v>#DIV/0!</v>
      </c>
      <c r="T81" s="37" t="e">
        <f t="shared" si="3"/>
        <v>#DIV/0!</v>
      </c>
      <c r="U81" s="39" t="e">
        <f t="shared" si="4"/>
        <v>#DIV/0!</v>
      </c>
      <c r="V81" s="39" t="e">
        <f t="shared" si="22"/>
        <v>#DIV/0!</v>
      </c>
      <c r="W81" s="9" t="e">
        <f t="shared" si="23"/>
        <v>#DIV/0!</v>
      </c>
      <c r="AB81" s="129">
        <v>85.5</v>
      </c>
      <c r="AC81" s="9">
        <v>15.25</v>
      </c>
      <c r="AD81" s="129">
        <f t="shared" si="24"/>
        <v>100.75002447291901</v>
      </c>
      <c r="AE81" s="36">
        <f t="shared" si="53"/>
        <v>1.5169304639226465E-2</v>
      </c>
      <c r="AF81" s="37">
        <f t="shared" si="25"/>
        <v>38951243.950766325</v>
      </c>
      <c r="AG81" s="36">
        <f t="shared" si="5"/>
        <v>1.9734503998858013</v>
      </c>
      <c r="AH81" s="37">
        <f t="shared" si="26"/>
        <v>-2.0212603886663542E-4</v>
      </c>
      <c r="AI81" s="37">
        <f t="shared" si="27"/>
        <v>-6.2657499813446706E-3</v>
      </c>
      <c r="AJ81" s="37">
        <f t="shared" si="28"/>
        <v>-9.7121832531613772E-2</v>
      </c>
      <c r="AK81" s="39">
        <f t="shared" si="29"/>
        <v>2.0364203362427696E-2</v>
      </c>
      <c r="AL81" s="39">
        <f>AL80+(1000*$C$2*($B81-$B80))/(BerechnungenCLT!$W$47*2*AF81)</f>
        <v>1.7530148374970596E-3</v>
      </c>
      <c r="AM81" s="37">
        <f t="shared" si="6"/>
        <v>2.5865675715072217E-6</v>
      </c>
      <c r="AN81" s="173">
        <f t="shared" si="30"/>
        <v>3100.782803570587</v>
      </c>
      <c r="AO81" s="173">
        <v>-258.06073258276132</v>
      </c>
      <c r="AV81" s="129">
        <v>85.5</v>
      </c>
      <c r="AW81" s="9">
        <v>15.25</v>
      </c>
      <c r="AX81" s="129">
        <f t="shared" si="31"/>
        <v>100.75666729876339</v>
      </c>
      <c r="AY81" s="36">
        <f t="shared" si="54"/>
        <v>1.5176453570694292E-2</v>
      </c>
      <c r="AZ81" s="37">
        <f t="shared" si="32"/>
        <v>38972588.214181699</v>
      </c>
      <c r="BA81" s="36">
        <f t="shared" si="7"/>
        <v>1.9734293726255232</v>
      </c>
      <c r="BB81" s="37">
        <f t="shared" si="33"/>
        <v>-2.0201533974157436E-4</v>
      </c>
      <c r="BC81" s="37">
        <f t="shared" si="34"/>
        <v>-6.262786702903156E-3</v>
      </c>
      <c r="BD81" s="37">
        <f t="shared" si="35"/>
        <v>-9.712133269035915E-2</v>
      </c>
      <c r="BE81" s="39">
        <f t="shared" si="36"/>
        <v>2.0354392375588462E-2</v>
      </c>
      <c r="BF81" s="39">
        <f>BF80+(1000*$C$2*($B81-$B80))/(BerechnungenCLT!$W$47*2*AZ81)</f>
        <v>1.7521586764929116E-3</v>
      </c>
      <c r="BG81" s="37">
        <f t="shared" si="8"/>
        <v>2.5853214250240415E-6</v>
      </c>
      <c r="BH81" s="173">
        <f t="shared" si="37"/>
        <v>3100.5616292831701</v>
      </c>
      <c r="BI81">
        <v>-258.06005131179126</v>
      </c>
      <c r="BP81" s="129">
        <v>85.5</v>
      </c>
      <c r="BQ81" s="9">
        <v>15.25</v>
      </c>
      <c r="BR81" s="129">
        <f t="shared" si="38"/>
        <v>100.75000499684701</v>
      </c>
      <c r="BS81" s="36">
        <f t="shared" si="55"/>
        <v>1.5169283679998591E-2</v>
      </c>
      <c r="BT81" s="37">
        <f t="shared" si="39"/>
        <v>38951181.377820827</v>
      </c>
      <c r="BU81" s="36">
        <f t="shared" si="9"/>
        <v>1.973450461525871</v>
      </c>
      <c r="BV81" s="37">
        <f t="shared" si="40"/>
        <v>-2.0212636357107741E-4</v>
      </c>
      <c r="BW81" s="37">
        <f t="shared" si="41"/>
        <v>-6.2658434133923639E-3</v>
      </c>
      <c r="BX81" s="37">
        <f t="shared" si="42"/>
        <v>-9.7121793134465131E-2</v>
      </c>
      <c r="BY81" s="39">
        <f t="shared" si="43"/>
        <v>2.0364232139780565E-2</v>
      </c>
      <c r="BZ81" s="39">
        <f>BZ80+(1000*$C$2*($B81-$B80))/(BerechnungenCLT!$W$47*2*BT81)</f>
        <v>1.7530418474668852E-3</v>
      </c>
      <c r="CA81" s="37">
        <f t="shared" si="10"/>
        <v>2.5865712266743987E-6</v>
      </c>
      <c r="CB81" s="173">
        <f t="shared" si="44"/>
        <v>3100.7834520653059</v>
      </c>
      <c r="CC81" s="9">
        <v>-258.06071918409856</v>
      </c>
      <c r="CJ81" s="9">
        <f t="shared" si="60"/>
        <v>30</v>
      </c>
      <c r="CK81" s="129">
        <v>85.491892448459666</v>
      </c>
      <c r="CL81" s="9">
        <v>10.09375</v>
      </c>
      <c r="CM81" s="129">
        <f t="shared" si="56"/>
        <v>95.585642769997506</v>
      </c>
      <c r="CN81" s="36">
        <f t="shared" si="57"/>
        <v>9.7614857870757989E-3</v>
      </c>
      <c r="CO81" s="173">
        <f t="shared" si="58"/>
        <v>3280.4609707471577</v>
      </c>
      <c r="CP81" s="9">
        <v>-630.15939911286819</v>
      </c>
      <c r="CQ81" s="129"/>
      <c r="CR81" s="36">
        <f t="shared" si="45"/>
        <v>0.83467139922046629</v>
      </c>
      <c r="CS81" s="17">
        <f t="shared" si="11"/>
        <v>0.60002942704300621</v>
      </c>
      <c r="CT81" s="9">
        <f t="shared" si="12"/>
        <v>10.093254975586268</v>
      </c>
      <c r="CU81" s="9">
        <f t="shared" si="46"/>
        <v>95.585147745568008</v>
      </c>
      <c r="CV81" s="9">
        <v>13.2</v>
      </c>
      <c r="CW81" s="9">
        <f t="shared" si="47"/>
        <v>98.691892868947534</v>
      </c>
      <c r="CX81">
        <f t="shared" si="48"/>
        <v>22</v>
      </c>
      <c r="CY81" s="9">
        <f t="shared" si="13"/>
        <v>625.54223152765917</v>
      </c>
      <c r="CZ81" s="17">
        <f t="shared" si="49"/>
        <v>0.58902281688103497</v>
      </c>
      <c r="DA81">
        <v>45</v>
      </c>
      <c r="DB81" s="9">
        <f t="shared" si="50"/>
        <v>10.094707232270997</v>
      </c>
      <c r="DC81" s="9">
        <f t="shared" si="51"/>
        <v>10.929378631499667</v>
      </c>
    </row>
    <row r="82" spans="1:107" x14ac:dyDescent="0.25">
      <c r="A82" s="9"/>
      <c r="B82" s="9">
        <f t="shared" si="59"/>
        <v>31</v>
      </c>
      <c r="C82" s="9">
        <v>85.545595424812504</v>
      </c>
      <c r="D82" s="9"/>
      <c r="E82" s="129">
        <f t="shared" si="14"/>
        <v>85.545595424812504</v>
      </c>
      <c r="F82" s="36">
        <f t="shared" si="52"/>
        <v>0</v>
      </c>
      <c r="G82" s="37">
        <f>(PI()/4)*(E82^4-C82^4)</f>
        <v>0</v>
      </c>
      <c r="H82" s="36" t="e">
        <f t="shared" si="16"/>
        <v>#DIV/0!</v>
      </c>
      <c r="I82" s="37" t="e">
        <f t="shared" si="17"/>
        <v>#DIV/0!</v>
      </c>
      <c r="J82" s="37" t="e">
        <f t="shared" si="18"/>
        <v>#DIV/0!</v>
      </c>
      <c r="K82" s="37" t="e">
        <f t="shared" si="19"/>
        <v>#DIV/0!</v>
      </c>
      <c r="L82" s="39" t="e">
        <f t="shared" si="20"/>
        <v>#DIV/0!</v>
      </c>
      <c r="M82" s="39" t="e">
        <f>M81+(1000*$C$2*(B82-B81))/(BerechnungenCLT!$W$47*2*'Berechnung freier Bereich'!G82)</f>
        <v>#DIV/0!</v>
      </c>
      <c r="N82" s="17" t="e">
        <f t="shared" si="61"/>
        <v>#DIV/0!</v>
      </c>
      <c r="O82" s="173">
        <f t="shared" si="21"/>
        <v>3674.5886184708029</v>
      </c>
      <c r="P82" s="173"/>
      <c r="Q82" s="173"/>
      <c r="R82" s="37" t="e">
        <f t="shared" si="1"/>
        <v>#DIV/0!</v>
      </c>
      <c r="S82" s="37" t="e">
        <f t="shared" si="2"/>
        <v>#DIV/0!</v>
      </c>
      <c r="T82" s="37" t="e">
        <f t="shared" si="3"/>
        <v>#DIV/0!</v>
      </c>
      <c r="U82" s="39" t="e">
        <f t="shared" si="4"/>
        <v>#DIV/0!</v>
      </c>
      <c r="V82" s="39" t="e">
        <f t="shared" si="22"/>
        <v>#DIV/0!</v>
      </c>
      <c r="W82" s="9" t="e">
        <f t="shared" si="23"/>
        <v>#DIV/0!</v>
      </c>
      <c r="AB82" s="129">
        <v>85.49820847391193</v>
      </c>
      <c r="AC82" s="9">
        <v>15.25</v>
      </c>
      <c r="AD82" s="129">
        <f t="shared" si="24"/>
        <v>100.74824037412074</v>
      </c>
      <c r="AE82" s="36">
        <f t="shared" si="53"/>
        <v>1.516902080700175E-2</v>
      </c>
      <c r="AF82" s="37">
        <f t="shared" si="25"/>
        <v>38949029.819586739</v>
      </c>
      <c r="AG82" s="36">
        <f t="shared" si="5"/>
        <v>1.9734493650272817</v>
      </c>
      <c r="AH82" s="37">
        <f t="shared" si="26"/>
        <v>-2.0213752910315568E-4</v>
      </c>
      <c r="AI82" s="37">
        <f t="shared" si="27"/>
        <v>-6.4678875104478267E-3</v>
      </c>
      <c r="AJ82" s="37">
        <f t="shared" si="28"/>
        <v>-0.10348865127751002</v>
      </c>
      <c r="AK82" s="39">
        <f t="shared" si="29"/>
        <v>2.0365000370715557E-2</v>
      </c>
      <c r="AL82" s="39">
        <f>AL81+(1000*$C$2*($B82-$B81))/(BerechnungenCLT!$W$47*2*AF82)</f>
        <v>1.8114535062768223E-3</v>
      </c>
      <c r="AM82" s="37">
        <f t="shared" si="6"/>
        <v>2.5866688038390198E-6</v>
      </c>
      <c r="AN82" s="173">
        <f t="shared" si="30"/>
        <v>3100.9018645530259</v>
      </c>
      <c r="AO82" s="173">
        <v>-258.0615369252904</v>
      </c>
      <c r="AV82" s="129">
        <v>85.470426515565606</v>
      </c>
      <c r="AW82" s="9">
        <v>15.25</v>
      </c>
      <c r="AX82" s="129">
        <f t="shared" si="31"/>
        <v>100.72911669968732</v>
      </c>
      <c r="AY82" s="36">
        <f t="shared" si="54"/>
        <v>1.5173810653183075E-2</v>
      </c>
      <c r="AZ82" s="37">
        <f t="shared" si="32"/>
        <v>38942131.836291917</v>
      </c>
      <c r="BA82" s="36">
        <f t="shared" si="7"/>
        <v>1.9734062495814793</v>
      </c>
      <c r="BB82" s="37">
        <f t="shared" si="33"/>
        <v>-2.021733345722777E-4</v>
      </c>
      <c r="BC82" s="37">
        <f t="shared" si="34"/>
        <v>-6.4649600374754338E-3</v>
      </c>
      <c r="BD82" s="37">
        <f t="shared" si="35"/>
        <v>-0.10348520606054845</v>
      </c>
      <c r="BE82" s="39">
        <f t="shared" si="36"/>
        <v>2.0364741411695891E-2</v>
      </c>
      <c r="BF82" s="39">
        <f>BF81+(1000*$C$2*($B82-$B81))/(BerechnungenCLT!$W$47*2*AZ82)</f>
        <v>1.8106076967594061E-3</v>
      </c>
      <c r="BG82" s="37">
        <f t="shared" si="8"/>
        <v>2.5866359120538274E-6</v>
      </c>
      <c r="BH82" s="173">
        <f t="shared" si="37"/>
        <v>3102.4643612358777</v>
      </c>
      <c r="BI82">
        <v>-258.08719343949502</v>
      </c>
      <c r="BP82" s="129">
        <v>85.499190478965701</v>
      </c>
      <c r="BQ82" s="9">
        <v>15.25</v>
      </c>
      <c r="BR82" s="129">
        <f t="shared" si="38"/>
        <v>100.7491969923078</v>
      </c>
      <c r="BS82" s="36">
        <f t="shared" si="55"/>
        <v>1.5169153447762866E-2</v>
      </c>
      <c r="BT82" s="37">
        <f t="shared" si="39"/>
        <v>38950174.978969753</v>
      </c>
      <c r="BU82" s="36">
        <f t="shared" si="9"/>
        <v>1.9734499997441604</v>
      </c>
      <c r="BV82" s="37">
        <f t="shared" si="40"/>
        <v>-2.0213158613401018E-4</v>
      </c>
      <c r="BW82" s="37">
        <f t="shared" si="41"/>
        <v>-6.4679749995263745E-3</v>
      </c>
      <c r="BX82" s="37">
        <f t="shared" si="42"/>
        <v>-0.1034887023409245</v>
      </c>
      <c r="BY82" s="39">
        <f t="shared" si="43"/>
        <v>2.0364594989783023E-2</v>
      </c>
      <c r="BZ82" s="39">
        <f>BZ81+(1000*$C$2*($B82-$B81))/(BerechnungenCLT!$W$47*2*BT82)</f>
        <v>1.8114787981134196E-3</v>
      </c>
      <c r="CA82" s="37">
        <f t="shared" si="10"/>
        <v>2.5866173142150196E-6</v>
      </c>
      <c r="CB82" s="173">
        <f t="shared" si="44"/>
        <v>3100.8373115201912</v>
      </c>
      <c r="CC82" s="9">
        <v>-258.06520160277671</v>
      </c>
      <c r="CJ82" s="9">
        <f t="shared" si="60"/>
        <v>31</v>
      </c>
      <c r="CK82" s="129">
        <v>85.492144857422204</v>
      </c>
      <c r="CL82" s="9">
        <v>10.09375</v>
      </c>
      <c r="CM82" s="129">
        <f t="shared" si="56"/>
        <v>95.585895323276532</v>
      </c>
      <c r="CN82" s="36">
        <f t="shared" si="57"/>
        <v>9.7615131480295377E-3</v>
      </c>
      <c r="CO82" s="173">
        <f t="shared" si="58"/>
        <v>3280.4426746952036</v>
      </c>
      <c r="CP82" s="9">
        <v>-630.15588453695693</v>
      </c>
      <c r="CQ82" s="129"/>
      <c r="CR82" s="36">
        <f t="shared" si="45"/>
        <v>0.83467012422972053</v>
      </c>
      <c r="CS82" s="17">
        <f t="shared" si="11"/>
        <v>0.60002851047635808</v>
      </c>
      <c r="CT82" s="9">
        <f t="shared" si="12"/>
        <v>10.093270393421786</v>
      </c>
      <c r="CU82" s="9">
        <f t="shared" si="46"/>
        <v>95.585415716676181</v>
      </c>
      <c r="CV82" s="9">
        <v>13.2</v>
      </c>
      <c r="CW82" s="9">
        <f t="shared" si="47"/>
        <v>98.692145466638522</v>
      </c>
      <c r="CX82">
        <f t="shared" si="48"/>
        <v>22</v>
      </c>
      <c r="CY82" s="9">
        <f t="shared" si="13"/>
        <v>625.54038466247709</v>
      </c>
      <c r="CZ82" s="17">
        <f t="shared" si="49"/>
        <v>0.5890210778366074</v>
      </c>
      <c r="DA82">
        <v>45</v>
      </c>
      <c r="DB82" s="9">
        <f t="shared" si="50"/>
        <v>10.094677428426634</v>
      </c>
      <c r="DC82" s="9">
        <f t="shared" si="51"/>
        <v>10.929347552668244</v>
      </c>
    </row>
    <row r="83" spans="1:107" x14ac:dyDescent="0.25">
      <c r="A83" s="9"/>
      <c r="B83" s="9">
        <f t="shared" si="59"/>
        <v>32</v>
      </c>
      <c r="C83" s="9">
        <v>85.546719412886745</v>
      </c>
      <c r="D83" s="9"/>
      <c r="E83" s="129">
        <f t="shared" si="14"/>
        <v>85.546719412886745</v>
      </c>
      <c r="F83" s="36">
        <f t="shared" si="52"/>
        <v>0</v>
      </c>
      <c r="G83" s="37">
        <f t="shared" ref="G83:G112" si="62">(PI()/4)*(E83^4-C83^4)</f>
        <v>0</v>
      </c>
      <c r="H83" s="36" t="e">
        <f t="shared" si="16"/>
        <v>#DIV/0!</v>
      </c>
      <c r="I83" s="37" t="e">
        <f t="shared" si="17"/>
        <v>#DIV/0!</v>
      </c>
      <c r="J83" s="37" t="e">
        <f t="shared" si="18"/>
        <v>#DIV/0!</v>
      </c>
      <c r="K83" s="37" t="e">
        <f t="shared" si="19"/>
        <v>#DIV/0!</v>
      </c>
      <c r="L83" s="39" t="e">
        <f t="shared" si="20"/>
        <v>#DIV/0!</v>
      </c>
      <c r="M83" s="39" t="e">
        <f>M82+(1000*$C$2*(B83-B82))/(BerechnungenCLT!$W$47*2*'Berechnung freier Bereich'!G83)</f>
        <v>#DIV/0!</v>
      </c>
      <c r="N83" s="17" t="e">
        <f t="shared" si="61"/>
        <v>#DIV/0!</v>
      </c>
      <c r="O83" s="173">
        <f t="shared" si="21"/>
        <v>3674.4920591478926</v>
      </c>
      <c r="P83" s="173"/>
      <c r="Q83" s="173"/>
      <c r="R83" s="37" t="e">
        <f t="shared" si="1"/>
        <v>#DIV/0!</v>
      </c>
      <c r="S83" s="37" t="e">
        <f t="shared" si="2"/>
        <v>#DIV/0!</v>
      </c>
      <c r="T83" s="37" t="e">
        <f t="shared" si="3"/>
        <v>#DIV/0!</v>
      </c>
      <c r="U83" s="39" t="e">
        <f t="shared" si="4"/>
        <v>#DIV/0!</v>
      </c>
      <c r="V83" s="39" t="e">
        <f t="shared" si="22"/>
        <v>#DIV/0!</v>
      </c>
      <c r="W83" s="9" t="e">
        <f t="shared" si="23"/>
        <v>#DIV/0!</v>
      </c>
      <c r="AB83" s="129">
        <v>85.496163079495716</v>
      </c>
      <c r="AC83" s="9">
        <v>15.25</v>
      </c>
      <c r="AD83" s="129">
        <f t="shared" si="24"/>
        <v>100.74619937026121</v>
      </c>
      <c r="AE83" s="36">
        <f t="shared" si="53"/>
        <v>1.5168692353508975E-2</v>
      </c>
      <c r="AF83" s="37">
        <f t="shared" si="25"/>
        <v>38946488.900336891</v>
      </c>
      <c r="AG83" s="36">
        <f t="shared" si="5"/>
        <v>1.9734481963945967</v>
      </c>
      <c r="AH83" s="37">
        <f t="shared" si="26"/>
        <v>-2.0215071681669076E-4</v>
      </c>
      <c r="AI83" s="37">
        <f t="shared" si="27"/>
        <v>-6.6700382272645176E-3</v>
      </c>
      <c r="AJ83" s="37">
        <f t="shared" si="28"/>
        <v>-0.11005761414636619</v>
      </c>
      <c r="AK83" s="39">
        <f t="shared" si="29"/>
        <v>2.0365916419255541E-2</v>
      </c>
      <c r="AL83" s="39">
        <f>AL82+(1000*$C$2*($B83-$B82))/(BerechnungenCLT!$W$47*2*AF83)</f>
        <v>1.8698959876708317E-3</v>
      </c>
      <c r="AM83" s="37">
        <f t="shared" si="6"/>
        <v>2.5867851561168519E-6</v>
      </c>
      <c r="AN83" s="173">
        <f t="shared" si="30"/>
        <v>3101.0379416396859</v>
      </c>
      <c r="AO83" s="173">
        <v>-258.06372403682451</v>
      </c>
      <c r="AV83" s="129">
        <v>85.4366623184752</v>
      </c>
      <c r="AW83" s="9">
        <v>15.25</v>
      </c>
      <c r="AX83" s="129">
        <f t="shared" si="31"/>
        <v>100.69654818228999</v>
      </c>
      <c r="AY83" s="36">
        <f t="shared" si="54"/>
        <v>1.5169593659161505E-2</v>
      </c>
      <c r="AZ83" s="37">
        <f t="shared" si="32"/>
        <v>38903801.774560817</v>
      </c>
      <c r="BA83" s="36">
        <f t="shared" si="7"/>
        <v>1.9733833520854112</v>
      </c>
      <c r="BB83" s="37">
        <f t="shared" si="33"/>
        <v>-2.0237252632323928E-4</v>
      </c>
      <c r="BC83" s="37">
        <f t="shared" si="34"/>
        <v>-6.6673325637986733E-3</v>
      </c>
      <c r="BD83" s="37">
        <f t="shared" si="35"/>
        <v>-0.1100513523611855</v>
      </c>
      <c r="BE83" s="39">
        <f t="shared" si="36"/>
        <v>2.0378214847679814E-2</v>
      </c>
      <c r="BF83" s="39">
        <f>BF82+(1000*$C$2*($B83-$B82))/(BerechnungenCLT!$W$47*2*AZ83)</f>
        <v>1.8691143040598858E-3</v>
      </c>
      <c r="BG83" s="37">
        <f t="shared" si="8"/>
        <v>2.5883472460045133E-6</v>
      </c>
      <c r="BH83" s="173">
        <f t="shared" si="37"/>
        <v>3104.6760197778772</v>
      </c>
      <c r="BI83">
        <v>-258.16678739602281</v>
      </c>
      <c r="BP83" s="129">
        <v>85.498266244697291</v>
      </c>
      <c r="BQ83" s="9">
        <v>15.25</v>
      </c>
      <c r="BR83" s="129">
        <f t="shared" si="38"/>
        <v>100.74827365449825</v>
      </c>
      <c r="BS83" s="36">
        <f t="shared" si="55"/>
        <v>1.5169003862429095E-2</v>
      </c>
      <c r="BT83" s="37">
        <f t="shared" si="39"/>
        <v>38949023.3071227</v>
      </c>
      <c r="BU83" s="36">
        <f t="shared" si="9"/>
        <v>1.9734494751536493</v>
      </c>
      <c r="BV83" s="37">
        <f t="shared" si="40"/>
        <v>-2.0213756290152283E-4</v>
      </c>
      <c r="BW83" s="37">
        <f t="shared" si="41"/>
        <v>-6.6701125624278974E-3</v>
      </c>
      <c r="BX83" s="37">
        <f t="shared" si="42"/>
        <v>-0.11005774612190164</v>
      </c>
      <c r="BY83" s="39">
        <f t="shared" si="43"/>
        <v>2.0365010503055975E-2</v>
      </c>
      <c r="BZ83" s="39">
        <f>BZ82+(1000*$C$2*($B83-$B82))/(BerechnungenCLT!$W$47*2*BT83)</f>
        <v>1.8699174766644089E-3</v>
      </c>
      <c r="CA83" s="37">
        <f t="shared" si="10"/>
        <v>2.5866700908023586E-6</v>
      </c>
      <c r="CB83" s="173">
        <f t="shared" si="44"/>
        <v>3100.8988326507765</v>
      </c>
      <c r="CC83" s="9">
        <v>-258.07032165951381</v>
      </c>
      <c r="CJ83" s="9">
        <f t="shared" si="60"/>
        <v>32</v>
      </c>
      <c r="CK83" s="129">
        <v>85.492448675632019</v>
      </c>
      <c r="CL83" s="9">
        <v>10.09375</v>
      </c>
      <c r="CM83" s="129">
        <f t="shared" si="56"/>
        <v>95.586199318439796</v>
      </c>
      <c r="CN83" s="36">
        <f t="shared" si="57"/>
        <v>9.7615460850219767E-3</v>
      </c>
      <c r="CO83" s="173">
        <f t="shared" si="58"/>
        <v>3280.4206522910927</v>
      </c>
      <c r="CP83" s="9">
        <v>-630.15165414828141</v>
      </c>
      <c r="CQ83" s="129"/>
      <c r="CR83" s="36">
        <f t="shared" si="45"/>
        <v>0.83466858954202472</v>
      </c>
      <c r="CS83" s="17">
        <f t="shared" si="11"/>
        <v>0.60002740721850156</v>
      </c>
      <c r="CT83" s="9">
        <f t="shared" si="12"/>
        <v>10.093288951707168</v>
      </c>
      <c r="CU83" s="9">
        <f t="shared" si="46"/>
        <v>95.585738270117602</v>
      </c>
      <c r="CV83" s="9">
        <v>13.2</v>
      </c>
      <c r="CW83" s="9">
        <f t="shared" si="47"/>
        <v>98.692449516257412</v>
      </c>
      <c r="CX83">
        <f t="shared" si="48"/>
        <v>22</v>
      </c>
      <c r="CY83" s="9">
        <f t="shared" si="13"/>
        <v>625.53816165257649</v>
      </c>
      <c r="CZ83" s="17">
        <f t="shared" si="49"/>
        <v>0.58901898460694591</v>
      </c>
      <c r="DA83">
        <v>45</v>
      </c>
      <c r="DB83" s="9">
        <f t="shared" si="50"/>
        <v>10.094641554535167</v>
      </c>
      <c r="DC83" s="9">
        <f t="shared" si="51"/>
        <v>10.929310144093595</v>
      </c>
    </row>
    <row r="84" spans="1:107" x14ac:dyDescent="0.25">
      <c r="A84" s="9"/>
      <c r="B84" s="9">
        <f t="shared" si="59"/>
        <v>33</v>
      </c>
      <c r="C84" s="9">
        <v>85.547075415638858</v>
      </c>
      <c r="D84" s="9"/>
      <c r="E84" s="129">
        <f t="shared" si="14"/>
        <v>85.547075415638858</v>
      </c>
      <c r="F84" s="36">
        <f t="shared" si="52"/>
        <v>0</v>
      </c>
      <c r="G84" s="37">
        <f t="shared" si="62"/>
        <v>0</v>
      </c>
      <c r="H84" s="36" t="e">
        <f t="shared" si="16"/>
        <v>#DIV/0!</v>
      </c>
      <c r="I84" s="37" t="e">
        <f t="shared" si="17"/>
        <v>#DIV/0!</v>
      </c>
      <c r="J84" s="37" t="e">
        <f t="shared" si="18"/>
        <v>#DIV/0!</v>
      </c>
      <c r="K84" s="37" t="e">
        <f t="shared" si="19"/>
        <v>#DIV/0!</v>
      </c>
      <c r="L84" s="39" t="e">
        <f t="shared" si="20"/>
        <v>#DIV/0!</v>
      </c>
      <c r="M84" s="39" t="e">
        <f>M83+(1000*$C$2*(B84-B83))/(BerechnungenCLT!$W$47*2*'Berechnung freier Bereich'!G84)</f>
        <v>#DIV/0!</v>
      </c>
      <c r="N84" s="17" t="e">
        <f t="shared" si="61"/>
        <v>#DIV/0!</v>
      </c>
      <c r="O84" s="173">
        <f t="shared" si="21"/>
        <v>3674.4614765345782</v>
      </c>
      <c r="P84" s="173"/>
      <c r="Q84" s="173"/>
      <c r="R84" s="37" t="e">
        <f t="shared" si="1"/>
        <v>#DIV/0!</v>
      </c>
      <c r="S84" s="37" t="e">
        <f t="shared" si="2"/>
        <v>#DIV/0!</v>
      </c>
      <c r="T84" s="37" t="e">
        <f t="shared" si="3"/>
        <v>#DIV/0!</v>
      </c>
      <c r="U84" s="39" t="e">
        <f t="shared" si="4"/>
        <v>#DIV/0!</v>
      </c>
      <c r="V84" s="39" t="e">
        <f t="shared" si="22"/>
        <v>#DIV/0!</v>
      </c>
      <c r="W84" s="9" t="e">
        <f t="shared" si="23"/>
        <v>#DIV/0!</v>
      </c>
      <c r="AB84" s="129">
        <v>85.493981463049735</v>
      </c>
      <c r="AC84" s="9">
        <v>15.25</v>
      </c>
      <c r="AD84" s="129">
        <f t="shared" si="24"/>
        <v>100.74401837445289</v>
      </c>
      <c r="AE84" s="36">
        <f t="shared" si="53"/>
        <v>1.5168337653576608E-2</v>
      </c>
      <c r="AF84" s="37">
        <f t="shared" si="25"/>
        <v>38943765.829774171</v>
      </c>
      <c r="AG84" s="36">
        <f t="shared" si="5"/>
        <v>1.9734469627061579</v>
      </c>
      <c r="AH84" s="37">
        <f t="shared" si="26"/>
        <v>-2.0216485183045915E-4</v>
      </c>
      <c r="AI84" s="37">
        <f t="shared" si="27"/>
        <v>-6.8722030790949766E-3</v>
      </c>
      <c r="AJ84" s="37">
        <f t="shared" si="28"/>
        <v>-0.11682873479954595</v>
      </c>
      <c r="AK84" s="39">
        <f t="shared" si="29"/>
        <v>2.0366899547476322E-2</v>
      </c>
      <c r="AL84" s="39">
        <f>AL83+(1000*$C$2*($B84-$B83))/(BerechnungenCLT!$W$47*2*AF84)</f>
        <v>1.9283425555469084E-3</v>
      </c>
      <c r="AM84" s="37">
        <f t="shared" si="6"/>
        <v>2.5869100285476192E-6</v>
      </c>
      <c r="AN84" s="173">
        <f t="shared" si="30"/>
        <v>3101.1832265395519</v>
      </c>
      <c r="AO84" s="173">
        <v>-258.06694949862009</v>
      </c>
      <c r="AV84" s="129">
        <v>85.400649446301031</v>
      </c>
      <c r="AW84" s="9">
        <v>15.25</v>
      </c>
      <c r="AX84" s="129">
        <f t="shared" si="31"/>
        <v>100.66070432075699</v>
      </c>
      <c r="AY84" s="36">
        <f t="shared" si="54"/>
        <v>1.5163905382644921E-2</v>
      </c>
      <c r="AZ84" s="37">
        <f t="shared" si="32"/>
        <v>38859399.285271741</v>
      </c>
      <c r="BA84" s="36">
        <f t="shared" si="7"/>
        <v>1.9733624111866714</v>
      </c>
      <c r="BB84" s="37">
        <f t="shared" si="33"/>
        <v>-2.0260376623167187E-4</v>
      </c>
      <c r="BC84" s="37">
        <f t="shared" si="34"/>
        <v>-6.8699363300303452E-3</v>
      </c>
      <c r="BD84" s="37">
        <f t="shared" si="35"/>
        <v>-0.11681998680810002</v>
      </c>
      <c r="BE84" s="39">
        <f t="shared" si="36"/>
        <v>2.0394237806918094E-2</v>
      </c>
      <c r="BF84" s="39">
        <f>BF83+(1000*$C$2*($B84-$B83))/(BerechnungenCLT!$W$47*2*AZ84)</f>
        <v>1.9276877636291031E-3</v>
      </c>
      <c r="BG84" s="37">
        <f t="shared" si="8"/>
        <v>2.5903824086881553E-6</v>
      </c>
      <c r="BH84" s="173">
        <f t="shared" si="37"/>
        <v>3107.0745292203546</v>
      </c>
      <c r="BI84">
        <v>-258.28765271107125</v>
      </c>
      <c r="BP84" s="129">
        <v>85.497280456986147</v>
      </c>
      <c r="BQ84" s="9">
        <v>15.25</v>
      </c>
      <c r="BR84" s="129">
        <f t="shared" si="38"/>
        <v>100.74728799350822</v>
      </c>
      <c r="BS84" s="36">
        <f t="shared" si="55"/>
        <v>1.5168843422201747E-2</v>
      </c>
      <c r="BT84" s="37">
        <f t="shared" si="39"/>
        <v>38947792.295032151</v>
      </c>
      <c r="BU84" s="36">
        <f t="shared" si="9"/>
        <v>1.9734489182339701</v>
      </c>
      <c r="BV84" s="37">
        <f t="shared" si="40"/>
        <v>-2.0214395180752297E-4</v>
      </c>
      <c r="BW84" s="37">
        <f t="shared" si="41"/>
        <v>-6.8722565142354201E-3</v>
      </c>
      <c r="BX84" s="37">
        <f t="shared" si="42"/>
        <v>-0.1168289306602333</v>
      </c>
      <c r="BY84" s="39">
        <f t="shared" si="43"/>
        <v>2.0365454928898363E-2</v>
      </c>
      <c r="BZ84" s="39">
        <f>BZ83+(1000*$C$2*($B84-$B83))/(BerechnungenCLT!$W$47*2*BT84)</f>
        <v>1.9283580022705356E-3</v>
      </c>
      <c r="CA84" s="37">
        <f t="shared" si="10"/>
        <v>2.5867265397314625E-6</v>
      </c>
      <c r="CB84" s="173">
        <f t="shared" si="44"/>
        <v>3100.9644806896126</v>
      </c>
      <c r="CC84" s="9">
        <v>-258.07578517554998</v>
      </c>
      <c r="CJ84" s="9">
        <f t="shared" si="60"/>
        <v>33</v>
      </c>
      <c r="CK84" s="129">
        <v>85.492805561451902</v>
      </c>
      <c r="CL84" s="9">
        <v>10.09375</v>
      </c>
      <c r="CM84" s="129">
        <f t="shared" si="56"/>
        <v>95.586556416514966</v>
      </c>
      <c r="CN84" s="36">
        <f t="shared" si="57"/>
        <v>9.76158477957185E-3</v>
      </c>
      <c r="CO84" s="173">
        <f t="shared" si="58"/>
        <v>3280.3947833806701</v>
      </c>
      <c r="CP84" s="9">
        <v>-630.1466848658564</v>
      </c>
      <c r="CQ84" s="129"/>
      <c r="CR84" s="36">
        <f t="shared" si="45"/>
        <v>0.83466678677321848</v>
      </c>
      <c r="CS84" s="17">
        <f t="shared" si="11"/>
        <v>0.60002611124222283</v>
      </c>
      <c r="CT84" s="9">
        <f t="shared" si="12"/>
        <v>10.093310751863546</v>
      </c>
      <c r="CU84" s="9">
        <f t="shared" si="46"/>
        <v>95.586117168341303</v>
      </c>
      <c r="CV84" s="9">
        <v>13.2</v>
      </c>
      <c r="CW84" s="9">
        <f t="shared" si="47"/>
        <v>98.692806679652023</v>
      </c>
      <c r="CX84">
        <f t="shared" si="48"/>
        <v>22</v>
      </c>
      <c r="CY84" s="9">
        <f t="shared" si="13"/>
        <v>625.53555037203398</v>
      </c>
      <c r="CZ84" s="17">
        <f t="shared" si="49"/>
        <v>0.58901652577404329</v>
      </c>
      <c r="DA84">
        <v>45</v>
      </c>
      <c r="DB84" s="9">
        <f t="shared" si="50"/>
        <v>10.094599414914132</v>
      </c>
      <c r="DC84" s="9">
        <f t="shared" si="51"/>
        <v>10.929266201709172</v>
      </c>
    </row>
    <row r="85" spans="1:107" x14ac:dyDescent="0.25">
      <c r="A85" s="9"/>
      <c r="B85" s="9">
        <f t="shared" si="59"/>
        <v>34</v>
      </c>
      <c r="C85" s="9">
        <v>85.546567434903508</v>
      </c>
      <c r="D85" s="9"/>
      <c r="E85" s="129">
        <f t="shared" si="14"/>
        <v>85.546567434903508</v>
      </c>
      <c r="F85" s="36">
        <f t="shared" si="52"/>
        <v>0</v>
      </c>
      <c r="G85" s="37">
        <f t="shared" si="62"/>
        <v>0</v>
      </c>
      <c r="H85" s="36" t="e">
        <f t="shared" si="16"/>
        <v>#DIV/0!</v>
      </c>
      <c r="I85" s="37" t="e">
        <f t="shared" si="17"/>
        <v>#DIV/0!</v>
      </c>
      <c r="J85" s="37" t="e">
        <f t="shared" si="18"/>
        <v>#DIV/0!</v>
      </c>
      <c r="K85" s="37" t="e">
        <f t="shared" si="19"/>
        <v>#DIV/0!</v>
      </c>
      <c r="L85" s="39" t="e">
        <f t="shared" si="20"/>
        <v>#DIV/0!</v>
      </c>
      <c r="M85" s="39" t="e">
        <f>M84+(1000*$C$2*(B85-B84))/(BerechnungenCLT!$W$47*2*'Berechnung freier Bereich'!G85)</f>
        <v>#DIV/0!</v>
      </c>
      <c r="N85" s="17" t="e">
        <f t="shared" si="61"/>
        <v>#DIV/0!</v>
      </c>
      <c r="O85" s="173">
        <f t="shared" si="21"/>
        <v>3674.5051150168856</v>
      </c>
      <c r="P85" s="173"/>
      <c r="Q85" s="173"/>
      <c r="R85" s="37" t="e">
        <f t="shared" si="1"/>
        <v>#DIV/0!</v>
      </c>
      <c r="S85" s="37" t="e">
        <f t="shared" si="2"/>
        <v>#DIV/0!</v>
      </c>
      <c r="T85" s="37" t="e">
        <f t="shared" si="3"/>
        <v>#DIV/0!</v>
      </c>
      <c r="U85" s="39" t="e">
        <f t="shared" si="4"/>
        <v>#DIV/0!</v>
      </c>
      <c r="V85" s="39" t="e">
        <f t="shared" si="22"/>
        <v>#DIV/0!</v>
      </c>
      <c r="W85" s="9" t="e">
        <f t="shared" si="23"/>
        <v>#DIV/0!</v>
      </c>
      <c r="AB85" s="129">
        <v>85.491781270872451</v>
      </c>
      <c r="AC85" s="9">
        <v>15.25</v>
      </c>
      <c r="AD85" s="129">
        <f t="shared" si="24"/>
        <v>100.74181493301445</v>
      </c>
      <c r="AE85" s="36">
        <f t="shared" si="53"/>
        <v>1.5167975763514394E-2</v>
      </c>
      <c r="AF85" s="37">
        <f t="shared" si="25"/>
        <v>38941007.254754812</v>
      </c>
      <c r="AG85" s="36">
        <f t="shared" si="5"/>
        <v>1.9734457306932403</v>
      </c>
      <c r="AH85" s="37">
        <f t="shared" si="26"/>
        <v>-2.0217917315775311E-4</v>
      </c>
      <c r="AI85" s="37">
        <f t="shared" si="27"/>
        <v>-7.0743822522527297E-3</v>
      </c>
      <c r="AJ85" s="37">
        <f t="shared" si="28"/>
        <v>-0.1238020274652198</v>
      </c>
      <c r="AK85" s="39">
        <f t="shared" si="29"/>
        <v>2.0367896845568247E-2</v>
      </c>
      <c r="AL85" s="39">
        <f>AL84+(1000*$C$2*($B85-$B84))/(BerechnungenCLT!$W$47*2*AF85)</f>
        <v>1.9867932637689461E-3</v>
      </c>
      <c r="AM85" s="37">
        <f t="shared" si="6"/>
        <v>2.5870367007703321E-6</v>
      </c>
      <c r="AN85" s="173">
        <f t="shared" si="30"/>
        <v>3101.3298878986411</v>
      </c>
      <c r="AO85" s="173">
        <v>-258.07086839577465</v>
      </c>
      <c r="AV85" s="129">
        <v>85.364329936615476</v>
      </c>
      <c r="AW85" s="9">
        <v>15.25</v>
      </c>
      <c r="AX85" s="129">
        <f t="shared" si="31"/>
        <v>100.62349995897489</v>
      </c>
      <c r="AY85" s="36">
        <f t="shared" si="54"/>
        <v>1.5157034295212823E-2</v>
      </c>
      <c r="AZ85" s="37">
        <f t="shared" si="32"/>
        <v>38811274.916894399</v>
      </c>
      <c r="BA85" s="36">
        <f t="shared" si="7"/>
        <v>1.9733446180838126</v>
      </c>
      <c r="BB85" s="37">
        <f t="shared" si="33"/>
        <v>-2.0285498648407653E-4</v>
      </c>
      <c r="BC85" s="37">
        <f t="shared" si="34"/>
        <v>-7.0727913165144216E-3</v>
      </c>
      <c r="BD85" s="37">
        <f t="shared" si="35"/>
        <v>-0.12379135063137241</v>
      </c>
      <c r="BE85" s="39">
        <f t="shared" si="36"/>
        <v>2.0411978724158328E-2</v>
      </c>
      <c r="BF85" s="39">
        <f>BF84+(1000*$C$2*($B85-$B84))/(BerechnungenCLT!$W$47*2*AZ85)</f>
        <v>1.9863338518545928E-3</v>
      </c>
      <c r="BG85" s="37">
        <f t="shared" si="8"/>
        <v>2.5926357785060513E-6</v>
      </c>
      <c r="BH85" s="173">
        <f t="shared" si="37"/>
        <v>3109.5315642017417</v>
      </c>
      <c r="BI85">
        <v>-258.43785953204474</v>
      </c>
      <c r="BP85" s="129">
        <v>85.496286275623746</v>
      </c>
      <c r="BQ85" s="9">
        <v>15.25</v>
      </c>
      <c r="BR85" s="129">
        <f t="shared" si="38"/>
        <v>100.74629314871534</v>
      </c>
      <c r="BS85" s="36">
        <f t="shared" si="55"/>
        <v>1.5168680764423544E-2</v>
      </c>
      <c r="BT85" s="37">
        <f t="shared" si="39"/>
        <v>38946548.285816208</v>
      </c>
      <c r="BU85" s="36">
        <f t="shared" si="9"/>
        <v>1.9734483590589893</v>
      </c>
      <c r="BV85" s="37">
        <f t="shared" si="40"/>
        <v>-2.0215040857840671E-4</v>
      </c>
      <c r="BW85" s="37">
        <f t="shared" si="41"/>
        <v>-7.0744069228138272E-3</v>
      </c>
      <c r="BX85" s="37">
        <f t="shared" si="42"/>
        <v>-0.12380226237875792</v>
      </c>
      <c r="BY85" s="39">
        <f t="shared" si="43"/>
        <v>2.0365904322772743E-2</v>
      </c>
      <c r="BZ85" s="39">
        <f>BZ84+(1000*$C$2*($B85-$B84))/(BerechnungenCLT!$W$47*2*BT85)</f>
        <v>1.9868003945517757E-3</v>
      </c>
      <c r="CA85" s="37">
        <f t="shared" si="10"/>
        <v>2.5867836196771702E-6</v>
      </c>
      <c r="CB85" s="173">
        <f t="shared" si="44"/>
        <v>3101.0307161596502</v>
      </c>
      <c r="CC85" s="9">
        <v>-258.08129758017208</v>
      </c>
      <c r="CJ85" s="9">
        <f t="shared" si="60"/>
        <v>34</v>
      </c>
      <c r="CK85" s="129">
        <v>85.493217173244688</v>
      </c>
      <c r="CL85" s="9">
        <v>10.09375</v>
      </c>
      <c r="CM85" s="129">
        <f t="shared" si="56"/>
        <v>95.586968278613085</v>
      </c>
      <c r="CN85" s="36">
        <f t="shared" si="57"/>
        <v>9.7616294132831603E-3</v>
      </c>
      <c r="CO85" s="173">
        <f t="shared" si="58"/>
        <v>3280.3649478323241</v>
      </c>
      <c r="CP85" s="9">
        <v>-630.1409536130277</v>
      </c>
      <c r="CQ85" s="129"/>
      <c r="CR85" s="36">
        <f t="shared" si="45"/>
        <v>0.83466470753902511</v>
      </c>
      <c r="CS85" s="17">
        <f t="shared" si="11"/>
        <v>0.60002461652022454</v>
      </c>
      <c r="CT85" s="9">
        <f t="shared" si="12"/>
        <v>10.093335895321331</v>
      </c>
      <c r="CU85" s="9">
        <f t="shared" si="46"/>
        <v>95.58655417388907</v>
      </c>
      <c r="CV85" s="9">
        <v>13.2</v>
      </c>
      <c r="CW85" s="9">
        <f t="shared" si="47"/>
        <v>98.693218618779085</v>
      </c>
      <c r="CX85">
        <f t="shared" si="48"/>
        <v>22</v>
      </c>
      <c r="CY85" s="9">
        <f t="shared" si="13"/>
        <v>625.53253869674722</v>
      </c>
      <c r="CZ85" s="17">
        <f t="shared" si="49"/>
        <v>0.58901368992160752</v>
      </c>
      <c r="DA85">
        <v>45</v>
      </c>
      <c r="DB85" s="9">
        <f t="shared" si="50"/>
        <v>10.09455081391045</v>
      </c>
      <c r="DC85" s="9">
        <f t="shared" si="51"/>
        <v>10.929215521477683</v>
      </c>
    </row>
    <row r="86" spans="1:107" x14ac:dyDescent="0.25">
      <c r="B86" s="9">
        <f t="shared" si="59"/>
        <v>35</v>
      </c>
      <c r="C86" s="9">
        <v>85.545099472515446</v>
      </c>
      <c r="D86" s="9"/>
      <c r="E86" s="129">
        <f t="shared" si="14"/>
        <v>85.545099472515446</v>
      </c>
      <c r="F86" s="36">
        <f t="shared" si="52"/>
        <v>0</v>
      </c>
      <c r="G86" s="37">
        <f t="shared" si="62"/>
        <v>0</v>
      </c>
      <c r="H86" s="36" t="e">
        <f t="shared" si="16"/>
        <v>#DIV/0!</v>
      </c>
      <c r="I86" s="37" t="e">
        <f t="shared" si="17"/>
        <v>#DIV/0!</v>
      </c>
      <c r="J86" s="37" t="e">
        <f t="shared" si="18"/>
        <v>#DIV/0!</v>
      </c>
      <c r="K86" s="37" t="e">
        <f t="shared" si="19"/>
        <v>#DIV/0!</v>
      </c>
      <c r="L86" s="39" t="e">
        <f t="shared" si="20"/>
        <v>#DIV/0!</v>
      </c>
      <c r="M86" s="39" t="e">
        <f>M85+(1000*$C$2*(B86-B85))/(BerechnungenCLT!$W$47*2*'Berechnung freier Bereich'!G86)</f>
        <v>#DIV/0!</v>
      </c>
      <c r="N86" s="17" t="e">
        <f t="shared" si="61"/>
        <v>#DIV/0!</v>
      </c>
      <c r="O86" s="173">
        <f t="shared" si="21"/>
        <v>3674.6312258430567</v>
      </c>
      <c r="P86" s="173"/>
      <c r="Q86" s="173"/>
      <c r="R86" s="37" t="e">
        <f t="shared" si="1"/>
        <v>#DIV/0!</v>
      </c>
      <c r="S86" s="37" t="e">
        <f t="shared" si="2"/>
        <v>#DIV/0!</v>
      </c>
      <c r="T86" s="37" t="e">
        <f t="shared" si="3"/>
        <v>#DIV/0!</v>
      </c>
      <c r="U86" s="39" t="e">
        <f t="shared" si="4"/>
        <v>#DIV/0!</v>
      </c>
      <c r="V86" s="39" t="e">
        <f t="shared" si="22"/>
        <v>#DIV/0!</v>
      </c>
      <c r="W86" s="9" t="e">
        <f t="shared" si="23"/>
        <v>#DIV/0!</v>
      </c>
      <c r="AB86" s="129">
        <v>85.489680149262242</v>
      </c>
      <c r="AC86" s="9">
        <v>15.25</v>
      </c>
      <c r="AD86" s="129">
        <f t="shared" si="24"/>
        <v>100.73970722547017</v>
      </c>
      <c r="AE86" s="36">
        <f t="shared" si="53"/>
        <v>1.5167626420995962E-2</v>
      </c>
      <c r="AF86" s="37">
        <f t="shared" si="25"/>
        <v>38938361.828749195</v>
      </c>
      <c r="AG86" s="36">
        <f t="shared" si="5"/>
        <v>1.9734445651009402</v>
      </c>
      <c r="AH86" s="37">
        <f t="shared" si="26"/>
        <v>-2.0219290897038997E-4</v>
      </c>
      <c r="AI86" s="37">
        <f t="shared" si="27"/>
        <v>-7.2765751612231195E-3</v>
      </c>
      <c r="AJ86" s="37">
        <f t="shared" si="28"/>
        <v>-0.13097750617195772</v>
      </c>
      <c r="AK86" s="39">
        <f t="shared" si="29"/>
        <v>2.0368854452743227E-2</v>
      </c>
      <c r="AL86" s="39">
        <f>AL85+(1000*$C$2*($B86-$B85))/(BerechnungenCLT!$W$47*2*AF86)</f>
        <v>2.0452479430626037E-3</v>
      </c>
      <c r="AM86" s="37">
        <f t="shared" si="6"/>
        <v>2.5871583316350881E-6</v>
      </c>
      <c r="AN86" s="173">
        <f t="shared" si="30"/>
        <v>3101.4700710924321</v>
      </c>
      <c r="AO86" s="173">
        <v>-258.07513529982788</v>
      </c>
      <c r="AV86" s="129">
        <v>85.329645826990799</v>
      </c>
      <c r="AW86" s="9">
        <v>15.25</v>
      </c>
      <c r="AX86" s="129">
        <f t="shared" si="31"/>
        <v>100.58702218398349</v>
      </c>
      <c r="AY86" s="36">
        <f t="shared" si="54"/>
        <v>1.5149453996267713E-2</v>
      </c>
      <c r="AZ86" s="37">
        <f t="shared" si="32"/>
        <v>38762323.101818636</v>
      </c>
      <c r="BA86" s="36">
        <f t="shared" si="7"/>
        <v>1.9733306214781674</v>
      </c>
      <c r="BB86" s="37">
        <f t="shared" si="33"/>
        <v>-2.0311116617071406E-4</v>
      </c>
      <c r="BC86" s="37">
        <f t="shared" si="34"/>
        <v>-7.2759024826851357E-3</v>
      </c>
      <c r="BD86" s="37">
        <f t="shared" si="35"/>
        <v>-0.13096569753097217</v>
      </c>
      <c r="BE86" s="39">
        <f t="shared" si="36"/>
        <v>2.0430347377428371E-2</v>
      </c>
      <c r="BF86" s="39">
        <f>BF85+(1000*$C$2*($B86-$B85))/(BerechnungenCLT!$W$47*2*AZ86)</f>
        <v>2.0450540025261903E-3</v>
      </c>
      <c r="BG86" s="37">
        <f t="shared" si="8"/>
        <v>2.5949688804710519E-6</v>
      </c>
      <c r="BH86" s="173">
        <f t="shared" si="37"/>
        <v>3111.9124424477927</v>
      </c>
      <c r="BI86">
        <v>-258.60470255301391</v>
      </c>
      <c r="BP86" s="129">
        <v>85.495336860401494</v>
      </c>
      <c r="BQ86" s="9">
        <v>15.25</v>
      </c>
      <c r="BR86" s="129">
        <f t="shared" si="38"/>
        <v>100.74534238878483</v>
      </c>
      <c r="BS86" s="36">
        <f t="shared" si="55"/>
        <v>1.5168524665564733E-2</v>
      </c>
      <c r="BT86" s="37">
        <f t="shared" si="39"/>
        <v>38945358.032364346</v>
      </c>
      <c r="BU86" s="36">
        <f t="shared" si="9"/>
        <v>1.9734478272970808</v>
      </c>
      <c r="BV86" s="37">
        <f t="shared" si="40"/>
        <v>-2.0215658672732519E-4</v>
      </c>
      <c r="BW86" s="37">
        <f t="shared" si="41"/>
        <v>-7.2765635095411521E-3</v>
      </c>
      <c r="BX86" s="37">
        <f t="shared" si="42"/>
        <v>-0.13097774759493541</v>
      </c>
      <c r="BY86" s="39">
        <f t="shared" si="43"/>
        <v>2.0366334545992452E-2</v>
      </c>
      <c r="BZ86" s="39">
        <f>BZ85+(1000*$C$2*($B86-$B85))/(BerechnungenCLT!$W$47*2*BT86)</f>
        <v>2.0452445729575415E-3</v>
      </c>
      <c r="CA86" s="37">
        <f t="shared" si="10"/>
        <v>2.5868382646543781E-6</v>
      </c>
      <c r="CB86" s="173">
        <f t="shared" si="44"/>
        <v>3101.0939948332307</v>
      </c>
      <c r="CC86" s="9">
        <v>-258.08656390730062</v>
      </c>
      <c r="CJ86" s="9">
        <f t="shared" si="60"/>
        <v>35</v>
      </c>
      <c r="CK86" s="129">
        <v>85.49368516937318</v>
      </c>
      <c r="CL86" s="9">
        <v>10.09375</v>
      </c>
      <c r="CM86" s="129">
        <f t="shared" si="56"/>
        <v>95.587436565928414</v>
      </c>
      <c r="CN86" s="36">
        <f t="shared" si="57"/>
        <v>9.7616801678450677E-3</v>
      </c>
      <c r="CO86" s="173">
        <f t="shared" si="58"/>
        <v>3280.331025539148</v>
      </c>
      <c r="CP86" s="9">
        <v>-630.13443731788652</v>
      </c>
      <c r="CQ86" s="129"/>
      <c r="CR86" s="36">
        <f t="shared" si="45"/>
        <v>0.83466234345507773</v>
      </c>
      <c r="CS86" s="17">
        <f t="shared" si="11"/>
        <v>0.60002291702514443</v>
      </c>
      <c r="CT86" s="9">
        <f t="shared" si="12"/>
        <v>10.093364483520565</v>
      </c>
      <c r="CU86" s="9">
        <f t="shared" si="46"/>
        <v>95.587051049395654</v>
      </c>
      <c r="CV86" s="9">
        <v>13.2</v>
      </c>
      <c r="CW86" s="9">
        <f t="shared" si="47"/>
        <v>98.69368699570424</v>
      </c>
      <c r="CX86">
        <f t="shared" si="48"/>
        <v>22</v>
      </c>
      <c r="CY86" s="9">
        <f t="shared" si="13"/>
        <v>625.52911450458873</v>
      </c>
      <c r="CZ86" s="17">
        <f t="shared" si="49"/>
        <v>0.58901046563520598</v>
      </c>
      <c r="DA86">
        <v>45</v>
      </c>
      <c r="DB86" s="9">
        <f t="shared" si="50"/>
        <v>10.09449555590291</v>
      </c>
      <c r="DC86" s="9">
        <f t="shared" si="51"/>
        <v>10.929157899393626</v>
      </c>
    </row>
    <row r="87" spans="1:107" x14ac:dyDescent="0.25">
      <c r="B87" s="9">
        <f t="shared" si="59"/>
        <v>36</v>
      </c>
      <c r="C87" s="9">
        <v>85.542575530309406</v>
      </c>
      <c r="D87" s="9"/>
      <c r="E87" s="129">
        <f t="shared" si="14"/>
        <v>85.542575530309406</v>
      </c>
      <c r="F87" s="36">
        <f t="shared" si="52"/>
        <v>0</v>
      </c>
      <c r="G87" s="37">
        <f t="shared" si="62"/>
        <v>0</v>
      </c>
      <c r="H87" s="36" t="e">
        <f t="shared" si="16"/>
        <v>#DIV/0!</v>
      </c>
      <c r="I87" s="37" t="e">
        <f t="shared" si="17"/>
        <v>#DIV/0!</v>
      </c>
      <c r="J87" s="37" t="e">
        <f t="shared" si="18"/>
        <v>#DIV/0!</v>
      </c>
      <c r="K87" s="37" t="e">
        <f t="shared" si="19"/>
        <v>#DIV/0!</v>
      </c>
      <c r="L87" s="39" t="e">
        <f t="shared" si="20"/>
        <v>#DIV/0!</v>
      </c>
      <c r="M87" s="39" t="e">
        <f>M86+(1000*$C$2*(B87-B86))/(BerechnungenCLT!$W$47*2*'Berechnung freier Bereich'!G87)</f>
        <v>#DIV/0!</v>
      </c>
      <c r="N87" s="17" t="e">
        <f t="shared" si="61"/>
        <v>#DIV/0!</v>
      </c>
      <c r="O87" s="173">
        <f t="shared" si="21"/>
        <v>3674.8480697622026</v>
      </c>
      <c r="P87" s="173"/>
      <c r="Q87" s="173"/>
      <c r="R87" s="37" t="e">
        <f t="shared" si="1"/>
        <v>#DIV/0!</v>
      </c>
      <c r="S87" s="37" t="e">
        <f t="shared" si="2"/>
        <v>#DIV/0!</v>
      </c>
      <c r="T87" s="37" t="e">
        <f t="shared" si="3"/>
        <v>#DIV/0!</v>
      </c>
      <c r="U87" s="39" t="e">
        <f t="shared" si="4"/>
        <v>#DIV/0!</v>
      </c>
      <c r="V87" s="39" t="e">
        <f t="shared" si="22"/>
        <v>#DIV/0!</v>
      </c>
      <c r="W87" s="9" t="e">
        <f t="shared" si="23"/>
        <v>#DIV/0!</v>
      </c>
      <c r="AB87" s="129">
        <v>85.487795744517527</v>
      </c>
      <c r="AC87" s="9">
        <v>15.25</v>
      </c>
      <c r="AD87" s="129">
        <f t="shared" si="24"/>
        <v>100.7378140645519</v>
      </c>
      <c r="AE87" s="36">
        <f t="shared" si="53"/>
        <v>1.5167310044947173E-2</v>
      </c>
      <c r="AF87" s="37">
        <f t="shared" si="25"/>
        <v>38935980.2120988</v>
      </c>
      <c r="AG87" s="36">
        <f t="shared" si="5"/>
        <v>1.9734435286866401</v>
      </c>
      <c r="AH87" s="37">
        <f t="shared" si="26"/>
        <v>-2.0220527660556883E-4</v>
      </c>
      <c r="AI87" s="37">
        <f t="shared" si="27"/>
        <v>-7.4787804378286882E-3</v>
      </c>
      <c r="AJ87" s="37">
        <f t="shared" si="28"/>
        <v>-0.13835518397148364</v>
      </c>
      <c r="AK87" s="39">
        <f t="shared" si="29"/>
        <v>2.0369717557563078E-2</v>
      </c>
      <c r="AL87" s="39">
        <f>AL86+(1000*$C$2*($B87-$B86))/(BerechnungenCLT!$W$47*2*AF87)</f>
        <v>2.1037061978829781E-3</v>
      </c>
      <c r="AM87" s="37">
        <f t="shared" si="6"/>
        <v>2.5872679592447774E-6</v>
      </c>
      <c r="AN87" s="173">
        <f t="shared" si="30"/>
        <v>3101.5958983155124</v>
      </c>
      <c r="AO87" s="173">
        <v>-258.07940425825313</v>
      </c>
      <c r="AV87" s="129">
        <v>85.298539154999318</v>
      </c>
      <c r="AW87" s="9">
        <v>15.25</v>
      </c>
      <c r="AX87" s="129">
        <f t="shared" si="31"/>
        <v>100.55353046105034</v>
      </c>
      <c r="AY87" s="36">
        <f t="shared" si="54"/>
        <v>1.5141822826591695E-2</v>
      </c>
      <c r="AZ87" s="37">
        <f t="shared" si="32"/>
        <v>38715978.19539468</v>
      </c>
      <c r="BA87" s="36">
        <f t="shared" si="7"/>
        <v>1.9733205241850496</v>
      </c>
      <c r="BB87" s="37">
        <f t="shared" si="33"/>
        <v>-2.0335430010219667E-4</v>
      </c>
      <c r="BC87" s="37">
        <f t="shared" si="34"/>
        <v>-7.4792567827873324E-3</v>
      </c>
      <c r="BD87" s="37">
        <f t="shared" si="35"/>
        <v>-0.13834327716370842</v>
      </c>
      <c r="BE87" s="39">
        <f t="shared" si="36"/>
        <v>2.0447992809711806E-2</v>
      </c>
      <c r="BF87" s="39">
        <f>BF86+(1000*$C$2*($B87-$B86))/(BerechnungenCLT!$W$47*2*AZ87)</f>
        <v>2.1038444440703145E-3</v>
      </c>
      <c r="BG87" s="37">
        <f t="shared" si="8"/>
        <v>2.5972101222283291E-6</v>
      </c>
      <c r="BH87" s="173">
        <f t="shared" si="37"/>
        <v>3114.076093198234</v>
      </c>
      <c r="BI87">
        <v>-258.77468165857772</v>
      </c>
      <c r="BP87" s="129">
        <v>85.494485371110812</v>
      </c>
      <c r="BQ87" s="9">
        <v>15.25</v>
      </c>
      <c r="BR87" s="129">
        <f t="shared" si="38"/>
        <v>100.74448911166968</v>
      </c>
      <c r="BS87" s="36">
        <f t="shared" si="55"/>
        <v>1.5168384041212653E-2</v>
      </c>
      <c r="BT87" s="37">
        <f t="shared" si="39"/>
        <v>38944288.697502784</v>
      </c>
      <c r="BU87" s="36">
        <f t="shared" si="9"/>
        <v>1.9734473522108846</v>
      </c>
      <c r="BV87" s="37">
        <f t="shared" si="40"/>
        <v>-2.0216213755628912E-4</v>
      </c>
      <c r="BW87" s="37">
        <f t="shared" si="41"/>
        <v>-7.478725647097441E-3</v>
      </c>
      <c r="BX87" s="37">
        <f t="shared" si="42"/>
        <v>-0.13835539217325471</v>
      </c>
      <c r="BY87" s="39">
        <f t="shared" si="43"/>
        <v>2.0366721265831438E-2</v>
      </c>
      <c r="BZ87" s="39">
        <f>BZ86+(1000*$C$2*($B87-$B86))/(BerechnungenCLT!$W$47*2*BT87)</f>
        <v>2.1036903561274336E-3</v>
      </c>
      <c r="CA87" s="37">
        <f t="shared" si="10"/>
        <v>2.5868873840319926E-6</v>
      </c>
      <c r="CB87" s="173">
        <f t="shared" si="44"/>
        <v>3101.1507677517284</v>
      </c>
      <c r="CC87" s="9">
        <v>-258.09128879712415</v>
      </c>
      <c r="CJ87" s="9">
        <f t="shared" si="60"/>
        <v>36</v>
      </c>
      <c r="CK87" s="129">
        <v>85.494211208200198</v>
      </c>
      <c r="CL87" s="9">
        <v>10.09375</v>
      </c>
      <c r="CM87" s="129">
        <f t="shared" si="56"/>
        <v>95.587962939738532</v>
      </c>
      <c r="CN87" s="36">
        <f t="shared" si="57"/>
        <v>9.7617372250320342E-3</v>
      </c>
      <c r="CO87" s="173">
        <f t="shared" si="58"/>
        <v>3280.2928964211433</v>
      </c>
      <c r="CP87" s="9">
        <v>-630.12711291369317</v>
      </c>
      <c r="CQ87" s="129"/>
      <c r="CR87" s="36">
        <f t="shared" si="45"/>
        <v>0.8346596861369453</v>
      </c>
      <c r="CS87" s="17">
        <f t="shared" si="11"/>
        <v>0.60002100672957426</v>
      </c>
      <c r="CT87" s="9">
        <f t="shared" si="12"/>
        <v>10.093396617911269</v>
      </c>
      <c r="CU87" s="9">
        <f t="shared" si="46"/>
        <v>95.58760955758919</v>
      </c>
      <c r="CV87" s="9">
        <v>13.2</v>
      </c>
      <c r="CW87" s="9">
        <f t="shared" si="47"/>
        <v>98.69421347260203</v>
      </c>
      <c r="CX87">
        <f t="shared" si="48"/>
        <v>22</v>
      </c>
      <c r="CY87" s="9">
        <f t="shared" si="13"/>
        <v>625.52526567556276</v>
      </c>
      <c r="CZ87" s="17">
        <f t="shared" si="49"/>
        <v>0.58900684150241311</v>
      </c>
      <c r="DA87">
        <v>45</v>
      </c>
      <c r="DB87" s="9">
        <f t="shared" si="50"/>
        <v>10.0944334453047</v>
      </c>
      <c r="DC87" s="9">
        <f t="shared" si="51"/>
        <v>10.929093131485834</v>
      </c>
    </row>
    <row r="88" spans="1:107" x14ac:dyDescent="0.25">
      <c r="B88" s="9">
        <f t="shared" si="59"/>
        <v>37</v>
      </c>
      <c r="C88" s="9">
        <v>85.538899610120097</v>
      </c>
      <c r="D88" s="9"/>
      <c r="E88" s="129">
        <f t="shared" si="14"/>
        <v>85.538899610120097</v>
      </c>
      <c r="F88" s="36">
        <f t="shared" si="52"/>
        <v>0</v>
      </c>
      <c r="G88" s="37">
        <f t="shared" si="62"/>
        <v>0</v>
      </c>
      <c r="H88" s="36" t="e">
        <f t="shared" si="16"/>
        <v>#DIV/0!</v>
      </c>
      <c r="I88" s="37" t="e">
        <f t="shared" si="17"/>
        <v>#DIV/0!</v>
      </c>
      <c r="J88" s="37" t="e">
        <f t="shared" si="18"/>
        <v>#DIV/0!</v>
      </c>
      <c r="K88" s="37" t="e">
        <f t="shared" si="19"/>
        <v>#DIV/0!</v>
      </c>
      <c r="L88" s="39" t="e">
        <f t="shared" si="20"/>
        <v>#DIV/0!</v>
      </c>
      <c r="M88" s="39" t="e">
        <f>M87+(1000*$C$2*(B88-B87))/(BerechnungenCLT!$W$47*2*'Berechnung freier Bereich'!G88)</f>
        <v>#DIV/0!</v>
      </c>
      <c r="N88" s="17" t="e">
        <f t="shared" si="61"/>
        <v>#DIV/0!</v>
      </c>
      <c r="O88" s="173">
        <f t="shared" si="21"/>
        <v>3675.1639199432925</v>
      </c>
      <c r="P88" s="173"/>
      <c r="Q88" s="173"/>
      <c r="R88" s="37" t="e">
        <f t="shared" si="1"/>
        <v>#DIV/0!</v>
      </c>
      <c r="S88" s="37" t="e">
        <f t="shared" si="2"/>
        <v>#DIV/0!</v>
      </c>
      <c r="T88" s="37" t="e">
        <f t="shared" si="3"/>
        <v>#DIV/0!</v>
      </c>
      <c r="U88" s="39" t="e">
        <f t="shared" si="4"/>
        <v>#DIV/0!</v>
      </c>
      <c r="V88" s="39" t="e">
        <f t="shared" si="22"/>
        <v>#DIV/0!</v>
      </c>
      <c r="W88" s="9" t="e">
        <f t="shared" si="23"/>
        <v>#DIV/0!</v>
      </c>
      <c r="AB88" s="129">
        <v>85.486245702936728</v>
      </c>
      <c r="AC88" s="9">
        <v>15.25</v>
      </c>
      <c r="AD88" s="129">
        <f t="shared" si="24"/>
        <v>100.73625489620227</v>
      </c>
      <c r="AE88" s="36">
        <f t="shared" si="53"/>
        <v>1.5167047735466945E-2</v>
      </c>
      <c r="AF88" s="37">
        <f t="shared" si="25"/>
        <v>38934015.076260731</v>
      </c>
      <c r="AG88" s="36">
        <f t="shared" si="5"/>
        <v>1.9734426822161983</v>
      </c>
      <c r="AH88" s="37">
        <f t="shared" si="26"/>
        <v>-2.0221548261270493E-4</v>
      </c>
      <c r="AI88" s="37">
        <f t="shared" si="27"/>
        <v>-7.6809959204413927E-3</v>
      </c>
      <c r="AJ88" s="37">
        <f t="shared" si="28"/>
        <v>-0.14593507215061868</v>
      </c>
      <c r="AK88" s="39">
        <f t="shared" si="29"/>
        <v>2.0370430400432002E-2</v>
      </c>
      <c r="AL88" s="39">
        <f>AL87+(1000*$C$2*($B88-$B87))/(BerechnungenCLT!$W$47*2*AF88)</f>
        <v>2.162167403295819E-3</v>
      </c>
      <c r="AM88" s="37">
        <f t="shared" si="6"/>
        <v>2.5873585012716622E-6</v>
      </c>
      <c r="AN88" s="173">
        <f t="shared" si="30"/>
        <v>3101.6994689714888</v>
      </c>
      <c r="AO88" s="173">
        <v>-258.08332879088118</v>
      </c>
      <c r="AV88" s="129">
        <v>85.272951958213341</v>
      </c>
      <c r="AW88" s="9">
        <v>15.25</v>
      </c>
      <c r="AX88" s="129">
        <f t="shared" si="31"/>
        <v>100.52545687319711</v>
      </c>
      <c r="AY88" s="36">
        <f t="shared" si="54"/>
        <v>1.5134983717859332E-2</v>
      </c>
      <c r="AZ88" s="37">
        <f t="shared" si="32"/>
        <v>38676212.972254805</v>
      </c>
      <c r="BA88" s="36">
        <f t="shared" si="7"/>
        <v>1.9733138797982999</v>
      </c>
      <c r="BB88" s="37">
        <f t="shared" si="33"/>
        <v>-2.0356338027056317E-4</v>
      </c>
      <c r="BC88" s="37">
        <f t="shared" si="34"/>
        <v>-7.6828201630578952E-3</v>
      </c>
      <c r="BD88" s="37">
        <f t="shared" si="35"/>
        <v>-0.14592431563663102</v>
      </c>
      <c r="BE88" s="39">
        <f t="shared" si="36"/>
        <v>2.0463301804350721E-2</v>
      </c>
      <c r="BF88" s="39">
        <f>BF87+(1000*$C$2*($B88-$B87))/(BerechnungenCLT!$W$47*2*AZ88)</f>
        <v>2.1626953314245849E-3</v>
      </c>
      <c r="BG88" s="37">
        <f t="shared" si="8"/>
        <v>2.5991546004080379E-6</v>
      </c>
      <c r="BH88" s="173">
        <f t="shared" si="37"/>
        <v>3115.8751171878739</v>
      </c>
      <c r="BI88">
        <v>-258.93349079465321</v>
      </c>
      <c r="BP88" s="129">
        <v>85.493784967543121</v>
      </c>
      <c r="BQ88" s="9">
        <v>15.25</v>
      </c>
      <c r="BR88" s="129">
        <f t="shared" si="38"/>
        <v>100.74378684461071</v>
      </c>
      <c r="BS88" s="36">
        <f t="shared" si="55"/>
        <v>1.5168267946064257E-2</v>
      </c>
      <c r="BT88" s="37">
        <f t="shared" si="39"/>
        <v>38943407.854942225</v>
      </c>
      <c r="BU88" s="36">
        <f t="shared" si="9"/>
        <v>1.9734469626565878</v>
      </c>
      <c r="BV88" s="37">
        <f t="shared" si="40"/>
        <v>-2.0216671016625576E-4</v>
      </c>
      <c r="BW88" s="37">
        <f t="shared" si="41"/>
        <v>-7.6808923572636969E-3</v>
      </c>
      <c r="BX88" s="37">
        <f t="shared" si="42"/>
        <v>-0.14593520117543529</v>
      </c>
      <c r="BY88" s="39">
        <f t="shared" si="43"/>
        <v>2.0367039956065463E-2</v>
      </c>
      <c r="BZ88" s="39">
        <f>BZ87+(1000*$C$2*($B88-$B87))/(BerechnungenCLT!$W$47*2*BT88)</f>
        <v>2.1621374612549081E-3</v>
      </c>
      <c r="CA88" s="37">
        <f t="shared" si="10"/>
        <v>2.5869278626016685E-6</v>
      </c>
      <c r="CB88" s="173">
        <f t="shared" si="44"/>
        <v>3101.1974813061343</v>
      </c>
      <c r="CC88" s="9">
        <v>-258.09517650280628</v>
      </c>
      <c r="CJ88" s="9">
        <f t="shared" si="60"/>
        <v>37</v>
      </c>
      <c r="CK88" s="129">
        <v>85.494796948088577</v>
      </c>
      <c r="CL88" s="9">
        <v>10.09375</v>
      </c>
      <c r="CM88" s="129">
        <f t="shared" si="56"/>
        <v>95.588549061404279</v>
      </c>
      <c r="CN88" s="36">
        <f t="shared" si="57"/>
        <v>9.7618007667037571E-3</v>
      </c>
      <c r="CO88" s="173">
        <f t="shared" si="58"/>
        <v>3280.2504404275014</v>
      </c>
      <c r="CP88" s="9">
        <v>-630.11895733931476</v>
      </c>
      <c r="CQ88" s="129"/>
      <c r="CR88" s="36">
        <f t="shared" si="45"/>
        <v>0.83465672720016015</v>
      </c>
      <c r="CS88" s="17">
        <f t="shared" si="11"/>
        <v>0.60001887960607947</v>
      </c>
      <c r="CT88" s="9">
        <f t="shared" si="12"/>
        <v>10.093432399953832</v>
      </c>
      <c r="CU88" s="9">
        <f t="shared" si="46"/>
        <v>95.588231461291613</v>
      </c>
      <c r="CV88" s="9">
        <v>13.2</v>
      </c>
      <c r="CW88" s="9">
        <f t="shared" si="47"/>
        <v>98.69479971175592</v>
      </c>
      <c r="CX88">
        <f t="shared" si="48"/>
        <v>22</v>
      </c>
      <c r="CY88" s="9">
        <f t="shared" si="13"/>
        <v>625.5209800919672</v>
      </c>
      <c r="CZ88" s="17">
        <f t="shared" si="49"/>
        <v>0.58900280611296341</v>
      </c>
      <c r="DA88">
        <v>45</v>
      </c>
      <c r="DB88" s="9">
        <f t="shared" si="50"/>
        <v>10.094364286566034</v>
      </c>
      <c r="DC88" s="9">
        <f t="shared" si="51"/>
        <v>10.929021013820126</v>
      </c>
    </row>
    <row r="89" spans="1:107" x14ac:dyDescent="0.25">
      <c r="B89" s="9">
        <f t="shared" si="59"/>
        <v>38</v>
      </c>
      <c r="C89" s="9">
        <v>85.533975713782297</v>
      </c>
      <c r="D89" s="9"/>
      <c r="E89" s="129">
        <f t="shared" si="14"/>
        <v>85.533975713782297</v>
      </c>
      <c r="F89" s="36">
        <f t="shared" si="52"/>
        <v>0</v>
      </c>
      <c r="G89" s="37">
        <f t="shared" si="62"/>
        <v>0</v>
      </c>
      <c r="H89" s="36" t="e">
        <f t="shared" si="16"/>
        <v>#DIV/0!</v>
      </c>
      <c r="I89" s="37" t="e">
        <f t="shared" si="17"/>
        <v>#DIV/0!</v>
      </c>
      <c r="J89" s="37" t="e">
        <f t="shared" si="18"/>
        <v>#DIV/0!</v>
      </c>
      <c r="K89" s="37" t="e">
        <f t="shared" si="19"/>
        <v>#DIV/0!</v>
      </c>
      <c r="L89" s="39" t="e">
        <f t="shared" si="20"/>
        <v>#DIV/0!</v>
      </c>
      <c r="M89" s="39" t="e">
        <f>M88+(1000*$C$2*(B89-B88))/(BerechnungenCLT!$W$47*2*'Berechnung freier Bereich'!G89)</f>
        <v>#DIV/0!</v>
      </c>
      <c r="N89" s="17" t="e">
        <f t="shared" si="61"/>
        <v>#DIV/0!</v>
      </c>
      <c r="O89" s="173">
        <f t="shared" si="21"/>
        <v>3675.5870651760733</v>
      </c>
      <c r="P89" s="173"/>
      <c r="Q89" s="173"/>
      <c r="R89" s="37" t="e">
        <f t="shared" si="1"/>
        <v>#DIV/0!</v>
      </c>
      <c r="S89" s="37" t="e">
        <f t="shared" si="2"/>
        <v>#DIV/0!</v>
      </c>
      <c r="T89" s="37" t="e">
        <f t="shared" si="3"/>
        <v>#DIV/0!</v>
      </c>
      <c r="U89" s="39" t="e">
        <f t="shared" si="4"/>
        <v>#DIV/0!</v>
      </c>
      <c r="V89" s="39" t="e">
        <f t="shared" si="22"/>
        <v>#DIV/0!</v>
      </c>
      <c r="W89" s="9" t="e">
        <f t="shared" si="23"/>
        <v>#DIV/0!</v>
      </c>
      <c r="AB89" s="129">
        <v>85.485147670818222</v>
      </c>
      <c r="AC89" s="9">
        <v>15.25</v>
      </c>
      <c r="AD89" s="129">
        <f t="shared" si="24"/>
        <v>100.73514979957758</v>
      </c>
      <c r="AE89" s="36">
        <f t="shared" si="53"/>
        <v>1.5166861273807326E-2</v>
      </c>
      <c r="AF89" s="37">
        <f t="shared" si="25"/>
        <v>38932621.112286635</v>
      </c>
      <c r="AG89" s="36">
        <f t="shared" si="5"/>
        <v>1.9734420844579836</v>
      </c>
      <c r="AH89" s="37">
        <f t="shared" si="26"/>
        <v>-2.0222272284184218E-4</v>
      </c>
      <c r="AI89" s="37">
        <f t="shared" si="27"/>
        <v>-7.8832186432832348E-3</v>
      </c>
      <c r="AJ89" s="37">
        <f t="shared" si="28"/>
        <v>-0.153717179432481</v>
      </c>
      <c r="AK89" s="39">
        <f t="shared" si="29"/>
        <v>2.0370936278351431E-2</v>
      </c>
      <c r="AL89" s="39">
        <f>AL88+(1000*$C$2*($B89-$B88))/(BerechnungenCLT!$W$47*2*AF89)</f>
        <v>2.2206307018843032E-3</v>
      </c>
      <c r="AM89" s="37">
        <f t="shared" si="6"/>
        <v>2.587422755561322E-6</v>
      </c>
      <c r="AN89" s="173">
        <f t="shared" si="30"/>
        <v>3101.7728603661767</v>
      </c>
      <c r="AO89" s="173">
        <v>-258.08656189328951</v>
      </c>
      <c r="AV89" s="129">
        <v>85.254826274205158</v>
      </c>
      <c r="AW89" s="9">
        <v>15.25</v>
      </c>
      <c r="AX89" s="129">
        <f t="shared" si="31"/>
        <v>100.50540633974171</v>
      </c>
      <c r="AY89" s="36">
        <f t="shared" si="54"/>
        <v>1.5129964289017179E-2</v>
      </c>
      <c r="AZ89" s="37">
        <f t="shared" si="32"/>
        <v>38647540.46800407</v>
      </c>
      <c r="BA89" s="36">
        <f t="shared" si="7"/>
        <v>1.9733096902743983</v>
      </c>
      <c r="BB89" s="37">
        <f t="shared" si="33"/>
        <v>-2.0371440338394687E-4</v>
      </c>
      <c r="BC89" s="37">
        <f t="shared" si="34"/>
        <v>-7.8865345664418419E-3</v>
      </c>
      <c r="BD89" s="37">
        <f t="shared" si="35"/>
        <v>-0.15370899300138088</v>
      </c>
      <c r="BE89" s="39">
        <f t="shared" si="36"/>
        <v>2.0474398889361634E-2</v>
      </c>
      <c r="BF89" s="39">
        <f>BF88+(1000*$C$2*($B89-$B88))/(BerechnungenCLT!$W$47*2*AZ89)</f>
        <v>2.2215898800907368E-3</v>
      </c>
      <c r="BG89" s="37">
        <f t="shared" si="8"/>
        <v>2.6005641011735061E-6</v>
      </c>
      <c r="BH89" s="173">
        <f t="shared" si="37"/>
        <v>3117.1559569837523</v>
      </c>
      <c r="BI89">
        <v>-259.06601720645699</v>
      </c>
      <c r="BP89" s="129">
        <v>85.49328880948984</v>
      </c>
      <c r="BQ89" s="9">
        <v>15.25</v>
      </c>
      <c r="BR89" s="129">
        <f t="shared" si="38"/>
        <v>100.74328924413675</v>
      </c>
      <c r="BS89" s="36">
        <f t="shared" si="55"/>
        <v>1.5168185573924197E-2</v>
      </c>
      <c r="BT89" s="37">
        <f t="shared" si="39"/>
        <v>38942783.491031215</v>
      </c>
      <c r="BU89" s="36">
        <f t="shared" si="9"/>
        <v>1.9734466870827134</v>
      </c>
      <c r="BV89" s="37">
        <f t="shared" si="40"/>
        <v>-2.0216995147533849E-4</v>
      </c>
      <c r="BW89" s="37">
        <f t="shared" si="41"/>
        <v>-7.8830623087390358E-3</v>
      </c>
      <c r="BX89" s="37">
        <f t="shared" si="42"/>
        <v>-0.15371717850843666</v>
      </c>
      <c r="BY89" s="39">
        <f t="shared" si="43"/>
        <v>2.0367265897953117E-2</v>
      </c>
      <c r="BZ89" s="39">
        <f>BZ88+(1000*$C$2*($B89-$B88))/(BerechnungenCLT!$W$47*2*BT89)</f>
        <v>2.2205855034562096E-3</v>
      </c>
      <c r="CA89" s="37">
        <f t="shared" si="10"/>
        <v>2.5869565607024113E-6</v>
      </c>
      <c r="CB89" s="173">
        <f t="shared" si="44"/>
        <v>3101.2305773788416</v>
      </c>
      <c r="CC89" s="9">
        <v>-258.09793090228533</v>
      </c>
      <c r="CJ89" s="9">
        <f t="shared" si="60"/>
        <v>38</v>
      </c>
      <c r="CK89" s="129">
        <v>85.495444047401094</v>
      </c>
      <c r="CL89" s="9">
        <v>10.09375</v>
      </c>
      <c r="CM89" s="129">
        <f t="shared" si="56"/>
        <v>95.589196592369731</v>
      </c>
      <c r="CN89" s="36">
        <f t="shared" si="57"/>
        <v>9.7618709748052528E-3</v>
      </c>
      <c r="CO89" s="173">
        <f t="shared" si="58"/>
        <v>3280.203537538951</v>
      </c>
      <c r="CP89" s="9">
        <v>-630.10994753967714</v>
      </c>
      <c r="CQ89" s="129"/>
      <c r="CR89" s="36">
        <f t="shared" si="45"/>
        <v>0.83465345826024606</v>
      </c>
      <c r="CS89" s="17">
        <f t="shared" si="11"/>
        <v>0.60001652962721885</v>
      </c>
      <c r="CT89" s="9">
        <f t="shared" si="12"/>
        <v>10.093471931119391</v>
      </c>
      <c r="CU89" s="9">
        <f t="shared" si="46"/>
        <v>95.588918523419011</v>
      </c>
      <c r="CV89" s="9">
        <v>13.2</v>
      </c>
      <c r="CW89" s="9">
        <f t="shared" si="47"/>
        <v>98.695447375558217</v>
      </c>
      <c r="CX89">
        <f t="shared" si="48"/>
        <v>22</v>
      </c>
      <c r="CY89" s="9">
        <f t="shared" si="13"/>
        <v>625.51624563856228</v>
      </c>
      <c r="CZ89" s="17">
        <f t="shared" si="49"/>
        <v>0.58899834805890994</v>
      </c>
      <c r="DA89">
        <v>45</v>
      </c>
      <c r="DB89" s="9">
        <f t="shared" si="50"/>
        <v>10.094287884176842</v>
      </c>
      <c r="DC89" s="9">
        <f t="shared" si="51"/>
        <v>10.928941342502039</v>
      </c>
    </row>
    <row r="90" spans="1:107" x14ac:dyDescent="0.25">
      <c r="B90" s="9">
        <f t="shared" si="59"/>
        <v>39</v>
      </c>
      <c r="C90" s="9">
        <v>85.527707843130671</v>
      </c>
      <c r="D90" s="9"/>
      <c r="E90" s="129">
        <f t="shared" si="14"/>
        <v>85.527707843130671</v>
      </c>
      <c r="F90" s="36">
        <f t="shared" si="52"/>
        <v>0</v>
      </c>
      <c r="G90" s="37">
        <f t="shared" si="62"/>
        <v>0</v>
      </c>
      <c r="H90" s="36" t="e">
        <f t="shared" si="16"/>
        <v>#DIV/0!</v>
      </c>
      <c r="I90" s="37" t="e">
        <f t="shared" si="17"/>
        <v>#DIV/0!</v>
      </c>
      <c r="J90" s="37" t="e">
        <f t="shared" si="18"/>
        <v>#DIV/0!</v>
      </c>
      <c r="K90" s="37" t="e">
        <f t="shared" si="19"/>
        <v>#DIV/0!</v>
      </c>
      <c r="L90" s="39" t="e">
        <f t="shared" si="20"/>
        <v>#DIV/0!</v>
      </c>
      <c r="M90" s="39" t="e">
        <f>M89+(1000*$C$2*(B90-B89))/(BerechnungenCLT!$W$47*2*'Berechnung freier Bereich'!G90)</f>
        <v>#DIV/0!</v>
      </c>
      <c r="N90" s="17" t="e">
        <f t="shared" si="61"/>
        <v>#DIV/0!</v>
      </c>
      <c r="O90" s="173">
        <f t="shared" si="21"/>
        <v>3676.1258133559177</v>
      </c>
      <c r="P90" s="173"/>
      <c r="Q90" s="173"/>
      <c r="R90" s="37" t="e">
        <f t="shared" si="1"/>
        <v>#DIV/0!</v>
      </c>
      <c r="S90" s="37" t="e">
        <f t="shared" si="2"/>
        <v>#DIV/0!</v>
      </c>
      <c r="T90" s="37" t="e">
        <f t="shared" si="3"/>
        <v>#DIV/0!</v>
      </c>
      <c r="U90" s="39" t="e">
        <f t="shared" si="4"/>
        <v>#DIV/0!</v>
      </c>
      <c r="V90" s="39" t="e">
        <f t="shared" si="22"/>
        <v>#DIV/0!</v>
      </c>
      <c r="W90" s="9" t="e">
        <f t="shared" si="23"/>
        <v>#DIV/0!</v>
      </c>
      <c r="AB90" s="129">
        <v>85.484619294460444</v>
      </c>
      <c r="AC90" s="9">
        <v>15.25</v>
      </c>
      <c r="AD90" s="129">
        <f t="shared" si="24"/>
        <v>100.73461948704795</v>
      </c>
      <c r="AE90" s="36">
        <f t="shared" si="53"/>
        <v>1.5166773122437806E-2</v>
      </c>
      <c r="AF90" s="37">
        <f t="shared" si="25"/>
        <v>38931955.043779865</v>
      </c>
      <c r="AG90" s="36">
        <f t="shared" si="5"/>
        <v>1.9734417921749539</v>
      </c>
      <c r="AH90" s="37">
        <f t="shared" si="26"/>
        <v>-2.0222618257528956E-4</v>
      </c>
      <c r="AI90" s="37">
        <f t="shared" si="27"/>
        <v>-8.0854448258585246E-3</v>
      </c>
      <c r="AJ90" s="37">
        <f t="shared" si="28"/>
        <v>-0.16170151116705189</v>
      </c>
      <c r="AK90" s="39">
        <f t="shared" si="29"/>
        <v>2.0371177552040081E-2</v>
      </c>
      <c r="AL90" s="39">
        <f>AL89+(1000*$C$2*($B90-$B89))/(BerechnungenCLT!$W$47*2*AF90)</f>
        <v>2.2790950006938639E-3</v>
      </c>
      <c r="AM90" s="37">
        <f t="shared" si="6"/>
        <v>2.587453401037004E-6</v>
      </c>
      <c r="AN90" s="173">
        <f t="shared" si="30"/>
        <v>3101.8081287070254</v>
      </c>
      <c r="AO90" s="173">
        <v>-258.08875604719856</v>
      </c>
      <c r="AV90" s="129">
        <v>85.246104140547089</v>
      </c>
      <c r="AW90" s="9">
        <v>15.25</v>
      </c>
      <c r="AX90" s="129">
        <f t="shared" si="31"/>
        <v>100.4961566196129</v>
      </c>
      <c r="AY90" s="36">
        <f t="shared" si="54"/>
        <v>1.5127977138332804E-2</v>
      </c>
      <c r="AZ90" s="37">
        <f t="shared" si="32"/>
        <v>38635019.936856546</v>
      </c>
      <c r="BA90" s="36">
        <f t="shared" si="7"/>
        <v>1.9733064053707794</v>
      </c>
      <c r="BB90" s="37">
        <f t="shared" si="33"/>
        <v>-2.0378042153372232E-4</v>
      </c>
      <c r="BC90" s="37">
        <f t="shared" si="34"/>
        <v>-8.0903149879755637E-3</v>
      </c>
      <c r="BD90" s="37">
        <f t="shared" si="35"/>
        <v>-0.16169741777858959</v>
      </c>
      <c r="BE90" s="39">
        <f t="shared" si="36"/>
        <v>2.0479149158463696E-2</v>
      </c>
      <c r="BF90" s="39">
        <f>BF89+(1000*$C$2*($B90-$B89))/(BerechnungenCLT!$W$47*2*AZ90)</f>
        <v>2.2805035148355858E-3</v>
      </c>
      <c r="BG90" s="37">
        <f t="shared" si="8"/>
        <v>2.6011674585352771E-6</v>
      </c>
      <c r="BH90" s="173">
        <f t="shared" si="37"/>
        <v>3117.7591991438776</v>
      </c>
      <c r="BI90">
        <v>-259.15635379501884</v>
      </c>
      <c r="BP90" s="129">
        <v>85.493050056742391</v>
      </c>
      <c r="BQ90" s="9">
        <v>15.25</v>
      </c>
      <c r="BR90" s="129">
        <f t="shared" si="38"/>
        <v>100.74305009606462</v>
      </c>
      <c r="BS90" s="36">
        <f t="shared" si="55"/>
        <v>1.5168146257710732E-2</v>
      </c>
      <c r="BT90" s="37">
        <f t="shared" si="39"/>
        <v>38942484.007337242</v>
      </c>
      <c r="BU90" s="36">
        <f t="shared" si="9"/>
        <v>1.9734465535284731</v>
      </c>
      <c r="BV90" s="37">
        <f t="shared" si="40"/>
        <v>-2.0217150624528759E-4</v>
      </c>
      <c r="BW90" s="37">
        <f t="shared" si="41"/>
        <v>-8.0852338149843238E-3</v>
      </c>
      <c r="BX90" s="37">
        <f t="shared" si="42"/>
        <v>-0.16170132657029834</v>
      </c>
      <c r="BY90" s="39">
        <f t="shared" si="43"/>
        <v>2.036737418166585E-2</v>
      </c>
      <c r="BZ90" s="39">
        <f>BZ89+(1000*$C$2*($B90-$B89))/(BerechnungenCLT!$W$47*2*BT90)</f>
        <v>2.2790339951469576E-3</v>
      </c>
      <c r="CA90" s="37">
        <f t="shared" si="10"/>
        <v>2.5869703144022192E-6</v>
      </c>
      <c r="CB90" s="173">
        <f t="shared" si="44"/>
        <v>3101.2464935469216</v>
      </c>
      <c r="CC90" s="9">
        <v>-258.099255515192</v>
      </c>
      <c r="CJ90" s="9">
        <f t="shared" si="60"/>
        <v>39</v>
      </c>
      <c r="CK90" s="129">
        <v>85.496154164500595</v>
      </c>
      <c r="CL90" s="9">
        <v>10.09375</v>
      </c>
      <c r="CM90" s="129">
        <f t="shared" si="56"/>
        <v>95.589907194162322</v>
      </c>
      <c r="CN90" s="36">
        <f t="shared" si="57"/>
        <v>9.761948031366886E-3</v>
      </c>
      <c r="CO90" s="173">
        <f t="shared" si="58"/>
        <v>3280.1520677701624</v>
      </c>
      <c r="CP90" s="9">
        <v>-630.10006046622573</v>
      </c>
      <c r="CQ90" s="129"/>
      <c r="CR90" s="36">
        <f t="shared" si="45"/>
        <v>0.83464987093274612</v>
      </c>
      <c r="CS90" s="17">
        <f t="shared" si="11"/>
        <v>0.60001395076556563</v>
      </c>
      <c r="CT90" s="9">
        <f t="shared" si="12"/>
        <v>10.093515312890228</v>
      </c>
      <c r="CU90" s="9">
        <f t="shared" si="46"/>
        <v>95.589672506982097</v>
      </c>
      <c r="CV90" s="9">
        <v>13.2</v>
      </c>
      <c r="CW90" s="9">
        <f t="shared" si="47"/>
        <v>98.696158126510227</v>
      </c>
      <c r="CX90">
        <f t="shared" si="48"/>
        <v>22</v>
      </c>
      <c r="CY90" s="9">
        <f t="shared" si="13"/>
        <v>625.51105020273974</v>
      </c>
      <c r="CZ90" s="17">
        <f t="shared" si="49"/>
        <v>0.58899345593478325</v>
      </c>
      <c r="DA90">
        <v>45</v>
      </c>
      <c r="DB90" s="9">
        <f t="shared" si="50"/>
        <v>10.094204042669539</v>
      </c>
      <c r="DC90" s="9">
        <f t="shared" si="51"/>
        <v>10.928853913679607</v>
      </c>
    </row>
    <row r="91" spans="1:107" x14ac:dyDescent="0.25">
      <c r="B91" s="9">
        <f t="shared" si="59"/>
        <v>40</v>
      </c>
      <c r="C91" s="9">
        <v>85.52</v>
      </c>
      <c r="D91" s="9"/>
      <c r="E91" s="129">
        <f t="shared" si="14"/>
        <v>85.52</v>
      </c>
      <c r="F91" s="36">
        <f t="shared" si="52"/>
        <v>0</v>
      </c>
      <c r="G91" s="37">
        <f t="shared" si="62"/>
        <v>0</v>
      </c>
      <c r="H91" s="36" t="e">
        <f t="shared" si="16"/>
        <v>#DIV/0!</v>
      </c>
      <c r="I91" s="37" t="e">
        <f t="shared" si="17"/>
        <v>#DIV/0!</v>
      </c>
      <c r="J91" s="37" t="e">
        <f t="shared" si="18"/>
        <v>#DIV/0!</v>
      </c>
      <c r="K91" s="37" t="e">
        <f t="shared" si="19"/>
        <v>#DIV/0!</v>
      </c>
      <c r="L91" s="39" t="e">
        <f t="shared" si="20"/>
        <v>#DIV/0!</v>
      </c>
      <c r="M91" s="39" t="e">
        <f>M90+(1000*$C$2*(B91-B90))/(BerechnungenCLT!$W$47*2*'Berechnung freier Bereich'!G91)</f>
        <v>#DIV/0!</v>
      </c>
      <c r="N91" s="17" t="e">
        <f t="shared" si="61"/>
        <v>#DIV/0!</v>
      </c>
      <c r="O91" s="173">
        <f t="shared" si="21"/>
        <v>3676.7884952549462</v>
      </c>
      <c r="P91" s="173"/>
      <c r="Q91" s="173"/>
      <c r="R91" s="37" t="e">
        <f t="shared" si="1"/>
        <v>#DIV/0!</v>
      </c>
      <c r="S91" s="37" t="e">
        <f t="shared" si="2"/>
        <v>#DIV/0!</v>
      </c>
      <c r="T91" s="37" t="e">
        <f t="shared" si="3"/>
        <v>#DIV/0!</v>
      </c>
      <c r="U91" s="39" t="e">
        <f t="shared" si="4"/>
        <v>#DIV/0!</v>
      </c>
      <c r="V91" s="39" t="e">
        <f t="shared" si="22"/>
        <v>#DIV/0!</v>
      </c>
      <c r="W91" s="9" t="e">
        <f t="shared" si="23"/>
        <v>#DIV/0!</v>
      </c>
      <c r="AB91" s="129">
        <v>85.484778220161814</v>
      </c>
      <c r="AC91" s="9">
        <v>15.25</v>
      </c>
      <c r="AD91" s="129">
        <f t="shared" si="24"/>
        <v>100.73478530419084</v>
      </c>
      <c r="AE91" s="36">
        <f t="shared" si="53"/>
        <v>1.516680642521882E-2</v>
      </c>
      <c r="AF91" s="37">
        <f t="shared" si="25"/>
        <v>38932175.644574352</v>
      </c>
      <c r="AG91" s="36">
        <f t="shared" si="5"/>
        <v>1.9734418601149462</v>
      </c>
      <c r="AH91" s="37">
        <f t="shared" si="26"/>
        <v>-2.0222503670414821E-4</v>
      </c>
      <c r="AI91" s="37">
        <f t="shared" si="27"/>
        <v>-8.2876698625626733E-3</v>
      </c>
      <c r="AJ91" s="37">
        <f t="shared" si="28"/>
        <v>-0.16988806851126248</v>
      </c>
      <c r="AK91" s="39">
        <f t="shared" si="29"/>
        <v>2.0371095655524481E-2</v>
      </c>
      <c r="AL91" s="39">
        <f>AL90+(1000*$C$2*($B91-$B90))/(BerechnungenCLT!$W$47*2*AF91)</f>
        <v>2.3375589682280576E-3</v>
      </c>
      <c r="AM91" s="37">
        <f t="shared" si="6"/>
        <v>2.5874429989177703E-6</v>
      </c>
      <c r="AN91" s="173">
        <f t="shared" si="30"/>
        <v>3101.7973104117114</v>
      </c>
      <c r="AO91" s="173">
        <v>-258.08956323790119</v>
      </c>
      <c r="AV91" s="129">
        <v>85.248727594811427</v>
      </c>
      <c r="AW91" s="9">
        <v>15.25</v>
      </c>
      <c r="AX91" s="129">
        <f t="shared" si="31"/>
        <v>100.50065783640362</v>
      </c>
      <c r="AY91" s="36">
        <f t="shared" si="54"/>
        <v>1.513042021744038E-2</v>
      </c>
      <c r="AZ91" s="37">
        <f t="shared" si="32"/>
        <v>38644267.583095342</v>
      </c>
      <c r="BA91" s="36">
        <f t="shared" si="7"/>
        <v>1.9733019249355594</v>
      </c>
      <c r="BB91" s="37">
        <f t="shared" si="33"/>
        <v>-2.0373165649387043E-4</v>
      </c>
      <c r="BC91" s="37">
        <f t="shared" si="34"/>
        <v>-8.2940466444694338E-3</v>
      </c>
      <c r="BD91" s="37">
        <f t="shared" si="35"/>
        <v>-0.16988959859481209</v>
      </c>
      <c r="BE91" s="39">
        <f t="shared" si="36"/>
        <v>2.0475165499734188E-2</v>
      </c>
      <c r="BF91" s="39">
        <f>BF90+(1000*$C$2*($B91-$B90))/(BerechnungenCLT!$W$47*2*AZ91)</f>
        <v>2.3394030514363416E-3</v>
      </c>
      <c r="BG91" s="37">
        <f t="shared" si="8"/>
        <v>2.6006614725017306E-6</v>
      </c>
      <c r="BH91" s="173">
        <f t="shared" si="37"/>
        <v>3117.5200319168516</v>
      </c>
      <c r="BI91">
        <v>-259.18782792427879</v>
      </c>
      <c r="BP91" s="129">
        <v>85.493121869092207</v>
      </c>
      <c r="BQ91" s="9">
        <v>15.25</v>
      </c>
      <c r="BR91" s="129">
        <f t="shared" si="38"/>
        <v>100.74312331549888</v>
      </c>
      <c r="BS91" s="36">
        <f t="shared" si="55"/>
        <v>1.5168159469471988E-2</v>
      </c>
      <c r="BT91" s="37">
        <f t="shared" si="39"/>
        <v>38942578.224078968</v>
      </c>
      <c r="BU91" s="36">
        <f t="shared" si="9"/>
        <v>1.9734465896216584</v>
      </c>
      <c r="BV91" s="37">
        <f t="shared" si="40"/>
        <v>-2.0217101711638403E-4</v>
      </c>
      <c r="BW91" s="37">
        <f t="shared" si="41"/>
        <v>-8.2874048321007077E-3</v>
      </c>
      <c r="BX91" s="37">
        <f t="shared" si="42"/>
        <v>-0.16988764589384087</v>
      </c>
      <c r="BY91" s="39">
        <f t="shared" si="43"/>
        <v>2.0367339708175711E-2</v>
      </c>
      <c r="BZ91" s="39">
        <f>BZ90+(1000*$C$2*($B91-$B90))/(BerechnungenCLT!$W$47*2*BT91)</f>
        <v>2.3374823454288237E-3</v>
      </c>
      <c r="CA91" s="37">
        <f t="shared" si="10"/>
        <v>2.5869659357378501E-6</v>
      </c>
      <c r="CB91" s="173">
        <f t="shared" si="44"/>
        <v>3101.2416633471257</v>
      </c>
      <c r="CC91" s="9">
        <v>-258.09885352490392</v>
      </c>
      <c r="CJ91" s="9">
        <f t="shared" si="60"/>
        <v>40</v>
      </c>
      <c r="CK91" s="129">
        <v>85.496928957749873</v>
      </c>
      <c r="CL91" s="9">
        <v>10.09375</v>
      </c>
      <c r="CM91" s="129">
        <f t="shared" si="56"/>
        <v>95.590682528392676</v>
      </c>
      <c r="CN91" s="36">
        <f t="shared" si="57"/>
        <v>9.762032118504349E-3</v>
      </c>
      <c r="CO91" s="173">
        <f t="shared" si="58"/>
        <v>3280.0959111722218</v>
      </c>
      <c r="CP91" s="9">
        <v>-630.08927307740146</v>
      </c>
      <c r="CQ91" s="129"/>
      <c r="CR91" s="36">
        <f t="shared" si="45"/>
        <v>0.83464595683325393</v>
      </c>
      <c r="CS91" s="17">
        <f t="shared" si="11"/>
        <v>0.60001113699372943</v>
      </c>
      <c r="CT91" s="9">
        <f t="shared" si="12"/>
        <v>10.093562646760159</v>
      </c>
      <c r="CU91" s="9">
        <f t="shared" si="46"/>
        <v>95.590495175086559</v>
      </c>
      <c r="CV91" s="9">
        <v>13.2</v>
      </c>
      <c r="CW91" s="9">
        <f t="shared" si="47"/>
        <v>98.696933627222066</v>
      </c>
      <c r="CX91">
        <f t="shared" si="48"/>
        <v>22</v>
      </c>
      <c r="CY91" s="9">
        <f t="shared" si="13"/>
        <v>625.50538167470063</v>
      </c>
      <c r="CZ91" s="17">
        <f t="shared" si="49"/>
        <v>0.58898811833775955</v>
      </c>
      <c r="DA91">
        <v>45</v>
      </c>
      <c r="DB91" s="9">
        <f t="shared" si="50"/>
        <v>10.094112566621867</v>
      </c>
      <c r="DC91" s="9">
        <f t="shared" si="51"/>
        <v>10.928758523546252</v>
      </c>
    </row>
    <row r="92" spans="1:107" x14ac:dyDescent="0.25">
      <c r="B92" s="9">
        <f t="shared" si="59"/>
        <v>41</v>
      </c>
      <c r="C92" s="9">
        <v>85.510832984757187</v>
      </c>
      <c r="D92" s="9"/>
      <c r="E92" s="129">
        <f t="shared" si="14"/>
        <v>85.510832984757187</v>
      </c>
      <c r="F92" s="36">
        <f t="shared" si="52"/>
        <v>0</v>
      </c>
      <c r="G92" s="37">
        <f t="shared" si="62"/>
        <v>0</v>
      </c>
      <c r="H92" s="36" t="e">
        <f t="shared" si="16"/>
        <v>#DIV/0!</v>
      </c>
      <c r="I92" s="37" t="e">
        <f t="shared" si="17"/>
        <v>#DIV/0!</v>
      </c>
      <c r="J92" s="37" t="e">
        <f t="shared" si="18"/>
        <v>#DIV/0!</v>
      </c>
      <c r="K92" s="37" t="e">
        <f t="shared" si="19"/>
        <v>#DIV/0!</v>
      </c>
      <c r="L92" s="39" t="e">
        <f t="shared" si="20"/>
        <v>#DIV/0!</v>
      </c>
      <c r="M92" s="39" t="e">
        <f>M91+(1000*$C$2*(B92-B91))/(BerechnungenCLT!$W$47*2*'Berechnung freier Bereich'!G92)</f>
        <v>#DIV/0!</v>
      </c>
      <c r="N92" s="17" t="e">
        <f t="shared" si="61"/>
        <v>#DIV/0!</v>
      </c>
      <c r="O92" s="173">
        <f t="shared" si="21"/>
        <v>3677.5768628021106</v>
      </c>
      <c r="P92" s="173"/>
      <c r="Q92" s="173"/>
      <c r="R92" s="37" t="e">
        <f t="shared" si="1"/>
        <v>#DIV/0!</v>
      </c>
      <c r="S92" s="37" t="e">
        <f t="shared" si="2"/>
        <v>#DIV/0!</v>
      </c>
      <c r="T92" s="37" t="e">
        <f t="shared" si="3"/>
        <v>#DIV/0!</v>
      </c>
      <c r="U92" s="39" t="e">
        <f t="shared" si="4"/>
        <v>#DIV/0!</v>
      </c>
      <c r="V92" s="39" t="e">
        <f t="shared" si="22"/>
        <v>#DIV/0!</v>
      </c>
      <c r="W92" s="9" t="e">
        <f t="shared" si="23"/>
        <v>#DIV/0!</v>
      </c>
      <c r="AB92" s="129">
        <v>85.485742094220711</v>
      </c>
      <c r="AC92" s="9">
        <v>15.25</v>
      </c>
      <c r="AD92" s="129">
        <f t="shared" si="24"/>
        <v>100.73576922977368</v>
      </c>
      <c r="AE92" s="36">
        <f t="shared" si="53"/>
        <v>1.5166985007708083E-2</v>
      </c>
      <c r="AF92" s="37">
        <f t="shared" si="25"/>
        <v>38933443.761377454</v>
      </c>
      <c r="AG92" s="36">
        <f t="shared" si="5"/>
        <v>1.97344234099932</v>
      </c>
      <c r="AH92" s="37">
        <f t="shared" si="26"/>
        <v>-2.0221844995141645E-4</v>
      </c>
      <c r="AI92" s="37">
        <f t="shared" si="27"/>
        <v>-8.4898883125140902E-3</v>
      </c>
      <c r="AJ92" s="37">
        <f t="shared" si="28"/>
        <v>-0.17827684759880086</v>
      </c>
      <c r="AK92" s="39">
        <f t="shared" si="29"/>
        <v>2.0370631108308425E-2</v>
      </c>
      <c r="AL92" s="39">
        <f>AL91+(1000*$C$2*($B92-$B91))/(BerechnungenCLT!$W$47*2*AF92)</f>
        <v>2.3960210315089299E-3</v>
      </c>
      <c r="AM92" s="37">
        <f t="shared" si="6"/>
        <v>2.5873839942642075E-6</v>
      </c>
      <c r="AN92" s="173">
        <f t="shared" si="30"/>
        <v>3101.7324237286402</v>
      </c>
      <c r="AO92" s="173">
        <v>-258.08863497876968</v>
      </c>
      <c r="AV92" s="129">
        <v>85.264638674570492</v>
      </c>
      <c r="AW92" s="9">
        <v>15.25</v>
      </c>
      <c r="AX92" s="129">
        <f t="shared" si="31"/>
        <v>100.52203119499943</v>
      </c>
      <c r="AY92" s="36">
        <f t="shared" si="54"/>
        <v>1.5138877111612412E-2</v>
      </c>
      <c r="AZ92" s="37">
        <f t="shared" si="32"/>
        <v>38681472.617385514</v>
      </c>
      <c r="BA92" s="36">
        <f t="shared" si="7"/>
        <v>1.9732936050968686</v>
      </c>
      <c r="BB92" s="37">
        <f t="shared" si="33"/>
        <v>-2.0353570109835528E-4</v>
      </c>
      <c r="BC92" s="37">
        <f t="shared" si="34"/>
        <v>-8.4975823455677897E-3</v>
      </c>
      <c r="BD92" s="37">
        <f t="shared" si="35"/>
        <v>-0.1782854130898307</v>
      </c>
      <c r="BE92" s="39">
        <f t="shared" si="36"/>
        <v>2.0459822095104951E-2</v>
      </c>
      <c r="BF92" s="39">
        <f>BF91+(1000*$C$2*($B92-$B91))/(BerechnungenCLT!$W$47*2*AZ92)</f>
        <v>2.3982459366448257E-3</v>
      </c>
      <c r="BG92" s="37">
        <f t="shared" si="8"/>
        <v>2.5987126237231069E-6</v>
      </c>
      <c r="BH92" s="173">
        <f t="shared" si="37"/>
        <v>3116.2688838094791</v>
      </c>
      <c r="BI92">
        <v>-259.14305053444508</v>
      </c>
      <c r="BP92" s="129">
        <v>85.493557406330709</v>
      </c>
      <c r="BQ92" s="9">
        <v>15.25</v>
      </c>
      <c r="BR92" s="129">
        <f t="shared" si="38"/>
        <v>100.74356294683105</v>
      </c>
      <c r="BS92" s="36">
        <f t="shared" si="55"/>
        <v>1.5168234820415058E-2</v>
      </c>
      <c r="BT92" s="37">
        <f t="shared" si="39"/>
        <v>38943135.384431943</v>
      </c>
      <c r="BU92" s="36">
        <f t="shared" si="9"/>
        <v>1.9734468225761044</v>
      </c>
      <c r="BV92" s="37">
        <f t="shared" si="40"/>
        <v>-2.0216812465089181E-4</v>
      </c>
      <c r="BW92" s="37">
        <f t="shared" si="41"/>
        <v>-8.4895729567515989E-3</v>
      </c>
      <c r="BX92" s="37">
        <f t="shared" si="42"/>
        <v>-0.17827613478826701</v>
      </c>
      <c r="BY92" s="39">
        <f t="shared" si="43"/>
        <v>2.0367137191609905E-2</v>
      </c>
      <c r="BZ92" s="39">
        <f>BZ91+(1000*$C$2*($B92-$B91))/(BerechnungenCLT!$W$47*2*BT92)</f>
        <v>2.395929859488769E-3</v>
      </c>
      <c r="CA92" s="37">
        <f t="shared" si="10"/>
        <v>2.5869402130138878E-6</v>
      </c>
      <c r="CB92" s="173">
        <f t="shared" si="44"/>
        <v>3101.2125166028945</v>
      </c>
      <c r="CC92" s="9">
        <v>-258.09642780576087</v>
      </c>
      <c r="CJ92" s="9">
        <f t="shared" si="60"/>
        <v>41</v>
      </c>
      <c r="CK92" s="129">
        <v>85.49777008551176</v>
      </c>
      <c r="CL92" s="9">
        <v>10.09375</v>
      </c>
      <c r="CM92" s="129">
        <f t="shared" si="56"/>
        <v>95.591524256754766</v>
      </c>
      <c r="CN92" s="36">
        <f t="shared" si="57"/>
        <v>9.7621234184187833E-3</v>
      </c>
      <c r="CO92" s="173">
        <f t="shared" si="58"/>
        <v>3280.0349478351773</v>
      </c>
      <c r="CP92" s="9">
        <v>-630.07756233912937</v>
      </c>
      <c r="CQ92" s="129"/>
      <c r="CR92" s="36">
        <f t="shared" si="45"/>
        <v>0.83464170757744238</v>
      </c>
      <c r="CS92" s="17">
        <f t="shared" si="11"/>
        <v>0.6000080822843763</v>
      </c>
      <c r="CT92" s="9">
        <f t="shared" si="12"/>
        <v>10.093614034234983</v>
      </c>
      <c r="CU92" s="9">
        <f t="shared" si="46"/>
        <v>95.591388290933565</v>
      </c>
      <c r="CV92" s="9">
        <v>13.2</v>
      </c>
      <c r="CW92" s="9">
        <f t="shared" si="47"/>
        <v>98.697775540412835</v>
      </c>
      <c r="CX92">
        <f t="shared" si="48"/>
        <v>22</v>
      </c>
      <c r="CY92" s="9">
        <f t="shared" si="13"/>
        <v>625.49922794763609</v>
      </c>
      <c r="CZ92" s="17">
        <f t="shared" si="49"/>
        <v>0.58898232386783056</v>
      </c>
      <c r="DA92">
        <v>45</v>
      </c>
      <c r="DB92" s="9">
        <f t="shared" si="50"/>
        <v>10.094013260659818</v>
      </c>
      <c r="DC92" s="9">
        <f t="shared" si="51"/>
        <v>10.928654968343722</v>
      </c>
    </row>
    <row r="93" spans="1:107" x14ac:dyDescent="0.25">
      <c r="B93" s="9">
        <f t="shared" si="59"/>
        <v>42</v>
      </c>
      <c r="C93" s="9">
        <v>85.500494791898092</v>
      </c>
      <c r="D93" s="9"/>
      <c r="E93" s="129">
        <f t="shared" si="14"/>
        <v>85.500494791898092</v>
      </c>
      <c r="F93" s="36">
        <f t="shared" si="52"/>
        <v>0</v>
      </c>
      <c r="G93" s="37">
        <f t="shared" si="62"/>
        <v>0</v>
      </c>
      <c r="H93" s="36" t="e">
        <f t="shared" si="16"/>
        <v>#DIV/0!</v>
      </c>
      <c r="I93" s="37" t="e">
        <f t="shared" si="17"/>
        <v>#DIV/0!</v>
      </c>
      <c r="J93" s="37" t="e">
        <f t="shared" si="18"/>
        <v>#DIV/0!</v>
      </c>
      <c r="K93" s="37" t="e">
        <f t="shared" si="19"/>
        <v>#DIV/0!</v>
      </c>
      <c r="L93" s="39" t="e">
        <f t="shared" si="20"/>
        <v>#DIV/0!</v>
      </c>
      <c r="M93" s="39" t="e">
        <f>M92+(1000*$C$2*(B93-B92))/(BerechnungenCLT!$W$47*2*'Berechnung freier Bereich'!G93)</f>
        <v>#DIV/0!</v>
      </c>
      <c r="N93" s="17" t="e">
        <f t="shared" si="61"/>
        <v>#DIV/0!</v>
      </c>
      <c r="O93" s="173">
        <f t="shared" si="21"/>
        <v>3678.4662564248274</v>
      </c>
      <c r="P93" s="173"/>
      <c r="Q93" s="173"/>
      <c r="R93" s="37" t="e">
        <f t="shared" si="1"/>
        <v>#DIV/0!</v>
      </c>
      <c r="S93" s="37" t="e">
        <f t="shared" si="2"/>
        <v>#DIV/0!</v>
      </c>
      <c r="T93" s="37" t="e">
        <f t="shared" si="3"/>
        <v>#DIV/0!</v>
      </c>
      <c r="U93" s="39" t="e">
        <f t="shared" si="4"/>
        <v>#DIV/0!</v>
      </c>
      <c r="V93" s="39" t="e">
        <f t="shared" si="22"/>
        <v>#DIV/0!</v>
      </c>
      <c r="W93" s="9" t="e">
        <f t="shared" si="23"/>
        <v>#DIV/0!</v>
      </c>
      <c r="AB93" s="129">
        <v>85.487628562935583</v>
      </c>
      <c r="AC93" s="9">
        <v>15.25</v>
      </c>
      <c r="AD93" s="129">
        <f t="shared" si="24"/>
        <v>100.73769387572057</v>
      </c>
      <c r="AE93" s="36">
        <f t="shared" si="53"/>
        <v>1.5167333377622765E-2</v>
      </c>
      <c r="AF93" s="37">
        <f t="shared" si="25"/>
        <v>38935922.341618679</v>
      </c>
      <c r="AG93" s="36">
        <f t="shared" si="5"/>
        <v>1.973443285510184</v>
      </c>
      <c r="AH93" s="37">
        <f t="shared" si="26"/>
        <v>-2.0220557714336883E-4</v>
      </c>
      <c r="AI93" s="37">
        <f t="shared" si="27"/>
        <v>-8.6920938896574585E-3</v>
      </c>
      <c r="AJ93" s="37">
        <f t="shared" si="28"/>
        <v>-0.18686783869988663</v>
      </c>
      <c r="AK93" s="39">
        <f t="shared" si="29"/>
        <v>2.036972353023209E-2</v>
      </c>
      <c r="AL93" s="39">
        <f>AL92+(1000*$C$2*($B93-$B92))/(BerechnungenCLT!$W$47*2*AF93)</f>
        <v>2.4544793732158366E-3</v>
      </c>
      <c r="AM93" s="37">
        <f t="shared" si="6"/>
        <v>2.5872687178657601E-6</v>
      </c>
      <c r="AN93" s="173">
        <f t="shared" si="30"/>
        <v>3101.6054706719583</v>
      </c>
      <c r="AO93" s="173">
        <v>-258.08562234287268</v>
      </c>
      <c r="AV93" s="129">
        <v>85.295779417396574</v>
      </c>
      <c r="AW93" s="9">
        <v>15.25</v>
      </c>
      <c r="AX93" s="129">
        <f t="shared" si="31"/>
        <v>100.56356649725113</v>
      </c>
      <c r="AY93" s="36">
        <f t="shared" si="54"/>
        <v>1.5155116990612796E-2</v>
      </c>
      <c r="AZ93" s="37">
        <f t="shared" si="32"/>
        <v>38753419.090312496</v>
      </c>
      <c r="BA93" s="36">
        <f t="shared" si="7"/>
        <v>1.9732782694331565</v>
      </c>
      <c r="BB93" s="37">
        <f t="shared" si="33"/>
        <v>-2.0315783312818678E-4</v>
      </c>
      <c r="BC93" s="37">
        <f t="shared" si="34"/>
        <v>-8.7007401786959766E-3</v>
      </c>
      <c r="BD93" s="37">
        <f t="shared" si="35"/>
        <v>-0.1868845743519626</v>
      </c>
      <c r="BE93" s="39">
        <f t="shared" si="36"/>
        <v>2.0430276261223859E-2</v>
      </c>
      <c r="BF93" s="39">
        <f>BF92+(1000*$C$2*($B93-$B92))/(BerechnungenCLT!$W$47*2*AZ93)</f>
        <v>2.4569795788975403E-3</v>
      </c>
      <c r="BG93" s="37">
        <f t="shared" si="8"/>
        <v>2.5949598476174149E-6</v>
      </c>
      <c r="BH93" s="173">
        <f t="shared" si="37"/>
        <v>3113.8322689895945</v>
      </c>
      <c r="BI93">
        <v>-259.00398983881246</v>
      </c>
      <c r="BP93" s="129">
        <v>85.494409828249317</v>
      </c>
      <c r="BQ93" s="9">
        <v>15.25</v>
      </c>
      <c r="BR93" s="129">
        <f t="shared" si="38"/>
        <v>100.7444231637383</v>
      </c>
      <c r="BS93" s="36">
        <f t="shared" si="55"/>
        <v>1.5168382060950223E-2</v>
      </c>
      <c r="BT93" s="37">
        <f t="shared" si="39"/>
        <v>38944225.159730971</v>
      </c>
      <c r="BU93" s="36">
        <f t="shared" si="9"/>
        <v>1.9734472791887567</v>
      </c>
      <c r="BV93" s="37">
        <f t="shared" si="40"/>
        <v>-2.0216246738521016E-4</v>
      </c>
      <c r="BW93" s="37">
        <f t="shared" si="41"/>
        <v>-8.6917354241368098E-3</v>
      </c>
      <c r="BX93" s="37">
        <f t="shared" si="42"/>
        <v>-0.1868667889787112</v>
      </c>
      <c r="BY93" s="39">
        <f t="shared" si="43"/>
        <v>2.0366741162081054E-2</v>
      </c>
      <c r="BZ93" s="39">
        <f>BZ92+(1000*$C$2*($B93-$B92))/(BerechnungenCLT!$W$47*2*BT93)</f>
        <v>2.4543757380133592E-3</v>
      </c>
      <c r="CA93" s="37">
        <f t="shared" si="10"/>
        <v>2.5868899111622294E-6</v>
      </c>
      <c r="CB93" s="173">
        <f t="shared" si="44"/>
        <v>3101.1554798135526</v>
      </c>
      <c r="CC93" s="9">
        <v>-258.0916809554551</v>
      </c>
      <c r="CJ93" s="9">
        <f t="shared" si="60"/>
        <v>42</v>
      </c>
      <c r="CK93" s="129">
        <v>85.498679206149063</v>
      </c>
      <c r="CL93" s="9">
        <v>10.09375</v>
      </c>
      <c r="CM93" s="129">
        <f t="shared" si="56"/>
        <v>95.592434041025811</v>
      </c>
      <c r="CN93" s="36">
        <f t="shared" si="57"/>
        <v>9.7622221133967495E-3</v>
      </c>
      <c r="CO93" s="173">
        <f t="shared" si="58"/>
        <v>3279.9690578906393</v>
      </c>
      <c r="CP93" s="9">
        <v>-630.06490522531885</v>
      </c>
      <c r="CQ93" s="129"/>
      <c r="CR93" s="36">
        <f t="shared" si="45"/>
        <v>0.83463711478109603</v>
      </c>
      <c r="CS93" s="17">
        <f t="shared" si="11"/>
        <v>0.60000478061025309</v>
      </c>
      <c r="CT93" s="9">
        <f t="shared" si="12"/>
        <v>10.093669576832882</v>
      </c>
      <c r="CU93" s="9">
        <f t="shared" si="46"/>
        <v>95.59235361782018</v>
      </c>
      <c r="CV93" s="9">
        <v>13.2</v>
      </c>
      <c r="CW93" s="9">
        <f t="shared" si="47"/>
        <v>98.698685528910488</v>
      </c>
      <c r="CX93">
        <f t="shared" si="48"/>
        <v>22</v>
      </c>
      <c r="CY93" s="9">
        <f t="shared" si="13"/>
        <v>625.49257691791229</v>
      </c>
      <c r="CZ93" s="17">
        <f t="shared" si="49"/>
        <v>0.58897606112797773</v>
      </c>
      <c r="DA93">
        <v>45</v>
      </c>
      <c r="DB93" s="9">
        <f t="shared" si="50"/>
        <v>10.093905929460627</v>
      </c>
      <c r="DC93" s="9">
        <f t="shared" si="51"/>
        <v>10.928543044365119</v>
      </c>
    </row>
    <row r="94" spans="1:107" x14ac:dyDescent="0.25">
      <c r="B94" s="9">
        <f t="shared" si="59"/>
        <v>43</v>
      </c>
      <c r="C94" s="9">
        <v>85.489350214450681</v>
      </c>
      <c r="D94" s="9"/>
      <c r="E94" s="129">
        <f t="shared" si="14"/>
        <v>85.489350214450681</v>
      </c>
      <c r="F94" s="36">
        <f t="shared" si="52"/>
        <v>0</v>
      </c>
      <c r="G94" s="37">
        <f t="shared" si="62"/>
        <v>0</v>
      </c>
      <c r="H94" s="36" t="e">
        <f t="shared" si="16"/>
        <v>#DIV/0!</v>
      </c>
      <c r="I94" s="37" t="e">
        <f t="shared" si="17"/>
        <v>#DIV/0!</v>
      </c>
      <c r="J94" s="37" t="e">
        <f t="shared" si="18"/>
        <v>#DIV/0!</v>
      </c>
      <c r="K94" s="37" t="e">
        <f t="shared" si="19"/>
        <v>#DIV/0!</v>
      </c>
      <c r="L94" s="39" t="e">
        <f t="shared" si="20"/>
        <v>#DIV/0!</v>
      </c>
      <c r="M94" s="39" t="e">
        <f>M93+(1000*$C$2*(B94-B93))/(BerechnungenCLT!$W$47*2*'Berechnung freier Bereich'!G94)</f>
        <v>#DIV/0!</v>
      </c>
      <c r="N94" s="17" t="e">
        <f t="shared" si="61"/>
        <v>#DIV/0!</v>
      </c>
      <c r="O94" s="173">
        <f t="shared" si="21"/>
        <v>3679.425384645479</v>
      </c>
      <c r="P94" s="173"/>
      <c r="Q94" s="173"/>
      <c r="R94" s="37" t="e">
        <f t="shared" si="1"/>
        <v>#DIV/0!</v>
      </c>
      <c r="S94" s="37" t="e">
        <f t="shared" si="2"/>
        <v>#DIV/0!</v>
      </c>
      <c r="T94" s="37" t="e">
        <f t="shared" si="3"/>
        <v>#DIV/0!</v>
      </c>
      <c r="U94" s="39" t="e">
        <f t="shared" si="4"/>
        <v>#DIV/0!</v>
      </c>
      <c r="V94" s="39" t="e">
        <f t="shared" si="22"/>
        <v>#DIV/0!</v>
      </c>
      <c r="W94" s="9" t="e">
        <f t="shared" si="23"/>
        <v>#DIV/0!</v>
      </c>
      <c r="AB94" s="129">
        <v>85.490555272604809</v>
      </c>
      <c r="AC94" s="9">
        <v>15.25</v>
      </c>
      <c r="AD94" s="129">
        <f t="shared" si="24"/>
        <v>100.74068248705582</v>
      </c>
      <c r="AE94" s="36">
        <f t="shared" si="53"/>
        <v>1.5167876725479494E-2</v>
      </c>
      <c r="AF94" s="37">
        <f t="shared" si="25"/>
        <v>38939776.466744877</v>
      </c>
      <c r="AG94" s="36">
        <f t="shared" si="5"/>
        <v>1.9734447422763017</v>
      </c>
      <c r="AH94" s="37">
        <f t="shared" si="26"/>
        <v>-2.0218556353090777E-4</v>
      </c>
      <c r="AI94" s="37">
        <f t="shared" si="27"/>
        <v>-8.8942794531883668E-3</v>
      </c>
      <c r="AJ94" s="37">
        <f t="shared" si="28"/>
        <v>-0.19566102537130953</v>
      </c>
      <c r="AK94" s="39">
        <f t="shared" si="29"/>
        <v>2.0368311659133633E-2</v>
      </c>
      <c r="AL94" s="39">
        <f>AL93+(1000*$C$2*($B94-$B93))/(BerechnungenCLT!$W$47*2*AF94)</f>
        <v>2.5129319289171714E-3</v>
      </c>
      <c r="AM94" s="37">
        <f t="shared" si="6"/>
        <v>2.58708938848403E-6</v>
      </c>
      <c r="AN94" s="173">
        <f t="shared" si="30"/>
        <v>3101.4084392734835</v>
      </c>
      <c r="AO94" s="173">
        <v>-258.0801760017319</v>
      </c>
      <c r="AV94" s="129">
        <v>85.34409186086198</v>
      </c>
      <c r="AW94" s="9">
        <v>15.25</v>
      </c>
      <c r="AX94" s="129">
        <f t="shared" si="31"/>
        <v>100.62871801142379</v>
      </c>
      <c r="AY94" s="36">
        <f t="shared" si="54"/>
        <v>1.5181093940087147E-2</v>
      </c>
      <c r="AZ94" s="37">
        <f t="shared" si="32"/>
        <v>38867513.869416118</v>
      </c>
      <c r="BA94" s="36">
        <f t="shared" si="7"/>
        <v>1.9732522262137209</v>
      </c>
      <c r="BB94" s="37">
        <f t="shared" si="33"/>
        <v>-2.0256146753166814E-4</v>
      </c>
      <c r="BC94" s="37">
        <f t="shared" si="34"/>
        <v>-8.9033016462276449E-3</v>
      </c>
      <c r="BD94" s="37">
        <f t="shared" si="35"/>
        <v>-0.19568659526442442</v>
      </c>
      <c r="BE94" s="39">
        <f t="shared" si="36"/>
        <v>2.0383500796224408E-2</v>
      </c>
      <c r="BF94" s="39">
        <f>BF93+(1000*$C$2*($B94-$B93))/(BerechnungenCLT!$W$47*2*AZ94)</f>
        <v>2.515540809764199E-3</v>
      </c>
      <c r="BG94" s="37">
        <f t="shared" si="8"/>
        <v>2.5890186429085197E-6</v>
      </c>
      <c r="BH94" s="173">
        <f t="shared" si="37"/>
        <v>3110.0338647547965</v>
      </c>
      <c r="BI94">
        <v>-258.7520741330311</v>
      </c>
      <c r="BP94" s="129">
        <v>85.495732294639453</v>
      </c>
      <c r="BQ94" s="9">
        <v>15.25</v>
      </c>
      <c r="BR94" s="129">
        <f t="shared" si="38"/>
        <v>100.74575826918105</v>
      </c>
      <c r="BS94" s="36">
        <f t="shared" si="55"/>
        <v>1.5168611080752554E-2</v>
      </c>
      <c r="BT94" s="37">
        <f t="shared" si="39"/>
        <v>38945917.655591287</v>
      </c>
      <c r="BU94" s="36">
        <f t="shared" si="9"/>
        <v>1.9734479858363083</v>
      </c>
      <c r="BV94" s="37">
        <f t="shared" si="40"/>
        <v>-2.0215368189086935E-4</v>
      </c>
      <c r="BW94" s="37">
        <f t="shared" si="41"/>
        <v>-8.8938891060276783E-3</v>
      </c>
      <c r="BX94" s="37">
        <f t="shared" si="42"/>
        <v>-0.19565960124379345</v>
      </c>
      <c r="BY94" s="39">
        <f t="shared" si="43"/>
        <v>2.0366125969002447E-2</v>
      </c>
      <c r="BZ94" s="39">
        <f>BZ93+(1000*$C$2*($B94-$B93))/(BerechnungenCLT!$W$47*2*BT94)</f>
        <v>2.5128190766207153E-3</v>
      </c>
      <c r="CA94" s="37">
        <f t="shared" si="10"/>
        <v>2.5868117721631719E-6</v>
      </c>
      <c r="CB94" s="173">
        <f t="shared" si="44"/>
        <v>3101.0669766059573</v>
      </c>
      <c r="CC94" s="9">
        <v>-258.08431533261972</v>
      </c>
      <c r="CJ94" s="9">
        <f t="shared" si="60"/>
        <v>43</v>
      </c>
      <c r="CK94" s="129">
        <v>85.499657978024601</v>
      </c>
      <c r="CL94" s="9">
        <v>10.09375</v>
      </c>
      <c r="CM94" s="129">
        <f t="shared" si="56"/>
        <v>95.593413537859405</v>
      </c>
      <c r="CN94" s="36">
        <f t="shared" si="57"/>
        <v>9.7623283804936598E-3</v>
      </c>
      <c r="CO94" s="173">
        <f t="shared" si="58"/>
        <v>3279.8981217030641</v>
      </c>
      <c r="CP94" s="9">
        <v>-630.05127875460755</v>
      </c>
      <c r="CQ94" s="129"/>
      <c r="CR94" s="36">
        <f t="shared" si="45"/>
        <v>0.83463217008642832</v>
      </c>
      <c r="CS94" s="17">
        <f t="shared" si="11"/>
        <v>0.60000122596310546</v>
      </c>
      <c r="CT94" s="9">
        <f t="shared" si="12"/>
        <v>10.09372937576698</v>
      </c>
      <c r="CU94" s="9">
        <f t="shared" si="46"/>
        <v>95.593392913615034</v>
      </c>
      <c r="CV94" s="9">
        <v>13.2</v>
      </c>
      <c r="CW94" s="9">
        <f t="shared" si="47"/>
        <v>98.699665248842621</v>
      </c>
      <c r="CX94">
        <f t="shared" si="48"/>
        <v>22</v>
      </c>
      <c r="CY94" s="9">
        <f t="shared" si="13"/>
        <v>625.48541648526123</v>
      </c>
      <c r="CZ94" s="17">
        <f t="shared" si="49"/>
        <v>0.58896931872435154</v>
      </c>
      <c r="DA94">
        <v>45</v>
      </c>
      <c r="DB94" s="9">
        <f t="shared" si="50"/>
        <v>10.093790377755839</v>
      </c>
      <c r="DC94" s="9">
        <f t="shared" si="51"/>
        <v>10.92842254798415</v>
      </c>
    </row>
    <row r="95" spans="1:107" x14ac:dyDescent="0.25">
      <c r="B95" s="9">
        <f t="shared" si="59"/>
        <v>44</v>
      </c>
      <c r="C95" s="9">
        <v>85.477764045443053</v>
      </c>
      <c r="D95" s="9"/>
      <c r="E95" s="129">
        <f t="shared" si="14"/>
        <v>85.477764045443053</v>
      </c>
      <c r="F95" s="36">
        <f t="shared" si="52"/>
        <v>0</v>
      </c>
      <c r="G95" s="37">
        <f t="shared" si="62"/>
        <v>0</v>
      </c>
      <c r="H95" s="36" t="e">
        <f t="shared" si="16"/>
        <v>#DIV/0!</v>
      </c>
      <c r="I95" s="37" t="e">
        <f t="shared" si="17"/>
        <v>#DIV/0!</v>
      </c>
      <c r="J95" s="37" t="e">
        <f t="shared" si="18"/>
        <v>#DIV/0!</v>
      </c>
      <c r="K95" s="37" t="e">
        <f t="shared" si="19"/>
        <v>#DIV/0!</v>
      </c>
      <c r="L95" s="39" t="e">
        <f t="shared" si="20"/>
        <v>#DIV/0!</v>
      </c>
      <c r="M95" s="39" t="e">
        <f>M94+(1000*$C$2*(B95-B94))/(BerechnungenCLT!$W$47*2*'Berechnung freier Bereich'!G95)</f>
        <v>#DIV/0!</v>
      </c>
      <c r="N95" s="17" t="e">
        <f t="shared" si="61"/>
        <v>#DIV/0!</v>
      </c>
      <c r="O95" s="173">
        <f t="shared" si="21"/>
        <v>3680.4229150330993</v>
      </c>
      <c r="P95" s="173"/>
      <c r="Q95" s="173"/>
      <c r="R95" s="37" t="e">
        <f t="shared" si="1"/>
        <v>#DIV/0!</v>
      </c>
      <c r="S95" s="37" t="e">
        <f t="shared" si="2"/>
        <v>#DIV/0!</v>
      </c>
      <c r="T95" s="37" t="e">
        <f t="shared" si="3"/>
        <v>#DIV/0!</v>
      </c>
      <c r="U95" s="39" t="e">
        <f t="shared" si="4"/>
        <v>#DIV/0!</v>
      </c>
      <c r="V95" s="39" t="e">
        <f t="shared" si="22"/>
        <v>#DIV/0!</v>
      </c>
      <c r="W95" s="9" t="e">
        <f t="shared" si="23"/>
        <v>#DIV/0!</v>
      </c>
      <c r="AB95" s="129">
        <v>85.494639869526807</v>
      </c>
      <c r="AC95" s="9">
        <v>15.25</v>
      </c>
      <c r="AD95" s="129">
        <f t="shared" si="24"/>
        <v>100.74485894181829</v>
      </c>
      <c r="AE95" s="36">
        <f t="shared" si="53"/>
        <v>1.516864092543351E-2</v>
      </c>
      <c r="AF95" s="37">
        <f t="shared" si="25"/>
        <v>38945173.391204037</v>
      </c>
      <c r="AG95" s="36">
        <f t="shared" si="5"/>
        <v>1.973446757857944</v>
      </c>
      <c r="AH95" s="37">
        <f t="shared" si="26"/>
        <v>-2.0215754516256855E-4</v>
      </c>
      <c r="AI95" s="37">
        <f t="shared" si="27"/>
        <v>-9.0964369983509361E-3</v>
      </c>
      <c r="AJ95" s="37">
        <f t="shared" si="28"/>
        <v>-0.20465638359707919</v>
      </c>
      <c r="AK95" s="39">
        <f t="shared" si="29"/>
        <v>2.036633337142723E-2</v>
      </c>
      <c r="AL95" s="39">
        <f>AL94+(1000*$C$2*($B95-$B94))/(BerechnungenCLT!$W$47*2*AF95)</f>
        <v>2.5713763844099286E-3</v>
      </c>
      <c r="AM95" s="37">
        <f t="shared" si="6"/>
        <v>2.586838115466499E-6</v>
      </c>
      <c r="AN95" s="173">
        <f t="shared" si="30"/>
        <v>3101.1333061536016</v>
      </c>
      <c r="AO95" s="173">
        <v>-258.07194627124539</v>
      </c>
      <c r="AV95" s="129">
        <v>85.411518042539015</v>
      </c>
      <c r="AW95" s="9">
        <v>15.25</v>
      </c>
      <c r="AX95" s="129">
        <f t="shared" si="31"/>
        <v>100.7210982138288</v>
      </c>
      <c r="AY95" s="36">
        <f t="shared" si="54"/>
        <v>1.5218945339384856E-2</v>
      </c>
      <c r="AZ95" s="37">
        <f t="shared" si="32"/>
        <v>39031821.059382543</v>
      </c>
      <c r="BA95" s="36">
        <f t="shared" si="7"/>
        <v>1.9732112927726895</v>
      </c>
      <c r="BB95" s="37">
        <f t="shared" si="33"/>
        <v>-2.0170877081851789E-4</v>
      </c>
      <c r="BC95" s="37">
        <f t="shared" si="34"/>
        <v>-9.1050104170461634E-3</v>
      </c>
      <c r="BD95" s="37">
        <f t="shared" si="35"/>
        <v>-0.20469075129606132</v>
      </c>
      <c r="BE95" s="39">
        <f t="shared" si="36"/>
        <v>2.0316328916202626E-2</v>
      </c>
      <c r="BF95" s="39">
        <f>BF94+(1000*$C$2*($B95-$B94))/(BerechnungenCLT!$W$47*2*AZ95)</f>
        <v>2.5738555230197515E-3</v>
      </c>
      <c r="BG95" s="37">
        <f t="shared" si="8"/>
        <v>2.5804867792510353E-6</v>
      </c>
      <c r="BH95" s="173">
        <f t="shared" si="37"/>
        <v>3104.6958437003314</v>
      </c>
      <c r="BI95">
        <v>-258.36832823599588</v>
      </c>
      <c r="BP95" s="129">
        <v>85.497577965292535</v>
      </c>
      <c r="BQ95" s="9">
        <v>15.25</v>
      </c>
      <c r="BR95" s="129">
        <f t="shared" si="38"/>
        <v>100.74762269539939</v>
      </c>
      <c r="BS95" s="36">
        <f t="shared" si="55"/>
        <v>1.5168931908843268E-2</v>
      </c>
      <c r="BT95" s="37">
        <f t="shared" si="39"/>
        <v>38948283.418971762</v>
      </c>
      <c r="BU95" s="36">
        <f t="shared" si="9"/>
        <v>1.9734489684715084</v>
      </c>
      <c r="BV95" s="37">
        <f t="shared" si="40"/>
        <v>-2.0214140284450672E-4</v>
      </c>
      <c r="BW95" s="37">
        <f t="shared" si="41"/>
        <v>-9.0960305088721854E-3</v>
      </c>
      <c r="BX95" s="37">
        <f t="shared" si="42"/>
        <v>-0.20465456105124338</v>
      </c>
      <c r="BY95" s="39">
        <f t="shared" si="43"/>
        <v>2.0365265784897096E-2</v>
      </c>
      <c r="BZ95" s="39">
        <f>BZ94+(1000*$C$2*($B95-$B94))/(BerechnungenCLT!$W$47*2*BT95)</f>
        <v>2.571258865312692E-3</v>
      </c>
      <c r="CA95" s="37">
        <f t="shared" si="10"/>
        <v>2.5867025155292229E-6</v>
      </c>
      <c r="CB95" s="173">
        <f t="shared" si="44"/>
        <v>3100.9434282487168</v>
      </c>
      <c r="CC95" s="9">
        <v>-258.07403309962393</v>
      </c>
      <c r="CJ95" s="9">
        <f t="shared" si="60"/>
        <v>44</v>
      </c>
      <c r="CK95" s="129">
        <v>85.50070756813443</v>
      </c>
      <c r="CL95" s="9">
        <v>10.09375</v>
      </c>
      <c r="CM95" s="129">
        <f t="shared" si="56"/>
        <v>95.594463852252332</v>
      </c>
      <c r="CN95" s="36">
        <f t="shared" si="57"/>
        <v>9.7624422822269775E-3</v>
      </c>
      <c r="CO95" s="173">
        <f t="shared" si="58"/>
        <v>3279.8220574673574</v>
      </c>
      <c r="CP95" s="9">
        <v>-630.03666721266438</v>
      </c>
      <c r="CQ95" s="129"/>
      <c r="CR95" s="36">
        <f t="shared" si="45"/>
        <v>0.83462686792109708</v>
      </c>
      <c r="CS95" s="17">
        <f t="shared" si="11"/>
        <v>0.59999741433708265</v>
      </c>
      <c r="CT95" s="9">
        <f t="shared" si="12"/>
        <v>10.09379349857924</v>
      </c>
      <c r="CU95" s="9">
        <f t="shared" si="46"/>
        <v>95.594507350858663</v>
      </c>
      <c r="CV95" s="9">
        <v>13.2</v>
      </c>
      <c r="CW95" s="9">
        <f t="shared" si="47"/>
        <v>98.700715786126395</v>
      </c>
      <c r="CX95">
        <f t="shared" si="48"/>
        <v>22</v>
      </c>
      <c r="CY95" s="9">
        <f t="shared" si="13"/>
        <v>625.47773814755305</v>
      </c>
      <c r="CZ95" s="17">
        <f t="shared" si="49"/>
        <v>0.58896208865117983</v>
      </c>
      <c r="DA95">
        <v>45</v>
      </c>
      <c r="DB95" s="9">
        <f t="shared" si="50"/>
        <v>10.093666468342075</v>
      </c>
      <c r="DC95" s="9">
        <f t="shared" si="51"/>
        <v>10.928293336423506</v>
      </c>
    </row>
    <row r="96" spans="1:107" x14ac:dyDescent="0.25">
      <c r="B96" s="9">
        <f t="shared" si="59"/>
        <v>45</v>
      </c>
      <c r="C96" s="9">
        <v>85.466101077903218</v>
      </c>
      <c r="D96" s="9"/>
      <c r="E96" s="129">
        <f t="shared" si="14"/>
        <v>85.466101077903218</v>
      </c>
      <c r="F96" s="36">
        <f t="shared" si="52"/>
        <v>0</v>
      </c>
      <c r="G96" s="37">
        <f t="shared" si="62"/>
        <v>0</v>
      </c>
      <c r="H96" s="36" t="e">
        <f t="shared" si="16"/>
        <v>#DIV/0!</v>
      </c>
      <c r="I96" s="37" t="e">
        <f t="shared" si="17"/>
        <v>#DIV/0!</v>
      </c>
      <c r="J96" s="37" t="e">
        <f t="shared" si="18"/>
        <v>#DIV/0!</v>
      </c>
      <c r="K96" s="37" t="e">
        <f t="shared" si="19"/>
        <v>#DIV/0!</v>
      </c>
      <c r="L96" s="39" t="e">
        <f t="shared" si="20"/>
        <v>#DIV/0!</v>
      </c>
      <c r="M96" s="39" t="e">
        <f>M95+(1000*$C$2*(B96-B95))/(BerechnungenCLT!$W$47*2*'Berechnung freier Bereich'!G96)</f>
        <v>#DIV/0!</v>
      </c>
      <c r="N96" s="17" t="e">
        <f t="shared" si="61"/>
        <v>#DIV/0!</v>
      </c>
      <c r="O96" s="173">
        <f t="shared" si="21"/>
        <v>3681.4274672769643</v>
      </c>
      <c r="P96" s="173"/>
      <c r="Q96" s="173"/>
      <c r="R96" s="37" t="e">
        <f t="shared" si="1"/>
        <v>#DIV/0!</v>
      </c>
      <c r="S96" s="37" t="e">
        <f t="shared" si="2"/>
        <v>#DIV/0!</v>
      </c>
      <c r="T96" s="37" t="e">
        <f t="shared" si="3"/>
        <v>#DIV/0!</v>
      </c>
      <c r="U96" s="39" t="e">
        <f t="shared" si="4"/>
        <v>#DIV/0!</v>
      </c>
      <c r="V96" s="39" t="e">
        <f t="shared" si="22"/>
        <v>#DIV/0!</v>
      </c>
      <c r="W96" s="9" t="e">
        <f t="shared" si="23"/>
        <v>#DIV/0!</v>
      </c>
      <c r="AB96" s="129">
        <v>85.5</v>
      </c>
      <c r="AC96" s="9">
        <v>15.25</v>
      </c>
      <c r="AD96" s="129">
        <f t="shared" si="24"/>
        <v>100.75034446235775</v>
      </c>
      <c r="AE96" s="36">
        <f t="shared" si="53"/>
        <v>1.5169648997311753E-2</v>
      </c>
      <c r="AF96" s="37">
        <f t="shared" si="25"/>
        <v>38952272.021668375</v>
      </c>
      <c r="AG96" s="36">
        <f t="shared" si="5"/>
        <v>1.9734493871390313</v>
      </c>
      <c r="AH96" s="37">
        <f t="shared" si="26"/>
        <v>-2.021207041354806E-4</v>
      </c>
      <c r="AI96" s="37">
        <f t="shared" si="27"/>
        <v>-9.298557702486417E-3</v>
      </c>
      <c r="AJ96" s="37">
        <f t="shared" si="28"/>
        <v>-0.21385388094749785</v>
      </c>
      <c r="AK96" s="39">
        <f t="shared" si="29"/>
        <v>2.0363730564623966E-2</v>
      </c>
      <c r="AL96" s="39">
        <f>AL95+(1000*$C$2*($B96-$B95))/(BerechnungenCLT!$W$47*2*AF96)</f>
        <v>2.629810189032513E-3</v>
      </c>
      <c r="AM96" s="37">
        <f t="shared" si="6"/>
        <v>2.5865075189019098E-6</v>
      </c>
      <c r="AN96" s="173">
        <f t="shared" si="30"/>
        <v>3100.7721489122073</v>
      </c>
      <c r="AO96" s="173">
        <v>-258.06062885380828</v>
      </c>
      <c r="AV96" s="129">
        <v>85.5</v>
      </c>
      <c r="AW96" s="9">
        <v>15.25</v>
      </c>
      <c r="AX96" s="129">
        <f t="shared" si="31"/>
        <v>100.84373331458742</v>
      </c>
      <c r="AY96" s="36">
        <f t="shared" si="54"/>
        <v>1.5270196572511262E-2</v>
      </c>
      <c r="AZ96" s="37">
        <f t="shared" si="32"/>
        <v>39252733.172168002</v>
      </c>
      <c r="BA96" s="36">
        <f t="shared" si="7"/>
        <v>1.9731531663922237</v>
      </c>
      <c r="BB96" s="37">
        <f t="shared" si="33"/>
        <v>-2.0057356551871286E-4</v>
      </c>
      <c r="BC96" s="37">
        <f t="shared" si="34"/>
        <v>-9.3055839825648759E-3</v>
      </c>
      <c r="BD96" s="37">
        <f t="shared" si="35"/>
        <v>-0.21389604849586685</v>
      </c>
      <c r="BE96" s="39">
        <f t="shared" si="36"/>
        <v>2.0226587151125009E-2</v>
      </c>
      <c r="BF96" s="39">
        <f>BF95+(1000*$C$2*($B96-$B95))/(BerechnungenCLT!$W$47*2*AZ96)</f>
        <v>2.6318420444407316E-3</v>
      </c>
      <c r="BG96" s="37">
        <f t="shared" si="8"/>
        <v>2.5690881924647806E-6</v>
      </c>
      <c r="BH96" s="173">
        <f t="shared" si="37"/>
        <v>3097.6649342624023</v>
      </c>
      <c r="BI96">
        <v>-257.82891615983561</v>
      </c>
      <c r="BP96" s="129">
        <v>85.5</v>
      </c>
      <c r="BQ96" s="9">
        <v>15.25</v>
      </c>
      <c r="BR96" s="129">
        <f t="shared" si="38"/>
        <v>100.75007043650298</v>
      </c>
      <c r="BS96" s="36">
        <f t="shared" si="55"/>
        <v>1.5169354103078484E-2</v>
      </c>
      <c r="BT96" s="37">
        <f t="shared" si="39"/>
        <v>38951391.62323527</v>
      </c>
      <c r="BU96" s="36">
        <f t="shared" si="9"/>
        <v>1.9734502544148405</v>
      </c>
      <c r="BV96" s="37">
        <f t="shared" si="40"/>
        <v>-2.0212527256664067E-4</v>
      </c>
      <c r="BW96" s="37">
        <f t="shared" si="41"/>
        <v>-9.2981557814388258E-3</v>
      </c>
      <c r="BX96" s="37">
        <f t="shared" si="42"/>
        <v>-0.2138516541963989</v>
      </c>
      <c r="BY96" s="39">
        <f t="shared" si="43"/>
        <v>2.036413544808641E-2</v>
      </c>
      <c r="BZ96" s="39">
        <f>BZ95+(1000*$C$2*($B96-$B95))/(BerechnungenCLT!$W$47*2*BT96)</f>
        <v>2.6296939906847515E-3</v>
      </c>
      <c r="CA96" s="37">
        <f t="shared" si="10"/>
        <v>2.5865589453395441E-6</v>
      </c>
      <c r="CB96" s="173">
        <f t="shared" si="44"/>
        <v>3100.7812731220574</v>
      </c>
      <c r="CC96" s="9">
        <v>-258.06053784294062</v>
      </c>
      <c r="CJ96" s="9">
        <f t="shared" si="60"/>
        <v>45</v>
      </c>
      <c r="CK96" s="129">
        <v>85.501823431336007</v>
      </c>
      <c r="CL96" s="9">
        <v>10.09375</v>
      </c>
      <c r="CM96" s="129">
        <f t="shared" si="56"/>
        <v>95.595580386205256</v>
      </c>
      <c r="CN96" s="36">
        <f t="shared" si="57"/>
        <v>9.762563274589138E-3</v>
      </c>
      <c r="CO96" s="173">
        <f t="shared" si="58"/>
        <v>3279.7411968901702</v>
      </c>
      <c r="CP96" s="9">
        <v>-630.02113431860266</v>
      </c>
      <c r="CQ96" s="129"/>
      <c r="CR96" s="36">
        <f t="shared" si="45"/>
        <v>0.83462123150274325</v>
      </c>
      <c r="CS96" s="17">
        <f t="shared" si="11"/>
        <v>0.59999336242290591</v>
      </c>
      <c r="CT96" s="9">
        <f t="shared" si="12"/>
        <v>10.093861664641626</v>
      </c>
      <c r="CU96" s="9">
        <f t="shared" si="46"/>
        <v>95.595692050923816</v>
      </c>
      <c r="CV96" s="9">
        <v>13.2</v>
      </c>
      <c r="CW96" s="9">
        <f t="shared" si="47"/>
        <v>98.701832526496275</v>
      </c>
      <c r="CX96">
        <f t="shared" si="48"/>
        <v>22</v>
      </c>
      <c r="CY96" s="9">
        <f t="shared" si="13"/>
        <v>625.4695751919179</v>
      </c>
      <c r="CZ96" s="17">
        <f t="shared" si="49"/>
        <v>0.58895440225227669</v>
      </c>
      <c r="DA96">
        <v>45</v>
      </c>
      <c r="DB96" s="9">
        <f t="shared" si="50"/>
        <v>10.093534738391426</v>
      </c>
      <c r="DC96" s="9">
        <f t="shared" si="51"/>
        <v>10.928155970071579</v>
      </c>
    </row>
    <row r="97" spans="2:107" x14ac:dyDescent="0.25">
      <c r="B97" s="9">
        <f t="shared" si="59"/>
        <v>46</v>
      </c>
      <c r="C97" s="9">
        <v>85.454726104859162</v>
      </c>
      <c r="D97" s="9"/>
      <c r="E97" s="129">
        <f t="shared" si="14"/>
        <v>85.454726104859162</v>
      </c>
      <c r="F97" s="36">
        <f t="shared" si="52"/>
        <v>0</v>
      </c>
      <c r="G97" s="37">
        <f t="shared" si="62"/>
        <v>0</v>
      </c>
      <c r="H97" s="36" t="e">
        <f t="shared" si="16"/>
        <v>#DIV/0!</v>
      </c>
      <c r="I97" s="37" t="e">
        <f t="shared" si="17"/>
        <v>#DIV/0!</v>
      </c>
      <c r="J97" s="37" t="e">
        <f t="shared" si="18"/>
        <v>#DIV/0!</v>
      </c>
      <c r="K97" s="37" t="e">
        <f t="shared" si="19"/>
        <v>#DIV/0!</v>
      </c>
      <c r="L97" s="39" t="e">
        <f t="shared" si="20"/>
        <v>#DIV/0!</v>
      </c>
      <c r="M97" s="39" t="e">
        <f>M96+(1000*$C$2*(B97-B96))/(BerechnungenCLT!$W$47*2*'Berechnung freier Bereich'!G97)</f>
        <v>#DIV/0!</v>
      </c>
      <c r="N97" s="17" t="e">
        <f t="shared" si="61"/>
        <v>#DIV/0!</v>
      </c>
      <c r="O97" s="173">
        <f t="shared" si="21"/>
        <v>3682.4076102650079</v>
      </c>
      <c r="P97" s="173"/>
      <c r="Q97" s="173"/>
      <c r="R97" s="37" t="e">
        <f t="shared" si="1"/>
        <v>#DIV/0!</v>
      </c>
      <c r="S97" s="37" t="e">
        <f t="shared" si="2"/>
        <v>#DIV/0!</v>
      </c>
      <c r="T97" s="37" t="e">
        <f t="shared" si="3"/>
        <v>#DIV/0!</v>
      </c>
      <c r="U97" s="39" t="e">
        <f t="shared" si="4"/>
        <v>#DIV/0!</v>
      </c>
      <c r="V97" s="39" t="e">
        <f t="shared" si="22"/>
        <v>#DIV/0!</v>
      </c>
      <c r="W97" s="9" t="e">
        <f t="shared" si="23"/>
        <v>#DIV/0!</v>
      </c>
      <c r="AB97" s="129">
        <v>85.506721302060171</v>
      </c>
      <c r="AC97" s="9">
        <v>15.25</v>
      </c>
      <c r="AD97" s="129">
        <f t="shared" si="24"/>
        <v>100.75721419593596</v>
      </c>
      <c r="AE97" s="36">
        <f t="shared" si="53"/>
        <v>1.5170903611826646E-2</v>
      </c>
      <c r="AF97" s="37">
        <f t="shared" si="25"/>
        <v>38961146.295035139</v>
      </c>
      <c r="AG97" s="36">
        <f t="shared" si="5"/>
        <v>1.973452711348447</v>
      </c>
      <c r="AH97" s="37">
        <f t="shared" si="26"/>
        <v>-2.0207466661984906E-4</v>
      </c>
      <c r="AI97" s="37">
        <f t="shared" si="27"/>
        <v>-9.5006323691062666E-3</v>
      </c>
      <c r="AJ97" s="37">
        <f t="shared" si="28"/>
        <v>-0.2232534759832942</v>
      </c>
      <c r="AK97" s="39">
        <f t="shared" si="29"/>
        <v>2.0360480468188481E-2</v>
      </c>
      <c r="AL97" s="39">
        <f>AL96+(1000*$C$2*($B97-$B96))/(BerechnungenCLT!$W$47*2*AF97)</f>
        <v>2.6882306840478247E-3</v>
      </c>
      <c r="AM97" s="37">
        <f t="shared" si="6"/>
        <v>2.5860947065814527E-6</v>
      </c>
      <c r="AN97" s="173">
        <f t="shared" si="30"/>
        <v>3100.319660166429</v>
      </c>
      <c r="AO97" s="173">
        <v>-258.04834251967213</v>
      </c>
      <c r="AV97" s="129">
        <v>85.611043561386353</v>
      </c>
      <c r="AW97" s="9">
        <v>15.1875</v>
      </c>
      <c r="AX97" s="129">
        <f t="shared" si="31"/>
        <v>100.93301472646736</v>
      </c>
      <c r="AY97" s="36">
        <f t="shared" si="54"/>
        <v>1.5264931346715109E-2</v>
      </c>
      <c r="AZ97" s="37">
        <f t="shared" si="32"/>
        <v>39322293.083083197</v>
      </c>
      <c r="BA97" s="36">
        <f t="shared" si="7"/>
        <v>1.9732853914777893</v>
      </c>
      <c r="BB97" s="37">
        <f t="shared" si="33"/>
        <v>-2.0021875713254001E-4</v>
      </c>
      <c r="BC97" s="37">
        <f t="shared" si="34"/>
        <v>-9.5058027396974151E-3</v>
      </c>
      <c r="BD97" s="37">
        <f t="shared" si="35"/>
        <v>-0.223301741856998</v>
      </c>
      <c r="BE97" s="39">
        <f t="shared" si="36"/>
        <v>2.0208682762173653E-2</v>
      </c>
      <c r="BF97" s="39">
        <f>BF96+(1000*$C$2*($B97-$B96))/(BerechnungenCLT!$W$47*2*AZ97)</f>
        <v>2.6897259895125704E-3</v>
      </c>
      <c r="BG97" s="37">
        <f t="shared" si="8"/>
        <v>2.5668140592210184E-6</v>
      </c>
      <c r="BH97" s="173">
        <f t="shared" si="37"/>
        <v>3091.0154975569271</v>
      </c>
      <c r="BI97">
        <v>-258.35025636640142</v>
      </c>
      <c r="BP97" s="129">
        <v>85.503039341293018</v>
      </c>
      <c r="BQ97" s="9">
        <v>15.25</v>
      </c>
      <c r="BR97" s="129">
        <f t="shared" si="38"/>
        <v>100.75314085385831</v>
      </c>
      <c r="BS97" s="36">
        <f t="shared" si="55"/>
        <v>1.51698826320893E-2</v>
      </c>
      <c r="BT97" s="37">
        <f t="shared" si="39"/>
        <v>38955288.459591992</v>
      </c>
      <c r="BU97" s="36">
        <f t="shared" si="9"/>
        <v>1.9734518717112655</v>
      </c>
      <c r="BV97" s="37">
        <f t="shared" si="40"/>
        <v>-2.0210505325517114E-4</v>
      </c>
      <c r="BW97" s="37">
        <f t="shared" si="41"/>
        <v>-9.5002608346939962E-3</v>
      </c>
      <c r="BX97" s="37">
        <f t="shared" si="42"/>
        <v>-0.2232508625044653</v>
      </c>
      <c r="BY97" s="39">
        <f t="shared" si="43"/>
        <v>2.0362718897894792E-2</v>
      </c>
      <c r="BZ97" s="39">
        <f>BZ96+(1000*$C$2*($B97-$B96))/(BerechnungenCLT!$W$47*2*BT97)</f>
        <v>2.6881232705829338E-3</v>
      </c>
      <c r="CA97" s="37">
        <f t="shared" si="10"/>
        <v>2.586379021640893E-6</v>
      </c>
      <c r="CB97" s="173">
        <f t="shared" si="44"/>
        <v>3100.5778466966512</v>
      </c>
      <c r="CC97" s="9">
        <v>-258.04360780882087</v>
      </c>
      <c r="CJ97" s="9">
        <f t="shared" si="60"/>
        <v>46</v>
      </c>
      <c r="CK97" s="129">
        <v>85.502997337236124</v>
      </c>
      <c r="CL97" s="9">
        <v>10.09375</v>
      </c>
      <c r="CM97" s="129">
        <f t="shared" si="56"/>
        <v>95.596754894100542</v>
      </c>
      <c r="CN97" s="36">
        <f t="shared" si="57"/>
        <v>9.7626904546689597E-3</v>
      </c>
      <c r="CO97" s="173">
        <f t="shared" si="58"/>
        <v>3279.6561372538304</v>
      </c>
      <c r="CP97" s="9">
        <v>-630.00479480723448</v>
      </c>
      <c r="CQ97" s="129"/>
      <c r="CR97" s="36">
        <f t="shared" si="45"/>
        <v>0.83461530246231908</v>
      </c>
      <c r="CS97" s="17">
        <f t="shared" si="11"/>
        <v>0.59998910014827678</v>
      </c>
      <c r="CT97" s="9">
        <f t="shared" si="12"/>
        <v>10.093933370628406</v>
      </c>
      <c r="CU97" s="9">
        <f t="shared" si="46"/>
        <v>95.596938264866239</v>
      </c>
      <c r="CV97" s="9">
        <v>13.2</v>
      </c>
      <c r="CW97" s="9">
        <f t="shared" si="47"/>
        <v>98.703007219649535</v>
      </c>
      <c r="CX97">
        <f t="shared" si="48"/>
        <v>22</v>
      </c>
      <c r="CY97" s="9">
        <f t="shared" si="13"/>
        <v>625.46098786226241</v>
      </c>
      <c r="CZ97" s="17">
        <f t="shared" si="49"/>
        <v>0.58894631625448435</v>
      </c>
      <c r="DA97">
        <v>45</v>
      </c>
      <c r="DB97" s="9">
        <f t="shared" si="50"/>
        <v>10.093396160091817</v>
      </c>
      <c r="DC97" s="9">
        <f t="shared" si="51"/>
        <v>10.928011462746865</v>
      </c>
    </row>
    <row r="98" spans="2:107" x14ac:dyDescent="0.25">
      <c r="B98" s="9">
        <f t="shared" si="59"/>
        <v>47</v>
      </c>
      <c r="C98" s="9">
        <v>85.444003919338982</v>
      </c>
      <c r="D98" s="9"/>
      <c r="E98" s="129">
        <f t="shared" si="14"/>
        <v>85.444003919338982</v>
      </c>
      <c r="F98" s="36">
        <f t="shared" si="52"/>
        <v>0</v>
      </c>
      <c r="G98" s="37">
        <f t="shared" si="62"/>
        <v>0</v>
      </c>
      <c r="H98" s="36" t="e">
        <f t="shared" si="16"/>
        <v>#DIV/0!</v>
      </c>
      <c r="I98" s="37" t="e">
        <f t="shared" si="17"/>
        <v>#DIV/0!</v>
      </c>
      <c r="J98" s="37" t="e">
        <f t="shared" si="18"/>
        <v>#DIV/0!</v>
      </c>
      <c r="K98" s="37" t="e">
        <f t="shared" si="19"/>
        <v>#DIV/0!</v>
      </c>
      <c r="L98" s="39" t="e">
        <f t="shared" si="20"/>
        <v>#DIV/0!</v>
      </c>
      <c r="M98" s="39" t="e">
        <f>M97+(1000*$C$2*(B98-B97))/(BerechnungenCLT!$W$47*2*'Berechnung freier Bereich'!G98)</f>
        <v>#DIV/0!</v>
      </c>
      <c r="N98" s="17" t="e">
        <f t="shared" si="61"/>
        <v>#DIV/0!</v>
      </c>
      <c r="O98" s="173">
        <f t="shared" si="21"/>
        <v>3683.3318631814045</v>
      </c>
      <c r="P98" s="173"/>
      <c r="Q98" s="173"/>
      <c r="R98" s="37" t="e">
        <f t="shared" si="1"/>
        <v>#DIV/0!</v>
      </c>
      <c r="S98" s="37" t="e">
        <f t="shared" si="2"/>
        <v>#DIV/0!</v>
      </c>
      <c r="T98" s="37" t="e">
        <f t="shared" si="3"/>
        <v>#DIV/0!</v>
      </c>
      <c r="U98" s="39" t="e">
        <f t="shared" si="4"/>
        <v>#DIV/0!</v>
      </c>
      <c r="V98" s="39" t="e">
        <f t="shared" si="22"/>
        <v>#DIV/0!</v>
      </c>
      <c r="W98" s="9" t="e">
        <f t="shared" si="23"/>
        <v>#DIV/0!</v>
      </c>
      <c r="AB98" s="129">
        <v>85.514761380692605</v>
      </c>
      <c r="AC98" s="9">
        <v>15.25</v>
      </c>
      <c r="AD98" s="129">
        <f t="shared" si="24"/>
        <v>100.76541864951648</v>
      </c>
      <c r="AE98" s="36">
        <f t="shared" si="53"/>
        <v>1.5172390234709366E-2</v>
      </c>
      <c r="AF98" s="37">
        <f t="shared" si="25"/>
        <v>38971721.253895782</v>
      </c>
      <c r="AG98" s="36">
        <f t="shared" si="5"/>
        <v>1.9734567285965576</v>
      </c>
      <c r="AH98" s="37">
        <f t="shared" si="26"/>
        <v>-2.0201983375084742E-4</v>
      </c>
      <c r="AI98" s="37">
        <f t="shared" si="27"/>
        <v>-9.7026522028571139E-3</v>
      </c>
      <c r="AJ98" s="37">
        <f t="shared" si="28"/>
        <v>-0.23285511826927591</v>
      </c>
      <c r="AK98" s="39">
        <f t="shared" si="29"/>
        <v>2.0356613123409858E-2</v>
      </c>
      <c r="AL98" s="39">
        <f>AL97+(1000*$C$2*($B98-$B97))/(BerechnungenCLT!$W$47*2*AF98)</f>
        <v>2.7466353266883494E-3</v>
      </c>
      <c r="AM98" s="37">
        <f t="shared" si="6"/>
        <v>2.5856034942116787E-6</v>
      </c>
      <c r="AN98" s="173">
        <f t="shared" si="30"/>
        <v>3099.778958019559</v>
      </c>
      <c r="AO98" s="173">
        <v>-258.03725936071561</v>
      </c>
      <c r="AV98" s="129">
        <v>85.744409717115971</v>
      </c>
      <c r="AW98" s="9">
        <v>15.1875</v>
      </c>
      <c r="AX98" s="129">
        <f t="shared" si="31"/>
        <v>101.11329822864541</v>
      </c>
      <c r="AY98" s="36">
        <f t="shared" si="54"/>
        <v>1.53374186272565E-2</v>
      </c>
      <c r="AZ98" s="37">
        <f t="shared" si="32"/>
        <v>39642722.633733779</v>
      </c>
      <c r="BA98" s="36">
        <f t="shared" si="7"/>
        <v>1.9732124354410481</v>
      </c>
      <c r="BB98" s="37">
        <f t="shared" si="33"/>
        <v>-1.9860040193094231E-4</v>
      </c>
      <c r="BC98" s="37">
        <f t="shared" si="34"/>
        <v>-9.7044031416283569E-3</v>
      </c>
      <c r="BD98" s="37">
        <f t="shared" si="35"/>
        <v>-0.23290684479766088</v>
      </c>
      <c r="BE98" s="39">
        <f t="shared" si="36"/>
        <v>2.0081141668772215E-2</v>
      </c>
      <c r="BF98" s="39">
        <f>BF97+(1000*$C$2*($B98-$B97))/(BerechnungenCLT!$W$47*2*AZ98)</f>
        <v>2.7471420624182964E-3</v>
      </c>
      <c r="BG98" s="37">
        <f t="shared" si="8"/>
        <v>2.5506143753760127E-6</v>
      </c>
      <c r="BH98" s="173">
        <f t="shared" si="37"/>
        <v>3080.6473699454818</v>
      </c>
      <c r="BI98">
        <v>-257.46896379020666</v>
      </c>
      <c r="BP98" s="129">
        <v>85.506688062661809</v>
      </c>
      <c r="BQ98" s="9">
        <v>15.25</v>
      </c>
      <c r="BR98" s="129">
        <f t="shared" si="38"/>
        <v>100.75682500922196</v>
      </c>
      <c r="BS98" s="36">
        <f t="shared" si="55"/>
        <v>1.5170515116991879E-2</v>
      </c>
      <c r="BT98" s="37">
        <f t="shared" si="39"/>
        <v>38959960.934227236</v>
      </c>
      <c r="BU98" s="36">
        <f t="shared" si="9"/>
        <v>1.9734538189945023</v>
      </c>
      <c r="BV98" s="37">
        <f t="shared" si="40"/>
        <v>-2.0208081476230961E-4</v>
      </c>
      <c r="BW98" s="37">
        <f t="shared" si="41"/>
        <v>-9.7023416494563062E-3</v>
      </c>
      <c r="BX98" s="37">
        <f t="shared" si="42"/>
        <v>-0.23285216374654044</v>
      </c>
      <c r="BY98" s="39">
        <f t="shared" si="43"/>
        <v>2.0361021290727026E-2</v>
      </c>
      <c r="BZ98" s="39">
        <f>BZ97+(1000*$C$2*($B98-$B97))/(BerechnungenCLT!$W$47*2*BT98)</f>
        <v>2.746545543047799E-3</v>
      </c>
      <c r="CA98" s="37">
        <f t="shared" si="10"/>
        <v>2.5861633993761201E-6</v>
      </c>
      <c r="CB98" s="173">
        <f t="shared" si="44"/>
        <v>3100.333722582031</v>
      </c>
      <c r="CC98" s="9">
        <v>-258.02329073555114</v>
      </c>
      <c r="CJ98" s="9">
        <f t="shared" si="60"/>
        <v>47</v>
      </c>
      <c r="CK98" s="129">
        <v>85.504220994020685</v>
      </c>
      <c r="CL98" s="9">
        <v>10.09375</v>
      </c>
      <c r="CM98" s="129">
        <f t="shared" si="56"/>
        <v>95.597979071632366</v>
      </c>
      <c r="CN98" s="36">
        <f t="shared" si="57"/>
        <v>9.7628229157223478E-3</v>
      </c>
      <c r="CO98" s="173">
        <f t="shared" si="58"/>
        <v>3279.5674801245304</v>
      </c>
      <c r="CP98" s="9">
        <v>-629.98776423627965</v>
      </c>
      <c r="CQ98" s="129"/>
      <c r="CR98" s="36">
        <f t="shared" si="45"/>
        <v>0.8346091227262481</v>
      </c>
      <c r="CS98" s="17">
        <f t="shared" si="11"/>
        <v>0.59998465765330511</v>
      </c>
      <c r="CT98" s="9">
        <f t="shared" si="12"/>
        <v>10.09400810961993</v>
      </c>
      <c r="CU98" s="9">
        <f t="shared" si="46"/>
        <v>95.598237181458856</v>
      </c>
      <c r="CV98" s="9">
        <v>13.2</v>
      </c>
      <c r="CW98" s="9">
        <f t="shared" si="47"/>
        <v>98.704231557436088</v>
      </c>
      <c r="CX98">
        <f t="shared" si="48"/>
        <v>22</v>
      </c>
      <c r="CY98" s="9">
        <f t="shared" si="13"/>
        <v>625.45203684706837</v>
      </c>
      <c r="CZ98" s="17">
        <f t="shared" si="49"/>
        <v>0.58893788780326595</v>
      </c>
      <c r="DA98">
        <v>45</v>
      </c>
      <c r="DB98" s="9">
        <f t="shared" si="50"/>
        <v>10.093251712805509</v>
      </c>
      <c r="DC98" s="9">
        <f t="shared" si="51"/>
        <v>10.927860835737725</v>
      </c>
    </row>
    <row r="99" spans="2:107" x14ac:dyDescent="0.25">
      <c r="B99" s="9">
        <f t="shared" si="59"/>
        <v>48</v>
      </c>
      <c r="C99" s="9">
        <v>85.434299314370662</v>
      </c>
      <c r="D99" s="9"/>
      <c r="E99" s="129">
        <f t="shared" si="14"/>
        <v>85.434299314370662</v>
      </c>
      <c r="F99" s="36">
        <f t="shared" si="52"/>
        <v>0</v>
      </c>
      <c r="G99" s="37">
        <f t="shared" si="62"/>
        <v>0</v>
      </c>
      <c r="H99" s="36" t="e">
        <f t="shared" si="16"/>
        <v>#DIV/0!</v>
      </c>
      <c r="I99" s="37" t="e">
        <f t="shared" si="17"/>
        <v>#DIV/0!</v>
      </c>
      <c r="J99" s="37" t="e">
        <f t="shared" si="18"/>
        <v>#DIV/0!</v>
      </c>
      <c r="K99" s="37" t="e">
        <f t="shared" si="19"/>
        <v>#DIV/0!</v>
      </c>
      <c r="L99" s="39" t="e">
        <f t="shared" si="20"/>
        <v>#DIV/0!</v>
      </c>
      <c r="M99" s="39" t="e">
        <f>M98+(1000*$C$2*(B99-B98))/(BerechnungenCLT!$W$47*2*'Berechnung freier Bereich'!G99)</f>
        <v>#DIV/0!</v>
      </c>
      <c r="N99" s="17" t="e">
        <f t="shared" si="61"/>
        <v>#DIV/0!</v>
      </c>
      <c r="O99" s="173">
        <f t="shared" si="21"/>
        <v>3684.1687006381458</v>
      </c>
      <c r="P99" s="173"/>
      <c r="Q99" s="173"/>
      <c r="R99" s="37" t="e">
        <f t="shared" si="1"/>
        <v>#DIV/0!</v>
      </c>
      <c r="S99" s="37" t="e">
        <f t="shared" si="2"/>
        <v>#DIV/0!</v>
      </c>
      <c r="T99" s="37" t="e">
        <f t="shared" si="3"/>
        <v>#DIV/0!</v>
      </c>
      <c r="U99" s="39" t="e">
        <f t="shared" si="4"/>
        <v>#DIV/0!</v>
      </c>
      <c r="V99" s="39" t="e">
        <f t="shared" si="22"/>
        <v>#DIV/0!</v>
      </c>
      <c r="W99" s="9" t="e">
        <f t="shared" si="23"/>
        <v>#DIV/0!</v>
      </c>
      <c r="AB99" s="129">
        <v>85.52404583261999</v>
      </c>
      <c r="AC99" s="9">
        <v>15.25</v>
      </c>
      <c r="AD99" s="129">
        <f t="shared" si="24"/>
        <v>100.77487918375415</v>
      </c>
      <c r="AE99" s="36">
        <f t="shared" si="53"/>
        <v>1.517409219698385E-2</v>
      </c>
      <c r="AF99" s="37">
        <f t="shared" si="25"/>
        <v>38983891.229255036</v>
      </c>
      <c r="AG99" s="36">
        <f t="shared" si="5"/>
        <v>1.9734614098060248</v>
      </c>
      <c r="AH99" s="37">
        <f t="shared" si="26"/>
        <v>-2.0195676728104918E-4</v>
      </c>
      <c r="AI99" s="37">
        <f t="shared" si="27"/>
        <v>-9.904608970138163E-3</v>
      </c>
      <c r="AJ99" s="37">
        <f t="shared" si="28"/>
        <v>-0.24265874885577354</v>
      </c>
      <c r="AK99" s="39">
        <f t="shared" si="29"/>
        <v>2.0352168823089285E-2</v>
      </c>
      <c r="AL99" s="39">
        <f>AL98+(1000*$C$2*($B99-$B98))/(BerechnungenCLT!$W$47*2*AF99)</f>
        <v>2.8050217365912129E-3</v>
      </c>
      <c r="AM99" s="37">
        <f t="shared" si="6"/>
        <v>2.5850389995991152E-6</v>
      </c>
      <c r="AN99" s="173">
        <f t="shared" si="30"/>
        <v>3099.1552035833633</v>
      </c>
      <c r="AO99" s="173">
        <v>-258.02719091297212</v>
      </c>
      <c r="AV99" s="129">
        <v>85.899423248175907</v>
      </c>
      <c r="AW99" s="9">
        <v>15.0625</v>
      </c>
      <c r="AX99" s="129">
        <f t="shared" si="31"/>
        <v>101.19339474908914</v>
      </c>
      <c r="AY99" s="36">
        <f t="shared" si="54"/>
        <v>1.5281858956149601E-2</v>
      </c>
      <c r="AZ99" s="37">
        <f t="shared" si="32"/>
        <v>39595328.142119154</v>
      </c>
      <c r="BA99" s="36">
        <f t="shared" si="7"/>
        <v>1.9735363303133315</v>
      </c>
      <c r="BB99" s="37">
        <f t="shared" si="33"/>
        <v>-1.9883812101361269E-4</v>
      </c>
      <c r="BC99" s="37">
        <f t="shared" si="34"/>
        <v>-9.9032412626419691E-3</v>
      </c>
      <c r="BD99" s="37">
        <f t="shared" si="35"/>
        <v>-0.24271066699979604</v>
      </c>
      <c r="BE99" s="39">
        <f t="shared" si="36"/>
        <v>2.0121104470897665E-2</v>
      </c>
      <c r="BF99" s="39">
        <f>BF98+(1000*$C$2*($B99-$B98))/(BerechnungenCLT!$W$47*2*AZ99)</f>
        <v>2.8046268607447617E-3</v>
      </c>
      <c r="BG99" s="37">
        <f t="shared" si="8"/>
        <v>2.5556902669394883E-6</v>
      </c>
      <c r="BH99" s="173">
        <f t="shared" si="37"/>
        <v>3072.9096483206313</v>
      </c>
      <c r="BI99">
        <v>-258.91100724421972</v>
      </c>
      <c r="BP99" s="129">
        <v>85.510926020336328</v>
      </c>
      <c r="BQ99" s="9">
        <v>15.25</v>
      </c>
      <c r="BR99" s="129">
        <f t="shared" si="38"/>
        <v>100.76110221577287</v>
      </c>
      <c r="BS99" s="36">
        <f t="shared" si="55"/>
        <v>1.517124769323394E-2</v>
      </c>
      <c r="BT99" s="37">
        <f t="shared" si="39"/>
        <v>38965382.320766017</v>
      </c>
      <c r="BU99" s="36">
        <f t="shared" si="9"/>
        <v>1.973456086502883</v>
      </c>
      <c r="BV99" s="37">
        <f t="shared" si="40"/>
        <v>-2.0205269856932888E-4</v>
      </c>
      <c r="BW99" s="37">
        <f t="shared" si="41"/>
        <v>-9.9043943480256347E-3</v>
      </c>
      <c r="BX99" s="37">
        <f t="shared" si="42"/>
        <v>-0.2426555317452814</v>
      </c>
      <c r="BY99" s="39">
        <f t="shared" si="43"/>
        <v>2.0359052613516893E-2</v>
      </c>
      <c r="BZ99" s="39">
        <f>BZ98+(1000*$C$2*($B99-$B98))/(BerechnungenCLT!$W$47*2*BT99)</f>
        <v>2.8049596870226394E-3</v>
      </c>
      <c r="CA99" s="37">
        <f t="shared" si="10"/>
        <v>2.5859133470396809E-6</v>
      </c>
      <c r="CB99" s="173">
        <f t="shared" si="44"/>
        <v>3100.0502742550307</v>
      </c>
      <c r="CC99" s="9">
        <v>-257.9997009298624</v>
      </c>
      <c r="CJ99" s="9">
        <f t="shared" si="60"/>
        <v>48</v>
      </c>
      <c r="CK99" s="129">
        <v>85.505486109875619</v>
      </c>
      <c r="CL99" s="9">
        <v>10.09375</v>
      </c>
      <c r="CM99" s="129">
        <f t="shared" si="56"/>
        <v>95.599244616576868</v>
      </c>
      <c r="CN99" s="36">
        <f t="shared" si="57"/>
        <v>9.7629597531300287E-3</v>
      </c>
      <c r="CO99" s="173">
        <f t="shared" si="58"/>
        <v>3279.4758269154554</v>
      </c>
      <c r="CP99" s="9">
        <v>-629.97015813406631</v>
      </c>
      <c r="CQ99" s="129"/>
      <c r="CR99" s="36">
        <f t="shared" si="45"/>
        <v>0.8346027342095208</v>
      </c>
      <c r="CS99" s="17">
        <f t="shared" si="11"/>
        <v>0.59998006506988233</v>
      </c>
      <c r="CT99" s="9">
        <f t="shared" si="12"/>
        <v>10.094085374810913</v>
      </c>
      <c r="CU99" s="9">
        <f t="shared" si="46"/>
        <v>95.599579991670424</v>
      </c>
      <c r="CV99" s="9">
        <v>13.2</v>
      </c>
      <c r="CW99" s="9">
        <f t="shared" si="47"/>
        <v>98.705497234428577</v>
      </c>
      <c r="CX99">
        <f t="shared" si="48"/>
        <v>22</v>
      </c>
      <c r="CY99" s="9">
        <f t="shared" si="13"/>
        <v>625.44278282929338</v>
      </c>
      <c r="CZ99" s="17">
        <f t="shared" si="49"/>
        <v>0.58892917403888267</v>
      </c>
      <c r="DA99">
        <v>45</v>
      </c>
      <c r="DB99" s="9">
        <f t="shared" si="50"/>
        <v>10.09310237580562</v>
      </c>
      <c r="DC99" s="9">
        <f t="shared" si="51"/>
        <v>10.927705110232006</v>
      </c>
    </row>
    <row r="100" spans="2:107" x14ac:dyDescent="0.25">
      <c r="B100" s="9">
        <f t="shared" si="59"/>
        <v>49</v>
      </c>
      <c r="C100" s="9">
        <v>85.425977082982243</v>
      </c>
      <c r="D100" s="9"/>
      <c r="E100" s="129">
        <f t="shared" si="14"/>
        <v>85.425977082982243</v>
      </c>
      <c r="F100" s="36">
        <f t="shared" si="52"/>
        <v>0</v>
      </c>
      <c r="G100" s="37">
        <f t="shared" si="62"/>
        <v>0</v>
      </c>
      <c r="H100" s="36" t="e">
        <f t="shared" si="16"/>
        <v>#DIV/0!</v>
      </c>
      <c r="I100" s="37" t="e">
        <f t="shared" si="17"/>
        <v>#DIV/0!</v>
      </c>
      <c r="J100" s="37" t="e">
        <f t="shared" si="18"/>
        <v>#DIV/0!</v>
      </c>
      <c r="K100" s="37" t="e">
        <f t="shared" si="19"/>
        <v>#DIV/0!</v>
      </c>
      <c r="L100" s="39" t="e">
        <f t="shared" si="20"/>
        <v>#DIV/0!</v>
      </c>
      <c r="M100" s="39" t="e">
        <f>M99+(1000*$C$2*(B100-B99))/(BerechnungenCLT!$W$47*2*'Berechnung freier Bereich'!G100)</f>
        <v>#DIV/0!</v>
      </c>
      <c r="N100" s="17" t="e">
        <f t="shared" si="61"/>
        <v>#DIV/0!</v>
      </c>
      <c r="O100" s="173">
        <f t="shared" si="21"/>
        <v>3684.8865618538252</v>
      </c>
      <c r="P100" s="173"/>
      <c r="Q100" s="173"/>
      <c r="R100" s="37" t="e">
        <f t="shared" si="1"/>
        <v>#DIV/0!</v>
      </c>
      <c r="S100" s="37" t="e">
        <f t="shared" si="2"/>
        <v>#DIV/0!</v>
      </c>
      <c r="T100" s="37" t="e">
        <f t="shared" si="3"/>
        <v>#DIV/0!</v>
      </c>
      <c r="U100" s="39" t="e">
        <f t="shared" si="4"/>
        <v>#DIV/0!</v>
      </c>
      <c r="V100" s="39" t="e">
        <f t="shared" si="22"/>
        <v>#DIV/0!</v>
      </c>
      <c r="W100" s="9" t="e">
        <f t="shared" si="23"/>
        <v>#DIV/0!</v>
      </c>
      <c r="AB100" s="129">
        <v>85.534500254564989</v>
      </c>
      <c r="AC100" s="9">
        <v>15.25</v>
      </c>
      <c r="AD100" s="129">
        <f t="shared" si="24"/>
        <v>100.78551741271289</v>
      </c>
      <c r="AE100" s="36">
        <f t="shared" si="53"/>
        <v>1.5175993101282195E-2</v>
      </c>
      <c r="AF100" s="37">
        <f t="shared" si="25"/>
        <v>38997551.412144758</v>
      </c>
      <c r="AG100" s="36">
        <f t="shared" si="5"/>
        <v>1.9734667250546229</v>
      </c>
      <c r="AH100" s="37">
        <f t="shared" si="26"/>
        <v>-2.0188602524015231E-4</v>
      </c>
      <c r="AI100" s="37">
        <f t="shared" si="27"/>
        <v>-1.0106494995378315E-2</v>
      </c>
      <c r="AJ100" s="37">
        <f t="shared" si="28"/>
        <v>-0.25266430083853181</v>
      </c>
      <c r="AK100" s="39">
        <f t="shared" si="29"/>
        <v>2.0347187512224765E-2</v>
      </c>
      <c r="AL100" s="39">
        <f>AL99+(1000*$C$2*($B100-$B99))/(BerechnungenCLT!$W$47*2*AF100)</f>
        <v>2.863387694721884E-3</v>
      </c>
      <c r="AM100" s="37">
        <f t="shared" si="6"/>
        <v>2.5844062963739284E-6</v>
      </c>
      <c r="AN100" s="173">
        <f t="shared" si="30"/>
        <v>3098.4535538143132</v>
      </c>
      <c r="AO100" s="173">
        <v>-258.01794862944234</v>
      </c>
      <c r="AV100" s="129">
        <v>86.075408935553185</v>
      </c>
      <c r="AW100" s="9">
        <v>15.0625</v>
      </c>
      <c r="AX100" s="129">
        <f t="shared" si="31"/>
        <v>101.42532229340888</v>
      </c>
      <c r="AY100" s="36">
        <f t="shared" si="54"/>
        <v>1.5371196989161319E-2</v>
      </c>
      <c r="AZ100" s="37">
        <f t="shared" si="32"/>
        <v>40001442.506192185</v>
      </c>
      <c r="BA100" s="36">
        <f t="shared" si="7"/>
        <v>1.9734590217094283</v>
      </c>
      <c r="BB100" s="37">
        <f t="shared" si="33"/>
        <v>-1.9681941838666571E-4</v>
      </c>
      <c r="BC100" s="37">
        <f t="shared" si="34"/>
        <v>-1.0100060681028636E-2</v>
      </c>
      <c r="BD100" s="37">
        <f t="shared" si="35"/>
        <v>-0.25271231797163135</v>
      </c>
      <c r="BE100" s="39">
        <f t="shared" si="36"/>
        <v>1.9962472943468857E-2</v>
      </c>
      <c r="BF100" s="39">
        <f>BF99+(1000*$C$2*($B100-$B99))/(BerechnungenCLT!$W$47*2*AZ100)</f>
        <v>2.8615280450599921E-3</v>
      </c>
      <c r="BG100" s="37">
        <f t="shared" si="8"/>
        <v>2.5355416189730741E-6</v>
      </c>
      <c r="BH100" s="173">
        <f t="shared" si="37"/>
        <v>3059.5537855918496</v>
      </c>
      <c r="BI100">
        <v>-257.71798922570781</v>
      </c>
      <c r="BP100" s="129">
        <v>85.515733070546545</v>
      </c>
      <c r="BQ100" s="9">
        <v>15.25</v>
      </c>
      <c r="BR100" s="129">
        <f t="shared" si="38"/>
        <v>100.76595180525621</v>
      </c>
      <c r="BS100" s="36">
        <f t="shared" si="55"/>
        <v>1.5172076516266718E-2</v>
      </c>
      <c r="BT100" s="37">
        <f t="shared" si="39"/>
        <v>38971525.972101264</v>
      </c>
      <c r="BU100" s="36">
        <f t="shared" si="9"/>
        <v>1.9734586644031791</v>
      </c>
      <c r="BV100" s="37">
        <f t="shared" si="40"/>
        <v>-2.0202084604879262E-4</v>
      </c>
      <c r="BW100" s="37">
        <f t="shared" si="41"/>
        <v>-1.0106415194074427E-2</v>
      </c>
      <c r="BX100" s="37">
        <f t="shared" si="42"/>
        <v>-0.25266093651633142</v>
      </c>
      <c r="BY100" s="39">
        <f t="shared" si="43"/>
        <v>2.0356822836609723E-2</v>
      </c>
      <c r="BZ100" s="39">
        <f>BZ99+(1000*$C$2*($B100-$B99))/(BerechnungenCLT!$W$47*2*BT100)</f>
        <v>2.8633646223220513E-3</v>
      </c>
      <c r="CA100" s="37">
        <f t="shared" si="10"/>
        <v>2.5856301310190426E-6</v>
      </c>
      <c r="CB100" s="173">
        <f t="shared" si="44"/>
        <v>3099.728876124841</v>
      </c>
      <c r="CC100" s="9">
        <v>-257.97295277608015</v>
      </c>
      <c r="CJ100" s="9">
        <f t="shared" si="60"/>
        <v>49</v>
      </c>
      <c r="CK100" s="129">
        <v>85.506784392986859</v>
      </c>
      <c r="CL100" s="9">
        <v>10.09375</v>
      </c>
      <c r="CM100" s="129">
        <f t="shared" si="56"/>
        <v>95.60054322879212</v>
      </c>
      <c r="CN100" s="36">
        <f t="shared" si="57"/>
        <v>9.7631000643977166E-3</v>
      </c>
      <c r="CO100" s="173">
        <f t="shared" si="58"/>
        <v>3279.3817788777374</v>
      </c>
      <c r="CP100" s="9">
        <v>-629.95209199779322</v>
      </c>
      <c r="CQ100" s="129"/>
      <c r="CR100" s="36">
        <f t="shared" si="45"/>
        <v>0.83459617881558579</v>
      </c>
      <c r="CS100" s="17">
        <f t="shared" si="11"/>
        <v>0.59997535252160217</v>
      </c>
      <c r="CT100" s="9">
        <f t="shared" si="12"/>
        <v>10.094164659508982</v>
      </c>
      <c r="CU100" s="9">
        <f t="shared" si="46"/>
        <v>95.600957888664084</v>
      </c>
      <c r="CV100" s="9">
        <v>13.2</v>
      </c>
      <c r="CW100" s="9">
        <f t="shared" si="47"/>
        <v>98.706795947922274</v>
      </c>
      <c r="CX100">
        <f t="shared" si="48"/>
        <v>22</v>
      </c>
      <c r="CY100" s="9">
        <f t="shared" si="13"/>
        <v>625.43328648572526</v>
      </c>
      <c r="CZ100" s="17">
        <f t="shared" si="49"/>
        <v>0.58892023209578648</v>
      </c>
      <c r="DA100">
        <v>45</v>
      </c>
      <c r="DB100" s="9">
        <f t="shared" si="50"/>
        <v>10.092949128265701</v>
      </c>
      <c r="DC100" s="9">
        <f t="shared" si="51"/>
        <v>10.927545307306499</v>
      </c>
    </row>
    <row r="101" spans="2:107" x14ac:dyDescent="0.25">
      <c r="B101" s="9">
        <f t="shared" si="59"/>
        <v>50</v>
      </c>
      <c r="C101" s="9">
        <v>85.419402018201765</v>
      </c>
      <c r="D101" s="9"/>
      <c r="E101" s="9">
        <f t="shared" si="14"/>
        <v>85.419402018201765</v>
      </c>
      <c r="F101" s="36">
        <f t="shared" si="52"/>
        <v>0</v>
      </c>
      <c r="G101" s="37">
        <f t="shared" si="62"/>
        <v>0</v>
      </c>
      <c r="H101" s="36" t="e">
        <f t="shared" si="16"/>
        <v>#DIV/0!</v>
      </c>
      <c r="I101" s="37" t="e">
        <f t="shared" si="17"/>
        <v>#DIV/0!</v>
      </c>
      <c r="J101" s="37" t="e">
        <f t="shared" si="18"/>
        <v>#DIV/0!</v>
      </c>
      <c r="K101" s="37" t="e">
        <f t="shared" si="19"/>
        <v>#DIV/0!</v>
      </c>
      <c r="L101" s="39" t="e">
        <f t="shared" si="20"/>
        <v>#DIV/0!</v>
      </c>
      <c r="M101" s="39" t="e">
        <f>M100+(1000*$C$2*(B101-B100))/(BerechnungenCLT!$W$47*2*'Berechnung freier Bereich'!G101)</f>
        <v>#DIV/0!</v>
      </c>
      <c r="N101" s="17" t="e">
        <f t="shared" si="61"/>
        <v>#DIV/0!</v>
      </c>
      <c r="O101" s="173">
        <f t="shared" si="21"/>
        <v>3685.4538638895801</v>
      </c>
      <c r="P101" s="173"/>
      <c r="Q101" s="173"/>
      <c r="R101" s="37" t="e">
        <f t="shared" si="1"/>
        <v>#DIV/0!</v>
      </c>
      <c r="S101" s="37" t="e">
        <f t="shared" si="2"/>
        <v>#DIV/0!</v>
      </c>
      <c r="T101" s="37" t="e">
        <f t="shared" si="3"/>
        <v>#DIV/0!</v>
      </c>
      <c r="U101" s="39" t="e">
        <f t="shared" si="4"/>
        <v>#DIV/0!</v>
      </c>
      <c r="V101" s="39" t="e">
        <f t="shared" si="22"/>
        <v>#DIV/0!</v>
      </c>
      <c r="W101" s="9" t="e">
        <f t="shared" si="23"/>
        <v>#DIV/0!</v>
      </c>
      <c r="AB101" s="129">
        <v>85.546050243250306</v>
      </c>
      <c r="AC101" s="9">
        <v>15.25</v>
      </c>
      <c r="AD101" s="129">
        <f t="shared" si="24"/>
        <v>100.79725520387684</v>
      </c>
      <c r="AE101" s="36">
        <f t="shared" si="53"/>
        <v>1.5178076821388841E-2</v>
      </c>
      <c r="AF101" s="37">
        <f t="shared" si="25"/>
        <v>39012597.825459503</v>
      </c>
      <c r="AG101" s="36">
        <f t="shared" si="5"/>
        <v>1.9734726435886605</v>
      </c>
      <c r="AH101" s="37">
        <f t="shared" si="26"/>
        <v>-2.0180816165896181E-4</v>
      </c>
      <c r="AI101" s="37">
        <f t="shared" si="27"/>
        <v>-1.0308303157037277E-2</v>
      </c>
      <c r="AJ101" s="37">
        <f t="shared" si="28"/>
        <v>-0.26287169991473958</v>
      </c>
      <c r="AK101" s="39">
        <f t="shared" si="29"/>
        <v>2.034170877296361E-2</v>
      </c>
      <c r="AL101" s="39">
        <f>AL100+(1000*$C$2*($B101-$B100))/(BerechnungenCLT!$W$47*2*AF101)</f>
        <v>2.9217311422180805E-3</v>
      </c>
      <c r="AM101" s="37">
        <f t="shared" si="6"/>
        <v>2.5837104120786559E-6</v>
      </c>
      <c r="AN101" s="173">
        <f t="shared" si="30"/>
        <v>3097.679159528469</v>
      </c>
      <c r="AO101" s="173">
        <v>-258.00934387005083</v>
      </c>
      <c r="AV101" s="129">
        <v>86.271691560234885</v>
      </c>
      <c r="AW101" s="9">
        <v>14.9375</v>
      </c>
      <c r="AX101" s="129">
        <f t="shared" si="31"/>
        <v>101.55337962142258</v>
      </c>
      <c r="AY101" s="36">
        <f t="shared" si="54"/>
        <v>1.5329348107519972E-2</v>
      </c>
      <c r="AZ101" s="37">
        <f t="shared" si="32"/>
        <v>40027393.402627453</v>
      </c>
      <c r="BA101" s="36">
        <f t="shared" si="7"/>
        <v>1.9737819866568911</v>
      </c>
      <c r="BB101" s="37">
        <f t="shared" si="33"/>
        <v>-1.9669181476552494E-4</v>
      </c>
      <c r="BC101" s="37">
        <f t="shared" si="34"/>
        <v>-1.029675249579416E-2</v>
      </c>
      <c r="BD101" s="37">
        <f t="shared" si="35"/>
        <v>-0.26291072456004277</v>
      </c>
      <c r="BE101" s="39">
        <f t="shared" si="36"/>
        <v>1.9974718533309885E-2</v>
      </c>
      <c r="BF101" s="39">
        <f>BF100+(1000*$C$2*($B101-$B100))/(BerechnungenCLT!$W$47*2*AZ101)</f>
        <v>2.9183923387207061E-3</v>
      </c>
      <c r="BG101" s="37">
        <f t="shared" si="8"/>
        <v>2.537096997546597E-6</v>
      </c>
      <c r="BH101" s="173">
        <f t="shared" si="37"/>
        <v>3048.9963160081429</v>
      </c>
      <c r="BI101">
        <v>-258.88817072696429</v>
      </c>
      <c r="BP101" s="129">
        <v>85.521089069522461</v>
      </c>
      <c r="BQ101" s="9">
        <v>15.25</v>
      </c>
      <c r="BR101" s="129">
        <f t="shared" si="38"/>
        <v>100.77135312798444</v>
      </c>
      <c r="BS101" s="36">
        <f t="shared" si="55"/>
        <v>1.5172997761510026E-2</v>
      </c>
      <c r="BT101" s="37">
        <f t="shared" si="39"/>
        <v>38978365.316956297</v>
      </c>
      <c r="BU101" s="36">
        <f t="shared" si="9"/>
        <v>1.9734615427924795</v>
      </c>
      <c r="BV101" s="37">
        <f t="shared" si="40"/>
        <v>-2.0198539843002263E-4</v>
      </c>
      <c r="BW101" s="37">
        <f t="shared" si="41"/>
        <v>-1.0308400592504451E-2</v>
      </c>
      <c r="BX101" s="37">
        <f t="shared" si="42"/>
        <v>-0.26286834440962087</v>
      </c>
      <c r="BY101" s="39">
        <f t="shared" si="43"/>
        <v>2.0354341911888445E-2</v>
      </c>
      <c r="BZ101" s="39">
        <f>BZ100+(1000*$C$2*($B101-$B100))/(BerechnungenCLT!$W$47*2*BT101)</f>
        <v>2.9217593095905237E-3</v>
      </c>
      <c r="CA101" s="37">
        <f t="shared" si="10"/>
        <v>2.5853150153566618E-6</v>
      </c>
      <c r="CB101" s="173">
        <f t="shared" si="44"/>
        <v>3099.3709032775505</v>
      </c>
      <c r="CC101" s="9">
        <v>-257.94316071486458</v>
      </c>
      <c r="CJ101" s="9">
        <f t="shared" si="60"/>
        <v>50</v>
      </c>
      <c r="CK101" s="129">
        <v>85.508107551540334</v>
      </c>
      <c r="CL101" s="9">
        <v>10.09375</v>
      </c>
      <c r="CM101" s="129">
        <f t="shared" si="56"/>
        <v>95.601866610218195</v>
      </c>
      <c r="CN101" s="36">
        <f t="shared" si="57"/>
        <v>9.763242949156422E-3</v>
      </c>
      <c r="CO101" s="173">
        <f t="shared" si="58"/>
        <v>3279.2859370930591</v>
      </c>
      <c r="CP101" s="9">
        <v>-629.93368129210864</v>
      </c>
      <c r="CQ101" s="129"/>
      <c r="CR101" s="36">
        <f t="shared" si="45"/>
        <v>0.83458949843626207</v>
      </c>
      <c r="CS101" s="17">
        <f t="shared" si="11"/>
        <v>0.59997055012369838</v>
      </c>
      <c r="CT101" s="9">
        <f t="shared" si="12"/>
        <v>10.09424545713345</v>
      </c>
      <c r="CU101" s="9">
        <f t="shared" si="46"/>
        <v>95.602362067796292</v>
      </c>
      <c r="CV101" s="9">
        <v>13.2</v>
      </c>
      <c r="CW101" s="9">
        <f t="shared" si="47"/>
        <v>98.708119397935164</v>
      </c>
      <c r="CX101">
        <f t="shared" si="48"/>
        <v>22</v>
      </c>
      <c r="CY101" s="9">
        <f t="shared" si="13"/>
        <v>625.4236084864533</v>
      </c>
      <c r="CZ101" s="17">
        <f t="shared" si="49"/>
        <v>0.58891111910212168</v>
      </c>
      <c r="DA101">
        <v>45</v>
      </c>
      <c r="DB101" s="9">
        <f t="shared" si="50"/>
        <v>10.092792949251205</v>
      </c>
      <c r="DC101" s="9">
        <f t="shared" si="51"/>
        <v>10.927382473930594</v>
      </c>
    </row>
    <row r="102" spans="2:107" x14ac:dyDescent="0.25">
      <c r="B102" s="9">
        <f t="shared" si="59"/>
        <v>51</v>
      </c>
      <c r="C102" s="9">
        <v>85.414938913057242</v>
      </c>
      <c r="D102" s="9"/>
      <c r="E102" s="9">
        <f t="shared" si="14"/>
        <v>85.414938913057242</v>
      </c>
      <c r="F102" s="36">
        <f t="shared" si="52"/>
        <v>0</v>
      </c>
      <c r="G102" s="37">
        <f t="shared" si="62"/>
        <v>0</v>
      </c>
      <c r="H102" s="36" t="e">
        <f t="shared" si="16"/>
        <v>#DIV/0!</v>
      </c>
      <c r="I102" s="37" t="e">
        <f t="shared" si="17"/>
        <v>#DIV/0!</v>
      </c>
      <c r="J102" s="37" t="e">
        <f t="shared" si="18"/>
        <v>#DIV/0!</v>
      </c>
      <c r="K102" s="37" t="e">
        <f t="shared" si="19"/>
        <v>#DIV/0!</v>
      </c>
      <c r="L102" s="39" t="e">
        <f t="shared" si="20"/>
        <v>#DIV/0!</v>
      </c>
      <c r="M102" s="39" t="e">
        <f>M101+(1000*$C$2*(B102-B101))/(BerechnungenCLT!$W$47*2*'Berechnung freier Bereich'!G102)</f>
        <v>#DIV/0!</v>
      </c>
      <c r="N102" s="17" t="e">
        <f t="shared" si="61"/>
        <v>#DIV/0!</v>
      </c>
      <c r="O102" s="173">
        <f t="shared" si="21"/>
        <v>3685.8390189466413</v>
      </c>
      <c r="P102" s="173"/>
      <c r="Q102" s="173"/>
      <c r="R102" s="37" t="e">
        <f t="shared" si="1"/>
        <v>#DIV/0!</v>
      </c>
      <c r="S102" s="37" t="e">
        <f t="shared" si="2"/>
        <v>#DIV/0!</v>
      </c>
      <c r="T102" s="37" t="e">
        <f t="shared" si="3"/>
        <v>#DIV/0!</v>
      </c>
      <c r="U102" s="39" t="e">
        <f t="shared" si="4"/>
        <v>#DIV/0!</v>
      </c>
      <c r="V102" s="39" t="e">
        <f t="shared" si="22"/>
        <v>#DIV/0!</v>
      </c>
      <c r="W102" s="9" t="e">
        <f t="shared" si="23"/>
        <v>#DIV/0!</v>
      </c>
      <c r="AB102" s="129">
        <v>85.558621395398589</v>
      </c>
      <c r="AC102" s="9">
        <v>15.25</v>
      </c>
      <c r="AD102" s="129">
        <f t="shared" si="24"/>
        <v>100.81001467814973</v>
      </c>
      <c r="AE102" s="36">
        <f t="shared" si="53"/>
        <v>1.5180327501882635E-2</v>
      </c>
      <c r="AF102" s="37">
        <f t="shared" si="25"/>
        <v>39028927.298214421</v>
      </c>
      <c r="AG102" s="36">
        <f t="shared" si="5"/>
        <v>1.9734791338360538</v>
      </c>
      <c r="AH102" s="37">
        <f t="shared" si="26"/>
        <v>-2.0172372631559838E-4</v>
      </c>
      <c r="AI102" s="37">
        <f t="shared" si="27"/>
        <v>-1.0510026883352876E-2</v>
      </c>
      <c r="AJ102" s="37">
        <f t="shared" si="28"/>
        <v>-0.27328086493493464</v>
      </c>
      <c r="AK102" s="39">
        <f t="shared" si="29"/>
        <v>2.0335771810806532E-2</v>
      </c>
      <c r="AL102" s="39">
        <f>AL101+(1000*$C$2*($B102-$B101))/(BerechnungenCLT!$W$47*2*AF102)</f>
        <v>2.9800501791603044E-3</v>
      </c>
      <c r="AM102" s="37">
        <f t="shared" si="6"/>
        <v>2.5829563264159146E-6</v>
      </c>
      <c r="AN102" s="173">
        <f t="shared" si="30"/>
        <v>3096.8371635490821</v>
      </c>
      <c r="AO102" s="173">
        <v>-258.00118789366149</v>
      </c>
      <c r="AV102" s="129">
        <v>86.487595903208003</v>
      </c>
      <c r="AW102" s="9">
        <v>14.9375</v>
      </c>
      <c r="AX102" s="129">
        <f t="shared" si="31"/>
        <v>101.83150553541591</v>
      </c>
      <c r="AY102" s="36">
        <f t="shared" si="54"/>
        <v>1.5432248195400136E-2</v>
      </c>
      <c r="AZ102" s="37">
        <f t="shared" si="32"/>
        <v>40509106.311399922</v>
      </c>
      <c r="BA102" s="36">
        <f t="shared" si="7"/>
        <v>1.9737072962039812</v>
      </c>
      <c r="BB102" s="37">
        <f t="shared" si="33"/>
        <v>-1.9435285953175386E-4</v>
      </c>
      <c r="BC102" s="37">
        <f t="shared" si="34"/>
        <v>-1.0491105355325913E-2</v>
      </c>
      <c r="BD102" s="37">
        <f t="shared" si="35"/>
        <v>-0.27330465348560279</v>
      </c>
      <c r="BE102" s="39">
        <f t="shared" si="36"/>
        <v>1.9791244291231705E-2</v>
      </c>
      <c r="BF102" s="39">
        <f>BF101+(1000*$C$2*($B102-$B101))/(BerechnungenCLT!$W$47*2*AZ102)</f>
        <v>2.9745804322180783E-3</v>
      </c>
      <c r="BG102" s="37">
        <f t="shared" si="8"/>
        <v>2.5137929420763071E-6</v>
      </c>
      <c r="BH102" s="173">
        <f t="shared" si="37"/>
        <v>3033.0200221828804</v>
      </c>
      <c r="BI102">
        <v>-257.42207925951664</v>
      </c>
      <c r="BP102" s="129">
        <v>85.526973873494015</v>
      </c>
      <c r="BQ102" s="9">
        <v>15.25</v>
      </c>
      <c r="BR102" s="129">
        <f t="shared" si="38"/>
        <v>100.77728555283782</v>
      </c>
      <c r="BS102" s="36">
        <f t="shared" si="55"/>
        <v>1.5174007624320751E-2</v>
      </c>
      <c r="BT102" s="37">
        <f t="shared" si="39"/>
        <v>38985873.856589638</v>
      </c>
      <c r="BU102" s="36">
        <f t="shared" si="9"/>
        <v>1.9734647117000363</v>
      </c>
      <c r="BV102" s="37">
        <f t="shared" si="40"/>
        <v>-2.0194649676592125E-4</v>
      </c>
      <c r="BW102" s="37">
        <f t="shared" si="41"/>
        <v>-1.0510347089270372E-2</v>
      </c>
      <c r="BX102" s="37">
        <f t="shared" si="42"/>
        <v>-0.27327771825050828</v>
      </c>
      <c r="BY102" s="39">
        <f t="shared" si="43"/>
        <v>2.0351619770974487E-2</v>
      </c>
      <c r="BZ102" s="39">
        <f>BZ101+(1000*$C$2*($B102-$B101))/(BerechnungenCLT!$W$47*2*BT102)</f>
        <v>2.9801427502514338E-3</v>
      </c>
      <c r="CA102" s="37">
        <f t="shared" si="10"/>
        <v>2.5849692615214733E-6</v>
      </c>
      <c r="CB102" s="173">
        <f t="shared" si="44"/>
        <v>3098.9777312298229</v>
      </c>
      <c r="CC102" s="9">
        <v>-257.91043922271001</v>
      </c>
      <c r="CJ102" s="9">
        <f t="shared" si="60"/>
        <v>51</v>
      </c>
      <c r="CK102" s="129">
        <v>85.509447293721948</v>
      </c>
      <c r="CL102" s="9">
        <v>10.078125</v>
      </c>
      <c r="CM102" s="129">
        <f t="shared" si="56"/>
        <v>95.587581450680261</v>
      </c>
      <c r="CN102" s="36">
        <f t="shared" si="57"/>
        <v>9.7474328997119754E-3</v>
      </c>
      <c r="CO102" s="173">
        <f t="shared" si="58"/>
        <v>3279.7547823598857</v>
      </c>
      <c r="CP102" s="9">
        <v>-631.00052501477217</v>
      </c>
      <c r="CQ102" s="129"/>
      <c r="CR102" s="36">
        <f t="shared" si="45"/>
        <v>0.83466161202565226</v>
      </c>
      <c r="CS102" s="17">
        <f t="shared" si="11"/>
        <v>0.60002239121441292</v>
      </c>
      <c r="CT102" s="9">
        <f t="shared" si="12"/>
        <v>10.077748911605534</v>
      </c>
      <c r="CU102" s="9">
        <f t="shared" si="46"/>
        <v>95.587205361944086</v>
      </c>
      <c r="CV102" s="9">
        <v>13.2</v>
      </c>
      <c r="CW102" s="9">
        <f t="shared" si="47"/>
        <v>98.709459287207807</v>
      </c>
      <c r="CX102">
        <f t="shared" si="48"/>
        <v>22</v>
      </c>
      <c r="CY102" s="9">
        <f t="shared" si="13"/>
        <v>625.4138094944567</v>
      </c>
      <c r="CZ102" s="17">
        <f t="shared" si="49"/>
        <v>0.58890189217933775</v>
      </c>
      <c r="DA102">
        <v>45</v>
      </c>
      <c r="DB102" s="9">
        <f t="shared" si="50"/>
        <v>10.092634817712851</v>
      </c>
      <c r="DC102" s="9">
        <f t="shared" si="51"/>
        <v>10.927296429972209</v>
      </c>
    </row>
    <row r="103" spans="2:107" x14ac:dyDescent="0.25">
      <c r="B103" s="9">
        <f t="shared" si="59"/>
        <v>52</v>
      </c>
      <c r="C103" s="9">
        <v>85.412952560576713</v>
      </c>
      <c r="D103" s="9"/>
      <c r="E103" s="9">
        <f t="shared" si="14"/>
        <v>85.412952560576713</v>
      </c>
      <c r="F103" s="36">
        <f t="shared" si="52"/>
        <v>0</v>
      </c>
      <c r="G103" s="37">
        <f t="shared" si="62"/>
        <v>0</v>
      </c>
      <c r="H103" s="36" t="e">
        <f t="shared" si="16"/>
        <v>#DIV/0!</v>
      </c>
      <c r="I103" s="37" t="e">
        <f t="shared" si="17"/>
        <v>#DIV/0!</v>
      </c>
      <c r="J103" s="37" t="e">
        <f t="shared" si="18"/>
        <v>#DIV/0!</v>
      </c>
      <c r="K103" s="37" t="e">
        <f t="shared" si="19"/>
        <v>#DIV/0!</v>
      </c>
      <c r="L103" s="39" t="e">
        <f t="shared" si="20"/>
        <v>#DIV/0!</v>
      </c>
      <c r="M103" s="39" t="e">
        <f>M102+(1000*$C$2*(B103-B102))/(BerechnungenCLT!$W$47*2*'Berechnung freier Bereich'!G103)</f>
        <v>#DIV/0!</v>
      </c>
      <c r="N103" s="17" t="e">
        <f t="shared" si="61"/>
        <v>#DIV/0!</v>
      </c>
      <c r="O103" s="173">
        <f t="shared" si="21"/>
        <v>3686.0104557227069</v>
      </c>
      <c r="P103" s="173"/>
      <c r="Q103" s="173"/>
      <c r="R103" s="37" t="e">
        <f t="shared" si="1"/>
        <v>#DIV/0!</v>
      </c>
      <c r="S103" s="37" t="e">
        <f t="shared" si="2"/>
        <v>#DIV/0!</v>
      </c>
      <c r="T103" s="37" t="e">
        <f t="shared" si="3"/>
        <v>#DIV/0!</v>
      </c>
      <c r="U103" s="39" t="e">
        <f t="shared" si="4"/>
        <v>#DIV/0!</v>
      </c>
      <c r="V103" s="39" t="e">
        <f t="shared" si="22"/>
        <v>#DIV/0!</v>
      </c>
      <c r="W103" s="9" t="e">
        <f t="shared" si="23"/>
        <v>#DIV/0!</v>
      </c>
      <c r="AB103" s="129">
        <v>85.572139307732542</v>
      </c>
      <c r="AC103" s="9">
        <v>15.25</v>
      </c>
      <c r="AD103" s="129">
        <f t="shared" si="24"/>
        <v>100.82371820984466</v>
      </c>
      <c r="AE103" s="36">
        <f t="shared" si="53"/>
        <v>1.5182729557871963E-2</v>
      </c>
      <c r="AF103" s="37">
        <f t="shared" si="25"/>
        <v>39046437.442165554</v>
      </c>
      <c r="AG103" s="36">
        <f t="shared" si="5"/>
        <v>1.9734861634189957</v>
      </c>
      <c r="AH103" s="37">
        <f t="shared" si="26"/>
        <v>-2.0163326450352203E-4</v>
      </c>
      <c r="AI103" s="37">
        <f t="shared" si="27"/>
        <v>-1.0711660147856397E-2</v>
      </c>
      <c r="AJ103" s="37">
        <f t="shared" si="28"/>
        <v>-0.28389170845053929</v>
      </c>
      <c r="AK103" s="39">
        <f t="shared" si="29"/>
        <v>2.0329415442034177E-2</v>
      </c>
      <c r="AL103" s="39">
        <f>AL102+(1000*$C$2*($B103-$B102))/(BerechnungenCLT!$W$47*2*AF103)</f>
        <v>3.0383430632753088E-3</v>
      </c>
      <c r="AM103" s="37">
        <f t="shared" si="6"/>
        <v>2.582148969651375E-6</v>
      </c>
      <c r="AN103" s="173">
        <f t="shared" si="30"/>
        <v>3095.932698986624</v>
      </c>
      <c r="AO103" s="173">
        <v>-257.993291852151</v>
      </c>
      <c r="AV103" s="129">
        <v>86.722446745459592</v>
      </c>
      <c r="AW103" s="9">
        <v>14.8125</v>
      </c>
      <c r="AX103" s="129">
        <f t="shared" si="31"/>
        <v>102.00210454409731</v>
      </c>
      <c r="AY103" s="36">
        <f t="shared" si="54"/>
        <v>1.540071285253607E-2</v>
      </c>
      <c r="AZ103" s="37">
        <f t="shared" si="32"/>
        <v>40597212.409918219</v>
      </c>
      <c r="BA103" s="36">
        <f t="shared" si="7"/>
        <v>1.9740357060194318</v>
      </c>
      <c r="BB103" s="37">
        <f t="shared" si="33"/>
        <v>-1.9393106524656216E-4</v>
      </c>
      <c r="BC103" s="37">
        <f t="shared" si="34"/>
        <v>-1.0685036420572476E-2</v>
      </c>
      <c r="BD103" s="37">
        <f t="shared" si="35"/>
        <v>-0.28389272437355201</v>
      </c>
      <c r="BE103" s="39">
        <f t="shared" si="36"/>
        <v>1.9781376791627989E-2</v>
      </c>
      <c r="BF103" s="39">
        <f>BF102+(1000*$C$2*($B103-$B102))/(BerechnungenCLT!$W$47*2*AZ103)</f>
        <v>3.0306465835079105E-3</v>
      </c>
      <c r="BG103" s="37">
        <f t="shared" si="8"/>
        <v>2.5125396176013647E-6</v>
      </c>
      <c r="BH103" s="173">
        <f t="shared" si="37"/>
        <v>3020.0019326666593</v>
      </c>
      <c r="BI103">
        <v>-258.35438466534532</v>
      </c>
      <c r="BP103" s="129">
        <v>85.533367338691193</v>
      </c>
      <c r="BQ103" s="9">
        <v>15.25</v>
      </c>
      <c r="BR103" s="129">
        <f t="shared" si="38"/>
        <v>100.78372846726523</v>
      </c>
      <c r="BS103" s="36">
        <f t="shared" si="55"/>
        <v>1.5175102319965311E-2</v>
      </c>
      <c r="BT103" s="37">
        <f t="shared" si="39"/>
        <v>38994025.161642432</v>
      </c>
      <c r="BU103" s="36">
        <f t="shared" si="9"/>
        <v>1.9734681610890652</v>
      </c>
      <c r="BV103" s="37">
        <f t="shared" si="40"/>
        <v>-2.0190428190113981E-4</v>
      </c>
      <c r="BW103" s="37">
        <f t="shared" si="41"/>
        <v>-1.0712251371171513E-2</v>
      </c>
      <c r="BX103" s="37">
        <f t="shared" si="42"/>
        <v>-0.2838890174807292</v>
      </c>
      <c r="BY103" s="39">
        <f t="shared" si="43"/>
        <v>2.034866632350265E-2</v>
      </c>
      <c r="BZ103" s="39">
        <f>BZ102+(1000*$C$2*($B103-$B102))/(BerechnungenCLT!$W$47*2*BT103)</f>
        <v>3.0385139864468422E-3</v>
      </c>
      <c r="CA103" s="37">
        <f t="shared" si="10"/>
        <v>2.5845941281897715E-6</v>
      </c>
      <c r="CB103" s="173">
        <f t="shared" si="44"/>
        <v>3098.5507356917292</v>
      </c>
      <c r="CC103" s="9">
        <v>-257.87490279220714</v>
      </c>
      <c r="CJ103" s="9">
        <f t="shared" si="60"/>
        <v>52</v>
      </c>
      <c r="CK103" s="129">
        <v>85.510795327717631</v>
      </c>
      <c r="CL103" s="9">
        <v>10.078125</v>
      </c>
      <c r="CM103" s="129">
        <f t="shared" si="56"/>
        <v>95.588929484675944</v>
      </c>
      <c r="CN103" s="36">
        <f t="shared" si="57"/>
        <v>9.7475780138644354E-3</v>
      </c>
      <c r="CO103" s="173">
        <f t="shared" si="58"/>
        <v>3279.6571303498927</v>
      </c>
      <c r="CP103" s="9">
        <v>-630.98173749141654</v>
      </c>
      <c r="CQ103" s="129"/>
      <c r="CR103" s="36">
        <f t="shared" si="45"/>
        <v>0.83465480670241909</v>
      </c>
      <c r="CS103" s="17">
        <f t="shared" si="11"/>
        <v>0.60001749899670387</v>
      </c>
      <c r="CT103" s="9">
        <f t="shared" si="12"/>
        <v>10.077831080111912</v>
      </c>
      <c r="CU103" s="9">
        <f t="shared" si="46"/>
        <v>95.5886355645208</v>
      </c>
      <c r="CV103" s="9">
        <v>13.2</v>
      </c>
      <c r="CW103" s="9">
        <f t="shared" si="47"/>
        <v>98.71080732120349</v>
      </c>
      <c r="CX103">
        <f t="shared" si="48"/>
        <v>22</v>
      </c>
      <c r="CY103" s="9">
        <f t="shared" si="13"/>
        <v>625.40395016531181</v>
      </c>
      <c r="CZ103" s="17">
        <f t="shared" si="49"/>
        <v>0.58889260844191316</v>
      </c>
      <c r="DA103">
        <v>45</v>
      </c>
      <c r="DB103" s="9">
        <f t="shared" si="50"/>
        <v>10.092475712481889</v>
      </c>
      <c r="DC103" s="9">
        <f t="shared" si="51"/>
        <v>10.92713051941797</v>
      </c>
    </row>
    <row r="104" spans="2:107" x14ac:dyDescent="0.25">
      <c r="B104" s="9">
        <f t="shared" si="59"/>
        <v>53</v>
      </c>
      <c r="C104" s="9">
        <v>85.41380775378822</v>
      </c>
      <c r="D104" s="9"/>
      <c r="E104" s="9">
        <f t="shared" si="14"/>
        <v>85.41380775378822</v>
      </c>
      <c r="F104" s="36">
        <f t="shared" si="52"/>
        <v>0</v>
      </c>
      <c r="G104" s="37">
        <f t="shared" si="62"/>
        <v>0</v>
      </c>
      <c r="H104" s="36" t="e">
        <f t="shared" si="16"/>
        <v>#DIV/0!</v>
      </c>
      <c r="I104" s="37" t="e">
        <f t="shared" si="17"/>
        <v>#DIV/0!</v>
      </c>
      <c r="J104" s="37" t="e">
        <f t="shared" si="18"/>
        <v>#DIV/0!</v>
      </c>
      <c r="K104" s="37" t="e">
        <f t="shared" si="19"/>
        <v>#DIV/0!</v>
      </c>
      <c r="L104" s="39" t="e">
        <f t="shared" si="20"/>
        <v>#DIV/0!</v>
      </c>
      <c r="M104" s="39" t="e">
        <f>M103+(1000*$C$2*(B104-B103))/(BerechnungenCLT!$W$47*2*'Berechnung freier Bereich'!G104)</f>
        <v>#DIV/0!</v>
      </c>
      <c r="N104" s="17" t="e">
        <f t="shared" si="61"/>
        <v>#DIV/0!</v>
      </c>
      <c r="O104" s="173">
        <f t="shared" si="21"/>
        <v>3685.9366448150458</v>
      </c>
      <c r="P104" s="173"/>
      <c r="Q104" s="173"/>
      <c r="R104" s="37" t="e">
        <f t="shared" si="1"/>
        <v>#DIV/0!</v>
      </c>
      <c r="S104" s="37" t="e">
        <f t="shared" si="2"/>
        <v>#DIV/0!</v>
      </c>
      <c r="T104" s="37" t="e">
        <f t="shared" si="3"/>
        <v>#DIV/0!</v>
      </c>
      <c r="U104" s="39" t="e">
        <f t="shared" si="4"/>
        <v>#DIV/0!</v>
      </c>
      <c r="V104" s="39" t="e">
        <f t="shared" si="22"/>
        <v>#DIV/0!</v>
      </c>
      <c r="W104" s="9" t="e">
        <f t="shared" si="23"/>
        <v>#DIV/0!</v>
      </c>
      <c r="AB104" s="129">
        <v>85.586529576974797</v>
      </c>
      <c r="AC104" s="9">
        <v>15.25</v>
      </c>
      <c r="AD104" s="129">
        <f t="shared" si="24"/>
        <v>100.83828842666648</v>
      </c>
      <c r="AE104" s="36">
        <f t="shared" si="53"/>
        <v>1.5185267674817751E-2</v>
      </c>
      <c r="AF104" s="37">
        <f t="shared" si="25"/>
        <v>39065026.630732134</v>
      </c>
      <c r="AG104" s="36">
        <f t="shared" si="5"/>
        <v>1.9734936991661898</v>
      </c>
      <c r="AH104" s="37">
        <f t="shared" si="26"/>
        <v>-2.0153731682094186E-4</v>
      </c>
      <c r="AI104" s="37">
        <f t="shared" si="27"/>
        <v>-1.0913197464677339E-2</v>
      </c>
      <c r="AJ104" s="37">
        <f t="shared" si="28"/>
        <v>-0.29470413725680616</v>
      </c>
      <c r="AK104" s="39">
        <f t="shared" si="29"/>
        <v>2.0322678082326597E-2</v>
      </c>
      <c r="AL104" s="39">
        <f>AL103+(1000*$C$2*($B104-$B103))/(BerechnungenCLT!$W$47*2*AF104)</f>
        <v>3.0966082085786867E-3</v>
      </c>
      <c r="AM104" s="37">
        <f t="shared" si="6"/>
        <v>2.5812932211682619E-6</v>
      </c>
      <c r="AN104" s="173">
        <f t="shared" si="30"/>
        <v>3094.9708876508535</v>
      </c>
      <c r="AO104" s="173">
        <v>-257.98546678655515</v>
      </c>
      <c r="AV104" s="129">
        <v>86.975568867976676</v>
      </c>
      <c r="AW104" s="9">
        <v>14.6875</v>
      </c>
      <c r="AX104" s="129">
        <f t="shared" si="31"/>
        <v>102.19176453422048</v>
      </c>
      <c r="AY104" s="36">
        <f t="shared" si="54"/>
        <v>1.5372730732530974E-2</v>
      </c>
      <c r="AZ104" s="37">
        <f t="shared" si="32"/>
        <v>40710396.307549857</v>
      </c>
      <c r="BA104" s="36">
        <f t="shared" si="7"/>
        <v>1.9743681040052212</v>
      </c>
      <c r="BB104" s="37">
        <f t="shared" si="33"/>
        <v>-1.9339189403165579E-4</v>
      </c>
      <c r="BC104" s="37">
        <f t="shared" si="34"/>
        <v>-1.0878428314604132E-2</v>
      </c>
      <c r="BD104" s="37">
        <f t="shared" si="35"/>
        <v>-0.29467445674114029</v>
      </c>
      <c r="BE104" s="39">
        <f t="shared" si="36"/>
        <v>1.9763058897709889E-2</v>
      </c>
      <c r="BF104" s="39">
        <f>BF103+(1000*$C$2*($B104-$B103))/(BerechnungenCLT!$W$47*2*AZ104)</f>
        <v>3.086556858508054E-3</v>
      </c>
      <c r="BG104" s="37">
        <f t="shared" si="8"/>
        <v>2.5102129628560932E-6</v>
      </c>
      <c r="BH104" s="173">
        <f t="shared" si="37"/>
        <v>3005.8807012346388</v>
      </c>
      <c r="BI104">
        <v>-259.19432403596585</v>
      </c>
      <c r="BP104" s="129">
        <v>85.54024932134395</v>
      </c>
      <c r="BQ104" s="9">
        <v>15.25</v>
      </c>
      <c r="BR104" s="129">
        <f t="shared" si="38"/>
        <v>100.7906612772843</v>
      </c>
      <c r="BS104" s="36">
        <f t="shared" si="55"/>
        <v>1.5176278083595285E-2</v>
      </c>
      <c r="BT104" s="37">
        <f t="shared" si="39"/>
        <v>39002792.869125471</v>
      </c>
      <c r="BU104" s="36">
        <f t="shared" si="9"/>
        <v>1.9734718808584688</v>
      </c>
      <c r="BV104" s="37">
        <f t="shared" si="40"/>
        <v>-2.0185889444160012E-4</v>
      </c>
      <c r="BW104" s="37">
        <f t="shared" si="41"/>
        <v>-1.0914110265613113E-2</v>
      </c>
      <c r="BX104" s="37">
        <f t="shared" si="42"/>
        <v>-0.29470219829912153</v>
      </c>
      <c r="BY104" s="39">
        <f t="shared" si="43"/>
        <v>2.0345491455470405E-2</v>
      </c>
      <c r="BZ104" s="39">
        <f>BZ103+(1000*$C$2*($B104-$B103))/(BerechnungenCLT!$W$47*2*BT104)</f>
        <v>3.0968721009684745E-3</v>
      </c>
      <c r="CA104" s="37">
        <f t="shared" si="10"/>
        <v>2.5841908710355451E-6</v>
      </c>
      <c r="CB104" s="173">
        <f t="shared" si="44"/>
        <v>3098.0912923388082</v>
      </c>
      <c r="CC104" s="9">
        <v>-257.83666591307252</v>
      </c>
      <c r="CJ104" s="9">
        <f t="shared" si="60"/>
        <v>53</v>
      </c>
      <c r="CK104" s="129">
        <v>85.512143361713328</v>
      </c>
      <c r="CL104" s="9">
        <v>10.078125</v>
      </c>
      <c r="CM104" s="129">
        <f t="shared" si="56"/>
        <v>95.590277406368472</v>
      </c>
      <c r="CN104" s="36">
        <f t="shared" si="57"/>
        <v>9.7477230133509295E-3</v>
      </c>
      <c r="CO104" s="173">
        <f t="shared" si="58"/>
        <v>3279.5594867684613</v>
      </c>
      <c r="CP104" s="9">
        <v>-630.96295158965381</v>
      </c>
      <c r="CQ104" s="129"/>
      <c r="CR104" s="36">
        <f t="shared" si="45"/>
        <v>0.83464800199801847</v>
      </c>
      <c r="CS104" s="17">
        <f t="shared" si="11"/>
        <v>0.60001260722386196</v>
      </c>
      <c r="CT104" s="9">
        <f t="shared" si="12"/>
        <v>10.077913242486151</v>
      </c>
      <c r="CU104" s="9">
        <f t="shared" si="46"/>
        <v>95.590065648664577</v>
      </c>
      <c r="CV104" s="9">
        <v>13.2</v>
      </c>
      <c r="CW104" s="9">
        <f t="shared" si="47"/>
        <v>98.712155208108157</v>
      </c>
      <c r="CX104">
        <f t="shared" si="48"/>
        <v>22</v>
      </c>
      <c r="CY104" s="9">
        <f t="shared" si="13"/>
        <v>625.39409114701664</v>
      </c>
      <c r="CZ104" s="17">
        <f t="shared" si="49"/>
        <v>0.58888332499719076</v>
      </c>
      <c r="DA104">
        <v>45</v>
      </c>
      <c r="DB104" s="9">
        <f t="shared" si="50"/>
        <v>10.092316612267272</v>
      </c>
      <c r="DC104" s="9">
        <f t="shared" si="51"/>
        <v>10.926964614496042</v>
      </c>
    </row>
    <row r="105" spans="2:107" x14ac:dyDescent="0.25">
      <c r="B105" s="9">
        <f t="shared" si="59"/>
        <v>54</v>
      </c>
      <c r="C105" s="9">
        <v>85.417869285719789</v>
      </c>
      <c r="D105" s="9"/>
      <c r="E105" s="9">
        <f t="shared" si="14"/>
        <v>85.417869285719789</v>
      </c>
      <c r="F105" s="36">
        <f t="shared" si="52"/>
        <v>0</v>
      </c>
      <c r="G105" s="37">
        <f t="shared" si="62"/>
        <v>0</v>
      </c>
      <c r="H105" s="36" t="e">
        <f t="shared" si="16"/>
        <v>#DIV/0!</v>
      </c>
      <c r="I105" s="37" t="e">
        <f t="shared" si="17"/>
        <v>#DIV/0!</v>
      </c>
      <c r="J105" s="37" t="e">
        <f t="shared" si="18"/>
        <v>#DIV/0!</v>
      </c>
      <c r="K105" s="37" t="e">
        <f t="shared" si="19"/>
        <v>#DIV/0!</v>
      </c>
      <c r="L105" s="39" t="e">
        <f t="shared" si="20"/>
        <v>#DIV/0!</v>
      </c>
      <c r="M105" s="39" t="e">
        <f>M104+(1000*$C$2*(B105-B104))/(BerechnungenCLT!$W$47*2*'Berechnung freier Bereich'!G105)</f>
        <v>#DIV/0!</v>
      </c>
      <c r="N105" s="17" t="e">
        <f t="shared" si="61"/>
        <v>#DIV/0!</v>
      </c>
      <c r="O105" s="173">
        <f t="shared" si="21"/>
        <v>3685.5861281470761</v>
      </c>
      <c r="P105" s="173"/>
      <c r="Q105" s="173"/>
      <c r="R105" s="37" t="e">
        <f t="shared" si="1"/>
        <v>#DIV/0!</v>
      </c>
      <c r="S105" s="37" t="e">
        <f t="shared" si="2"/>
        <v>#DIV/0!</v>
      </c>
      <c r="T105" s="37" t="e">
        <f t="shared" si="3"/>
        <v>#DIV/0!</v>
      </c>
      <c r="U105" s="39" t="e">
        <f t="shared" si="4"/>
        <v>#DIV/0!</v>
      </c>
      <c r="V105" s="39" t="e">
        <f t="shared" si="22"/>
        <v>#DIV/0!</v>
      </c>
      <c r="W105" s="9" t="e">
        <f t="shared" si="23"/>
        <v>#DIV/0!</v>
      </c>
      <c r="AB105" s="129">
        <v>85.601717799848075</v>
      </c>
      <c r="AC105" s="9">
        <v>15.25</v>
      </c>
      <c r="AD105" s="129">
        <f t="shared" si="24"/>
        <v>100.85364820968843</v>
      </c>
      <c r="AE105" s="36">
        <f t="shared" si="53"/>
        <v>1.5187926808438801E-2</v>
      </c>
      <c r="AF105" s="37">
        <f t="shared" si="25"/>
        <v>39084593.980160952</v>
      </c>
      <c r="AG105" s="36">
        <f t="shared" si="5"/>
        <v>1.9735017071245802</v>
      </c>
      <c r="AH105" s="37">
        <f t="shared" si="26"/>
        <v>-2.0143641898116428E-4</v>
      </c>
      <c r="AI105" s="37">
        <f t="shared" si="27"/>
        <v>-1.1114633883658505E-2</v>
      </c>
      <c r="AJ105" s="37">
        <f t="shared" si="28"/>
        <v>-0.30571805293097409</v>
      </c>
      <c r="AK105" s="39">
        <f t="shared" si="29"/>
        <v>2.0315597736545749E-2</v>
      </c>
      <c r="AL105" s="39">
        <f>AL104+(1000*$C$2*($B105-$B104))/(BerechnungenCLT!$W$47*2*AF105)</f>
        <v>3.1548441839626263E-3</v>
      </c>
      <c r="AM105" s="37">
        <f t="shared" si="6"/>
        <v>2.5803939081695716E-6</v>
      </c>
      <c r="AN105" s="173">
        <f t="shared" si="30"/>
        <v>3093.9568385943298</v>
      </c>
      <c r="AO105" s="173">
        <v>-257.97752362528246</v>
      </c>
      <c r="AV105" s="129">
        <v>87.246287051746322</v>
      </c>
      <c r="AW105" s="9">
        <v>14.6875</v>
      </c>
      <c r="AX105" s="129">
        <f t="shared" si="31"/>
        <v>102.5293080582326</v>
      </c>
      <c r="AY105" s="36">
        <f t="shared" si="54"/>
        <v>1.5489891157029022E-2</v>
      </c>
      <c r="AZ105" s="37">
        <f t="shared" si="32"/>
        <v>41285511.266292356</v>
      </c>
      <c r="BA105" s="36">
        <f t="shared" si="7"/>
        <v>1.9743085433843073</v>
      </c>
      <c r="BB105" s="37">
        <f t="shared" si="33"/>
        <v>-1.9069790847241777E-4</v>
      </c>
      <c r="BC105" s="37">
        <f t="shared" si="34"/>
        <v>-1.1069126223076549E-2</v>
      </c>
      <c r="BD105" s="37">
        <f t="shared" si="35"/>
        <v>-0.30564823400998065</v>
      </c>
      <c r="BE105" s="39">
        <f t="shared" si="36"/>
        <v>1.9552124603829168E-2</v>
      </c>
      <c r="BF105" s="39">
        <f>BF104+(1000*$C$2*($B105-$B104))/(BerechnungenCLT!$W$47*2*AZ105)</f>
        <v>3.1416882928322859E-3</v>
      </c>
      <c r="BG105" s="37">
        <f t="shared" si="8"/>
        <v>2.4834210577390348E-6</v>
      </c>
      <c r="BH105" s="173">
        <f t="shared" si="37"/>
        <v>2986.6429058966355</v>
      </c>
      <c r="BI105">
        <v>-257.38234199385704</v>
      </c>
      <c r="BP105" s="129">
        <v>85.547599677682257</v>
      </c>
      <c r="BQ105" s="9">
        <v>15.25</v>
      </c>
      <c r="BR105" s="129">
        <f t="shared" si="38"/>
        <v>100.79806340748172</v>
      </c>
      <c r="BS105" s="36">
        <f t="shared" si="55"/>
        <v>1.5177531170226488E-2</v>
      </c>
      <c r="BT105" s="37">
        <f t="shared" si="39"/>
        <v>39012150.67954547</v>
      </c>
      <c r="BU105" s="36">
        <f t="shared" si="9"/>
        <v>1.9734758608445369</v>
      </c>
      <c r="BV105" s="37">
        <f t="shared" si="40"/>
        <v>-2.0181047472536117E-4</v>
      </c>
      <c r="BW105" s="37">
        <f t="shared" si="41"/>
        <v>-1.1115920740338474E-2</v>
      </c>
      <c r="BX105" s="37">
        <f t="shared" si="42"/>
        <v>-0.30571721380209732</v>
      </c>
      <c r="BY105" s="39">
        <f t="shared" si="43"/>
        <v>2.0342105027660942E-2</v>
      </c>
      <c r="BZ105" s="39">
        <f>BZ104+(1000*$C$2*($B105-$B104))/(BerechnungenCLT!$W$47*2*BT105)</f>
        <v>3.1552162171802818E-3</v>
      </c>
      <c r="CA105" s="37">
        <f t="shared" si="10"/>
        <v>2.5837607425301815E-6</v>
      </c>
      <c r="CB105" s="173">
        <f t="shared" si="44"/>
        <v>3097.60077659332</v>
      </c>
      <c r="CC105" s="9">
        <v>-257.795843053944</v>
      </c>
      <c r="CJ105" s="9">
        <f t="shared" si="60"/>
        <v>54</v>
      </c>
      <c r="CK105" s="129">
        <v>85.513483103894941</v>
      </c>
      <c r="CL105" s="9">
        <v>10.078125</v>
      </c>
      <c r="CM105" s="129">
        <f t="shared" si="56"/>
        <v>95.591616926022482</v>
      </c>
      <c r="CN105" s="36">
        <f t="shared" si="57"/>
        <v>9.7478670076858592E-3</v>
      </c>
      <c r="CO105" s="173">
        <f t="shared" si="58"/>
        <v>3279.4624521341707</v>
      </c>
      <c r="CP105" s="9">
        <v>-630.94428284481</v>
      </c>
      <c r="CQ105" s="129"/>
      <c r="CR105" s="36">
        <f t="shared" si="45"/>
        <v>0.83464123976098126</v>
      </c>
      <c r="CS105" s="17">
        <f t="shared" si="11"/>
        <v>0.60000774598000151</v>
      </c>
      <c r="CT105" s="9">
        <f t="shared" si="12"/>
        <v>10.077994893421835</v>
      </c>
      <c r="CU105" s="9">
        <f t="shared" si="46"/>
        <v>95.591486819330427</v>
      </c>
      <c r="CV105" s="9">
        <v>13.2</v>
      </c>
      <c r="CW105" s="9">
        <f t="shared" si="47"/>
        <v>98.713494658830371</v>
      </c>
      <c r="CX105">
        <f t="shared" si="48"/>
        <v>22</v>
      </c>
      <c r="CY105" s="9">
        <f t="shared" si="13"/>
        <v>625.3842930799326</v>
      </c>
      <c r="CZ105" s="17">
        <f t="shared" si="49"/>
        <v>0.58887409894532261</v>
      </c>
      <c r="DA105">
        <v>45</v>
      </c>
      <c r="DB105" s="9">
        <f t="shared" si="50"/>
        <v>10.092158495654724</v>
      </c>
      <c r="DC105" s="9">
        <f t="shared" si="51"/>
        <v>10.926799735640731</v>
      </c>
    </row>
    <row r="106" spans="2:107" x14ac:dyDescent="0.25">
      <c r="B106" s="9">
        <f t="shared" si="59"/>
        <v>55</v>
      </c>
      <c r="C106" s="9">
        <v>85.425501949399433</v>
      </c>
      <c r="D106" s="9"/>
      <c r="E106" s="9">
        <f t="shared" si="14"/>
        <v>85.425501949399433</v>
      </c>
      <c r="F106" s="36">
        <f t="shared" si="52"/>
        <v>0</v>
      </c>
      <c r="G106" s="37">
        <f t="shared" si="62"/>
        <v>0</v>
      </c>
      <c r="H106" s="36" t="e">
        <f t="shared" si="16"/>
        <v>#DIV/0!</v>
      </c>
      <c r="I106" s="37" t="e">
        <f t="shared" si="17"/>
        <v>#DIV/0!</v>
      </c>
      <c r="J106" s="37" t="e">
        <f t="shared" si="18"/>
        <v>#DIV/0!</v>
      </c>
      <c r="K106" s="37" t="e">
        <f t="shared" si="19"/>
        <v>#DIV/0!</v>
      </c>
      <c r="L106" s="39" t="e">
        <f t="shared" si="20"/>
        <v>#DIV/0!</v>
      </c>
      <c r="M106" s="39" t="e">
        <f>M105+(1000*$C$2*(B106-B105))/(BerechnungenCLT!$W$47*2*'Berechnung freier Bereich'!G106)</f>
        <v>#DIV/0!</v>
      </c>
      <c r="N106" s="17" t="e">
        <f t="shared" si="61"/>
        <v>#DIV/0!</v>
      </c>
      <c r="O106" s="173">
        <f t="shared" si="21"/>
        <v>3684.9275523820265</v>
      </c>
      <c r="P106" s="173"/>
      <c r="Q106" s="173"/>
      <c r="R106" s="37" t="e">
        <f t="shared" si="1"/>
        <v>#DIV/0!</v>
      </c>
      <c r="S106" s="37" t="e">
        <f t="shared" si="2"/>
        <v>#DIV/0!</v>
      </c>
      <c r="T106" s="37" t="e">
        <f t="shared" si="3"/>
        <v>#DIV/0!</v>
      </c>
      <c r="U106" s="39" t="e">
        <f t="shared" si="4"/>
        <v>#DIV/0!</v>
      </c>
      <c r="V106" s="39" t="e">
        <f t="shared" si="22"/>
        <v>#DIV/0!</v>
      </c>
      <c r="W106" s="9" t="e">
        <f t="shared" si="23"/>
        <v>#DIV/0!</v>
      </c>
      <c r="AB106" s="129">
        <v>85.617629573075021</v>
      </c>
      <c r="AC106" s="9">
        <v>15.25</v>
      </c>
      <c r="AD106" s="129">
        <f t="shared" si="24"/>
        <v>100.86972069332491</v>
      </c>
      <c r="AE106" s="36">
        <f t="shared" si="53"/>
        <v>1.5190692184694326E-2</v>
      </c>
      <c r="AF106" s="37">
        <f t="shared" si="25"/>
        <v>39105039.332873784</v>
      </c>
      <c r="AG106" s="36">
        <f t="shared" si="5"/>
        <v>1.9735101525705598</v>
      </c>
      <c r="AH106" s="37">
        <f t="shared" si="26"/>
        <v>-2.0133110164341088E-4</v>
      </c>
      <c r="AI106" s="37">
        <f t="shared" si="27"/>
        <v>-1.1315964985301916E-2</v>
      </c>
      <c r="AJ106" s="37">
        <f t="shared" si="28"/>
        <v>-0.31693335236545428</v>
      </c>
      <c r="AK106" s="39">
        <f t="shared" si="29"/>
        <v>2.0308211989650264E-2</v>
      </c>
      <c r="AL106" s="39">
        <f>AL105+(1000*$C$2*($B106-$B105))/(BerechnungenCLT!$W$47*2*AF106)</f>
        <v>3.2130497117347592E-3</v>
      </c>
      <c r="AM106" s="37">
        <f t="shared" si="6"/>
        <v>2.5794558045241099E-6</v>
      </c>
      <c r="AN106" s="173">
        <f t="shared" si="30"/>
        <v>3092.8956467867029</v>
      </c>
      <c r="AO106" s="173">
        <v>-257.96927318441004</v>
      </c>
      <c r="AV106" s="129">
        <v>87.533926077755552</v>
      </c>
      <c r="AW106" s="9">
        <v>14.5625</v>
      </c>
      <c r="AX106" s="129">
        <f t="shared" si="31"/>
        <v>102.75397421047593</v>
      </c>
      <c r="AY106" s="36">
        <f t="shared" si="54"/>
        <v>1.5467709035091624E-2</v>
      </c>
      <c r="AZ106" s="37">
        <f t="shared" si="32"/>
        <v>41445652.275191195</v>
      </c>
      <c r="BA106" s="36">
        <f t="shared" si="7"/>
        <v>1.9746535241144929</v>
      </c>
      <c r="BB106" s="37">
        <f t="shared" si="33"/>
        <v>-1.8996107472071564E-4</v>
      </c>
      <c r="BC106" s="37">
        <f t="shared" si="34"/>
        <v>-1.1259087297797265E-2</v>
      </c>
      <c r="BD106" s="37">
        <f t="shared" si="35"/>
        <v>-0.31681234077041753</v>
      </c>
      <c r="BE106" s="39">
        <f t="shared" si="36"/>
        <v>1.9519255372846708E-2</v>
      </c>
      <c r="BF106" s="39">
        <f>BF105+(1000*$C$2*($B106-$B105))/(BerechnungenCLT!$W$47*2*AZ106)</f>
        <v>3.1966067059340238E-3</v>
      </c>
      <c r="BG106" s="37">
        <f t="shared" si="8"/>
        <v>2.4792461589989998E-6</v>
      </c>
      <c r="BH106" s="173">
        <f t="shared" si="37"/>
        <v>2970.582894255474</v>
      </c>
      <c r="BI106">
        <v>-258.03428025318249</v>
      </c>
      <c r="BP106" s="129">
        <v>85.555398263936098</v>
      </c>
      <c r="BQ106" s="9">
        <v>15.25</v>
      </c>
      <c r="BR106" s="129">
        <f t="shared" si="38"/>
        <v>100.80591430101323</v>
      </c>
      <c r="BS106" s="36">
        <f t="shared" si="55"/>
        <v>1.5178857854721246E-2</v>
      </c>
      <c r="BT106" s="37">
        <f t="shared" si="39"/>
        <v>39022072.354168847</v>
      </c>
      <c r="BU106" s="36">
        <f t="shared" si="9"/>
        <v>1.9734800908225674</v>
      </c>
      <c r="BV106" s="37">
        <f t="shared" si="40"/>
        <v>-2.0175916279483014E-4</v>
      </c>
      <c r="BW106" s="37">
        <f t="shared" si="41"/>
        <v>-1.1317679903133305E-2</v>
      </c>
      <c r="BX106" s="37">
        <f t="shared" si="42"/>
        <v>-0.31693401412383321</v>
      </c>
      <c r="BY106" s="39">
        <f t="shared" si="43"/>
        <v>2.0338516874139824E-2</v>
      </c>
      <c r="BZ106" s="39">
        <f>BZ105+(1000*$C$2*($B106-$B105))/(BerechnungenCLT!$W$47*2*BT106)</f>
        <v>3.2135454989329656E-3</v>
      </c>
      <c r="CA106" s="37">
        <f t="shared" si="10"/>
        <v>2.5833049917515163E-6</v>
      </c>
      <c r="CB106" s="173">
        <f t="shared" si="44"/>
        <v>3097.0805634147641</v>
      </c>
      <c r="CC106" s="9">
        <v>-257.75254864494627</v>
      </c>
      <c r="CJ106" s="9">
        <f t="shared" si="60"/>
        <v>55</v>
      </c>
      <c r="CK106" s="129">
        <v>85.514806262448417</v>
      </c>
      <c r="CL106" s="9">
        <v>10.078125</v>
      </c>
      <c r="CM106" s="129">
        <f t="shared" si="56"/>
        <v>95.592939755981391</v>
      </c>
      <c r="CN106" s="36">
        <f t="shared" si="57"/>
        <v>9.7480091085063829E-3</v>
      </c>
      <c r="CO106" s="173">
        <f t="shared" si="58"/>
        <v>3279.3666267840435</v>
      </c>
      <c r="CP106" s="9">
        <v>-630.92584675728142</v>
      </c>
      <c r="CQ106" s="129"/>
      <c r="CR106" s="36">
        <f t="shared" si="45"/>
        <v>0.83463456182807949</v>
      </c>
      <c r="CS106" s="17">
        <f t="shared" si="11"/>
        <v>0.6000029453407838</v>
      </c>
      <c r="CT106" s="9">
        <f t="shared" si="12"/>
        <v>10.078075527721877</v>
      </c>
      <c r="CU106" s="9">
        <f t="shared" si="46"/>
        <v>95.592890283661575</v>
      </c>
      <c r="CV106" s="9">
        <v>13.2</v>
      </c>
      <c r="CW106" s="9">
        <f t="shared" si="47"/>
        <v>98.714817387001375</v>
      </c>
      <c r="CX106">
        <f t="shared" si="48"/>
        <v>22</v>
      </c>
      <c r="CY106" s="9">
        <f t="shared" si="13"/>
        <v>625.37461659684436</v>
      </c>
      <c r="CZ106" s="17">
        <f t="shared" si="49"/>
        <v>0.58886498737932624</v>
      </c>
      <c r="DA106">
        <v>45</v>
      </c>
      <c r="DB106" s="9">
        <f t="shared" si="50"/>
        <v>10.09200234110769</v>
      </c>
      <c r="DC106" s="9">
        <f t="shared" si="51"/>
        <v>10.926636903152374</v>
      </c>
    </row>
    <row r="107" spans="2:107" x14ac:dyDescent="0.25">
      <c r="B107" s="9">
        <f t="shared" si="59"/>
        <v>56</v>
      </c>
      <c r="C107" s="9">
        <v>85.437070537855192</v>
      </c>
      <c r="D107" s="9"/>
      <c r="E107" s="9">
        <f t="shared" si="14"/>
        <v>85.437070537855192</v>
      </c>
      <c r="F107" s="36">
        <f t="shared" si="52"/>
        <v>0</v>
      </c>
      <c r="G107" s="37">
        <f t="shared" si="62"/>
        <v>0</v>
      </c>
      <c r="H107" s="36" t="e">
        <f t="shared" si="16"/>
        <v>#DIV/0!</v>
      </c>
      <c r="I107" s="37" t="e">
        <f t="shared" si="17"/>
        <v>#DIV/0!</v>
      </c>
      <c r="J107" s="37" t="e">
        <f t="shared" si="18"/>
        <v>#DIV/0!</v>
      </c>
      <c r="K107" s="37" t="e">
        <f t="shared" si="19"/>
        <v>#DIV/0!</v>
      </c>
      <c r="L107" s="39" t="e">
        <f t="shared" si="20"/>
        <v>#DIV/0!</v>
      </c>
      <c r="M107" s="39" t="e">
        <f>M106+(1000*$C$2*(B107-B106))/(BerechnungenCLT!$W$47*2*'Berechnung freier Bereich'!G107)</f>
        <v>#DIV/0!</v>
      </c>
      <c r="N107" s="17" t="e">
        <f t="shared" si="61"/>
        <v>#DIV/0!</v>
      </c>
      <c r="O107" s="173">
        <f t="shared" si="21"/>
        <v>3683.929706272339</v>
      </c>
      <c r="P107" s="173"/>
      <c r="Q107" s="173"/>
      <c r="R107" s="37" t="e">
        <f t="shared" si="1"/>
        <v>#DIV/0!</v>
      </c>
      <c r="S107" s="37" t="e">
        <f t="shared" si="2"/>
        <v>#DIV/0!</v>
      </c>
      <c r="T107" s="37" t="e">
        <f t="shared" si="3"/>
        <v>#DIV/0!</v>
      </c>
      <c r="U107" s="39" t="e">
        <f t="shared" si="4"/>
        <v>#DIV/0!</v>
      </c>
      <c r="V107" s="39" t="e">
        <f t="shared" si="22"/>
        <v>#DIV/0!</v>
      </c>
      <c r="W107" s="9" t="e">
        <f t="shared" si="23"/>
        <v>#DIV/0!</v>
      </c>
      <c r="AB107" s="129">
        <v>85.634190493378313</v>
      </c>
      <c r="AC107" s="9">
        <v>15.25</v>
      </c>
      <c r="AD107" s="129">
        <f t="shared" si="24"/>
        <v>100.88642926530191</v>
      </c>
      <c r="AE107" s="36">
        <f t="shared" si="53"/>
        <v>1.5193549299837714E-2</v>
      </c>
      <c r="AF107" s="37">
        <f t="shared" si="25"/>
        <v>39126263.242938235</v>
      </c>
      <c r="AG107" s="36">
        <f t="shared" si="5"/>
        <v>1.9735190000205662</v>
      </c>
      <c r="AH107" s="37">
        <f t="shared" si="26"/>
        <v>-2.0122189026362935E-4</v>
      </c>
      <c r="AI107" s="37">
        <f t="shared" si="27"/>
        <v>-1.1517186875565546E-2</v>
      </c>
      <c r="AJ107" s="37">
        <f t="shared" si="28"/>
        <v>-0.32834992829588799</v>
      </c>
      <c r="AK107" s="39">
        <f t="shared" si="29"/>
        <v>2.0300557998711985E-2</v>
      </c>
      <c r="AL107" s="39">
        <f>AL106+(1000*$C$2*($B107-$B106))/(BerechnungenCLT!$W$47*2*AF107)</f>
        <v>3.2712236661138743E-3</v>
      </c>
      <c r="AM107" s="37">
        <f t="shared" si="6"/>
        <v>2.578483629752467E-6</v>
      </c>
      <c r="AN107" s="173">
        <f t="shared" si="30"/>
        <v>3091.7923919189366</v>
      </c>
      <c r="AO107" s="173">
        <v>-257.96052617005034</v>
      </c>
      <c r="AV107" s="129">
        <v>87.837810726991364</v>
      </c>
      <c r="AW107" s="9">
        <v>14.4375</v>
      </c>
      <c r="AX107" s="129">
        <f t="shared" si="31"/>
        <v>102.99410219020771</v>
      </c>
      <c r="AY107" s="36">
        <f t="shared" si="54"/>
        <v>1.5446950192041843E-2</v>
      </c>
      <c r="AZ107" s="37">
        <f t="shared" si="32"/>
        <v>41623320.3650195</v>
      </c>
      <c r="BA107" s="36">
        <f t="shared" si="7"/>
        <v>1.9750051973242642</v>
      </c>
      <c r="BB107" s="37">
        <f t="shared" si="33"/>
        <v>-1.8915023067964953E-4</v>
      </c>
      <c r="BC107" s="37">
        <f t="shared" si="34"/>
        <v>-1.1448237528476915E-2</v>
      </c>
      <c r="BD107" s="37">
        <f t="shared" si="35"/>
        <v>-0.3281660031835546</v>
      </c>
      <c r="BE107" s="39">
        <f t="shared" si="36"/>
        <v>1.9481358187921186E-2</v>
      </c>
      <c r="BF107" s="39">
        <f>BF106+(1000*$C$2*($B107-$B106))/(BerechnungenCLT!$W$47*2*AZ107)</f>
        <v>3.2512907011789782E-3</v>
      </c>
      <c r="BG107" s="37">
        <f t="shared" si="8"/>
        <v>2.4744326326441895E-6</v>
      </c>
      <c r="BH107" s="173">
        <f t="shared" si="37"/>
        <v>2953.6703020585473</v>
      </c>
      <c r="BI107">
        <v>-258.61733616681494</v>
      </c>
      <c r="BP107" s="129">
        <v>85.56362493633543</v>
      </c>
      <c r="BQ107" s="9">
        <v>15.25</v>
      </c>
      <c r="BR107" s="129">
        <f t="shared" si="38"/>
        <v>100.81419341960344</v>
      </c>
      <c r="BS107" s="36">
        <f t="shared" si="55"/>
        <v>1.5180254431773682E-2</v>
      </c>
      <c r="BT107" s="37">
        <f t="shared" si="39"/>
        <v>39032531.712421641</v>
      </c>
      <c r="BU107" s="36">
        <f t="shared" si="9"/>
        <v>1.9734845605084446</v>
      </c>
      <c r="BV107" s="37">
        <f t="shared" si="40"/>
        <v>-2.0170509837031363E-4</v>
      </c>
      <c r="BW107" s="37">
        <f t="shared" si="41"/>
        <v>-1.1519385001503618E-2</v>
      </c>
      <c r="BX107" s="37">
        <f t="shared" si="42"/>
        <v>-0.32835254657615165</v>
      </c>
      <c r="BY107" s="39">
        <f t="shared" si="43"/>
        <v>2.0334736800824937E-2</v>
      </c>
      <c r="BZ107" s="39">
        <f>BZ106+(1000*$C$2*($B107-$B106))/(BerechnungenCLT!$W$47*2*BT107)</f>
        <v>3.2718591504708591E-3</v>
      </c>
      <c r="CA107" s="37">
        <f t="shared" si="10"/>
        <v>2.5828248642021987E-6</v>
      </c>
      <c r="CB107" s="173">
        <f t="shared" si="44"/>
        <v>3096.5320270996417</v>
      </c>
      <c r="CC107" s="9">
        <v>-257.70689706102638</v>
      </c>
      <c r="CJ107" s="9">
        <f t="shared" si="60"/>
        <v>56</v>
      </c>
      <c r="CK107" s="129">
        <v>85.516104545559656</v>
      </c>
      <c r="CL107" s="9">
        <v>10.078125</v>
      </c>
      <c r="CM107" s="129">
        <f t="shared" si="56"/>
        <v>95.594237610667307</v>
      </c>
      <c r="CN107" s="36">
        <f t="shared" si="57"/>
        <v>9.7481484295726655E-3</v>
      </c>
      <c r="CO107" s="173">
        <f t="shared" si="58"/>
        <v>3279.2726108760703</v>
      </c>
      <c r="CP107" s="9">
        <v>-630.90775879301964</v>
      </c>
      <c r="CQ107" s="129"/>
      <c r="CR107" s="36">
        <f t="shared" si="45"/>
        <v>0.8346280100243566</v>
      </c>
      <c r="CS107" s="17">
        <f t="shared" si="11"/>
        <v>0.5999982353734391</v>
      </c>
      <c r="CT107" s="9">
        <f t="shared" si="12"/>
        <v>10.078154640298939</v>
      </c>
      <c r="CU107" s="9">
        <f t="shared" si="46"/>
        <v>95.594267250989958</v>
      </c>
      <c r="CV107" s="9">
        <v>13.2</v>
      </c>
      <c r="CW107" s="9">
        <f t="shared" si="47"/>
        <v>98.71611510897506</v>
      </c>
      <c r="CX107">
        <f t="shared" si="48"/>
        <v>22</v>
      </c>
      <c r="CY107" s="9">
        <f t="shared" si="13"/>
        <v>625.36512232313714</v>
      </c>
      <c r="CZ107" s="17">
        <f t="shared" si="49"/>
        <v>0.58885604738525155</v>
      </c>
      <c r="DA107">
        <v>45</v>
      </c>
      <c r="DB107" s="9">
        <f t="shared" si="50"/>
        <v>10.091849126970217</v>
      </c>
      <c r="DC107" s="9">
        <f t="shared" si="51"/>
        <v>10.926477137200214</v>
      </c>
    </row>
    <row r="108" spans="2:107" x14ac:dyDescent="0.25">
      <c r="B108" s="9">
        <f t="shared" si="59"/>
        <v>57</v>
      </c>
      <c r="C108" s="9">
        <v>85.452939844115107</v>
      </c>
      <c r="D108" s="9"/>
      <c r="E108" s="9">
        <f t="shared" si="14"/>
        <v>85.452939844115107</v>
      </c>
      <c r="F108" s="36">
        <f t="shared" si="52"/>
        <v>0</v>
      </c>
      <c r="G108" s="37">
        <f t="shared" si="62"/>
        <v>0</v>
      </c>
      <c r="H108" s="36" t="e">
        <f t="shared" si="16"/>
        <v>#DIV/0!</v>
      </c>
      <c r="I108" s="37" t="e">
        <f t="shared" si="17"/>
        <v>#DIV/0!</v>
      </c>
      <c r="J108" s="37" t="e">
        <f t="shared" si="18"/>
        <v>#DIV/0!</v>
      </c>
      <c r="K108" s="37" t="e">
        <f t="shared" si="19"/>
        <v>#DIV/0!</v>
      </c>
      <c r="L108" s="39" t="e">
        <f t="shared" si="20"/>
        <v>#DIV/0!</v>
      </c>
      <c r="M108" s="39" t="e">
        <f>M107+(1000*$C$2*(B108-B107))/(BerechnungenCLT!$W$47*2*'Berechnung freier Bereich'!G108)</f>
        <v>#DIV/0!</v>
      </c>
      <c r="N108" s="17" t="e">
        <f t="shared" si="61"/>
        <v>#DIV/0!</v>
      </c>
      <c r="O108" s="173">
        <f t="shared" si="21"/>
        <v>3682.5615618767029</v>
      </c>
      <c r="P108" s="173"/>
      <c r="Q108" s="173"/>
      <c r="R108" s="37" t="e">
        <f t="shared" si="1"/>
        <v>#DIV/0!</v>
      </c>
      <c r="S108" s="37" t="e">
        <f t="shared" si="2"/>
        <v>#DIV/0!</v>
      </c>
      <c r="T108" s="37" t="e">
        <f t="shared" si="3"/>
        <v>#DIV/0!</v>
      </c>
      <c r="U108" s="39" t="e">
        <f t="shared" si="4"/>
        <v>#DIV/0!</v>
      </c>
      <c r="V108" s="39" t="e">
        <f t="shared" si="22"/>
        <v>#DIV/0!</v>
      </c>
      <c r="W108" s="9" t="e">
        <f t="shared" si="23"/>
        <v>#DIV/0!</v>
      </c>
      <c r="AB108" s="129">
        <v>85.651326157480653</v>
      </c>
      <c r="AC108" s="9">
        <v>15.25</v>
      </c>
      <c r="AD108" s="129">
        <f t="shared" si="24"/>
        <v>100.90369756662656</v>
      </c>
      <c r="AE108" s="36">
        <f t="shared" si="53"/>
        <v>1.5196483920535898E-2</v>
      </c>
      <c r="AF108" s="37">
        <f t="shared" si="25"/>
        <v>39148166.96360302</v>
      </c>
      <c r="AG108" s="36">
        <f t="shared" si="5"/>
        <v>1.9735282132410881</v>
      </c>
      <c r="AH108" s="37">
        <f t="shared" si="26"/>
        <v>-2.0110930496480627E-4</v>
      </c>
      <c r="AI108" s="37">
        <f t="shared" si="27"/>
        <v>-1.1718296180530352E-2</v>
      </c>
      <c r="AJ108" s="37">
        <f t="shared" si="28"/>
        <v>-0.33996766982393595</v>
      </c>
      <c r="AK108" s="39">
        <f t="shared" si="29"/>
        <v>2.029267248600328E-2</v>
      </c>
      <c r="AL108" s="39">
        <f>AL107+(1000*$C$2*($B108-$B107))/(BerechnungenCLT!$W$47*2*AF108)</f>
        <v>3.3293650716881406E-3</v>
      </c>
      <c r="AM108" s="37">
        <f t="shared" si="6"/>
        <v>2.5774820481490007E-6</v>
      </c>
      <c r="AN108" s="173">
        <f t="shared" si="30"/>
        <v>3090.652137336544</v>
      </c>
      <c r="AO108" s="173">
        <v>-257.95109318281618</v>
      </c>
      <c r="AV108" s="129">
        <v>88.157265780440881</v>
      </c>
      <c r="AW108" s="9">
        <v>14.3125</v>
      </c>
      <c r="AX108" s="129">
        <f t="shared" si="31"/>
        <v>103.24857429087811</v>
      </c>
      <c r="AY108" s="36">
        <f t="shared" si="54"/>
        <v>1.5426978565885084E-2</v>
      </c>
      <c r="AZ108" s="37">
        <f t="shared" si="32"/>
        <v>41816122.183266178</v>
      </c>
      <c r="BA108" s="36">
        <f t="shared" si="7"/>
        <v>1.9753641033646989</v>
      </c>
      <c r="BB108" s="37">
        <f t="shared" si="33"/>
        <v>-1.8827811469919144E-4</v>
      </c>
      <c r="BC108" s="37">
        <f t="shared" si="34"/>
        <v>-1.1636515643176106E-2</v>
      </c>
      <c r="BD108" s="37">
        <f t="shared" si="35"/>
        <v>-0.33970837976938112</v>
      </c>
      <c r="BE108" s="39">
        <f t="shared" si="36"/>
        <v>1.9439446912865938E-2</v>
      </c>
      <c r="BF108" s="39">
        <f>BF107+(1000*$C$2*($B108-$B107))/(BerechnungenCLT!$W$47*2*AZ108)</f>
        <v>3.3057225646345233E-3</v>
      </c>
      <c r="BG108" s="37">
        <f t="shared" si="8"/>
        <v>2.4691092549991581E-6</v>
      </c>
      <c r="BH108" s="173">
        <f t="shared" si="37"/>
        <v>2935.9837979427862</v>
      </c>
      <c r="BI108">
        <v>-259.13900012431316</v>
      </c>
      <c r="BP108" s="129">
        <v>85.572259551110221</v>
      </c>
      <c r="BQ108" s="9">
        <v>15.25</v>
      </c>
      <c r="BR108" s="129">
        <f t="shared" si="38"/>
        <v>100.82288024354571</v>
      </c>
      <c r="BS108" s="36">
        <f t="shared" si="55"/>
        <v>1.5181717215898149E-2</v>
      </c>
      <c r="BT108" s="37">
        <f t="shared" si="39"/>
        <v>39043502.629424959</v>
      </c>
      <c r="BU108" s="36">
        <f t="shared" si="9"/>
        <v>1.9734892595601725</v>
      </c>
      <c r="BV108" s="37">
        <f t="shared" si="40"/>
        <v>-2.0164842082490047E-4</v>
      </c>
      <c r="BW108" s="37">
        <f t="shared" si="41"/>
        <v>-1.1721033422328518E-2</v>
      </c>
      <c r="BX108" s="37">
        <f t="shared" si="42"/>
        <v>-0.33997275578806774</v>
      </c>
      <c r="BY108" s="39">
        <f t="shared" si="43"/>
        <v>2.033077458412905E-2</v>
      </c>
      <c r="BZ108" s="39">
        <f>BZ107+(1000*$C$2*($B108-$B107))/(BerechnungenCLT!$W$47*2*BT108)</f>
        <v>3.3301564163315438E-3</v>
      </c>
      <c r="CA108" s="37">
        <f t="shared" si="10"/>
        <v>2.5823216016372722E-6</v>
      </c>
      <c r="CB108" s="173">
        <f t="shared" si="44"/>
        <v>3095.9565410904606</v>
      </c>
      <c r="CC108" s="9">
        <v>-257.65900260605872</v>
      </c>
      <c r="CJ108" s="9">
        <f t="shared" si="60"/>
        <v>57</v>
      </c>
      <c r="CK108" s="129">
        <v>85.517369661414591</v>
      </c>
      <c r="CL108" s="9">
        <v>10.078125</v>
      </c>
      <c r="CM108" s="129">
        <f t="shared" si="56"/>
        <v>95.595502206581088</v>
      </c>
      <c r="CN108" s="36">
        <f t="shared" si="57"/>
        <v>9.7482840867680852E-3</v>
      </c>
      <c r="CO108" s="173">
        <f t="shared" si="58"/>
        <v>3279.1810043933719</v>
      </c>
      <c r="CP108" s="9">
        <v>-630.89013438433255</v>
      </c>
      <c r="CQ108" s="129"/>
      <c r="CR108" s="36">
        <f t="shared" si="45"/>
        <v>0.83462162616317692</v>
      </c>
      <c r="CS108" s="17">
        <f t="shared" si="11"/>
        <v>0.59999364613680106</v>
      </c>
      <c r="CT108" s="9">
        <f t="shared" si="12"/>
        <v>10.078231726176126</v>
      </c>
      <c r="CU108" s="9">
        <f t="shared" si="46"/>
        <v>95.595608932837109</v>
      </c>
      <c r="CV108" s="9">
        <v>13.2</v>
      </c>
      <c r="CW108" s="9">
        <f t="shared" si="47"/>
        <v>98.717379543828002</v>
      </c>
      <c r="CX108">
        <f t="shared" si="48"/>
        <v>22</v>
      </c>
      <c r="CY108" s="9">
        <f t="shared" si="13"/>
        <v>625.35587087709166</v>
      </c>
      <c r="CZ108" s="17">
        <f t="shared" si="49"/>
        <v>0.5888473360424592</v>
      </c>
      <c r="DA108">
        <v>45</v>
      </c>
      <c r="DB108" s="9">
        <f t="shared" si="50"/>
        <v>10.091699831471692</v>
      </c>
      <c r="DC108" s="9">
        <f t="shared" si="51"/>
        <v>10.926321457827214</v>
      </c>
    </row>
    <row r="109" spans="2:107" x14ac:dyDescent="0.25">
      <c r="B109" s="9">
        <f t="shared" si="59"/>
        <v>58</v>
      </c>
      <c r="C109" s="9">
        <v>85.473474661207177</v>
      </c>
      <c r="D109" s="9"/>
      <c r="E109" s="9">
        <f t="shared" si="14"/>
        <v>85.473474661207177</v>
      </c>
      <c r="F109" s="36">
        <f t="shared" si="52"/>
        <v>0</v>
      </c>
      <c r="G109" s="37">
        <f t="shared" si="62"/>
        <v>0</v>
      </c>
      <c r="H109" s="36" t="e">
        <f t="shared" si="16"/>
        <v>#DIV/0!</v>
      </c>
      <c r="I109" s="37" t="e">
        <f t="shared" si="17"/>
        <v>#DIV/0!</v>
      </c>
      <c r="J109" s="37" t="e">
        <f t="shared" si="18"/>
        <v>#DIV/0!</v>
      </c>
      <c r="K109" s="37" t="e">
        <f t="shared" si="19"/>
        <v>#DIV/0!</v>
      </c>
      <c r="L109" s="39" t="e">
        <f t="shared" si="20"/>
        <v>#DIV/0!</v>
      </c>
      <c r="M109" s="39" t="e">
        <f>M108+(1000*$C$2*(B109-B108))/(BerechnungenCLT!$W$47*2*'Berechnung freier Bereich'!G109)</f>
        <v>#DIV/0!</v>
      </c>
      <c r="N109" s="17" t="e">
        <f t="shared" si="61"/>
        <v>#DIV/0!</v>
      </c>
      <c r="O109" s="173">
        <f t="shared" si="21"/>
        <v>3680.7923195580752</v>
      </c>
      <c r="P109" s="173"/>
      <c r="Q109" s="173"/>
      <c r="R109" s="37" t="e">
        <f t="shared" si="1"/>
        <v>#DIV/0!</v>
      </c>
      <c r="S109" s="37" t="e">
        <f t="shared" si="2"/>
        <v>#DIV/0!</v>
      </c>
      <c r="T109" s="37" t="e">
        <f t="shared" si="3"/>
        <v>#DIV/0!</v>
      </c>
      <c r="U109" s="39" t="e">
        <f t="shared" si="4"/>
        <v>#DIV/0!</v>
      </c>
      <c r="V109" s="39" t="e">
        <f t="shared" si="22"/>
        <v>#DIV/0!</v>
      </c>
      <c r="W109" s="9" t="e">
        <f t="shared" si="23"/>
        <v>#DIV/0!</v>
      </c>
      <c r="AB109" s="129">
        <v>85.668962162104691</v>
      </c>
      <c r="AC109" s="9">
        <v>15.25</v>
      </c>
      <c r="AD109" s="129">
        <f t="shared" si="24"/>
        <v>100.92144949155698</v>
      </c>
      <c r="AE109" s="36">
        <f t="shared" si="53"/>
        <v>1.5199482084048659E-2</v>
      </c>
      <c r="AF109" s="37">
        <f t="shared" si="25"/>
        <v>39170652.436839446</v>
      </c>
      <c r="AG109" s="36">
        <f t="shared" si="5"/>
        <v>1.9735377552579656</v>
      </c>
      <c r="AH109" s="37">
        <f t="shared" si="26"/>
        <v>-2.0099386042627898E-4</v>
      </c>
      <c r="AI109" s="37">
        <f t="shared" si="27"/>
        <v>-1.1919290040956631E-2</v>
      </c>
      <c r="AJ109" s="37">
        <f t="shared" si="28"/>
        <v>-0.35178646293467941</v>
      </c>
      <c r="AK109" s="39">
        <f t="shared" si="29"/>
        <v>2.0284591733123768E-2</v>
      </c>
      <c r="AL109" s="39">
        <f>AL108+(1000*$C$2*($B109-$B108))/(BerechnungenCLT!$W$47*2*AF109)</f>
        <v>3.387473101841329E-3</v>
      </c>
      <c r="AM109" s="37">
        <f t="shared" si="6"/>
        <v>2.5764556680358426E-6</v>
      </c>
      <c r="AN109" s="173">
        <f t="shared" si="30"/>
        <v>3089.4799291008153</v>
      </c>
      <c r="AO109" s="173">
        <v>-257.94078472436945</v>
      </c>
      <c r="AV109" s="129">
        <v>88.491616019091055</v>
      </c>
      <c r="AW109" s="9">
        <v>14.25</v>
      </c>
      <c r="AX109" s="129">
        <f t="shared" si="31"/>
        <v>103.58250184224559</v>
      </c>
      <c r="AY109" s="36">
        <f t="shared" si="54"/>
        <v>1.5480406998554212E-2</v>
      </c>
      <c r="AZ109" s="37">
        <f t="shared" si="32"/>
        <v>42252634.443917371</v>
      </c>
      <c r="BA109" s="36">
        <f t="shared" si="7"/>
        <v>1.9755350196111567</v>
      </c>
      <c r="BB109" s="37">
        <f t="shared" si="33"/>
        <v>-1.863330121852269E-4</v>
      </c>
      <c r="BC109" s="37">
        <f t="shared" si="34"/>
        <v>-1.1822848655361333E-2</v>
      </c>
      <c r="BD109" s="37">
        <f t="shared" si="35"/>
        <v>-0.35143806191864985</v>
      </c>
      <c r="BE109" s="39">
        <f t="shared" si="36"/>
        <v>1.9300839577947437E-2</v>
      </c>
      <c r="BF109" s="39">
        <f>BF108+(1000*$C$2*($B109-$B108))/(BerechnungenCLT!$W$47*2*AZ109)</f>
        <v>3.3595920921296921E-3</v>
      </c>
      <c r="BG109" s="37">
        <f t="shared" si="8"/>
        <v>2.4515039879875984E-6</v>
      </c>
      <c r="BH109" s="173">
        <f t="shared" si="37"/>
        <v>2915.5891760146733</v>
      </c>
      <c r="BI109">
        <v>-258.28866225263539</v>
      </c>
      <c r="BP109" s="129">
        <v>85.581281964490444</v>
      </c>
      <c r="BQ109" s="9">
        <v>15.25</v>
      </c>
      <c r="BR109" s="129">
        <f t="shared" si="38"/>
        <v>100.83195427170172</v>
      </c>
      <c r="BS109" s="36">
        <f t="shared" si="55"/>
        <v>1.5183242541420288E-2</v>
      </c>
      <c r="BT109" s="37">
        <f t="shared" si="39"/>
        <v>39054959.033663675</v>
      </c>
      <c r="BU109" s="36">
        <f t="shared" si="9"/>
        <v>1.9734941775793182</v>
      </c>
      <c r="BV109" s="37">
        <f t="shared" si="40"/>
        <v>-2.0158926916067577E-4</v>
      </c>
      <c r="BW109" s="37">
        <f t="shared" si="41"/>
        <v>-1.1922622691489193E-2</v>
      </c>
      <c r="BX109" s="37">
        <f t="shared" si="42"/>
        <v>-0.35179458384497658</v>
      </c>
      <c r="BY109" s="39">
        <f t="shared" si="43"/>
        <v>2.0326639969675028E-2</v>
      </c>
      <c r="BZ109" s="39">
        <f>BZ108+(1000*$C$2*($B109-$B108))/(BerechnungenCLT!$W$47*2*BT109)</f>
        <v>3.3884365812385919E-3</v>
      </c>
      <c r="CA109" s="37">
        <f t="shared" si="10"/>
        <v>2.5817964419009878E-6</v>
      </c>
      <c r="CB109" s="173">
        <f t="shared" si="44"/>
        <v>3095.3554777940226</v>
      </c>
      <c r="CC109" s="9">
        <v>-257.60897949772118</v>
      </c>
      <c r="CJ109" s="9">
        <f t="shared" si="60"/>
        <v>58</v>
      </c>
      <c r="CK109" s="129">
        <v>85.518593318199152</v>
      </c>
      <c r="CL109" s="9">
        <v>10.078125</v>
      </c>
      <c r="CM109" s="129">
        <f t="shared" si="56"/>
        <v>95.596725262302343</v>
      </c>
      <c r="CN109" s="36">
        <f t="shared" si="57"/>
        <v>9.7484151980994829E-3</v>
      </c>
      <c r="CO109" s="173">
        <f t="shared" si="58"/>
        <v>3279.0924071500053</v>
      </c>
      <c r="CP109" s="9">
        <v>-630.8730889310018</v>
      </c>
      <c r="CQ109" s="129"/>
      <c r="CR109" s="36">
        <f t="shared" si="45"/>
        <v>0.83461545204629439</v>
      </c>
      <c r="CS109" s="17">
        <f t="shared" si="11"/>
        <v>0.59998920768135744</v>
      </c>
      <c r="CT109" s="9">
        <f t="shared" si="12"/>
        <v>10.078306280487928</v>
      </c>
      <c r="CU109" s="9">
        <f t="shared" si="46"/>
        <v>95.596906542915178</v>
      </c>
      <c r="CV109" s="9">
        <v>13.2</v>
      </c>
      <c r="CW109" s="9">
        <f t="shared" si="47"/>
        <v>98.718602413359434</v>
      </c>
      <c r="CX109">
        <f t="shared" si="48"/>
        <v>22</v>
      </c>
      <c r="CY109" s="9">
        <f t="shared" si="13"/>
        <v>625.346922870296</v>
      </c>
      <c r="CZ109" s="17">
        <f t="shared" si="49"/>
        <v>0.58883891042400749</v>
      </c>
      <c r="DA109">
        <v>45</v>
      </c>
      <c r="DB109" s="9">
        <f t="shared" si="50"/>
        <v>10.091555432733507</v>
      </c>
      <c r="DC109" s="9">
        <f t="shared" si="51"/>
        <v>10.926170884956791</v>
      </c>
    </row>
    <row r="110" spans="2:107" x14ac:dyDescent="0.25">
      <c r="B110" s="9">
        <f t="shared" si="59"/>
        <v>59</v>
      </c>
      <c r="C110" s="9">
        <v>85.499039782159485</v>
      </c>
      <c r="D110" s="9"/>
      <c r="E110" s="9">
        <f t="shared" si="14"/>
        <v>85.499039782159485</v>
      </c>
      <c r="F110" s="36">
        <f t="shared" si="52"/>
        <v>0</v>
      </c>
      <c r="G110" s="37">
        <f t="shared" si="62"/>
        <v>0</v>
      </c>
      <c r="H110" s="36" t="e">
        <f t="shared" si="16"/>
        <v>#DIV/0!</v>
      </c>
      <c r="I110" s="37" t="e">
        <f t="shared" si="17"/>
        <v>#DIV/0!</v>
      </c>
      <c r="J110" s="37" t="e">
        <f t="shared" si="18"/>
        <v>#DIV/0!</v>
      </c>
      <c r="K110" s="37" t="e">
        <f t="shared" si="19"/>
        <v>#DIV/0!</v>
      </c>
      <c r="L110" s="39" t="e">
        <f t="shared" si="20"/>
        <v>#DIV/0!</v>
      </c>
      <c r="M110" s="39" t="e">
        <f>M109+(1000*$C$2*(B110-B109))/(BerechnungenCLT!$W$47*2*'Berechnung freier Bereich'!G110)</f>
        <v>#DIV/0!</v>
      </c>
      <c r="N110" s="17" t="e">
        <f t="shared" si="61"/>
        <v>#DIV/0!</v>
      </c>
      <c r="O110" s="173">
        <f t="shared" si="21"/>
        <v>3678.5914566558795</v>
      </c>
      <c r="P110" s="173"/>
      <c r="Q110" s="173"/>
      <c r="R110" s="37" t="e">
        <f t="shared" si="1"/>
        <v>#DIV/0!</v>
      </c>
      <c r="S110" s="37" t="e">
        <f t="shared" si="2"/>
        <v>#DIV/0!</v>
      </c>
      <c r="T110" s="37" t="e">
        <f t="shared" si="3"/>
        <v>#DIV/0!</v>
      </c>
      <c r="U110" s="39" t="e">
        <f t="shared" si="4"/>
        <v>#DIV/0!</v>
      </c>
      <c r="V110" s="39" t="e">
        <f t="shared" si="22"/>
        <v>#DIV/0!</v>
      </c>
      <c r="W110" s="9" t="e">
        <f t="shared" si="23"/>
        <v>#DIV/0!</v>
      </c>
      <c r="AB110" s="129">
        <v>85.687024103973116</v>
      </c>
      <c r="AC110" s="9">
        <v>15.25</v>
      </c>
      <c r="AD110" s="129">
        <f t="shared" si="24"/>
        <v>100.93960918757372</v>
      </c>
      <c r="AE110" s="36">
        <f t="shared" si="53"/>
        <v>1.520253009846146E-2</v>
      </c>
      <c r="AF110" s="37">
        <f t="shared" si="25"/>
        <v>39193622.284829058</v>
      </c>
      <c r="AG110" s="36">
        <f t="shared" si="5"/>
        <v>1.9735475883650242</v>
      </c>
      <c r="AH110" s="37">
        <f t="shared" si="26"/>
        <v>-2.008760657915477E-4</v>
      </c>
      <c r="AI110" s="37">
        <f t="shared" si="27"/>
        <v>-1.212016610674818E-2</v>
      </c>
      <c r="AJ110" s="37">
        <f t="shared" si="28"/>
        <v>-0.36380619100853184</v>
      </c>
      <c r="AK110" s="39">
        <f t="shared" si="29"/>
        <v>2.0276351576136172E-2</v>
      </c>
      <c r="AL110" s="39">
        <f>AL109+(1000*$C$2*($B110-$B109))/(BerechnungenCLT!$W$47*2*AF110)</f>
        <v>3.4455470771523828E-3</v>
      </c>
      <c r="AM110" s="37">
        <f t="shared" si="6"/>
        <v>2.5754090411450718E-6</v>
      </c>
      <c r="AN110" s="173">
        <f t="shared" si="30"/>
        <v>3088.2807951769014</v>
      </c>
      <c r="AO110" s="173">
        <v>-257.92941120606321</v>
      </c>
      <c r="AV110" s="129">
        <v>88.840186223928995</v>
      </c>
      <c r="AW110" s="9">
        <v>14.125</v>
      </c>
      <c r="AX110" s="129">
        <f t="shared" si="31"/>
        <v>103.86275451094623</v>
      </c>
      <c r="AY110" s="36">
        <f t="shared" si="54"/>
        <v>1.5460777249834582E-2</v>
      </c>
      <c r="AZ110" s="37">
        <f t="shared" si="32"/>
        <v>42471779.297444098</v>
      </c>
      <c r="BA110" s="36">
        <f t="shared" si="7"/>
        <v>1.9759105636189662</v>
      </c>
      <c r="BB110" s="37">
        <f t="shared" si="33"/>
        <v>-1.8537157564223322E-4</v>
      </c>
      <c r="BC110" s="37">
        <f t="shared" si="34"/>
        <v>-1.2008220231003567E-2</v>
      </c>
      <c r="BD110" s="37">
        <f t="shared" si="35"/>
        <v>-0.36335359636183229</v>
      </c>
      <c r="BE110" s="39">
        <f t="shared" si="36"/>
        <v>1.9253202454236569E-2</v>
      </c>
      <c r="BF110" s="39">
        <f>BF109+(1000*$C$2*($B110-$B109))/(BerechnungenCLT!$W$47*2*AZ110)</f>
        <v>3.4131836649474788E-3</v>
      </c>
      <c r="BG110" s="37">
        <f t="shared" si="8"/>
        <v>2.4454533393470654E-6</v>
      </c>
      <c r="BH110" s="173">
        <f t="shared" si="37"/>
        <v>2896.5920831370017</v>
      </c>
      <c r="BI110">
        <v>-258.69705310569935</v>
      </c>
      <c r="BP110" s="129">
        <v>85.590672032706081</v>
      </c>
      <c r="BQ110" s="9">
        <v>15.25</v>
      </c>
      <c r="BR110" s="129">
        <f t="shared" si="38"/>
        <v>100.84139502150114</v>
      </c>
      <c r="BS110" s="36">
        <f t="shared" si="55"/>
        <v>1.5184826762470948E-2</v>
      </c>
      <c r="BT110" s="37">
        <f t="shared" si="39"/>
        <v>39066874.904788055</v>
      </c>
      <c r="BU110" s="36">
        <f t="shared" si="9"/>
        <v>1.9734993041124254</v>
      </c>
      <c r="BV110" s="37">
        <f t="shared" si="40"/>
        <v>-2.0152778198625422E-4</v>
      </c>
      <c r="BW110" s="37">
        <f t="shared" si="41"/>
        <v>-1.2124150473475447E-2</v>
      </c>
      <c r="BX110" s="37">
        <f t="shared" si="42"/>
        <v>-0.36381797042745889</v>
      </c>
      <c r="BY110" s="39">
        <f t="shared" si="43"/>
        <v>2.0322342671082825E-2</v>
      </c>
      <c r="BZ110" s="39">
        <f>BZ109+(1000*$C$2*($B110-$B109))/(BerechnungenCLT!$W$47*2*BT110)</f>
        <v>3.4466989699878125E-3</v>
      </c>
      <c r="CA110" s="37">
        <f t="shared" si="10"/>
        <v>2.5812506187727337E-6</v>
      </c>
      <c r="CB110" s="173">
        <f t="shared" si="44"/>
        <v>3094.7302084089542</v>
      </c>
      <c r="CC110" s="9">
        <v>-257.55694185314229</v>
      </c>
      <c r="CJ110" s="9">
        <f t="shared" si="60"/>
        <v>59</v>
      </c>
      <c r="CK110" s="129">
        <v>85.519767224099269</v>
      </c>
      <c r="CL110" s="9">
        <v>10.078125</v>
      </c>
      <c r="CM110" s="129">
        <f t="shared" si="56"/>
        <v>95.597898498489442</v>
      </c>
      <c r="CN110" s="36">
        <f t="shared" si="57"/>
        <v>9.7485408836973219E-3</v>
      </c>
      <c r="CO110" s="173">
        <f t="shared" si="58"/>
        <v>3279.0074187984192</v>
      </c>
      <c r="CP110" s="9">
        <v>-630.85673780171646</v>
      </c>
      <c r="CQ110" s="129"/>
      <c r="CR110" s="36">
        <f t="shared" si="45"/>
        <v>0.83460952946394196</v>
      </c>
      <c r="CS110" s="17">
        <f t="shared" si="11"/>
        <v>0.59998495004931351</v>
      </c>
      <c r="CT110" s="9">
        <f t="shared" si="12"/>
        <v>10.078377798481444</v>
      </c>
      <c r="CU110" s="9">
        <f t="shared" si="46"/>
        <v>95.598151297128268</v>
      </c>
      <c r="CV110" s="9">
        <v>13.2</v>
      </c>
      <c r="CW110" s="9">
        <f t="shared" si="47"/>
        <v>98.719775442091233</v>
      </c>
      <c r="CX110">
        <f t="shared" si="48"/>
        <v>22</v>
      </c>
      <c r="CY110" s="9">
        <f t="shared" si="13"/>
        <v>625.33833890817584</v>
      </c>
      <c r="CZ110" s="17">
        <f t="shared" si="49"/>
        <v>0.58883082759715244</v>
      </c>
      <c r="DA110">
        <v>45</v>
      </c>
      <c r="DB110" s="9">
        <f t="shared" si="50"/>
        <v>10.091416908777603</v>
      </c>
      <c r="DC110" s="9">
        <f t="shared" si="51"/>
        <v>10.926026438401435</v>
      </c>
    </row>
    <row r="111" spans="2:107" x14ac:dyDescent="0.25">
      <c r="B111" s="9">
        <f t="shared" si="59"/>
        <v>60</v>
      </c>
      <c r="C111" s="9">
        <v>85.53</v>
      </c>
      <c r="D111" s="9"/>
      <c r="E111" s="9">
        <f t="shared" si="14"/>
        <v>85.53</v>
      </c>
      <c r="F111" s="36">
        <f t="shared" si="52"/>
        <v>0</v>
      </c>
      <c r="G111" s="37">
        <f t="shared" si="62"/>
        <v>0</v>
      </c>
      <c r="H111" s="36" t="e">
        <f t="shared" si="16"/>
        <v>#DIV/0!</v>
      </c>
      <c r="I111" s="37" t="e">
        <f t="shared" si="17"/>
        <v>#DIV/0!</v>
      </c>
      <c r="J111" s="37" t="e">
        <f t="shared" si="18"/>
        <v>#DIV/0!</v>
      </c>
      <c r="K111" s="37" t="e">
        <f t="shared" si="19"/>
        <v>#DIV/0!</v>
      </c>
      <c r="L111" s="39" t="e">
        <f t="shared" si="20"/>
        <v>#DIV/0!</v>
      </c>
      <c r="M111" s="39" t="e">
        <f>M110+(1000*$C$2*(B111-B110))/(BerechnungenCLT!$W$47*2*'Berechnung freier Bereich'!G111)</f>
        <v>#DIV/0!</v>
      </c>
      <c r="N111" s="17" t="e">
        <f t="shared" si="61"/>
        <v>#DIV/0!</v>
      </c>
      <c r="O111" s="173">
        <f t="shared" si="21"/>
        <v>3675.9287797039574</v>
      </c>
      <c r="P111" s="173"/>
      <c r="Q111" s="173"/>
      <c r="R111" s="37" t="e">
        <f t="shared" si="1"/>
        <v>#DIV/0!</v>
      </c>
      <c r="S111" s="37" t="e">
        <f t="shared" si="2"/>
        <v>#DIV/0!</v>
      </c>
      <c r="T111" s="37" t="e">
        <f t="shared" si="3"/>
        <v>#DIV/0!</v>
      </c>
      <c r="U111" s="39" t="e">
        <f t="shared" si="4"/>
        <v>#DIV/0!</v>
      </c>
      <c r="V111" s="39" t="e">
        <f t="shared" si="22"/>
        <v>#DIV/0!</v>
      </c>
      <c r="W111" s="9" t="e">
        <f t="shared" si="23"/>
        <v>#DIV/0!</v>
      </c>
      <c r="AB111" s="129">
        <v>85.705437579808603</v>
      </c>
      <c r="AC111" s="9">
        <v>15.25</v>
      </c>
      <c r="AD111" s="129">
        <f t="shared" si="24"/>
        <v>100.95810105535374</v>
      </c>
      <c r="AE111" s="36">
        <f t="shared" si="53"/>
        <v>1.5205614542966102E-2</v>
      </c>
      <c r="AF111" s="37">
        <f t="shared" si="25"/>
        <v>39216979.803339675</v>
      </c>
      <c r="AG111" s="36">
        <f t="shared" si="5"/>
        <v>1.9735576741319123</v>
      </c>
      <c r="AH111" s="37">
        <f t="shared" si="26"/>
        <v>-2.0075642459407164E-4</v>
      </c>
      <c r="AI111" s="37">
        <f t="shared" si="27"/>
        <v>-1.2320922531342251E-2</v>
      </c>
      <c r="AJ111" s="37">
        <f t="shared" si="28"/>
        <v>-0.37602673532757708</v>
      </c>
      <c r="AK111" s="39">
        <f t="shared" si="29"/>
        <v>2.0267987401679788E-2</v>
      </c>
      <c r="AL111" s="39">
        <f>AL110+(1000*$C$2*($B111-$B110))/(BerechnungenCLT!$W$47*2*AF111)</f>
        <v>3.5035864637735347E-3</v>
      </c>
      <c r="AM111" s="37">
        <f t="shared" si="6"/>
        <v>2.5743466621250688E-6</v>
      </c>
      <c r="AN111" s="173">
        <f t="shared" si="30"/>
        <v>3087.059744747608</v>
      </c>
      <c r="AO111" s="173">
        <v>-257.91678295968859</v>
      </c>
      <c r="AV111" s="129">
        <v>89.202301175941685</v>
      </c>
      <c r="AW111" s="9">
        <v>14</v>
      </c>
      <c r="AX111" s="129">
        <f t="shared" si="31"/>
        <v>104.15423144038786</v>
      </c>
      <c r="AY111" s="36">
        <f t="shared" si="54"/>
        <v>1.5440270564875968E-2</v>
      </c>
      <c r="AZ111" s="37">
        <f t="shared" si="32"/>
        <v>42699510.721749008</v>
      </c>
      <c r="BA111" s="36">
        <f t="shared" si="7"/>
        <v>1.9762941820432278</v>
      </c>
      <c r="BB111" s="37">
        <f t="shared" si="33"/>
        <v>-1.8438292419791706E-4</v>
      </c>
      <c r="BC111" s="37">
        <f t="shared" si="34"/>
        <v>-1.2192603155201483E-2</v>
      </c>
      <c r="BD111" s="37">
        <f t="shared" si="35"/>
        <v>-0.37545400805493478</v>
      </c>
      <c r="BE111" s="39">
        <f t="shared" si="36"/>
        <v>1.9204261760565344E-2</v>
      </c>
      <c r="BF111" s="39">
        <f>BF110+(1000*$C$2*($B111-$B110))/(BerechnungenCLT!$W$47*2*AZ111)</f>
        <v>3.4664894151644381E-3</v>
      </c>
      <c r="BG111" s="37">
        <f t="shared" si="8"/>
        <v>2.4392371172379004E-6</v>
      </c>
      <c r="BH111" s="173">
        <f t="shared" si="37"/>
        <v>2877.0428150031289</v>
      </c>
      <c r="BI111">
        <v>-259.06576759767671</v>
      </c>
      <c r="BP111" s="129">
        <v>85.600409611987104</v>
      </c>
      <c r="BQ111" s="9">
        <v>15.25</v>
      </c>
      <c r="BR111" s="129">
        <f t="shared" si="38"/>
        <v>100.85118202894111</v>
      </c>
      <c r="BS111" s="36">
        <f t="shared" si="55"/>
        <v>1.5186466252982662E-2</v>
      </c>
      <c r="BT111" s="37">
        <f t="shared" si="39"/>
        <v>39079224.271546438</v>
      </c>
      <c r="BU111" s="36">
        <f t="shared" si="9"/>
        <v>1.9735046286523701</v>
      </c>
      <c r="BV111" s="37">
        <f t="shared" si="40"/>
        <v>-2.0146409749562927E-4</v>
      </c>
      <c r="BW111" s="37">
        <f t="shared" si="41"/>
        <v>-1.2325614570971076E-2</v>
      </c>
      <c r="BX111" s="37">
        <f t="shared" si="42"/>
        <v>-0.37604285294968215</v>
      </c>
      <c r="BY111" s="39">
        <f t="shared" si="43"/>
        <v>2.0317892368828045E-2</v>
      </c>
      <c r="BZ111" s="39">
        <f>BZ110+(1000*$C$2*($B111-$B110))/(BerechnungenCLT!$W$47*2*BT111)</f>
        <v>3.5049429473273828E-3</v>
      </c>
      <c r="CA111" s="37">
        <f t="shared" si="10"/>
        <v>2.5806853618220563E-6</v>
      </c>
      <c r="CB111" s="173">
        <f t="shared" si="44"/>
        <v>3094.0821027624852</v>
      </c>
      <c r="CC111" s="9">
        <v>-257.50300367531707</v>
      </c>
      <c r="CJ111" s="9">
        <f t="shared" si="60"/>
        <v>60</v>
      </c>
      <c r="CK111" s="129">
        <v>85.520883087300845</v>
      </c>
      <c r="CL111" s="9">
        <v>10.078125</v>
      </c>
      <c r="CM111" s="129">
        <f t="shared" si="56"/>
        <v>95.599013637879409</v>
      </c>
      <c r="CN111" s="36">
        <f t="shared" si="57"/>
        <v>9.7486602658157177E-3</v>
      </c>
      <c r="CO111" s="173">
        <f t="shared" si="58"/>
        <v>3278.9266388385586</v>
      </c>
      <c r="CP111" s="9">
        <v>-630.84119633582475</v>
      </c>
      <c r="CQ111" s="129"/>
      <c r="CR111" s="36">
        <f t="shared" si="45"/>
        <v>0.83460390019493924</v>
      </c>
      <c r="CS111" s="17">
        <f t="shared" si="11"/>
        <v>0.59998090327466957</v>
      </c>
      <c r="CT111" s="9">
        <f t="shared" si="12"/>
        <v>10.078445775517888</v>
      </c>
      <c r="CU111" s="9">
        <f t="shared" si="46"/>
        <v>95.59933441357397</v>
      </c>
      <c r="CV111" s="9">
        <v>13.2</v>
      </c>
      <c r="CW111" s="9">
        <f t="shared" si="47"/>
        <v>98.720890357267933</v>
      </c>
      <c r="CX111">
        <f t="shared" si="48"/>
        <v>22</v>
      </c>
      <c r="CY111" s="9">
        <f t="shared" si="13"/>
        <v>625.33017959064159</v>
      </c>
      <c r="CZ111" s="17">
        <f t="shared" si="49"/>
        <v>0.58882314462395624</v>
      </c>
      <c r="DA111">
        <v>45</v>
      </c>
      <c r="DB111" s="9">
        <f t="shared" si="50"/>
        <v>10.091285237536921</v>
      </c>
      <c r="DC111" s="9">
        <f t="shared" si="51"/>
        <v>10.925889137873281</v>
      </c>
    </row>
    <row r="112" spans="2:107" x14ac:dyDescent="0.25">
      <c r="B112" s="9">
        <f t="shared" si="59"/>
        <v>61</v>
      </c>
      <c r="C112" s="9">
        <v>85.56664085119678</v>
      </c>
      <c r="D112" s="9"/>
      <c r="E112" s="9">
        <f t="shared" si="14"/>
        <v>85.56664085119678</v>
      </c>
      <c r="F112" s="36">
        <f t="shared" si="52"/>
        <v>0</v>
      </c>
      <c r="G112" s="37">
        <f t="shared" si="62"/>
        <v>0</v>
      </c>
      <c r="H112" s="36" t="e">
        <f t="shared" si="16"/>
        <v>#DIV/0!</v>
      </c>
      <c r="I112" s="37" t="e">
        <f t="shared" si="17"/>
        <v>#DIV/0!</v>
      </c>
      <c r="J112" s="37" t="e">
        <f t="shared" si="18"/>
        <v>#DIV/0!</v>
      </c>
      <c r="K112" s="37" t="e">
        <f t="shared" si="19"/>
        <v>#DIV/0!</v>
      </c>
      <c r="L112" s="39" t="e">
        <f t="shared" si="20"/>
        <v>#DIV/0!</v>
      </c>
      <c r="M112" s="39" t="e">
        <f>M111+(1000*$C$2*(B112-B111))/(BerechnungenCLT!$W$47*2*'Berechnung freier Bereich'!G112)</f>
        <v>#DIV/0!</v>
      </c>
      <c r="N112" s="17" t="e">
        <f t="shared" si="61"/>
        <v>#DIV/0!</v>
      </c>
      <c r="O112" s="173">
        <f t="shared" si="21"/>
        <v>3672.7812838999434</v>
      </c>
      <c r="P112" s="173"/>
      <c r="Q112" s="173"/>
      <c r="R112" s="37" t="e">
        <f t="shared" si="1"/>
        <v>#DIV/0!</v>
      </c>
      <c r="S112" s="37" t="e">
        <f t="shared" si="2"/>
        <v>#DIV/0!</v>
      </c>
      <c r="T112" s="37" t="e">
        <f t="shared" si="3"/>
        <v>#DIV/0!</v>
      </c>
      <c r="U112" s="39" t="e">
        <f t="shared" si="4"/>
        <v>#DIV/0!</v>
      </c>
      <c r="V112" s="39" t="e">
        <f t="shared" si="22"/>
        <v>#DIV/0!</v>
      </c>
      <c r="W112" s="9" t="e">
        <f t="shared" si="23"/>
        <v>#DIV/0!</v>
      </c>
      <c r="AB112" s="129">
        <v>85.724128186333814</v>
      </c>
      <c r="AC112" s="9">
        <v>15.25</v>
      </c>
      <c r="AD112" s="129">
        <f t="shared" si="24"/>
        <v>100.97684974874757</v>
      </c>
      <c r="AE112" s="36">
        <f t="shared" si="53"/>
        <v>1.52087222681825E-2</v>
      </c>
      <c r="AF112" s="37">
        <f t="shared" si="25"/>
        <v>39240628.956929497</v>
      </c>
      <c r="AG112" s="36">
        <f t="shared" si="5"/>
        <v>1.9735679734111822</v>
      </c>
      <c r="AH112" s="37">
        <f t="shared" si="26"/>
        <v>-2.0063543470054629E-4</v>
      </c>
      <c r="AI112" s="37">
        <f t="shared" si="27"/>
        <v>-1.2521557966042797E-2</v>
      </c>
      <c r="AJ112" s="37">
        <f t="shared" si="28"/>
        <v>-0.38844797557626959</v>
      </c>
      <c r="AK112" s="39">
        <f t="shared" si="29"/>
        <v>2.0259534144031716E-2</v>
      </c>
      <c r="AL112" s="39">
        <f>AL111+(1000*$C$2*($B112-$B111))/(BerechnungenCLT!$W$47*2*AF112)</f>
        <v>3.5615908717920252E-3</v>
      </c>
      <c r="AM112" s="37">
        <f t="shared" si="6"/>
        <v>2.5732729681672464E-6</v>
      </c>
      <c r="AN112" s="173">
        <f t="shared" si="30"/>
        <v>3085.8217676516247</v>
      </c>
      <c r="AO112" s="173">
        <v>-257.90271025032047</v>
      </c>
      <c r="AV112" s="129">
        <v>89.577285656116189</v>
      </c>
      <c r="AW112" s="9">
        <v>13.9375</v>
      </c>
      <c r="AX112" s="129">
        <f t="shared" si="31"/>
        <v>104.52298761924035</v>
      </c>
      <c r="AY112" s="36">
        <f t="shared" si="54"/>
        <v>1.5493204685515268E-2</v>
      </c>
      <c r="AZ112" s="37">
        <f t="shared" si="32"/>
        <v>43173968.061605513</v>
      </c>
      <c r="BA112" s="36">
        <f t="shared" si="7"/>
        <v>1.9764933226223109</v>
      </c>
      <c r="BB112" s="37">
        <f t="shared" si="33"/>
        <v>-1.8235666078833006E-4</v>
      </c>
      <c r="BC112" s="37">
        <f t="shared" si="34"/>
        <v>-1.2374959815989814E-2</v>
      </c>
      <c r="BD112" s="37">
        <f t="shared" si="35"/>
        <v>-0.38773778954053045</v>
      </c>
      <c r="BE112" s="39">
        <f t="shared" si="36"/>
        <v>1.9060462997864635E-2</v>
      </c>
      <c r="BF112" s="39">
        <f>BF111+(1000*$C$2*($B112-$B111))/(BerechnungenCLT!$W$47*2*AZ112)</f>
        <v>3.5192093655213776E-3</v>
      </c>
      <c r="BG112" s="37">
        <f t="shared" si="8"/>
        <v>2.4209724589154072E-6</v>
      </c>
      <c r="BH112" s="173">
        <f t="shared" si="37"/>
        <v>2855.0369294765383</v>
      </c>
      <c r="BI112">
        <v>-258.0588093743221</v>
      </c>
      <c r="BP112" s="129">
        <v>85.610474558563439</v>
      </c>
      <c r="BQ112" s="9">
        <v>15.25</v>
      </c>
      <c r="BR112" s="129">
        <f t="shared" si="38"/>
        <v>100.86129484858566</v>
      </c>
      <c r="BS112" s="36">
        <f t="shared" si="55"/>
        <v>1.518815740668852E-2</v>
      </c>
      <c r="BT112" s="37">
        <f t="shared" si="39"/>
        <v>39091981.209848054</v>
      </c>
      <c r="BU112" s="36">
        <f t="shared" si="9"/>
        <v>1.973510140639628</v>
      </c>
      <c r="BV112" s="37">
        <f t="shared" si="40"/>
        <v>-2.0139835344832845E-4</v>
      </c>
      <c r="BW112" s="37">
        <f t="shared" si="41"/>
        <v>-1.2527012924419404E-2</v>
      </c>
      <c r="BX112" s="37">
        <f t="shared" si="42"/>
        <v>-0.38846916669737741</v>
      </c>
      <c r="BY112" s="39">
        <f t="shared" si="43"/>
        <v>2.0313298709171524E-2</v>
      </c>
      <c r="BZ112" s="39">
        <f>BZ111+(1000*$C$2*($B112-$B111))/(BerechnungenCLT!$W$47*2*BT112)</f>
        <v>3.5631679178322424E-3</v>
      </c>
      <c r="CA112" s="37">
        <f t="shared" si="10"/>
        <v>2.5801018962726982E-6</v>
      </c>
      <c r="CB112" s="173">
        <f t="shared" si="44"/>
        <v>3093.4125291564787</v>
      </c>
      <c r="CC112" s="9">
        <v>-257.44727884029271</v>
      </c>
      <c r="CJ112" s="9">
        <f t="shared" si="60"/>
        <v>61</v>
      </c>
      <c r="CK112" s="129">
        <v>85.521932615989826</v>
      </c>
      <c r="CL112" s="9">
        <v>10.078125</v>
      </c>
      <c r="CM112" s="129">
        <f t="shared" si="56"/>
        <v>95.600062405288128</v>
      </c>
      <c r="CN112" s="36">
        <f t="shared" si="57"/>
        <v>9.7487724688327809E-3</v>
      </c>
      <c r="CO112" s="173">
        <f t="shared" si="58"/>
        <v>3278.8506666285925</v>
      </c>
      <c r="CP112" s="9">
        <v>-630.82657984539912</v>
      </c>
      <c r="CQ112" s="129"/>
      <c r="CR112" s="36">
        <f t="shared" si="45"/>
        <v>0.83459860600682045</v>
      </c>
      <c r="CS112" s="17">
        <f t="shared" si="11"/>
        <v>0.59997709738331328</v>
      </c>
      <c r="CT112" s="9">
        <f t="shared" si="12"/>
        <v>10.078509707074325</v>
      </c>
      <c r="CU112" s="9">
        <f t="shared" si="46"/>
        <v>95.600447112545268</v>
      </c>
      <c r="CV112" s="9">
        <v>13.2</v>
      </c>
      <c r="CW112" s="9">
        <f t="shared" si="47"/>
        <v>98.721938888856798</v>
      </c>
      <c r="CX112">
        <f t="shared" si="48"/>
        <v>22</v>
      </c>
      <c r="CY112" s="9">
        <f t="shared" si="13"/>
        <v>625.32250551285256</v>
      </c>
      <c r="CZ112" s="17">
        <f t="shared" si="49"/>
        <v>0.5888159185620081</v>
      </c>
      <c r="DA112">
        <v>45</v>
      </c>
      <c r="DB112" s="9">
        <f t="shared" si="50"/>
        <v>10.091161396867733</v>
      </c>
      <c r="DC112" s="9">
        <f t="shared" si="51"/>
        <v>10.925760002996558</v>
      </c>
    </row>
    <row r="113" spans="2:107" x14ac:dyDescent="0.25">
      <c r="B113" s="9">
        <f t="shared" si="59"/>
        <v>62</v>
      </c>
      <c r="C113" s="9">
        <v>85.608930845977738</v>
      </c>
      <c r="D113" s="9"/>
      <c r="E113" s="9">
        <f t="shared" si="14"/>
        <v>85.608930845977738</v>
      </c>
      <c r="F113" s="36">
        <f t="shared" si="52"/>
        <v>0</v>
      </c>
      <c r="G113" s="37">
        <f>(PI()/4)*(E113^4-C113^4)</f>
        <v>0</v>
      </c>
      <c r="H113" s="36" t="e">
        <f t="shared" si="16"/>
        <v>#DIV/0!</v>
      </c>
      <c r="I113" s="37" t="e">
        <f t="shared" si="17"/>
        <v>#DIV/0!</v>
      </c>
      <c r="J113" s="37" t="e">
        <f t="shared" si="18"/>
        <v>#DIV/0!</v>
      </c>
      <c r="K113" s="37" t="e">
        <f t="shared" si="19"/>
        <v>#DIV/0!</v>
      </c>
      <c r="L113" s="39" t="e">
        <f t="shared" si="20"/>
        <v>#DIV/0!</v>
      </c>
      <c r="M113" s="39" t="e">
        <f>M112+(1000*$C$2*(B113-B112))/(BerechnungenCLT!$W$47*2*'Berechnung freier Bereich'!G113)</f>
        <v>#DIV/0!</v>
      </c>
      <c r="N113" s="17" t="e">
        <f t="shared" si="61"/>
        <v>#DIV/0!</v>
      </c>
      <c r="O113" s="173">
        <f t="shared" si="21"/>
        <v>3669.1535423541768</v>
      </c>
      <c r="P113" s="173"/>
      <c r="Q113" s="173"/>
      <c r="R113" s="37" t="e">
        <f t="shared" si="1"/>
        <v>#DIV/0!</v>
      </c>
      <c r="S113" s="37" t="e">
        <f t="shared" si="2"/>
        <v>#DIV/0!</v>
      </c>
      <c r="T113" s="37" t="e">
        <f t="shared" si="3"/>
        <v>#DIV/0!</v>
      </c>
      <c r="U113" s="39" t="e">
        <f t="shared" si="4"/>
        <v>#DIV/0!</v>
      </c>
      <c r="V113" s="39" t="e">
        <f t="shared" si="22"/>
        <v>#DIV/0!</v>
      </c>
      <c r="W113" s="9" t="e">
        <f t="shared" si="23"/>
        <v>#DIV/0!</v>
      </c>
      <c r="AB113" s="129">
        <v>85.743021520271455</v>
      </c>
      <c r="AC113" s="9">
        <v>15.25</v>
      </c>
      <c r="AD113" s="129">
        <f t="shared" si="24"/>
        <v>100.99578017476078</v>
      </c>
      <c r="AE113" s="36">
        <f t="shared" si="53"/>
        <v>1.521184039651563E-2</v>
      </c>
      <c r="AF113" s="37">
        <f t="shared" si="25"/>
        <v>39264474.375921108</v>
      </c>
      <c r="AG113" s="36">
        <f t="shared" si="5"/>
        <v>1.9735784463445307</v>
      </c>
      <c r="AH113" s="37">
        <f t="shared" si="26"/>
        <v>-2.0051358827114562E-4</v>
      </c>
      <c r="AI113" s="37">
        <f t="shared" si="27"/>
        <v>-1.2722071554313943E-2</v>
      </c>
      <c r="AJ113" s="37">
        <f t="shared" si="28"/>
        <v>-0.40106979033644796</v>
      </c>
      <c r="AK113" s="39">
        <f t="shared" si="29"/>
        <v>2.0251026283085116E-2</v>
      </c>
      <c r="AL113" s="39">
        <f>AL112+(1000*$C$2*($B113-$B112))/(BerechnungenCLT!$W$47*2*AF113)</f>
        <v>3.6195600535803281E-3</v>
      </c>
      <c r="AM113" s="37">
        <f t="shared" si="6"/>
        <v>2.572192338749257E-6</v>
      </c>
      <c r="AN113" s="173">
        <f t="shared" si="30"/>
        <v>3084.5718339449045</v>
      </c>
      <c r="AO113" s="173">
        <v>-257.8870032912713</v>
      </c>
      <c r="AV113" s="129">
        <v>89.964464445439546</v>
      </c>
      <c r="AW113" s="9">
        <v>13.8125</v>
      </c>
      <c r="AX113" s="129">
        <f t="shared" si="31"/>
        <v>104.8343119400504</v>
      </c>
      <c r="AY113" s="36">
        <f t="shared" si="54"/>
        <v>1.5470043434460321E-2</v>
      </c>
      <c r="AZ113" s="37">
        <f t="shared" si="32"/>
        <v>43415852.943593703</v>
      </c>
      <c r="BA113" s="36">
        <f t="shared" si="7"/>
        <v>1.9768943863113302</v>
      </c>
      <c r="BB113" s="37">
        <f t="shared" si="33"/>
        <v>-1.8134068813355228E-4</v>
      </c>
      <c r="BC113" s="37">
        <f t="shared" si="34"/>
        <v>-1.2556300504123366E-2</v>
      </c>
      <c r="BD113" s="37">
        <f t="shared" si="35"/>
        <v>-0.40020341970058704</v>
      </c>
      <c r="BE113" s="39">
        <f t="shared" si="36"/>
        <v>1.9010726267216217E-2</v>
      </c>
      <c r="BF113" s="39">
        <f>BF112+(1000*$C$2*($B113-$B112))/(BerechnungenCLT!$W$47*2*AZ113)</f>
        <v>3.5716355946197004E-3</v>
      </c>
      <c r="BG113" s="37">
        <f t="shared" si="8"/>
        <v>2.4146551278458618E-6</v>
      </c>
      <c r="BH113" s="173">
        <f t="shared" si="37"/>
        <v>2834.5986418295383</v>
      </c>
      <c r="BI113">
        <v>-258.35646055049563</v>
      </c>
      <c r="BP113" s="129">
        <v>85.620846728665114</v>
      </c>
      <c r="BQ113" s="9">
        <v>15.25</v>
      </c>
      <c r="BR113" s="129">
        <f t="shared" si="38"/>
        <v>100.87171305356523</v>
      </c>
      <c r="BS113" s="36">
        <f t="shared" si="55"/>
        <v>1.5189896637123433E-2</v>
      </c>
      <c r="BT113" s="37">
        <f t="shared" si="39"/>
        <v>39105119.840954728</v>
      </c>
      <c r="BU113" s="36">
        <f t="shared" si="9"/>
        <v>1.9735158294635122</v>
      </c>
      <c r="BV113" s="37">
        <f t="shared" si="40"/>
        <v>-2.0133068715086637E-4</v>
      </c>
      <c r="BW113" s="37">
        <f t="shared" si="41"/>
        <v>-1.2728343611570271E-2</v>
      </c>
      <c r="BX113" s="37">
        <f t="shared" si="42"/>
        <v>-0.40109684496537223</v>
      </c>
      <c r="BY113" s="39">
        <f t="shared" si="43"/>
        <v>2.0308571303159304E-2</v>
      </c>
      <c r="BZ113" s="39">
        <f>BZ112+(1000*$C$2*($B113-$B112))/(BerechnungenCLT!$W$47*2*BT113)</f>
        <v>3.6213733257731266E-3</v>
      </c>
      <c r="CA113" s="37">
        <f t="shared" si="10"/>
        <v>2.5795014428755809E-6</v>
      </c>
      <c r="CB113" s="173">
        <f t="shared" si="44"/>
        <v>3092.7228542226667</v>
      </c>
      <c r="CC113" s="9">
        <v>-257.38988108512069</v>
      </c>
      <c r="CJ113" s="9">
        <f t="shared" si="60"/>
        <v>62</v>
      </c>
      <c r="CK113" s="129">
        <v>85.522907518352127</v>
      </c>
      <c r="CL113" s="9">
        <v>10.078125</v>
      </c>
      <c r="CM113" s="129">
        <f t="shared" si="56"/>
        <v>95.60103652761012</v>
      </c>
      <c r="CN113" s="36">
        <f t="shared" si="57"/>
        <v>9.7488766192504097E-3</v>
      </c>
      <c r="CO113" s="173">
        <f t="shared" si="58"/>
        <v>3278.7801013973021</v>
      </c>
      <c r="CP113" s="9">
        <v>-630.81300361761771</v>
      </c>
      <c r="CQ113" s="129"/>
      <c r="CR113" s="36">
        <f t="shared" si="45"/>
        <v>0.83459368865598249</v>
      </c>
      <c r="CS113" s="17">
        <f t="shared" si="11"/>
        <v>0.59997356239312594</v>
      </c>
      <c r="CT113" s="9">
        <f t="shared" si="12"/>
        <v>10.078569088745702</v>
      </c>
      <c r="CU113" s="9">
        <f t="shared" si="46"/>
        <v>95.601480616532484</v>
      </c>
      <c r="CV113" s="9">
        <v>13.2</v>
      </c>
      <c r="CW113" s="9">
        <f t="shared" si="47"/>
        <v>98.722912769547705</v>
      </c>
      <c r="CX113">
        <f t="shared" si="48"/>
        <v>22</v>
      </c>
      <c r="CY113" s="9">
        <f t="shared" si="13"/>
        <v>625.31537726609952</v>
      </c>
      <c r="CZ113" s="17">
        <f t="shared" si="49"/>
        <v>0.58880920646525381</v>
      </c>
      <c r="DA113">
        <v>45</v>
      </c>
      <c r="DB113" s="9">
        <f t="shared" si="50"/>
        <v>10.091046364563878</v>
      </c>
      <c r="DC113" s="9">
        <f t="shared" si="51"/>
        <v>10.925640053321976</v>
      </c>
    </row>
    <row r="114" spans="2:107" x14ac:dyDescent="0.25">
      <c r="B114" s="9">
        <f t="shared" si="59"/>
        <v>63</v>
      </c>
      <c r="C114" s="9">
        <v>85.656759238010821</v>
      </c>
      <c r="D114" s="9"/>
      <c r="E114" s="9">
        <f t="shared" si="14"/>
        <v>85.656759238010821</v>
      </c>
      <c r="F114" s="36">
        <f t="shared" si="52"/>
        <v>0</v>
      </c>
      <c r="G114" s="37">
        <f t="shared" ref="G114:G143" si="63">(PI()/4)*(E114^4-C114^4)</f>
        <v>0</v>
      </c>
      <c r="H114" s="36" t="e">
        <f t="shared" si="16"/>
        <v>#DIV/0!</v>
      </c>
      <c r="I114" s="37" t="e">
        <f t="shared" si="17"/>
        <v>#DIV/0!</v>
      </c>
      <c r="J114" s="37" t="e">
        <f t="shared" si="18"/>
        <v>#DIV/0!</v>
      </c>
      <c r="K114" s="37" t="e">
        <f t="shared" si="19"/>
        <v>#DIV/0!</v>
      </c>
      <c r="L114" s="39" t="e">
        <f t="shared" si="20"/>
        <v>#DIV/0!</v>
      </c>
      <c r="M114" s="39" t="e">
        <f>M113+(1000*$C$2*(B114-B113))/(BerechnungenCLT!$W$47*2*'Berechnung freier Bereich'!G114)</f>
        <v>#DIV/0!</v>
      </c>
      <c r="N114" s="17" t="e">
        <f t="shared" si="61"/>
        <v>#DIV/0!</v>
      </c>
      <c r="O114" s="173">
        <f t="shared" si="21"/>
        <v>3665.0571763163948</v>
      </c>
      <c r="P114" s="173"/>
      <c r="Q114" s="173"/>
      <c r="R114" s="37" t="e">
        <f t="shared" si="1"/>
        <v>#DIV/0!</v>
      </c>
      <c r="S114" s="37" t="e">
        <f t="shared" si="2"/>
        <v>#DIV/0!</v>
      </c>
      <c r="T114" s="37" t="e">
        <f t="shared" si="3"/>
        <v>#DIV/0!</v>
      </c>
      <c r="U114" s="39" t="e">
        <f t="shared" si="4"/>
        <v>#DIV/0!</v>
      </c>
      <c r="V114" s="39" t="e">
        <f t="shared" si="22"/>
        <v>#DIV/0!</v>
      </c>
      <c r="W114" s="9" t="e">
        <f t="shared" si="23"/>
        <v>#DIV/0!</v>
      </c>
      <c r="AB114" s="129">
        <v>85.762043178344157</v>
      </c>
      <c r="AC114" s="9">
        <v>15.25</v>
      </c>
      <c r="AD114" s="129">
        <f t="shared" si="24"/>
        <v>101.01481749353968</v>
      </c>
      <c r="AE114" s="36">
        <f t="shared" si="53"/>
        <v>1.5214956322540576E-2</v>
      </c>
      <c r="AF114" s="37">
        <f t="shared" si="25"/>
        <v>39288421.355084263</v>
      </c>
      <c r="AG114" s="36">
        <f t="shared" si="5"/>
        <v>1.9735890523681685</v>
      </c>
      <c r="AH114" s="37">
        <f t="shared" si="26"/>
        <v>-2.0039137173623165E-4</v>
      </c>
      <c r="AI114" s="37">
        <f t="shared" si="27"/>
        <v>-1.2922462926050175E-2</v>
      </c>
      <c r="AJ114" s="37">
        <f t="shared" si="28"/>
        <v>-0.41389205757663</v>
      </c>
      <c r="AK114" s="39">
        <f t="shared" si="29"/>
        <v>2.0242497843215506E-2</v>
      </c>
      <c r="AL114" s="39">
        <f>AL113+(1000*$C$2*($B114-$B113))/(BerechnungenCLT!$W$47*2*AF114)</f>
        <v>3.6774939021396412E-3</v>
      </c>
      <c r="AM114" s="37">
        <f t="shared" si="6"/>
        <v>2.5711090954909923E-6</v>
      </c>
      <c r="AN114" s="173">
        <f t="shared" si="30"/>
        <v>3083.3148935838949</v>
      </c>
      <c r="AO114" s="173">
        <v>-257.86947226115211</v>
      </c>
      <c r="AV114" s="129">
        <v>90.363162324898767</v>
      </c>
      <c r="AW114" s="9">
        <v>13.6875</v>
      </c>
      <c r="AX114" s="129">
        <f t="shared" si="31"/>
        <v>105.15405269717242</v>
      </c>
      <c r="AY114" s="36">
        <f t="shared" si="54"/>
        <v>1.5444651554880466E-2</v>
      </c>
      <c r="AZ114" s="37">
        <f t="shared" si="32"/>
        <v>43660385.32645908</v>
      </c>
      <c r="BA114" s="36">
        <f t="shared" si="7"/>
        <v>1.9773032924884046</v>
      </c>
      <c r="BB114" s="37">
        <f t="shared" si="33"/>
        <v>-1.8032503812844634E-4</v>
      </c>
      <c r="BC114" s="37">
        <f t="shared" si="34"/>
        <v>-1.2736625542251813E-2</v>
      </c>
      <c r="BD114" s="37">
        <f t="shared" si="35"/>
        <v>-0.41284988272377465</v>
      </c>
      <c r="BE114" s="39">
        <f t="shared" si="36"/>
        <v>1.8961908561978272E-2</v>
      </c>
      <c r="BF114" s="39">
        <f>BF113+(1000*$C$2*($B114-$B113))/(BerechnungenCLT!$W$47*2*AZ114)</f>
        <v>3.6237681957385585E-3</v>
      </c>
      <c r="BG114" s="37">
        <f t="shared" si="8"/>
        <v>2.4084545271625653E-6</v>
      </c>
      <c r="BH114" s="173">
        <f t="shared" si="37"/>
        <v>2813.805141927262</v>
      </c>
      <c r="BI114">
        <v>-258.6345280720501</v>
      </c>
      <c r="BP114" s="129">
        <v>85.631505978522057</v>
      </c>
      <c r="BQ114" s="9">
        <v>15.25</v>
      </c>
      <c r="BR114" s="129">
        <f t="shared" si="38"/>
        <v>100.88241623557596</v>
      </c>
      <c r="BS114" s="36">
        <f t="shared" si="55"/>
        <v>1.5191680377627635E-2</v>
      </c>
      <c r="BT114" s="37">
        <f t="shared" si="39"/>
        <v>39118614.32980033</v>
      </c>
      <c r="BU114" s="36">
        <f t="shared" si="9"/>
        <v>1.9735216844633363</v>
      </c>
      <c r="BV114" s="37">
        <f t="shared" si="40"/>
        <v>-2.0126123543948594E-4</v>
      </c>
      <c r="BW114" s="37">
        <f t="shared" si="41"/>
        <v>-1.2929604847009758E-2</v>
      </c>
      <c r="BX114" s="37">
        <f t="shared" si="42"/>
        <v>-0.41392581919466226</v>
      </c>
      <c r="BY114" s="39">
        <f t="shared" si="43"/>
        <v>2.0303719725692473E-2</v>
      </c>
      <c r="BZ114" s="39">
        <f>BZ113+(1000*$C$2*($B114-$B113))/(BerechnungenCLT!$W$47*2*BT114)</f>
        <v>3.6795586549806078E-3</v>
      </c>
      <c r="CA114" s="37">
        <f t="shared" si="10"/>
        <v>2.57888521779066E-6</v>
      </c>
      <c r="CB114" s="173">
        <f t="shared" si="44"/>
        <v>3092.0144427870991</v>
      </c>
      <c r="CC114" s="9">
        <v>-257.33092399657625</v>
      </c>
      <c r="CJ114" s="9">
        <f t="shared" si="60"/>
        <v>63</v>
      </c>
      <c r="CK114" s="129">
        <v>85.523799502573681</v>
      </c>
      <c r="CL114" s="9">
        <v>10.078125</v>
      </c>
      <c r="CM114" s="129">
        <f t="shared" si="56"/>
        <v>95.601927733818712</v>
      </c>
      <c r="CN114" s="36">
        <f t="shared" si="57"/>
        <v>9.7489718456944662E-3</v>
      </c>
      <c r="CO114" s="173">
        <f t="shared" si="58"/>
        <v>3278.7155422581</v>
      </c>
      <c r="CP114" s="9">
        <v>-630.80058291746354</v>
      </c>
      <c r="CQ114" s="129"/>
      <c r="CR114" s="36">
        <f t="shared" si="45"/>
        <v>0.83458918988785058</v>
      </c>
      <c r="CS114" s="17">
        <f t="shared" si="11"/>
        <v>0.59997032831410146</v>
      </c>
      <c r="CT114" s="9">
        <f t="shared" si="12"/>
        <v>10.078623416247162</v>
      </c>
      <c r="CU114" s="9">
        <f t="shared" si="46"/>
        <v>95.602426150225668</v>
      </c>
      <c r="CV114" s="9">
        <v>13.2</v>
      </c>
      <c r="CW114" s="9">
        <f t="shared" si="47"/>
        <v>98.723803734753218</v>
      </c>
      <c r="CX114">
        <f t="shared" si="48"/>
        <v>22</v>
      </c>
      <c r="CY114" s="9">
        <f t="shared" si="13"/>
        <v>625.30885543880402</v>
      </c>
      <c r="CZ114" s="17">
        <f t="shared" si="49"/>
        <v>0.58880306538493787</v>
      </c>
      <c r="DA114">
        <v>45</v>
      </c>
      <c r="DB114" s="9">
        <f t="shared" si="50"/>
        <v>10.090941118372895</v>
      </c>
      <c r="DC114" s="9">
        <f t="shared" si="51"/>
        <v>10.925530308343033</v>
      </c>
    </row>
    <row r="115" spans="2:107" x14ac:dyDescent="0.25">
      <c r="B115" s="9">
        <f t="shared" si="59"/>
        <v>64</v>
      </c>
      <c r="C115" s="9">
        <v>85.71001528096393</v>
      </c>
      <c r="D115" s="9"/>
      <c r="E115" s="9">
        <f t="shared" si="14"/>
        <v>85.71001528096393</v>
      </c>
      <c r="F115" s="36">
        <f t="shared" si="52"/>
        <v>0</v>
      </c>
      <c r="G115" s="37">
        <f t="shared" si="63"/>
        <v>0</v>
      </c>
      <c r="H115" s="36" t="e">
        <f t="shared" ref="H115:H178" si="64">((E115^2-C115^2)*(E115+C115)^5*(E115-C115))/(2*(E115^4-C115^4)^2)</f>
        <v>#DIV/0!</v>
      </c>
      <c r="I115" s="37" t="e">
        <f t="shared" si="17"/>
        <v>#DIV/0!</v>
      </c>
      <c r="J115" s="37" t="e">
        <f t="shared" si="18"/>
        <v>#DIV/0!</v>
      </c>
      <c r="K115" s="37" t="e">
        <f t="shared" si="19"/>
        <v>#DIV/0!</v>
      </c>
      <c r="L115" s="39" t="e">
        <f t="shared" ref="L115:L178" si="65">-I115*E115</f>
        <v>#DIV/0!</v>
      </c>
      <c r="M115" s="39" t="e">
        <f>M114+(1000*$C$2*(B115-B114))/(BerechnungenCLT!$W$47*2*'Berechnung freier Bereich'!G115)</f>
        <v>#DIV/0!</v>
      </c>
      <c r="N115" s="17" t="e">
        <f t="shared" si="61"/>
        <v>#DIV/0!</v>
      </c>
      <c r="O115" s="173">
        <f t="shared" si="21"/>
        <v>3660.5040140732758</v>
      </c>
      <c r="P115" s="173"/>
      <c r="Q115" s="173"/>
      <c r="R115" s="37" t="e">
        <f t="shared" ref="R115:R178" si="66">-$C$11*($C$34)/($C$14*$C$18*G115)</f>
        <v>#DIV/0!</v>
      </c>
      <c r="S115" s="37" t="e">
        <f t="shared" ref="S115:S178" si="67">(-$C$11*($C$34)/($C$14*$C$18*G115))*$B$52+S114</f>
        <v>#DIV/0!</v>
      </c>
      <c r="T115" s="37" t="e">
        <f t="shared" ref="T115:T178" si="68">(-$C$11*($C$34)/(2*$C$14*$C$18*G115))*$B$52^2+S114*$B$52+T114</f>
        <v>#DIV/0!</v>
      </c>
      <c r="U115" s="39" t="e">
        <f t="shared" ref="U115:U178" si="69">-R115*E115</f>
        <v>#DIV/0!</v>
      </c>
      <c r="V115" s="39" t="e">
        <f t="shared" si="22"/>
        <v>#DIV/0!</v>
      </c>
      <c r="W115" s="9" t="e">
        <f t="shared" si="23"/>
        <v>#DIV/0!</v>
      </c>
      <c r="AB115" s="129">
        <v>85.781118757274641</v>
      </c>
      <c r="AC115" s="9">
        <v>15.25</v>
      </c>
      <c r="AD115" s="129">
        <f t="shared" si="24"/>
        <v>101.03388711836243</v>
      </c>
      <c r="AE115" s="36">
        <f t="shared" si="53"/>
        <v>1.521805771340967E-2</v>
      </c>
      <c r="AF115" s="37">
        <f t="shared" si="25"/>
        <v>39312375.85396941</v>
      </c>
      <c r="AG115" s="36">
        <f t="shared" ref="AG115:AG178" si="70">((AD115^2-AB115^2)*(AD115+AB115)^5*(AD115-AB115))/(2*(AD115^4-AB115^4)^2)</f>
        <v>1.9735997502172855</v>
      </c>
      <c r="AH115" s="37">
        <f t="shared" si="26"/>
        <v>-2.0026926578901852E-4</v>
      </c>
      <c r="AI115" s="37">
        <f t="shared" si="27"/>
        <v>-1.3122732191839194E-2</v>
      </c>
      <c r="AJ115" s="37">
        <f t="shared" si="28"/>
        <v>-0.42691465513557469</v>
      </c>
      <c r="AK115" s="39">
        <f t="shared" si="29"/>
        <v>2.0233982393005018E-2</v>
      </c>
      <c r="AL115" s="39">
        <f>AL114+(1000*$C$2*($B115-$B114))/(BerechnungenCLT!$W$47*2*AF115)</f>
        <v>3.7353924494412565E-3</v>
      </c>
      <c r="AM115" s="37">
        <f t="shared" ref="AM115:AM178" si="71">AD115/AF115</f>
        <v>2.5700275021195629E-6</v>
      </c>
      <c r="AN115" s="173">
        <f t="shared" si="30"/>
        <v>3082.0558762292058</v>
      </c>
      <c r="AO115" s="173">
        <v>-257.8499273230467</v>
      </c>
      <c r="AV115" s="129">
        <v>90.772704075480931</v>
      </c>
      <c r="AW115" s="9">
        <v>13.5625</v>
      </c>
      <c r="AX115" s="129">
        <f t="shared" si="31"/>
        <v>105.48133894866858</v>
      </c>
      <c r="AY115" s="36">
        <f t="shared" si="54"/>
        <v>1.5416641509073303E-2</v>
      </c>
      <c r="AZ115" s="37">
        <f t="shared" si="32"/>
        <v>43905680.610534735</v>
      </c>
      <c r="BA115" s="36">
        <f t="shared" ref="BA115:BA178" si="72">((AX115^2-AV115^2)*(AX115+AV115)^5*(AX115-AV115))/(2*(AX115^4-AV115^4)^2)</f>
        <v>1.9777197392827841</v>
      </c>
      <c r="BB115" s="37">
        <f t="shared" si="33"/>
        <v>-1.7931758577060595E-4</v>
      </c>
      <c r="BC115" s="37">
        <f t="shared" si="34"/>
        <v>-1.2915943128022418E-2</v>
      </c>
      <c r="BD115" s="37">
        <f t="shared" si="35"/>
        <v>-0.42567616705891176</v>
      </c>
      <c r="BE115" s="39">
        <f t="shared" si="36"/>
        <v>1.8914659044126234E-2</v>
      </c>
      <c r="BF115" s="39">
        <f>BF114+(1000*$C$2*($B115-$B114))/(BerechnungenCLT!$W$47*2*AZ115)</f>
        <v>3.6756095388465341E-3</v>
      </c>
      <c r="BG115" s="37">
        <f t="shared" ref="BG115:BG178" si="73">AX115/AZ115</f>
        <v>2.402453110437818E-6</v>
      </c>
      <c r="BH115" s="173">
        <f t="shared" si="37"/>
        <v>2792.7161661706668</v>
      </c>
      <c r="BI115">
        <v>-258.89935668911949</v>
      </c>
      <c r="BP115" s="129">
        <v>85.642432164364251</v>
      </c>
      <c r="BQ115" s="9">
        <v>15.25</v>
      </c>
      <c r="BR115" s="129">
        <f t="shared" si="38"/>
        <v>100.8933840048792</v>
      </c>
      <c r="BS115" s="36">
        <f t="shared" si="55"/>
        <v>1.5193505081352244E-2</v>
      </c>
      <c r="BT115" s="37">
        <f t="shared" si="39"/>
        <v>39132438.883436859</v>
      </c>
      <c r="BU115" s="36">
        <f t="shared" ref="BU115:BU178" si="74">((BR115^2-BP115^2)*(BR115+BP115)^5*(BR115-BP115))/(2*(BR115^4-BP115^4)^2)</f>
        <v>1.9735276949295042</v>
      </c>
      <c r="BV115" s="37">
        <f t="shared" si="40"/>
        <v>-2.011901346641784E-4</v>
      </c>
      <c r="BW115" s="37">
        <f t="shared" si="41"/>
        <v>-1.3130794981673936E-2</v>
      </c>
      <c r="BX115" s="37">
        <f t="shared" si="42"/>
        <v>-0.4269560191090041</v>
      </c>
      <c r="BY115" s="39">
        <f t="shared" si="43"/>
        <v>2.0298753514666309E-2</v>
      </c>
      <c r="BZ115" s="39">
        <f>BZ114+(1000*$C$2*($B115-$B114))/(BerechnungenCLT!$W$47*2*BT115)</f>
        <v>3.7377234287045199E-3</v>
      </c>
      <c r="CA115" s="37">
        <f t="shared" ref="CA115:CA178" si="75">BR115/BT115</f>
        <v>2.5782544324775828E-6</v>
      </c>
      <c r="CB115" s="173">
        <f t="shared" si="44"/>
        <v>3091.2886577437748</v>
      </c>
      <c r="CC115" s="9">
        <v>-257.27052100064031</v>
      </c>
      <c r="CJ115" s="9">
        <f t="shared" si="60"/>
        <v>64</v>
      </c>
      <c r="CK115" s="129">
        <v>85.524600276840403</v>
      </c>
      <c r="CL115" s="9">
        <v>10.078125</v>
      </c>
      <c r="CM115" s="129">
        <f t="shared" si="56"/>
        <v>95.602727754965954</v>
      </c>
      <c r="CN115" s="36">
        <f t="shared" si="57"/>
        <v>9.7490572789146294E-3</v>
      </c>
      <c r="CO115" s="173">
        <f t="shared" si="58"/>
        <v>3278.6575882246848</v>
      </c>
      <c r="CP115" s="9">
        <v>-630.78943299073478</v>
      </c>
      <c r="CQ115" s="129"/>
      <c r="CR115" s="36">
        <f t="shared" si="45"/>
        <v>0.83458515143706591</v>
      </c>
      <c r="CS115" s="17">
        <f t="shared" ref="CS115:CS178" si="76">$CJ$7*CR115/$CR$51</f>
        <v>0.59996742514848123</v>
      </c>
      <c r="CT115" s="9">
        <f t="shared" ref="CT115:CT178" si="77">CL115*$CJ$7/CS115</f>
        <v>10.078672185416577</v>
      </c>
      <c r="CU115" s="9">
        <f t="shared" si="46"/>
        <v>95.603274940517082</v>
      </c>
      <c r="CV115" s="9">
        <v>13.2</v>
      </c>
      <c r="CW115" s="9">
        <f t="shared" si="47"/>
        <v>98.724603522608561</v>
      </c>
      <c r="CX115">
        <f t="shared" si="48"/>
        <v>22</v>
      </c>
      <c r="CY115" s="9">
        <f t="shared" ref="CY115:CY178" si="78">$CJ$4*$CJ$6/(PI()*CK115*2*COS($CJ$3*PI()/180))</f>
        <v>625.30300061763467</v>
      </c>
      <c r="CZ115" s="17">
        <f t="shared" si="49"/>
        <v>0.58879755237065412</v>
      </c>
      <c r="DA115">
        <v>45</v>
      </c>
      <c r="DB115" s="9">
        <f t="shared" si="50"/>
        <v>10.090846636014035</v>
      </c>
      <c r="DC115" s="9">
        <f t="shared" si="51"/>
        <v>10.925431787514201</v>
      </c>
    </row>
    <row r="116" spans="2:107" x14ac:dyDescent="0.25">
      <c r="B116" s="9">
        <f t="shared" si="59"/>
        <v>65</v>
      </c>
      <c r="C116" s="9">
        <v>85.768588228504981</v>
      </c>
      <c r="D116" s="9"/>
      <c r="E116" s="9">
        <f t="shared" ref="E116:E179" si="79">$C116+D116*SQRT((C117-C116)^2/(B117-B116)^2+1)</f>
        <v>85.768588228504981</v>
      </c>
      <c r="F116" s="36">
        <f t="shared" si="52"/>
        <v>0</v>
      </c>
      <c r="G116" s="37">
        <f t="shared" si="63"/>
        <v>0</v>
      </c>
      <c r="H116" s="36" t="e">
        <f t="shared" si="64"/>
        <v>#DIV/0!</v>
      </c>
      <c r="I116" s="37" t="e">
        <f t="shared" ref="I116:I179" si="80">-($C$11*($C$34))/($C$9*$C$18*G116)</f>
        <v>#DIV/0!</v>
      </c>
      <c r="J116" s="37" t="e">
        <f t="shared" ref="J116:J179" si="81">(-($C$11*($C$34))/($C$9*$C$18*G116))*$B$52+J115</f>
        <v>#DIV/0!</v>
      </c>
      <c r="K116" s="37" t="e">
        <f t="shared" ref="K116:K179" si="82">(-$C$11*($C$34)/(2*$C$9*$C$18*G116))*$B$52^2+J115*$B$52+K115</f>
        <v>#DIV/0!</v>
      </c>
      <c r="L116" s="39" t="e">
        <f t="shared" si="65"/>
        <v>#DIV/0!</v>
      </c>
      <c r="M116" s="39" t="e">
        <f>M115+(1000*$C$2*(B116-B115))/(BerechnungenCLT!$W$47*2*'Berechnung freier Bereich'!G116)</f>
        <v>#DIV/0!</v>
      </c>
      <c r="N116" s="17" t="e">
        <f t="shared" ref="N116:N179" si="83">-($C$11*($C$34))/G116*E116*D116</f>
        <v>#DIV/0!</v>
      </c>
      <c r="O116" s="173">
        <f t="shared" ref="O116:O179" si="84">$C$2*1000/(2*PI()*((C116+E116)/2)^2)</f>
        <v>3655.5060701187072</v>
      </c>
      <c r="P116" s="173"/>
      <c r="Q116" s="173"/>
      <c r="R116" s="37" t="e">
        <f t="shared" si="66"/>
        <v>#DIV/0!</v>
      </c>
      <c r="S116" s="37" t="e">
        <f t="shared" si="67"/>
        <v>#DIV/0!</v>
      </c>
      <c r="T116" s="37" t="e">
        <f t="shared" si="68"/>
        <v>#DIV/0!</v>
      </c>
      <c r="U116" s="39" t="e">
        <f t="shared" si="69"/>
        <v>#DIV/0!</v>
      </c>
      <c r="V116" s="39" t="e">
        <f t="shared" ref="V116:V179" si="85">(1000*$C$2*($B116-B115))/($C$16*2*$G116)+V115</f>
        <v>#DIV/0!</v>
      </c>
      <c r="W116" s="9" t="e">
        <f t="shared" ref="W116:W179" si="86">$C$14*U116</f>
        <v>#DIV/0!</v>
      </c>
      <c r="AB116" s="129">
        <v>85.800173853785552</v>
      </c>
      <c r="AC116" s="9">
        <v>15.25</v>
      </c>
      <c r="AD116" s="129">
        <f t="shared" ref="AD116:AD179" si="87">$AB116+AC116*SQRT((AB117-AB116)^2/($B117-$B116)^2+1)</f>
        <v>101.05291471563497</v>
      </c>
      <c r="AE116" s="36">
        <f t="shared" si="53"/>
        <v>1.5221132509274203E-2</v>
      </c>
      <c r="AF116" s="37">
        <f t="shared" ref="AF116:AF179" si="88">(PI()/4)*(AD116^4-AB116^4)</f>
        <v>39336244.498829365</v>
      </c>
      <c r="AG116" s="36">
        <f t="shared" si="70"/>
        <v>1.9736104979295814</v>
      </c>
      <c r="AH116" s="37">
        <f t="shared" ref="AH116:AH179" si="89">-($C$11*($C$34))/($C$9*$C$18*AF116)</f>
        <v>-2.0014774539370921E-4</v>
      </c>
      <c r="AI116" s="37">
        <f t="shared" ref="AI116:AI179" si="90">(-($C$11*($C$34))/($C$9*$C$18*AF116))*$B$52+AI115</f>
        <v>-1.3322879937232903E-2</v>
      </c>
      <c r="AJ116" s="37">
        <f t="shared" ref="AJ116:AJ179" si="91">(-$C$11*($C$34)/(2*$C$9*$C$18*AF116))*$B$52^2+AI115*$B$52+AJ115</f>
        <v>-0.44013746120011077</v>
      </c>
      <c r="AK116" s="39">
        <f t="shared" ref="AK116:AK179" si="92">-AH116*AD116</f>
        <v>2.0225513045797117E-2</v>
      </c>
      <c r="AL116" s="39">
        <f>AL115+(1000*$C$2*($B116-$B115))/(BerechnungenCLT!$W$47*2*AF116)</f>
        <v>3.7932558647702837E-3</v>
      </c>
      <c r="AM116" s="37">
        <f t="shared" si="71"/>
        <v>2.5689517645397559E-6</v>
      </c>
      <c r="AN116" s="173">
        <f t="shared" ref="AN116:AN179" si="93">$C$2*1000/(2*PI()*((AB116+AD116)/2)^2)</f>
        <v>3080.7996911684204</v>
      </c>
      <c r="AO116" s="173">
        <v>-257.8281786457963</v>
      </c>
      <c r="AV116" s="129">
        <v>91.192414478173049</v>
      </c>
      <c r="AW116" s="9">
        <v>13.4375</v>
      </c>
      <c r="AX116" s="129">
        <f t="shared" ref="AX116:AX179" si="94">AV116+AW116*SQRT((AV117-AV116)^2/($B117-$B116)^2+1)</f>
        <v>105.81532852372845</v>
      </c>
      <c r="AY116" s="36">
        <f t="shared" si="54"/>
        <v>1.5385655957779165E-2</v>
      </c>
      <c r="AZ116" s="37">
        <f t="shared" ref="AZ116:AZ179" si="95">(PI()/4)*(AX116^4-AV116^4)</f>
        <v>44149909.526399992</v>
      </c>
      <c r="BA116" s="36">
        <f t="shared" si="72"/>
        <v>1.9781433440583069</v>
      </c>
      <c r="BB116" s="37">
        <f t="shared" ref="BB116:BB179" si="96">-($C$11*($C$34))/($C$9*$C$18*AZ116)</f>
        <v>-1.7832563493677372E-4</v>
      </c>
      <c r="BC116" s="37">
        <f t="shared" ref="BC116:BC179" si="97">(-($C$11*($C$34))/($C$9*$C$18*AZ116))*$B$52+BC115</f>
        <v>-1.3094268762959192E-2</v>
      </c>
      <c r="BD116" s="37">
        <f t="shared" ref="BD116:BD179" si="98">(-$C$11*($C$34)/(2*$C$9*$C$18*AZ116))*$B$52^2+BC115*$B$52+BD115</f>
        <v>-0.43868127300440257</v>
      </c>
      <c r="BE116" s="39">
        <f t="shared" ref="BE116:BE179" si="99">-BB116*AX116</f>
        <v>1.8869585645037178E-2</v>
      </c>
      <c r="BF116" s="39">
        <f>BF115+(1000*$C$2*($B116-$B115))/(BerechnungenCLT!$W$47*2*AZ116)</f>
        <v>3.727164105488599E-3</v>
      </c>
      <c r="BG116" s="37">
        <f t="shared" si="73"/>
        <v>2.3967280943227042E-6</v>
      </c>
      <c r="BH116" s="173">
        <f t="shared" ref="BH116:BH179" si="100">$C$2*1000/(2*PI()*((AV116+AX116)/2)^2)</f>
        <v>2771.3886412756815</v>
      </c>
      <c r="BI116">
        <v>-259.1571254059935</v>
      </c>
      <c r="BP116" s="129">
        <v>85.653605142421668</v>
      </c>
      <c r="BQ116" s="9">
        <v>15.1875</v>
      </c>
      <c r="BR116" s="129">
        <f t="shared" ref="BR116:BR179" si="101">BP116+BQ116*SQRT((BP117-BP116)^2/($B117-$B116)^2+1)</f>
        <v>100.84209192944876</v>
      </c>
      <c r="BS116" s="36">
        <f t="shared" si="55"/>
        <v>1.5128020967600669E-2</v>
      </c>
      <c r="BT116" s="37">
        <f t="shared" ref="BT116:BT179" si="102">(PI()/4)*(BR116^4-BP116^4)</f>
        <v>38945015.614842258</v>
      </c>
      <c r="BU116" s="36">
        <f t="shared" si="74"/>
        <v>1.9737307795032779</v>
      </c>
      <c r="BV116" s="37">
        <f t="shared" ref="BV116:BV179" si="103">-($C$11*($C$34))/($C$9*$C$18*BT116)</f>
        <v>-2.0215836415522981E-4</v>
      </c>
      <c r="BW116" s="37">
        <f t="shared" ref="BW116:BW179" si="104">(-($C$11*($C$34))/($C$9*$C$18*BT116))*$B$52+BW115</f>
        <v>-1.3332953345829165E-2</v>
      </c>
      <c r="BX116" s="37">
        <f t="shared" ref="BX116:BX179" si="105">(-$C$11*($C$34)/(2*$C$9*$C$18*BT116))*$B$52^2+BW115*$B$52+BX115</f>
        <v>-0.44018789327275565</v>
      </c>
      <c r="BY116" s="39">
        <f t="shared" ref="BY116:BY179" si="106">-BV116*BR116</f>
        <v>2.0386072342448661E-2</v>
      </c>
      <c r="BZ116" s="39">
        <f>BZ115+(1000*$C$2*($B116-$B115))/(BerechnungenCLT!$W$47*2*BT116)</f>
        <v>3.7961681209709285E-3</v>
      </c>
      <c r="CA116" s="37">
        <f t="shared" si="75"/>
        <v>2.5893452688979543E-6</v>
      </c>
      <c r="CB116" s="173">
        <f t="shared" ref="CB116:CB179" si="107">$C$2*1000/(2*PI()*((BP116+BR116)/2)^2)</f>
        <v>3092.6188015725406</v>
      </c>
      <c r="CC116" s="9">
        <v>-258.44040335082394</v>
      </c>
      <c r="CJ116" s="9">
        <f t="shared" si="60"/>
        <v>65</v>
      </c>
      <c r="CK116" s="129">
        <v>85.525301549338209</v>
      </c>
      <c r="CL116" s="9">
        <v>10.078125</v>
      </c>
      <c r="CM116" s="129">
        <f t="shared" ref="CM116:CM179" si="108">CK116+CL116*SQRT((CK117-CK116)^2/($B117-$B116)^2+1)</f>
        <v>95.603428324182644</v>
      </c>
      <c r="CN116" s="36">
        <f t="shared" si="57"/>
        <v>9.7491320517843483E-3</v>
      </c>
      <c r="CO116" s="173">
        <f t="shared" ref="CO116:CO179" si="109">$C$2*1000/(2*PI()*((CK116+CM116)/2)^2)</f>
        <v>3278.6068382283484</v>
      </c>
      <c r="CP116" s="9">
        <v>-630.77966906737527</v>
      </c>
      <c r="CQ116" s="129"/>
      <c r="CR116" s="36">
        <f t="shared" ref="CR116:CR179" si="110">(($CJ$5*$CJ$4)/(PI()*CM116*2*COS($CJ$3*PI()/180)))-(($CJ$5*$CJ$4)/(2*PI()*CM116*2*COS($CJ$3*PI()/180)))^2</f>
        <v>0.83458161502769146</v>
      </c>
      <c r="CS116" s="17">
        <f t="shared" si="76"/>
        <v>0.599964882890902</v>
      </c>
      <c r="CT116" s="9">
        <f t="shared" si="77"/>
        <v>10.078714892217397</v>
      </c>
      <c r="CU116" s="9">
        <f t="shared" ref="CU116:CU179" si="111">CK116+CT116*SQRT((CK117-CK116)^2/($B117-$B116)^2+1)</f>
        <v>95.604018216503931</v>
      </c>
      <c r="CV116" s="9">
        <v>13.2</v>
      </c>
      <c r="CW116" s="9">
        <f t="shared" ref="CW116:CW179" si="112">CK116+CV116*SQRT((CK117-CK116)^2/($B117-$B116)^2+1)</f>
        <v>98.725303873971669</v>
      </c>
      <c r="CX116">
        <f t="shared" ref="CX116:CX179" si="113">CV116/$CJ$8</f>
        <v>22</v>
      </c>
      <c r="CY116" s="9">
        <f t="shared" si="78"/>
        <v>625.29787338874246</v>
      </c>
      <c r="CZ116" s="17">
        <f t="shared" ref="CZ116:CZ179" si="114">CX116*CY116/(CV116/1000)/($CJ$9*10^6)</f>
        <v>0.58879272447150888</v>
      </c>
      <c r="DA116">
        <v>45</v>
      </c>
      <c r="DB116" s="9">
        <f t="shared" ref="DB116:DB179" si="115">$CL$51*$CK$51/CK116*COS($DA$51)/COS(DA116)</f>
        <v>10.090763895198192</v>
      </c>
      <c r="DC116" s="9">
        <f t="shared" ref="DC116:DC179" si="116">CR116+DB116*SQRT((CR117-CR116)^2/($B117-$B116)^2+1)</f>
        <v>10.92534551027107</v>
      </c>
    </row>
    <row r="117" spans="2:107" x14ac:dyDescent="0.25">
      <c r="B117" s="9">
        <f t="shared" ref="B117:B180" si="117">IF(ROW()=ROW($B$51)+$B$47,$C$34,ROUND((C$34/$B$47)*(ROW()-ROW($B$51)),0))</f>
        <v>66</v>
      </c>
      <c r="C117" s="9">
        <v>85.832367334301921</v>
      </c>
      <c r="D117" s="9"/>
      <c r="E117" s="9">
        <f t="shared" si="79"/>
        <v>85.832367334301921</v>
      </c>
      <c r="F117" s="36">
        <f t="shared" ref="F117:F180" si="118">($B117-$B116)*PI()*(E117^2-C117^2)*$C$10/1000/1000</f>
        <v>0</v>
      </c>
      <c r="G117" s="37">
        <f t="shared" si="63"/>
        <v>0</v>
      </c>
      <c r="H117" s="36" t="e">
        <f t="shared" si="64"/>
        <v>#DIV/0!</v>
      </c>
      <c r="I117" s="37" t="e">
        <f t="shared" si="80"/>
        <v>#DIV/0!</v>
      </c>
      <c r="J117" s="37" t="e">
        <f t="shared" si="81"/>
        <v>#DIV/0!</v>
      </c>
      <c r="K117" s="37" t="e">
        <f t="shared" si="82"/>
        <v>#DIV/0!</v>
      </c>
      <c r="L117" s="39" t="e">
        <f t="shared" si="65"/>
        <v>#DIV/0!</v>
      </c>
      <c r="M117" s="39" t="e">
        <f>M116+(1000*$C$2*(B117-B116))/(BerechnungenCLT!$W$47*2*'Berechnung freier Bereich'!G117)</f>
        <v>#DIV/0!</v>
      </c>
      <c r="N117" s="17" t="e">
        <f t="shared" si="83"/>
        <v>#DIV/0!</v>
      </c>
      <c r="O117" s="173">
        <f t="shared" si="84"/>
        <v>3650.0755246354756</v>
      </c>
      <c r="P117" s="173"/>
      <c r="Q117" s="173"/>
      <c r="R117" s="37" t="e">
        <f t="shared" si="66"/>
        <v>#DIV/0!</v>
      </c>
      <c r="S117" s="37" t="e">
        <f t="shared" si="67"/>
        <v>#DIV/0!</v>
      </c>
      <c r="T117" s="37" t="e">
        <f t="shared" si="68"/>
        <v>#DIV/0!</v>
      </c>
      <c r="U117" s="39" t="e">
        <f t="shared" si="69"/>
        <v>#DIV/0!</v>
      </c>
      <c r="V117" s="39" t="e">
        <f t="shared" si="85"/>
        <v>#DIV/0!</v>
      </c>
      <c r="W117" s="9" t="e">
        <f t="shared" si="86"/>
        <v>#DIV/0!</v>
      </c>
      <c r="AB117" s="129">
        <v>85.819134064599595</v>
      </c>
      <c r="AC117" s="9">
        <v>15.25</v>
      </c>
      <c r="AD117" s="129">
        <f t="shared" si="87"/>
        <v>101.0718262048926</v>
      </c>
      <c r="AE117" s="36">
        <f t="shared" ref="AE117:AE180" si="119">($B117-$B116)*PI()*(AD117^2-AB117^2)*$C$10/1000/1000</f>
        <v>1.5224168923714303E-2</v>
      </c>
      <c r="AF117" s="37">
        <f t="shared" si="88"/>
        <v>39359934.586070001</v>
      </c>
      <c r="AG117" s="36">
        <f t="shared" si="70"/>
        <v>1.9736212528478201</v>
      </c>
      <c r="AH117" s="37">
        <f t="shared" si="89"/>
        <v>-2.0002727980860958E-4</v>
      </c>
      <c r="AI117" s="37">
        <f t="shared" si="90"/>
        <v>-1.3522907217041512E-2</v>
      </c>
      <c r="AJ117" s="37">
        <f t="shared" si="91"/>
        <v>-0.45356035477724799</v>
      </c>
      <c r="AK117" s="39">
        <f t="shared" si="92"/>
        <v>2.021712246105321E-2</v>
      </c>
      <c r="AL117" s="39">
        <f>AL116+(1000*$C$2*($B117-$B116))/(BerechnungenCLT!$W$47*2*AF117)</f>
        <v>3.8510844530760553E-3</v>
      </c>
      <c r="AM117" s="37">
        <f t="shared" si="71"/>
        <v>2.5678860310063433E-6</v>
      </c>
      <c r="AN117" s="173">
        <f t="shared" si="93"/>
        <v>3079.5512273566114</v>
      </c>
      <c r="AO117" s="173">
        <v>-257.80403642739782</v>
      </c>
      <c r="AV117" s="129">
        <v>91.621618313962159</v>
      </c>
      <c r="AW117" s="9">
        <v>13.375</v>
      </c>
      <c r="AX117" s="129">
        <f t="shared" si="94"/>
        <v>106.22343921223141</v>
      </c>
      <c r="AY117" s="36">
        <f t="shared" ref="AY117:AY180" si="120">($B117-$B116)*PI()*(AX117^2-AV117^2)*$C$10/1000/1000</f>
        <v>1.5428759758009128E-2</v>
      </c>
      <c r="AZ117" s="37">
        <f t="shared" si="95"/>
        <v>44647971.837108247</v>
      </c>
      <c r="BA117" s="36">
        <f t="shared" si="72"/>
        <v>1.9783884263012828</v>
      </c>
      <c r="BB117" s="37">
        <f t="shared" si="96"/>
        <v>-1.7633635582418235E-4</v>
      </c>
      <c r="BC117" s="37">
        <f t="shared" si="97"/>
        <v>-1.3270605118783373E-2</v>
      </c>
      <c r="BD117" s="37">
        <f t="shared" si="98"/>
        <v>-0.45186370994527386</v>
      </c>
      <c r="BE117" s="39">
        <f t="shared" si="99"/>
        <v>1.8731054173796443E-2</v>
      </c>
      <c r="BF117" s="39">
        <f>BF116+(1000*$C$2*($B117-$B116))/(BerechnungenCLT!$W$47*2*AZ117)</f>
        <v>3.7781435645606498E-3</v>
      </c>
      <c r="BG117" s="37">
        <f t="shared" si="73"/>
        <v>2.3791324631670272E-6</v>
      </c>
      <c r="BH117" s="173">
        <f t="shared" si="100"/>
        <v>2747.980287675713</v>
      </c>
      <c r="BI117">
        <v>-258.02244536820035</v>
      </c>
      <c r="BP117" s="129">
        <v>85.665004768924305</v>
      </c>
      <c r="BQ117" s="9">
        <v>15.1875</v>
      </c>
      <c r="BR117" s="129">
        <f t="shared" si="101"/>
        <v>100.85352762992574</v>
      </c>
      <c r="BS117" s="36">
        <f t="shared" ref="BS117:BS180" si="121">($B117-$B116)*PI()*(BR117^2-BP117^2)*$C$10/1000/1000</f>
        <v>1.5129909241643513E-2</v>
      </c>
      <c r="BT117" s="37">
        <f t="shared" si="102"/>
        <v>38959354.045553878</v>
      </c>
      <c r="BU117" s="36">
        <f t="shared" si="74"/>
        <v>1.97373702434653</v>
      </c>
      <c r="BV117" s="37">
        <f t="shared" si="103"/>
        <v>-2.0208396267275595E-4</v>
      </c>
      <c r="BW117" s="37">
        <f t="shared" si="104"/>
        <v>-1.3535037308501922E-2</v>
      </c>
      <c r="BX117" s="37">
        <f t="shared" si="105"/>
        <v>-0.4536218885999212</v>
      </c>
      <c r="BY117" s="39">
        <f t="shared" si="106"/>
        <v>2.0380880512981672E-2</v>
      </c>
      <c r="BZ117" s="39">
        <f>BZ116+(1000*$C$2*($B117-$B116))/(BerechnungenCLT!$W$47*2*BT117)</f>
        <v>3.8545913035077468E-3</v>
      </c>
      <c r="CA117" s="37">
        <f t="shared" si="75"/>
        <v>2.588685826566864E-6</v>
      </c>
      <c r="CB117" s="173">
        <f t="shared" si="107"/>
        <v>3091.8615938290231</v>
      </c>
      <c r="CC117" s="9">
        <v>-258.37712588689743</v>
      </c>
      <c r="CJ117" s="9">
        <f t="shared" si="60"/>
        <v>66</v>
      </c>
      <c r="CK117" s="129">
        <v>85.525895028253046</v>
      </c>
      <c r="CL117" s="9">
        <v>10.078125</v>
      </c>
      <c r="CM117" s="129">
        <f t="shared" si="108"/>
        <v>95.604021176678359</v>
      </c>
      <c r="CN117" s="36">
        <f t="shared" ref="CN117:CN180" si="122">($B117-$B116)*PI()*(CM117^2-CK117^2)*$C$10/1000/1000</f>
        <v>9.749195299300557E-3</v>
      </c>
      <c r="CO117" s="173">
        <f t="shared" si="109"/>
        <v>3278.5638911369001</v>
      </c>
      <c r="CP117" s="9">
        <v>-630.77140636511547</v>
      </c>
      <c r="CQ117" s="129"/>
      <c r="CR117" s="36">
        <f t="shared" si="110"/>
        <v>0.83457862237343705</v>
      </c>
      <c r="CS117" s="17">
        <f t="shared" si="76"/>
        <v>0.59996273152855839</v>
      </c>
      <c r="CT117" s="9">
        <f t="shared" si="77"/>
        <v>10.078751032741717</v>
      </c>
      <c r="CU117" s="9">
        <f t="shared" si="111"/>
        <v>95.604647209491418</v>
      </c>
      <c r="CV117" s="9">
        <v>13.2</v>
      </c>
      <c r="CW117" s="9">
        <f t="shared" si="112"/>
        <v>98.725896532423121</v>
      </c>
      <c r="CX117">
        <f t="shared" si="113"/>
        <v>22</v>
      </c>
      <c r="CY117" s="9">
        <f t="shared" si="78"/>
        <v>625.29353433911035</v>
      </c>
      <c r="CZ117" s="17">
        <f t="shared" si="114"/>
        <v>0.58878863873739207</v>
      </c>
      <c r="DA117">
        <v>45</v>
      </c>
      <c r="DB117" s="9">
        <f t="shared" si="115"/>
        <v>10.090693873649696</v>
      </c>
      <c r="DC117" s="9">
        <f t="shared" si="116"/>
        <v>10.925272496052369</v>
      </c>
    </row>
    <row r="118" spans="2:107" x14ac:dyDescent="0.25">
      <c r="B118" s="9">
        <f t="shared" si="117"/>
        <v>67</v>
      </c>
      <c r="C118" s="9">
        <v>85.90124185202265</v>
      </c>
      <c r="D118" s="9"/>
      <c r="E118" s="9">
        <f t="shared" si="79"/>
        <v>85.90124185202265</v>
      </c>
      <c r="F118" s="36">
        <f t="shared" si="118"/>
        <v>0</v>
      </c>
      <c r="G118" s="37">
        <f t="shared" si="63"/>
        <v>0</v>
      </c>
      <c r="H118" s="36" t="e">
        <f t="shared" si="64"/>
        <v>#DIV/0!</v>
      </c>
      <c r="I118" s="37" t="e">
        <f t="shared" si="80"/>
        <v>#DIV/0!</v>
      </c>
      <c r="J118" s="37" t="e">
        <f t="shared" si="81"/>
        <v>#DIV/0!</v>
      </c>
      <c r="K118" s="37" t="e">
        <f t="shared" si="82"/>
        <v>#DIV/0!</v>
      </c>
      <c r="L118" s="39" t="e">
        <f t="shared" si="65"/>
        <v>#DIV/0!</v>
      </c>
      <c r="M118" s="39" t="e">
        <f>M117+(1000*$C$2*(B118-B117))/(BerechnungenCLT!$W$47*2*'Berechnung freier Bereich'!G118)</f>
        <v>#DIV/0!</v>
      </c>
      <c r="N118" s="17" t="e">
        <f t="shared" si="83"/>
        <v>#DIV/0!</v>
      </c>
      <c r="O118" s="173">
        <f t="shared" si="84"/>
        <v>3644.2247033328208</v>
      </c>
      <c r="P118" s="173"/>
      <c r="Q118" s="173"/>
      <c r="R118" s="37" t="e">
        <f t="shared" si="66"/>
        <v>#DIV/0!</v>
      </c>
      <c r="S118" s="37" t="e">
        <f t="shared" si="67"/>
        <v>#DIV/0!</v>
      </c>
      <c r="T118" s="37" t="e">
        <f t="shared" si="68"/>
        <v>#DIV/0!</v>
      </c>
      <c r="U118" s="39" t="e">
        <f t="shared" si="69"/>
        <v>#DIV/0!</v>
      </c>
      <c r="V118" s="39" t="e">
        <f t="shared" si="85"/>
        <v>#DIV/0!</v>
      </c>
      <c r="W118" s="9" t="e">
        <f t="shared" si="86"/>
        <v>#DIV/0!</v>
      </c>
      <c r="AB118" s="129">
        <v>85.837924986439404</v>
      </c>
      <c r="AC118" s="9">
        <v>15.25</v>
      </c>
      <c r="AD118" s="129">
        <f t="shared" si="87"/>
        <v>101.09054775880674</v>
      </c>
      <c r="AE118" s="36">
        <f t="shared" si="119"/>
        <v>1.5227155444169803E-2</v>
      </c>
      <c r="AF118" s="37">
        <f t="shared" si="88"/>
        <v>39383354.087168053</v>
      </c>
      <c r="AG118" s="36">
        <f t="shared" si="70"/>
        <v>1.9736319716213488</v>
      </c>
      <c r="AH118" s="37">
        <f t="shared" si="89"/>
        <v>-1.999083326237469E-4</v>
      </c>
      <c r="AI118" s="37">
        <f t="shared" si="90"/>
        <v>-1.3722815549665259E-2</v>
      </c>
      <c r="AJ118" s="37">
        <f t="shared" si="91"/>
        <v>-0.46718321616060138</v>
      </c>
      <c r="AK118" s="39">
        <f t="shared" si="92"/>
        <v>2.0208842846484307E-2</v>
      </c>
      <c r="AL118" s="39">
        <f>AL117+(1000*$C$2*($B118-$B117))/(BerechnungenCLT!$W$47*2*AF118)</f>
        <v>3.9088786533334058E-3</v>
      </c>
      <c r="AM118" s="37">
        <f t="shared" si="71"/>
        <v>2.5668343923948372E-6</v>
      </c>
      <c r="AN118" s="173">
        <f t="shared" si="93"/>
        <v>3078.3153535732495</v>
      </c>
      <c r="AO118" s="173">
        <v>-257.77731092051522</v>
      </c>
      <c r="AV118" s="129">
        <v>92.059640363835314</v>
      </c>
      <c r="AW118" s="9">
        <v>13.25</v>
      </c>
      <c r="AX118" s="129">
        <f t="shared" si="94"/>
        <v>106.56862176706922</v>
      </c>
      <c r="AY118" s="36">
        <f t="shared" si="120"/>
        <v>1.5391351657783417E-2</v>
      </c>
      <c r="AZ118" s="37">
        <f t="shared" si="95"/>
        <v>44888081.579059184</v>
      </c>
      <c r="BA118" s="36">
        <f t="shared" si="72"/>
        <v>1.9788267936068722</v>
      </c>
      <c r="BB118" s="37">
        <f t="shared" si="96"/>
        <v>-1.7539311932567126E-4</v>
      </c>
      <c r="BC118" s="37">
        <f t="shared" si="97"/>
        <v>-1.3445998238109045E-2</v>
      </c>
      <c r="BD118" s="37">
        <f t="shared" si="98"/>
        <v>-0.46522201162372007</v>
      </c>
      <c r="BE118" s="39">
        <f t="shared" si="99"/>
        <v>1.86914029939639E-2</v>
      </c>
      <c r="BF118" s="39">
        <f>BF117+(1000*$C$2*($B118-$B117))/(BerechnungenCLT!$W$47*2*AZ118)</f>
        <v>3.8288503306520253E-3</v>
      </c>
      <c r="BG118" s="37">
        <f t="shared" si="73"/>
        <v>2.374096152435811E-6</v>
      </c>
      <c r="BH118" s="173">
        <f t="shared" si="100"/>
        <v>2726.3520702564238</v>
      </c>
      <c r="BI118">
        <v>-258.27141492199632</v>
      </c>
      <c r="BP118" s="129">
        <v>85.676610900102077</v>
      </c>
      <c r="BQ118" s="9">
        <v>15.1875</v>
      </c>
      <c r="BR118" s="129">
        <f t="shared" si="101"/>
        <v>100.86516687205719</v>
      </c>
      <c r="BS118" s="36">
        <f t="shared" si="121"/>
        <v>1.5131827834526266E-2</v>
      </c>
      <c r="BT118" s="37">
        <f t="shared" si="102"/>
        <v>38973944.204130523</v>
      </c>
      <c r="BU118" s="36">
        <f t="shared" si="74"/>
        <v>1.9737433913774585</v>
      </c>
      <c r="BV118" s="37">
        <f t="shared" si="103"/>
        <v>-2.0200831117990858E-4</v>
      </c>
      <c r="BW118" s="37">
        <f t="shared" si="104"/>
        <v>-1.373704561968183E-2</v>
      </c>
      <c r="BX118" s="37">
        <f t="shared" si="105"/>
        <v>-0.46725793006401306</v>
      </c>
      <c r="BY118" s="39">
        <f t="shared" si="106"/>
        <v>2.0375602016703933E-2</v>
      </c>
      <c r="BZ118" s="39">
        <f>BZ117+(1000*$C$2*($B118-$B117))/(BerechnungenCLT!$W$47*2*BT118)</f>
        <v>3.9129926149325915E-3</v>
      </c>
      <c r="CA118" s="37">
        <f t="shared" si="75"/>
        <v>2.5880153762155622E-6</v>
      </c>
      <c r="CB118" s="173">
        <f t="shared" si="107"/>
        <v>3091.0910747549856</v>
      </c>
      <c r="CC118" s="9">
        <v>-258.31273603704511</v>
      </c>
      <c r="CJ118" s="9">
        <f t="shared" ref="CJ118:CJ181" si="123">IF(ROW()=ROW($B$51)+$B$47,$C$34,ROUND((CK$34/$B$47)*(ROW()-ROW($B$51)),0))</f>
        <v>67</v>
      </c>
      <c r="CK118" s="129">
        <v>85.52637242177083</v>
      </c>
      <c r="CL118" s="9">
        <v>10.078125</v>
      </c>
      <c r="CM118" s="129">
        <f t="shared" si="108"/>
        <v>95.604498049741366</v>
      </c>
      <c r="CN118" s="36">
        <f t="shared" si="122"/>
        <v>9.7492461585834307E-3</v>
      </c>
      <c r="CO118" s="173">
        <f t="shared" si="109"/>
        <v>3278.5293457752537</v>
      </c>
      <c r="CP118" s="9">
        <v>-630.76476009343287</v>
      </c>
      <c r="CQ118" s="129"/>
      <c r="CR118" s="36">
        <f t="shared" si="110"/>
        <v>0.83457621517790481</v>
      </c>
      <c r="CS118" s="17">
        <f t="shared" si="76"/>
        <v>0.59996100104137828</v>
      </c>
      <c r="CT118" s="9">
        <f t="shared" si="77"/>
        <v>10.078780103213671</v>
      </c>
      <c r="CU118" s="9">
        <f t="shared" si="111"/>
        <v>95.605153152995854</v>
      </c>
      <c r="CV118" s="9">
        <v>13.2</v>
      </c>
      <c r="CW118" s="9">
        <f t="shared" si="112"/>
        <v>98.726373244266185</v>
      </c>
      <c r="CX118">
        <f t="shared" si="113"/>
        <v>22</v>
      </c>
      <c r="CY118" s="9">
        <f t="shared" si="78"/>
        <v>625.29004405802448</v>
      </c>
      <c r="CZ118" s="17">
        <f t="shared" si="114"/>
        <v>0.5887853522203621</v>
      </c>
      <c r="DA118">
        <v>45</v>
      </c>
      <c r="DB118" s="9">
        <f t="shared" si="115"/>
        <v>10.090637549130033</v>
      </c>
      <c r="DC118" s="9">
        <f t="shared" si="116"/>
        <v>10.925213764323924</v>
      </c>
    </row>
    <row r="119" spans="2:107" x14ac:dyDescent="0.25">
      <c r="B119" s="9">
        <f t="shared" si="117"/>
        <v>68</v>
      </c>
      <c r="C119" s="9">
        <v>85.975101035335072</v>
      </c>
      <c r="D119" s="9"/>
      <c r="E119" s="9">
        <f t="shared" si="79"/>
        <v>85.975101035335072</v>
      </c>
      <c r="F119" s="36">
        <f t="shared" si="118"/>
        <v>0</v>
      </c>
      <c r="G119" s="37">
        <f t="shared" si="63"/>
        <v>0</v>
      </c>
      <c r="H119" s="36" t="e">
        <f t="shared" si="64"/>
        <v>#DIV/0!</v>
      </c>
      <c r="I119" s="37" t="e">
        <f t="shared" si="80"/>
        <v>#DIV/0!</v>
      </c>
      <c r="J119" s="37" t="e">
        <f t="shared" si="81"/>
        <v>#DIV/0!</v>
      </c>
      <c r="K119" s="37" t="e">
        <f t="shared" si="82"/>
        <v>#DIV/0!</v>
      </c>
      <c r="L119" s="39" t="e">
        <f t="shared" si="65"/>
        <v>#DIV/0!</v>
      </c>
      <c r="M119" s="39" t="e">
        <f>M118+(1000*$C$2*(B119-B118))/(BerechnungenCLT!$W$47*2*'Berechnung freier Bereich'!G119)</f>
        <v>#DIV/0!</v>
      </c>
      <c r="N119" s="17" t="e">
        <f t="shared" si="83"/>
        <v>#DIV/0!</v>
      </c>
      <c r="O119" s="173">
        <f t="shared" si="84"/>
        <v>3637.966057681223</v>
      </c>
      <c r="P119" s="173"/>
      <c r="Q119" s="173"/>
      <c r="R119" s="37" t="e">
        <f t="shared" si="66"/>
        <v>#DIV/0!</v>
      </c>
      <c r="S119" s="37" t="e">
        <f t="shared" si="67"/>
        <v>#DIV/0!</v>
      </c>
      <c r="T119" s="37" t="e">
        <f t="shared" si="68"/>
        <v>#DIV/0!</v>
      </c>
      <c r="U119" s="39" t="e">
        <f t="shared" si="69"/>
        <v>#DIV/0!</v>
      </c>
      <c r="V119" s="39" t="e">
        <f t="shared" si="85"/>
        <v>#DIV/0!</v>
      </c>
      <c r="W119" s="9" t="e">
        <f t="shared" si="86"/>
        <v>#DIV/0!</v>
      </c>
      <c r="AB119" s="129">
        <v>85.856472216027697</v>
      </c>
      <c r="AC119" s="9">
        <v>15.25</v>
      </c>
      <c r="AD119" s="129">
        <f t="shared" si="87"/>
        <v>101.10900580319682</v>
      </c>
      <c r="AE119" s="36">
        <f t="shared" si="119"/>
        <v>1.5230080832364578E-2</v>
      </c>
      <c r="AF119" s="37">
        <f t="shared" si="88"/>
        <v>39406411.654993802</v>
      </c>
      <c r="AG119" s="36">
        <f t="shared" si="70"/>
        <v>1.9736426102065932</v>
      </c>
      <c r="AH119" s="37">
        <f t="shared" si="89"/>
        <v>-1.997913618125307E-4</v>
      </c>
      <c r="AI119" s="37">
        <f t="shared" si="90"/>
        <v>-1.392260691147779E-2</v>
      </c>
      <c r="AJ119" s="37">
        <f t="shared" si="91"/>
        <v>-0.48100592739117293</v>
      </c>
      <c r="AK119" s="39">
        <f t="shared" si="92"/>
        <v>2.0200705960931764E-2</v>
      </c>
      <c r="AL119" s="39">
        <f>AL118+(1000*$C$2*($B119-$B118))/(BerechnungenCLT!$W$47*2*AF119)</f>
        <v>3.9666390369188899E-3</v>
      </c>
      <c r="AM119" s="37">
        <f t="shared" si="71"/>
        <v>2.565800882567386E-6</v>
      </c>
      <c r="AN119" s="173">
        <f t="shared" si="93"/>
        <v>3077.0969186941188</v>
      </c>
      <c r="AO119" s="173">
        <v>-257.74781246010087</v>
      </c>
      <c r="AV119" s="129">
        <v>92.505805408779537</v>
      </c>
      <c r="AW119" s="9">
        <v>13.125</v>
      </c>
      <c r="AX119" s="129">
        <f t="shared" si="94"/>
        <v>106.91812363595238</v>
      </c>
      <c r="AY119" s="36">
        <f t="shared" si="120"/>
        <v>1.5350053921789552E-2</v>
      </c>
      <c r="AZ119" s="37">
        <f t="shared" si="95"/>
        <v>45121955.734325819</v>
      </c>
      <c r="BA119" s="36">
        <f t="shared" si="72"/>
        <v>1.9792708716035903</v>
      </c>
      <c r="BB119" s="37">
        <f t="shared" si="96"/>
        <v>-1.7448402935041856E-4</v>
      </c>
      <c r="BC119" s="37">
        <f t="shared" si="97"/>
        <v>-1.3620482267459464E-2</v>
      </c>
      <c r="BD119" s="37">
        <f t="shared" si="98"/>
        <v>-0.47875525187650431</v>
      </c>
      <c r="BE119" s="39">
        <f t="shared" si="99"/>
        <v>1.8655505022587195E-2</v>
      </c>
      <c r="BF119" s="39">
        <f>BF118+(1000*$C$2*($B119-$B118))/(BerechnungenCLT!$W$47*2*AZ119)</f>
        <v>3.8792942756423884E-3</v>
      </c>
      <c r="BG119" s="37">
        <f t="shared" si="73"/>
        <v>2.3695365570029162E-6</v>
      </c>
      <c r="BH119" s="173">
        <f t="shared" si="100"/>
        <v>2704.640125795534</v>
      </c>
      <c r="BI119">
        <v>-258.53068633327183</v>
      </c>
      <c r="BP119" s="129">
        <v>85.688403392184981</v>
      </c>
      <c r="BQ119" s="9">
        <v>15.1875</v>
      </c>
      <c r="BR119" s="129">
        <f t="shared" si="101"/>
        <v>100.87698934106257</v>
      </c>
      <c r="BS119" s="36">
        <f t="shared" si="121"/>
        <v>1.5133773293061051E-2</v>
      </c>
      <c r="BT119" s="37">
        <f t="shared" si="102"/>
        <v>38988760.576359652</v>
      </c>
      <c r="BU119" s="36">
        <f t="shared" si="74"/>
        <v>1.9737498697771767</v>
      </c>
      <c r="BV119" s="37">
        <f t="shared" si="103"/>
        <v>-2.0193154468906417E-4</v>
      </c>
      <c r="BW119" s="37">
        <f t="shared" si="104"/>
        <v>-1.3938977164370894E-2</v>
      </c>
      <c r="BX119" s="37">
        <f t="shared" si="105"/>
        <v>-0.4810959414560394</v>
      </c>
      <c r="BY119" s="39">
        <f t="shared" si="106"/>
        <v>2.0370246281223026E-2</v>
      </c>
      <c r="BZ119" s="39">
        <f>BZ118+(1000*$C$2*($B119-$B118))/(BerechnungenCLT!$W$47*2*BT119)</f>
        <v>3.9713717328956292E-3</v>
      </c>
      <c r="CA119" s="37">
        <f t="shared" si="75"/>
        <v>2.5873351152954597E-6</v>
      </c>
      <c r="CB119" s="173">
        <f t="shared" si="107"/>
        <v>3090.3085997786784</v>
      </c>
      <c r="CC119" s="9">
        <v>-258.24734707013266</v>
      </c>
      <c r="CJ119" s="9">
        <f t="shared" si="123"/>
        <v>68</v>
      </c>
      <c r="CK119" s="129">
        <v>85.526725438077477</v>
      </c>
      <c r="CL119" s="9">
        <v>10.078125</v>
      </c>
      <c r="CM119" s="129">
        <f t="shared" si="108"/>
        <v>95.6048506827387</v>
      </c>
      <c r="CN119" s="36">
        <f t="shared" si="122"/>
        <v>9.7492837688760194E-3</v>
      </c>
      <c r="CO119" s="173">
        <f t="shared" si="109"/>
        <v>3278.5038009476311</v>
      </c>
      <c r="CP119" s="9">
        <v>-630.75984545782433</v>
      </c>
      <c r="CQ119" s="129"/>
      <c r="CR119" s="36">
        <f t="shared" si="110"/>
        <v>0.83457443513485319</v>
      </c>
      <c r="CS119" s="17">
        <f t="shared" si="76"/>
        <v>0.59995972140221321</v>
      </c>
      <c r="CT119" s="9">
        <f t="shared" si="77"/>
        <v>10.078801599993032</v>
      </c>
      <c r="CU119" s="9">
        <f t="shared" si="111"/>
        <v>95.605527282748156</v>
      </c>
      <c r="CV119" s="9">
        <v>13.2</v>
      </c>
      <c r="CW119" s="9">
        <f t="shared" si="112"/>
        <v>98.726725758526769</v>
      </c>
      <c r="CX119">
        <f t="shared" si="113"/>
        <v>22</v>
      </c>
      <c r="CY119" s="9">
        <f t="shared" si="78"/>
        <v>625.28746313865929</v>
      </c>
      <c r="CZ119" s="17">
        <f t="shared" si="114"/>
        <v>0.5887829219761388</v>
      </c>
      <c r="DA119">
        <v>45</v>
      </c>
      <c r="DB119" s="9">
        <f t="shared" si="115"/>
        <v>10.090595899463439</v>
      </c>
      <c r="DC119" s="9">
        <f t="shared" si="116"/>
        <v>10.92517033460452</v>
      </c>
    </row>
    <row r="120" spans="2:107" x14ac:dyDescent="0.25">
      <c r="B120" s="9">
        <f t="shared" si="117"/>
        <v>69</v>
      </c>
      <c r="C120" s="9">
        <v>86.053834137907174</v>
      </c>
      <c r="D120" s="9"/>
      <c r="E120" s="9">
        <f t="shared" si="79"/>
        <v>86.053834137907174</v>
      </c>
      <c r="F120" s="36">
        <f t="shared" si="118"/>
        <v>0</v>
      </c>
      <c r="G120" s="37">
        <f t="shared" si="63"/>
        <v>0</v>
      </c>
      <c r="H120" s="36" t="e">
        <f t="shared" si="64"/>
        <v>#DIV/0!</v>
      </c>
      <c r="I120" s="37" t="e">
        <f t="shared" si="80"/>
        <v>#DIV/0!</v>
      </c>
      <c r="J120" s="37" t="e">
        <f t="shared" si="81"/>
        <v>#DIV/0!</v>
      </c>
      <c r="K120" s="37" t="e">
        <f t="shared" si="82"/>
        <v>#DIV/0!</v>
      </c>
      <c r="L120" s="39" t="e">
        <f t="shared" si="65"/>
        <v>#DIV/0!</v>
      </c>
      <c r="M120" s="39" t="e">
        <f>M119+(1000*$C$2*(B120-B119))/(BerechnungenCLT!$W$47*2*'Berechnung freier Bereich'!G120)</f>
        <v>#DIV/0!</v>
      </c>
      <c r="N120" s="17" t="e">
        <f t="shared" si="83"/>
        <v>#DIV/0!</v>
      </c>
      <c r="O120" s="173">
        <f t="shared" si="84"/>
        <v>3631.3121455827427</v>
      </c>
      <c r="P120" s="173"/>
      <c r="Q120" s="173"/>
      <c r="R120" s="37" t="e">
        <f t="shared" si="66"/>
        <v>#DIV/0!</v>
      </c>
      <c r="S120" s="37" t="e">
        <f t="shared" si="67"/>
        <v>#DIV/0!</v>
      </c>
      <c r="T120" s="37" t="e">
        <f t="shared" si="68"/>
        <v>#DIV/0!</v>
      </c>
      <c r="U120" s="39" t="e">
        <f t="shared" si="69"/>
        <v>#DIV/0!</v>
      </c>
      <c r="V120" s="39" t="e">
        <f t="shared" si="85"/>
        <v>#DIV/0!</v>
      </c>
      <c r="W120" s="9" t="e">
        <f t="shared" si="86"/>
        <v>#DIV/0!</v>
      </c>
      <c r="AB120" s="129">
        <v>85.874701350087122</v>
      </c>
      <c r="AC120" s="9">
        <v>15.25</v>
      </c>
      <c r="AD120" s="129">
        <f t="shared" si="87"/>
        <v>101.12712701704699</v>
      </c>
      <c r="AE120" s="36">
        <f t="shared" si="119"/>
        <v>1.5232934124717507E-2</v>
      </c>
      <c r="AF120" s="37">
        <f t="shared" si="88"/>
        <v>39429016.631476842</v>
      </c>
      <c r="AG120" s="36">
        <f t="shared" si="70"/>
        <v>1.9736531238664647</v>
      </c>
      <c r="AH120" s="37">
        <f t="shared" si="89"/>
        <v>-1.9967681979700191E-4</v>
      </c>
      <c r="AI120" s="37">
        <f t="shared" si="90"/>
        <v>-1.4122283731274792E-2</v>
      </c>
      <c r="AJ120" s="37">
        <f t="shared" si="91"/>
        <v>-0.49502837271254924</v>
      </c>
      <c r="AK120" s="39">
        <f t="shared" si="92"/>
        <v>2.0192743117971413E-2</v>
      </c>
      <c r="AL120" s="39">
        <f>AL119+(1000*$C$2*($B120-$B119))/(BerechnungenCLT!$W$47*2*AF120)</f>
        <v>4.024366306005861E-3</v>
      </c>
      <c r="AM120" s="37">
        <f t="shared" si="71"/>
        <v>2.5647894788305604E-6</v>
      </c>
      <c r="AN120" s="173">
        <f t="shared" si="93"/>
        <v>3075.9007520769474</v>
      </c>
      <c r="AO120" s="173">
        <v>-257.71535149312626</v>
      </c>
      <c r="AV120" s="129">
        <v>92.959438229781867</v>
      </c>
      <c r="AW120" s="9">
        <v>13</v>
      </c>
      <c r="AX120" s="129">
        <f t="shared" si="94"/>
        <v>107.27120151593145</v>
      </c>
      <c r="AY120" s="36">
        <f t="shared" si="120"/>
        <v>1.5304617271405009E-2</v>
      </c>
      <c r="AZ120" s="37">
        <f t="shared" si="95"/>
        <v>45347958.708135284</v>
      </c>
      <c r="BA120" s="36">
        <f t="shared" si="72"/>
        <v>1.9797200463140401</v>
      </c>
      <c r="BB120" s="37">
        <f t="shared" si="96"/>
        <v>-1.7361444424363891E-4</v>
      </c>
      <c r="BC120" s="37">
        <f t="shared" si="97"/>
        <v>-1.3794096711703103E-2</v>
      </c>
      <c r="BD120" s="37">
        <f t="shared" si="98"/>
        <v>-0.49246254136608558</v>
      </c>
      <c r="BE120" s="39">
        <f t="shared" si="99"/>
        <v>1.8623830034535833E-2</v>
      </c>
      <c r="BF120" s="39">
        <f>BF119+(1000*$C$2*($B120-$B119))/(BerechnungenCLT!$W$47*2*AZ120)</f>
        <v>3.9294868205278013E-3</v>
      </c>
      <c r="BG120" s="37">
        <f t="shared" si="73"/>
        <v>2.3655133455144328E-6</v>
      </c>
      <c r="BH120" s="173">
        <f t="shared" si="100"/>
        <v>2682.8905386760775</v>
      </c>
      <c r="BI120">
        <v>-258.80579635742833</v>
      </c>
      <c r="BP120" s="129">
        <v>85.700362101403002</v>
      </c>
      <c r="BQ120" s="9">
        <v>15.1875</v>
      </c>
      <c r="BR120" s="129">
        <f t="shared" si="101"/>
        <v>100.88897474064743</v>
      </c>
      <c r="BS120" s="36">
        <f t="shared" si="121"/>
        <v>1.5135742183831433E-2</v>
      </c>
      <c r="BT120" s="37">
        <f t="shared" si="102"/>
        <v>39003777.683982655</v>
      </c>
      <c r="BU120" s="36">
        <f t="shared" si="74"/>
        <v>1.9737564486827468</v>
      </c>
      <c r="BV120" s="37">
        <f t="shared" si="103"/>
        <v>-2.01853797662516E-4</v>
      </c>
      <c r="BW120" s="37">
        <f t="shared" si="104"/>
        <v>-1.414083096203341E-2</v>
      </c>
      <c r="BX120" s="37">
        <f t="shared" si="105"/>
        <v>-0.49513584551924156</v>
      </c>
      <c r="BY120" s="39">
        <f t="shared" si="106"/>
        <v>2.0364822693677332E-2</v>
      </c>
      <c r="BZ120" s="39">
        <f>BZ119+(1000*$C$2*($B120-$B119))/(BerechnungenCLT!$W$47*2*BT120)</f>
        <v>4.0297283739205488E-3</v>
      </c>
      <c r="CA120" s="37">
        <f t="shared" si="75"/>
        <v>2.5866462361177553E-6</v>
      </c>
      <c r="CB120" s="173">
        <f t="shared" si="107"/>
        <v>3089.5155219007097</v>
      </c>
      <c r="CC120" s="9">
        <v>-258.18107205215551</v>
      </c>
      <c r="CJ120" s="9">
        <f t="shared" si="123"/>
        <v>69</v>
      </c>
      <c r="CK120" s="129">
        <v>85.526945785358933</v>
      </c>
      <c r="CL120" s="9">
        <v>10.078125</v>
      </c>
      <c r="CM120" s="129">
        <f t="shared" si="108"/>
        <v>95.605070817116143</v>
      </c>
      <c r="CN120" s="36">
        <f t="shared" si="122"/>
        <v>9.749307271543807E-3</v>
      </c>
      <c r="CO120" s="173">
        <f t="shared" si="109"/>
        <v>3278.4878554614161</v>
      </c>
      <c r="CP120" s="9">
        <v>-630.75677766439424</v>
      </c>
      <c r="CQ120" s="129"/>
      <c r="CR120" s="36">
        <f t="shared" si="110"/>
        <v>0.83457332392848138</v>
      </c>
      <c r="CS120" s="17">
        <f t="shared" si="76"/>
        <v>0.59995892257704297</v>
      </c>
      <c r="CT120" s="9">
        <f t="shared" si="77"/>
        <v>10.078815019579109</v>
      </c>
      <c r="CU120" s="9">
        <f t="shared" si="111"/>
        <v>95.605760836697428</v>
      </c>
      <c r="CV120" s="9">
        <v>13.2</v>
      </c>
      <c r="CW120" s="9">
        <f t="shared" si="112"/>
        <v>98.726945826953497</v>
      </c>
      <c r="CX120">
        <f t="shared" si="113"/>
        <v>22</v>
      </c>
      <c r="CY120" s="9">
        <f t="shared" si="78"/>
        <v>625.28585217978116</v>
      </c>
      <c r="CZ120" s="17">
        <f t="shared" si="114"/>
        <v>0.58878140506570731</v>
      </c>
      <c r="DA120">
        <v>45</v>
      </c>
      <c r="DB120" s="9">
        <f t="shared" si="115"/>
        <v>10.0905699025644</v>
      </c>
      <c r="DC120" s="9">
        <f t="shared" si="116"/>
        <v>10.925143226493693</v>
      </c>
    </row>
    <row r="121" spans="2:107" x14ac:dyDescent="0.25">
      <c r="B121" s="9">
        <f t="shared" si="117"/>
        <v>70</v>
      </c>
      <c r="C121" s="9">
        <v>86.137330413406787</v>
      </c>
      <c r="D121" s="9"/>
      <c r="E121" s="9">
        <f t="shared" si="79"/>
        <v>86.137330413406787</v>
      </c>
      <c r="F121" s="36">
        <f t="shared" si="118"/>
        <v>0</v>
      </c>
      <c r="G121" s="37">
        <f t="shared" si="63"/>
        <v>0</v>
      </c>
      <c r="H121" s="36" t="e">
        <f t="shared" si="64"/>
        <v>#DIV/0!</v>
      </c>
      <c r="I121" s="37" t="e">
        <f t="shared" si="80"/>
        <v>#DIV/0!</v>
      </c>
      <c r="J121" s="37" t="e">
        <f t="shared" si="81"/>
        <v>#DIV/0!</v>
      </c>
      <c r="K121" s="37" t="e">
        <f t="shared" si="82"/>
        <v>#DIV/0!</v>
      </c>
      <c r="L121" s="39" t="e">
        <f t="shared" si="65"/>
        <v>#DIV/0!</v>
      </c>
      <c r="M121" s="39" t="e">
        <f>M120+(1000*$C$2*(B121-B120))/(BerechnungenCLT!$W$47*2*'Berechnung freier Bereich'!G121)</f>
        <v>#DIV/0!</v>
      </c>
      <c r="N121" s="17" t="e">
        <f t="shared" si="83"/>
        <v>#DIV/0!</v>
      </c>
      <c r="O121" s="173">
        <f t="shared" si="84"/>
        <v>3624.2756125121459</v>
      </c>
      <c r="P121" s="173"/>
      <c r="Q121" s="173"/>
      <c r="R121" s="37" t="e">
        <f t="shared" si="66"/>
        <v>#DIV/0!</v>
      </c>
      <c r="S121" s="37" t="e">
        <f t="shared" si="67"/>
        <v>#DIV/0!</v>
      </c>
      <c r="T121" s="37" t="e">
        <f t="shared" si="68"/>
        <v>#DIV/0!</v>
      </c>
      <c r="U121" s="39" t="e">
        <f t="shared" si="69"/>
        <v>#DIV/0!</v>
      </c>
      <c r="V121" s="39" t="e">
        <f t="shared" si="85"/>
        <v>#DIV/0!</v>
      </c>
      <c r="W121" s="9" t="e">
        <f t="shared" si="86"/>
        <v>#DIV/0!</v>
      </c>
      <c r="AB121" s="129">
        <v>85.892537985340354</v>
      </c>
      <c r="AC121" s="9">
        <v>15.25</v>
      </c>
      <c r="AD121" s="129">
        <f t="shared" si="87"/>
        <v>101.14483833252707</v>
      </c>
      <c r="AE121" s="36">
        <f t="shared" si="119"/>
        <v>1.5235704632732187E-2</v>
      </c>
      <c r="AF121" s="37">
        <f t="shared" si="88"/>
        <v>39451079.056551754</v>
      </c>
      <c r="AG121" s="36">
        <f t="shared" si="70"/>
        <v>1.9736634671686166</v>
      </c>
      <c r="AH121" s="37">
        <f t="shared" si="89"/>
        <v>-1.995651535262352E-4</v>
      </c>
      <c r="AI121" s="37">
        <f t="shared" si="90"/>
        <v>-1.4321848884801027E-2</v>
      </c>
      <c r="AJ121" s="37">
        <f t="shared" si="91"/>
        <v>-0.5092504390205872</v>
      </c>
      <c r="AK121" s="39">
        <f t="shared" si="92"/>
        <v>2.0184985190217004E-2</v>
      </c>
      <c r="AL121" s="39">
        <f>AL120+(1000*$C$2*($B121-$B120))/(BerechnungenCLT!$W$47*2*AF121)</f>
        <v>4.0820612919822185E-3</v>
      </c>
      <c r="AM121" s="37">
        <f t="shared" si="71"/>
        <v>2.5638041024819488E-6</v>
      </c>
      <c r="AN121" s="173">
        <f t="shared" si="93"/>
        <v>3074.7316640594668</v>
      </c>
      <c r="AO121" s="173">
        <v>-257.67973861041764</v>
      </c>
      <c r="AV121" s="129">
        <v>93.419863607829356</v>
      </c>
      <c r="AW121" s="9">
        <v>12.875</v>
      </c>
      <c r="AX121" s="129">
        <f t="shared" si="94"/>
        <v>107.6271335787915</v>
      </c>
      <c r="AY121" s="36">
        <f t="shared" si="120"/>
        <v>1.5254817562263857E-2</v>
      </c>
      <c r="AZ121" s="37">
        <f t="shared" si="95"/>
        <v>45564504.201149553</v>
      </c>
      <c r="BA121" s="36">
        <f t="shared" si="72"/>
        <v>1.9801736674333603</v>
      </c>
      <c r="BB121" s="37">
        <f t="shared" si="96"/>
        <v>-1.7278934088561337E-4</v>
      </c>
      <c r="BC121" s="37">
        <f t="shared" si="97"/>
        <v>-1.3966886052588716E-2</v>
      </c>
      <c r="BD121" s="37">
        <f t="shared" si="98"/>
        <v>-0.50634303274823145</v>
      </c>
      <c r="BE121" s="39">
        <f t="shared" si="99"/>
        <v>1.859682147248725E-2</v>
      </c>
      <c r="BF121" s="39">
        <f>BF120+(1000*$C$2*($B121-$B120))/(BerechnungenCLT!$W$47*2*AZ121)</f>
        <v>3.9794408251378746E-3</v>
      </c>
      <c r="BG121" s="37">
        <f t="shared" si="73"/>
        <v>2.3620828420223689E-6</v>
      </c>
      <c r="BH121" s="173">
        <f t="shared" si="100"/>
        <v>2661.1468568214591</v>
      </c>
      <c r="BI121">
        <v>-259.10215197305126</v>
      </c>
      <c r="BP121" s="129">
        <v>85.712466883986068</v>
      </c>
      <c r="BQ121" s="9">
        <v>15.1875</v>
      </c>
      <c r="BR121" s="129">
        <f t="shared" si="101"/>
        <v>100.90110279300282</v>
      </c>
      <c r="BS121" s="36">
        <f t="shared" si="121"/>
        <v>1.5137731093207514E-2</v>
      </c>
      <c r="BT121" s="37">
        <f t="shared" si="102"/>
        <v>39018970.083878338</v>
      </c>
      <c r="BU121" s="36">
        <f t="shared" si="74"/>
        <v>1.9737631171879011</v>
      </c>
      <c r="BV121" s="37">
        <f t="shared" si="103"/>
        <v>-2.0177520400389411E-4</v>
      </c>
      <c r="BW121" s="37">
        <f t="shared" si="104"/>
        <v>-1.4342606166037304E-2</v>
      </c>
      <c r="BX121" s="37">
        <f t="shared" si="105"/>
        <v>-0.50937756408327695</v>
      </c>
      <c r="BY121" s="39">
        <f t="shared" si="106"/>
        <v>2.0359340600276034E-2</v>
      </c>
      <c r="BZ121" s="39">
        <f>BZ120+(1000*$C$2*($B121-$B120))/(BerechnungenCLT!$W$47*2*BT121)</f>
        <v>4.088062293243047E-3</v>
      </c>
      <c r="CA121" s="37">
        <f t="shared" si="75"/>
        <v>2.585949925795008E-6</v>
      </c>
      <c r="CB121" s="173">
        <f t="shared" si="107"/>
        <v>3088.713191622031</v>
      </c>
      <c r="CC121" s="9">
        <v>-258.11402384022034</v>
      </c>
      <c r="CJ121" s="9">
        <f t="shared" si="123"/>
        <v>70</v>
      </c>
      <c r="CK121" s="129">
        <v>85.5270251718011</v>
      </c>
      <c r="CL121" s="9">
        <v>10.078125</v>
      </c>
      <c r="CM121" s="129">
        <f t="shared" si="108"/>
        <v>95.605150196398213</v>
      </c>
      <c r="CN121" s="36">
        <f t="shared" si="122"/>
        <v>9.7493158100741568E-3</v>
      </c>
      <c r="CO121" s="173">
        <f t="shared" si="109"/>
        <v>3278.4821081526384</v>
      </c>
      <c r="CP121" s="9">
        <v>-630.75567192475933</v>
      </c>
      <c r="CQ121" s="129"/>
      <c r="CR121" s="36">
        <f t="shared" si="110"/>
        <v>0.83457292323373178</v>
      </c>
      <c r="CS121" s="17">
        <f t="shared" si="76"/>
        <v>0.5999586345251926</v>
      </c>
      <c r="CT121" s="9">
        <f t="shared" si="77"/>
        <v>10.078819858614917</v>
      </c>
      <c r="CU121" s="9">
        <f t="shared" si="111"/>
        <v>95.605845055014825</v>
      </c>
      <c r="CV121" s="9">
        <v>13.2</v>
      </c>
      <c r="CW121" s="9">
        <f t="shared" si="112"/>
        <v>98.727025204017593</v>
      </c>
      <c r="CX121">
        <f t="shared" si="113"/>
        <v>22</v>
      </c>
      <c r="CY121" s="9">
        <f t="shared" si="78"/>
        <v>625.28527178757122</v>
      </c>
      <c r="CZ121" s="17">
        <f t="shared" si="114"/>
        <v>0.58878085855703499</v>
      </c>
      <c r="DA121">
        <v>45</v>
      </c>
      <c r="DB121" s="9">
        <f t="shared" si="115"/>
        <v>10.090560536467049</v>
      </c>
      <c r="DC121" s="9">
        <f t="shared" si="116"/>
        <v>10.925133459701403</v>
      </c>
    </row>
    <row r="122" spans="2:107" x14ac:dyDescent="0.25">
      <c r="B122" s="9">
        <f t="shared" si="117"/>
        <v>71</v>
      </c>
      <c r="C122" s="9">
        <v>86.225479115501884</v>
      </c>
      <c r="D122" s="9"/>
      <c r="E122" s="9">
        <f t="shared" si="79"/>
        <v>86.225479115501884</v>
      </c>
      <c r="F122" s="36">
        <f t="shared" si="118"/>
        <v>0</v>
      </c>
      <c r="G122" s="37">
        <f t="shared" si="63"/>
        <v>0</v>
      </c>
      <c r="H122" s="36" t="e">
        <f t="shared" si="64"/>
        <v>#DIV/0!</v>
      </c>
      <c r="I122" s="37" t="e">
        <f t="shared" si="80"/>
        <v>#DIV/0!</v>
      </c>
      <c r="J122" s="37" t="e">
        <f t="shared" si="81"/>
        <v>#DIV/0!</v>
      </c>
      <c r="K122" s="37" t="e">
        <f t="shared" si="82"/>
        <v>#DIV/0!</v>
      </c>
      <c r="L122" s="39" t="e">
        <f t="shared" si="65"/>
        <v>#DIV/0!</v>
      </c>
      <c r="M122" s="39" t="e">
        <f>M121+(1000*$C$2*(B122-B121))/(BerechnungenCLT!$W$47*2*'Berechnung freier Bereich'!G122)</f>
        <v>#DIV/0!</v>
      </c>
      <c r="N122" s="17" t="e">
        <f t="shared" si="83"/>
        <v>#DIV/0!</v>
      </c>
      <c r="O122" s="173">
        <f t="shared" si="84"/>
        <v>3616.8691731608556</v>
      </c>
      <c r="P122" s="173"/>
      <c r="Q122" s="173"/>
      <c r="R122" s="37" t="e">
        <f t="shared" si="66"/>
        <v>#DIV/0!</v>
      </c>
      <c r="S122" s="37" t="e">
        <f t="shared" si="67"/>
        <v>#DIV/0!</v>
      </c>
      <c r="T122" s="37" t="e">
        <f t="shared" si="68"/>
        <v>#DIV/0!</v>
      </c>
      <c r="U122" s="39" t="e">
        <f t="shared" si="69"/>
        <v>#DIV/0!</v>
      </c>
      <c r="V122" s="39" t="e">
        <f t="shared" si="85"/>
        <v>#DIV/0!</v>
      </c>
      <c r="W122" s="9" t="e">
        <f t="shared" si="86"/>
        <v>#DIV/0!</v>
      </c>
      <c r="AB122" s="129">
        <v>85.909907718510084</v>
      </c>
      <c r="AC122" s="9">
        <v>15.25</v>
      </c>
      <c r="AD122" s="129">
        <f t="shared" si="87"/>
        <v>101.16206693501726</v>
      </c>
      <c r="AE122" s="36">
        <f t="shared" si="119"/>
        <v>1.5238381943357925E-2</v>
      </c>
      <c r="AF122" s="37">
        <f t="shared" si="88"/>
        <v>39472509.678319827</v>
      </c>
      <c r="AG122" s="36">
        <f t="shared" si="70"/>
        <v>1.9736735939825814</v>
      </c>
      <c r="AH122" s="37">
        <f t="shared" si="89"/>
        <v>-1.9945680456747475E-4</v>
      </c>
      <c r="AI122" s="37">
        <f t="shared" si="90"/>
        <v>-1.4521305689368501E-2</v>
      </c>
      <c r="AJ122" s="37">
        <f t="shared" si="91"/>
        <v>-0.52367201630767202</v>
      </c>
      <c r="AK122" s="39">
        <f t="shared" si="92"/>
        <v>2.0177462614299538E-2</v>
      </c>
      <c r="AL122" s="39">
        <f>AL121+(1000*$C$2*($B122-$B121))/(BerechnungenCLT!$W$47*2*AF122)</f>
        <v>4.1397249538945007E-3</v>
      </c>
      <c r="AM122" s="37">
        <f t="shared" si="71"/>
        <v>2.5628486194426159E-6</v>
      </c>
      <c r="AN122" s="173">
        <f t="shared" si="93"/>
        <v>3073.5944465686425</v>
      </c>
      <c r="AO122" s="173">
        <v>-257.64078458059214</v>
      </c>
      <c r="AV122" s="129">
        <v>93.886406323909014</v>
      </c>
      <c r="AW122" s="9">
        <v>12.8125</v>
      </c>
      <c r="AX122" s="129">
        <f t="shared" si="94"/>
        <v>108.05433004178947</v>
      </c>
      <c r="AY122" s="36">
        <f t="shared" si="120"/>
        <v>1.5280196510788687E-2</v>
      </c>
      <c r="AZ122" s="37">
        <f t="shared" si="95"/>
        <v>46043716.225154966</v>
      </c>
      <c r="BA122" s="36">
        <f t="shared" si="72"/>
        <v>1.9804553836775132</v>
      </c>
      <c r="BB122" s="37">
        <f t="shared" si="96"/>
        <v>-1.7099099060981354E-4</v>
      </c>
      <c r="BC122" s="37">
        <f t="shared" si="97"/>
        <v>-1.413787704319853E-2</v>
      </c>
      <c r="BD122" s="37">
        <f t="shared" si="98"/>
        <v>-0.52039541429612513</v>
      </c>
      <c r="BE122" s="39">
        <f t="shared" si="99"/>
        <v>1.8476316933525316E-2</v>
      </c>
      <c r="BF122" s="39">
        <f>BF121+(1000*$C$2*($B122-$B121))/(BerechnungenCLT!$W$47*2*AZ122)</f>
        <v>4.0288749203744451E-3</v>
      </c>
      <c r="BG122" s="37">
        <f t="shared" si="73"/>
        <v>2.3467769090010242E-6</v>
      </c>
      <c r="BH122" s="173">
        <f t="shared" si="100"/>
        <v>2637.6438409173929</v>
      </c>
      <c r="BI122">
        <v>-257.98241500070003</v>
      </c>
      <c r="BP122" s="129">
        <v>85.724697596164177</v>
      </c>
      <c r="BQ122" s="9">
        <v>15.1875</v>
      </c>
      <c r="BR122" s="129">
        <f t="shared" si="101"/>
        <v>100.91335323880504</v>
      </c>
      <c r="BS122" s="36">
        <f t="shared" si="121"/>
        <v>1.5139736627362364E-2</v>
      </c>
      <c r="BT122" s="37">
        <f t="shared" si="102"/>
        <v>39034312.367365241</v>
      </c>
      <c r="BU122" s="36">
        <f t="shared" si="74"/>
        <v>1.9737698643436667</v>
      </c>
      <c r="BV122" s="37">
        <f t="shared" si="103"/>
        <v>-2.0169589705078779E-4</v>
      </c>
      <c r="BW122" s="37">
        <f t="shared" si="104"/>
        <v>-1.4544302063088092E-2</v>
      </c>
      <c r="BX122" s="37">
        <f t="shared" si="105"/>
        <v>-0.52382101819783966</v>
      </c>
      <c r="BY122" s="39">
        <f t="shared" si="106"/>
        <v>2.0353809305903806E-2</v>
      </c>
      <c r="BZ122" s="39">
        <f>BZ121+(1000*$C$2*($B122-$B121))/(BerechnungenCLT!$W$47*2*BT122)</f>
        <v>4.1463732846471861E-3</v>
      </c>
      <c r="CA122" s="37">
        <f t="shared" si="75"/>
        <v>2.58524736619093E-6</v>
      </c>
      <c r="CB122" s="173">
        <f t="shared" si="107"/>
        <v>3087.9029568808801</v>
      </c>
      <c r="CC122" s="9">
        <v>-258.0463150772764</v>
      </c>
      <c r="CJ122" s="9">
        <f t="shared" si="123"/>
        <v>71</v>
      </c>
      <c r="CK122" s="129">
        <v>85.526955305589908</v>
      </c>
      <c r="CL122" s="9">
        <v>10.078125</v>
      </c>
      <c r="CM122" s="129">
        <f t="shared" si="108"/>
        <v>95.605080566188121</v>
      </c>
      <c r="CN122" s="36">
        <f t="shared" si="122"/>
        <v>9.749308530075558E-3</v>
      </c>
      <c r="CO122" s="173">
        <f t="shared" si="109"/>
        <v>3278.4871579131086</v>
      </c>
      <c r="CP122" s="9">
        <v>-630.75664346126712</v>
      </c>
      <c r="CQ122" s="129"/>
      <c r="CR122" s="36">
        <f t="shared" si="110"/>
        <v>0.83457327471661358</v>
      </c>
      <c r="CS122" s="17">
        <f t="shared" si="76"/>
        <v>0.59995888719956514</v>
      </c>
      <c r="CT122" s="9">
        <f t="shared" si="77"/>
        <v>10.078815613891589</v>
      </c>
      <c r="CU122" s="9">
        <f t="shared" si="111"/>
        <v>95.605771180097577</v>
      </c>
      <c r="CV122" s="9">
        <v>13.2</v>
      </c>
      <c r="CW122" s="9">
        <f t="shared" si="112"/>
        <v>98.72695564691297</v>
      </c>
      <c r="CX122">
        <f t="shared" si="113"/>
        <v>22</v>
      </c>
      <c r="CY122" s="9">
        <f t="shared" si="78"/>
        <v>625.28578257756362</v>
      </c>
      <c r="CZ122" s="17">
        <f t="shared" si="114"/>
        <v>0.58878133952689604</v>
      </c>
      <c r="DA122">
        <v>45</v>
      </c>
      <c r="DB122" s="9">
        <f t="shared" si="115"/>
        <v>10.090568779356451</v>
      </c>
      <c r="DC122" s="9">
        <f t="shared" si="116"/>
        <v>10.925142054079682</v>
      </c>
    </row>
    <row r="123" spans="2:107" x14ac:dyDescent="0.25">
      <c r="B123" s="9">
        <f t="shared" si="117"/>
        <v>72</v>
      </c>
      <c r="C123" s="9">
        <v>86.318169497860396</v>
      </c>
      <c r="D123" s="9"/>
      <c r="E123" s="9">
        <f t="shared" si="79"/>
        <v>86.318169497860396</v>
      </c>
      <c r="F123" s="36">
        <f t="shared" si="118"/>
        <v>0</v>
      </c>
      <c r="G123" s="37">
        <f t="shared" si="63"/>
        <v>0</v>
      </c>
      <c r="H123" s="36" t="e">
        <f t="shared" si="64"/>
        <v>#DIV/0!</v>
      </c>
      <c r="I123" s="37" t="e">
        <f t="shared" si="80"/>
        <v>#DIV/0!</v>
      </c>
      <c r="J123" s="37" t="e">
        <f t="shared" si="81"/>
        <v>#DIV/0!</v>
      </c>
      <c r="K123" s="37" t="e">
        <f t="shared" si="82"/>
        <v>#DIV/0!</v>
      </c>
      <c r="L123" s="39" t="e">
        <f t="shared" si="65"/>
        <v>#DIV/0!</v>
      </c>
      <c r="M123" s="39" t="e">
        <f>M122+(1000*$C$2*(B123-B122))/(BerechnungenCLT!$W$47*2*'Berechnung freier Bereich'!G123)</f>
        <v>#DIV/0!</v>
      </c>
      <c r="N123" s="17" t="e">
        <f t="shared" si="83"/>
        <v>#DIV/0!</v>
      </c>
      <c r="O123" s="173">
        <f t="shared" si="84"/>
        <v>3609.1055936128287</v>
      </c>
      <c r="P123" s="173"/>
      <c r="Q123" s="173"/>
      <c r="R123" s="37" t="e">
        <f t="shared" si="66"/>
        <v>#DIV/0!</v>
      </c>
      <c r="S123" s="37" t="e">
        <f t="shared" si="67"/>
        <v>#DIV/0!</v>
      </c>
      <c r="T123" s="37" t="e">
        <f t="shared" si="68"/>
        <v>#DIV/0!</v>
      </c>
      <c r="U123" s="39" t="e">
        <f t="shared" si="69"/>
        <v>#DIV/0!</v>
      </c>
      <c r="V123" s="39" t="e">
        <f t="shared" si="85"/>
        <v>#DIV/0!</v>
      </c>
      <c r="W123" s="9" t="e">
        <f t="shared" si="86"/>
        <v>#DIV/0!</v>
      </c>
      <c r="AB123" s="129">
        <v>85.926736146319016</v>
      </c>
      <c r="AC123" s="9">
        <v>15.25</v>
      </c>
      <c r="AD123" s="129">
        <f t="shared" si="87"/>
        <v>101.17874026313569</v>
      </c>
      <c r="AE123" s="36">
        <f t="shared" si="119"/>
        <v>1.524095591931433E-2</v>
      </c>
      <c r="AF123" s="37">
        <f t="shared" si="88"/>
        <v>39493219.964362942</v>
      </c>
      <c r="AG123" s="36">
        <f t="shared" si="70"/>
        <v>1.9736834574757041</v>
      </c>
      <c r="AH123" s="37">
        <f t="shared" si="89"/>
        <v>-1.99352209209599E-4</v>
      </c>
      <c r="AI123" s="37">
        <f t="shared" si="90"/>
        <v>-1.4720657898578101E-2</v>
      </c>
      <c r="AJ123" s="37">
        <f t="shared" si="91"/>
        <v>-0.53829299810164533</v>
      </c>
      <c r="AK123" s="39">
        <f t="shared" si="92"/>
        <v>2.0170205396500305E-2</v>
      </c>
      <c r="AL123" s="39">
        <f>AL122+(1000*$C$2*($B123-$B122))/(BerechnungenCLT!$W$47*2*AF123)</f>
        <v>4.1973583769218913E-3</v>
      </c>
      <c r="AM123" s="37">
        <f t="shared" si="71"/>
        <v>2.5619268409725831E-6</v>
      </c>
      <c r="AN123" s="173">
        <f t="shared" si="93"/>
        <v>3072.4938738399405</v>
      </c>
      <c r="AO123" s="173">
        <v>-257.59830038608726</v>
      </c>
      <c r="AV123" s="129">
        <v>94.358391159007908</v>
      </c>
      <c r="AW123" s="9">
        <v>12.6875</v>
      </c>
      <c r="AX123" s="129">
        <f t="shared" si="94"/>
        <v>108.41401238873273</v>
      </c>
      <c r="AY123" s="36">
        <f t="shared" si="120"/>
        <v>1.5221508286380865E-2</v>
      </c>
      <c r="AZ123" s="37">
        <f t="shared" si="95"/>
        <v>46240041.277646005</v>
      </c>
      <c r="BA123" s="36">
        <f t="shared" si="72"/>
        <v>1.9809181257829702</v>
      </c>
      <c r="BB123" s="37">
        <f t="shared" si="96"/>
        <v>-1.7026500044459294E-4</v>
      </c>
      <c r="BC123" s="37">
        <f t="shared" si="97"/>
        <v>-1.4308142043643123E-2</v>
      </c>
      <c r="BD123" s="37">
        <f t="shared" si="98"/>
        <v>-0.53461842383954594</v>
      </c>
      <c r="BE123" s="39">
        <f t="shared" si="99"/>
        <v>1.8459111867567681E-2</v>
      </c>
      <c r="BF123" s="39">
        <f>BF122+(1000*$C$2*($B123-$B122))/(BerechnungenCLT!$W$47*2*AZ123)</f>
        <v>4.0780991293074137E-3</v>
      </c>
      <c r="BG123" s="37">
        <f t="shared" si="73"/>
        <v>2.3445916005517001E-6</v>
      </c>
      <c r="BH123" s="173">
        <f t="shared" si="100"/>
        <v>2616.0517189928637</v>
      </c>
      <c r="BI123">
        <v>-258.32315117690331</v>
      </c>
      <c r="BP123" s="129">
        <v>85.737034094167328</v>
      </c>
      <c r="BQ123" s="9">
        <v>15.1875</v>
      </c>
      <c r="BR123" s="129">
        <f t="shared" si="101"/>
        <v>100.92570583721505</v>
      </c>
      <c r="BS123" s="36">
        <f t="shared" si="121"/>
        <v>1.5141755412289317E-2</v>
      </c>
      <c r="BT123" s="37">
        <f t="shared" si="102"/>
        <v>39049779.159619614</v>
      </c>
      <c r="BU123" s="36">
        <f t="shared" si="74"/>
        <v>1.9737766791589395</v>
      </c>
      <c r="BV123" s="37">
        <f t="shared" si="103"/>
        <v>-2.0161600956856946E-4</v>
      </c>
      <c r="BW123" s="37">
        <f t="shared" si="104"/>
        <v>-1.4745918072656662E-2</v>
      </c>
      <c r="BX123" s="37">
        <f t="shared" si="105"/>
        <v>-0.53846612826571205</v>
      </c>
      <c r="BY123" s="39">
        <f t="shared" si="106"/>
        <v>2.0348238073790575E-2</v>
      </c>
      <c r="BZ123" s="39">
        <f>BZ122+(1000*$C$2*($B123-$B122))/(BerechnungenCLT!$W$47*2*BT123)</f>
        <v>4.2046611802999644E-3</v>
      </c>
      <c r="CA123" s="37">
        <f t="shared" si="75"/>
        <v>2.584539733878438E-6</v>
      </c>
      <c r="CB123" s="173">
        <f t="shared" si="107"/>
        <v>3087.0861629986543</v>
      </c>
      <c r="CC123" s="9">
        <v>-257.97805818759127</v>
      </c>
      <c r="CJ123" s="9">
        <f t="shared" si="123"/>
        <v>72</v>
      </c>
      <c r="CK123" s="129">
        <v>85.526727894911289</v>
      </c>
      <c r="CL123" s="9">
        <v>10.078125</v>
      </c>
      <c r="CM123" s="129">
        <f t="shared" si="108"/>
        <v>95.60485367416787</v>
      </c>
      <c r="CN123" s="36">
        <f t="shared" si="122"/>
        <v>9.749284579277007E-3</v>
      </c>
      <c r="CO123" s="173">
        <f t="shared" si="109"/>
        <v>3278.5036037191799</v>
      </c>
      <c r="CP123" s="9">
        <v>-630.75980751253121</v>
      </c>
      <c r="CQ123" s="129"/>
      <c r="CR123" s="36">
        <f t="shared" si="110"/>
        <v>0.83457442003454374</v>
      </c>
      <c r="CS123" s="17">
        <f t="shared" si="76"/>
        <v>0.59995971054688746</v>
      </c>
      <c r="CT123" s="9">
        <f t="shared" si="77"/>
        <v>10.078801782353068</v>
      </c>
      <c r="CU123" s="9">
        <f t="shared" si="111"/>
        <v>95.605530456573263</v>
      </c>
      <c r="CV123" s="9">
        <v>13.2</v>
      </c>
      <c r="CW123" s="9">
        <f t="shared" si="112"/>
        <v>98.72672891555618</v>
      </c>
      <c r="CX123">
        <f t="shared" si="113"/>
        <v>22</v>
      </c>
      <c r="CY123" s="9">
        <f t="shared" si="78"/>
        <v>625.28744517670259</v>
      </c>
      <c r="CZ123" s="17">
        <f t="shared" si="114"/>
        <v>0.5887829050628085</v>
      </c>
      <c r="DA123">
        <v>45</v>
      </c>
      <c r="DB123" s="9">
        <f t="shared" si="115"/>
        <v>10.090595609601804</v>
      </c>
      <c r="DC123" s="9">
        <f t="shared" si="116"/>
        <v>10.925170029656144</v>
      </c>
    </row>
    <row r="124" spans="2:107" x14ac:dyDescent="0.25">
      <c r="B124" s="9">
        <f t="shared" si="117"/>
        <v>73</v>
      </c>
      <c r="C124" s="9">
        <v>86.415290814150225</v>
      </c>
      <c r="D124" s="9"/>
      <c r="E124" s="9">
        <f t="shared" si="79"/>
        <v>86.415290814150225</v>
      </c>
      <c r="F124" s="36">
        <f t="shared" si="118"/>
        <v>0</v>
      </c>
      <c r="G124" s="37">
        <f t="shared" si="63"/>
        <v>0</v>
      </c>
      <c r="H124" s="36" t="e">
        <f t="shared" si="64"/>
        <v>#DIV/0!</v>
      </c>
      <c r="I124" s="37" t="e">
        <f t="shared" si="80"/>
        <v>#DIV/0!</v>
      </c>
      <c r="J124" s="37" t="e">
        <f t="shared" si="81"/>
        <v>#DIV/0!</v>
      </c>
      <c r="K124" s="37" t="e">
        <f t="shared" si="82"/>
        <v>#DIV/0!</v>
      </c>
      <c r="L124" s="39" t="e">
        <f t="shared" si="65"/>
        <v>#DIV/0!</v>
      </c>
      <c r="M124" s="39" t="e">
        <f>M123+(1000*$C$2*(B124-B123))/(BerechnungenCLT!$W$47*2*'Berechnung freier Bereich'!G124)</f>
        <v>#DIV/0!</v>
      </c>
      <c r="N124" s="17" t="e">
        <f t="shared" si="83"/>
        <v>#DIV/0!</v>
      </c>
      <c r="O124" s="173">
        <f t="shared" si="84"/>
        <v>3600.9976740782799</v>
      </c>
      <c r="P124" s="173"/>
      <c r="Q124" s="173"/>
      <c r="R124" s="37" t="e">
        <f t="shared" si="66"/>
        <v>#DIV/0!</v>
      </c>
      <c r="S124" s="37" t="e">
        <f t="shared" si="67"/>
        <v>#DIV/0!</v>
      </c>
      <c r="T124" s="37" t="e">
        <f t="shared" si="68"/>
        <v>#DIV/0!</v>
      </c>
      <c r="U124" s="39" t="e">
        <f t="shared" si="69"/>
        <v>#DIV/0!</v>
      </c>
      <c r="V124" s="39" t="e">
        <f t="shared" si="85"/>
        <v>#DIV/0!</v>
      </c>
      <c r="W124" s="9" t="e">
        <f t="shared" si="86"/>
        <v>#DIV/0!</v>
      </c>
      <c r="AB124" s="129">
        <v>85.942948865489754</v>
      </c>
      <c r="AC124" s="9">
        <v>15.25</v>
      </c>
      <c r="AD124" s="129">
        <f t="shared" si="87"/>
        <v>101.19478600876789</v>
      </c>
      <c r="AE124" s="36">
        <f t="shared" si="119"/>
        <v>1.5243416699371499E-2</v>
      </c>
      <c r="AF124" s="37">
        <f t="shared" si="88"/>
        <v>39513122.114144638</v>
      </c>
      <c r="AG124" s="36">
        <f t="shared" si="70"/>
        <v>1.9736930101078463</v>
      </c>
      <c r="AH124" s="37">
        <f t="shared" si="89"/>
        <v>-1.9925179857852967E-4</v>
      </c>
      <c r="AI124" s="37">
        <f t="shared" si="90"/>
        <v>-1.491990969715663E-2</v>
      </c>
      <c r="AJ124" s="37">
        <f t="shared" si="91"/>
        <v>-0.5531132818995127</v>
      </c>
      <c r="AK124" s="39">
        <f t="shared" si="92"/>
        <v>2.0163243119016433E-2</v>
      </c>
      <c r="AL124" s="39">
        <f>AL123+(1000*$C$2*($B124-$B123))/(BerechnungenCLT!$W$47*2*AF124)</f>
        <v>4.2549627708835906E-3</v>
      </c>
      <c r="AM124" s="37">
        <f t="shared" si="71"/>
        <v>2.5610425244666472E-6</v>
      </c>
      <c r="AN124" s="173">
        <f t="shared" si="93"/>
        <v>3071.4347032454843</v>
      </c>
      <c r="AO124" s="173">
        <v>-257.5520972612772</v>
      </c>
      <c r="AV124" s="129">
        <v>94.835142894113048</v>
      </c>
      <c r="AW124" s="9">
        <v>12.5625</v>
      </c>
      <c r="AX124" s="129">
        <f t="shared" si="94"/>
        <v>108.7744828790098</v>
      </c>
      <c r="AY124" s="36">
        <f t="shared" si="120"/>
        <v>1.5157909527062821E-2</v>
      </c>
      <c r="AZ124" s="37">
        <f t="shared" si="95"/>
        <v>46422418.566948958</v>
      </c>
      <c r="BA124" s="36">
        <f t="shared" si="72"/>
        <v>1.9813832929725139</v>
      </c>
      <c r="BB124" s="37">
        <f t="shared" si="96"/>
        <v>-1.6959608938388489E-4</v>
      </c>
      <c r="BC124" s="37">
        <f t="shared" si="97"/>
        <v>-1.4477738133027008E-2</v>
      </c>
      <c r="BD124" s="37">
        <f t="shared" si="98"/>
        <v>-0.54901136392788097</v>
      </c>
      <c r="BE124" s="39">
        <f t="shared" si="99"/>
        <v>1.8447726921034403E-2</v>
      </c>
      <c r="BF124" s="39">
        <f>BF123+(1000*$C$2*($B124-$B123))/(BerechnungenCLT!$W$47*2*AZ124)</f>
        <v>4.1271299537061334E-3</v>
      </c>
      <c r="BG124" s="37">
        <f t="shared" si="73"/>
        <v>2.3431455369379053E-6</v>
      </c>
      <c r="BH124" s="173">
        <f t="shared" si="100"/>
        <v>2594.5820693264109</v>
      </c>
      <c r="BI124">
        <v>-258.70025840416702</v>
      </c>
      <c r="BP124" s="129">
        <v>85.749456234225434</v>
      </c>
      <c r="BQ124" s="9">
        <v>15.1875</v>
      </c>
      <c r="BR124" s="129">
        <f t="shared" si="101"/>
        <v>100.93814036587813</v>
      </c>
      <c r="BS124" s="36">
        <f t="shared" si="121"/>
        <v>1.5143784093820284E-2</v>
      </c>
      <c r="BT124" s="37">
        <f t="shared" si="102"/>
        <v>39065345.119209804</v>
      </c>
      <c r="BU124" s="36">
        <f t="shared" si="74"/>
        <v>1.9737835506009851</v>
      </c>
      <c r="BV124" s="37">
        <f t="shared" si="103"/>
        <v>-2.0153567374539671E-4</v>
      </c>
      <c r="BW124" s="37">
        <f t="shared" si="104"/>
        <v>-1.4947453746402059E-2</v>
      </c>
      <c r="BX124" s="37">
        <f t="shared" si="105"/>
        <v>-0.55331281417524136</v>
      </c>
      <c r="BY124" s="39">
        <f t="shared" si="106"/>
        <v>2.0342636125244673E-2</v>
      </c>
      <c r="BZ124" s="39">
        <f>BZ123+(1000*$C$2*($B124-$B123))/(BerechnungenCLT!$W$47*2*BT124)</f>
        <v>4.2629258505844378E-3</v>
      </c>
      <c r="CA124" s="37">
        <f t="shared" si="75"/>
        <v>2.5838282001057579E-6</v>
      </c>
      <c r="CB124" s="173">
        <f t="shared" si="107"/>
        <v>3086.264152634657</v>
      </c>
      <c r="CC124" s="9">
        <v>-257.90936537297017</v>
      </c>
      <c r="CJ124" s="9">
        <f t="shared" si="123"/>
        <v>73</v>
      </c>
      <c r="CK124" s="129">
        <v>85.52633464795116</v>
      </c>
      <c r="CL124" s="9">
        <v>10.078125</v>
      </c>
      <c r="CM124" s="129">
        <f t="shared" si="108"/>
        <v>95.604461270098085</v>
      </c>
      <c r="CN124" s="36">
        <f t="shared" si="122"/>
        <v>9.7492431075269208E-3</v>
      </c>
      <c r="CO124" s="173">
        <f t="shared" si="109"/>
        <v>3278.5320446621567</v>
      </c>
      <c r="CP124" s="9">
        <v>-630.76527933928082</v>
      </c>
      <c r="CQ124" s="129"/>
      <c r="CR124" s="36">
        <f t="shared" si="110"/>
        <v>0.83457640083670903</v>
      </c>
      <c r="CS124" s="17">
        <f t="shared" si="76"/>
        <v>0.59996113450796884</v>
      </c>
      <c r="CT124" s="9">
        <f t="shared" si="77"/>
        <v>10.078777861101074</v>
      </c>
      <c r="CU124" s="9">
        <f t="shared" si="111"/>
        <v>95.605114131304234</v>
      </c>
      <c r="CV124" s="9">
        <v>13.2</v>
      </c>
      <c r="CW124" s="9">
        <f t="shared" si="112"/>
        <v>98.726336772586379</v>
      </c>
      <c r="CX124">
        <f t="shared" si="113"/>
        <v>22</v>
      </c>
      <c r="CY124" s="9">
        <f t="shared" si="78"/>
        <v>625.29032022551689</v>
      </c>
      <c r="CZ124" s="17">
        <f t="shared" si="114"/>
        <v>0.58878561226508186</v>
      </c>
      <c r="DA124">
        <v>45</v>
      </c>
      <c r="DB124" s="9">
        <f t="shared" si="115"/>
        <v>10.090642005791535</v>
      </c>
      <c r="DC124" s="9">
        <f t="shared" si="116"/>
        <v>10.925218406669453</v>
      </c>
    </row>
    <row r="125" spans="2:107" x14ac:dyDescent="0.25">
      <c r="B125" s="9">
        <f t="shared" si="117"/>
        <v>74</v>
      </c>
      <c r="C125" s="9">
        <v>86.516732318039288</v>
      </c>
      <c r="D125" s="9"/>
      <c r="E125" s="9">
        <f t="shared" si="79"/>
        <v>86.516732318039288</v>
      </c>
      <c r="F125" s="36">
        <f t="shared" si="118"/>
        <v>0</v>
      </c>
      <c r="G125" s="37">
        <f t="shared" si="63"/>
        <v>0</v>
      </c>
      <c r="H125" s="36" t="e">
        <f t="shared" si="64"/>
        <v>#DIV/0!</v>
      </c>
      <c r="I125" s="37" t="e">
        <f t="shared" si="80"/>
        <v>#DIV/0!</v>
      </c>
      <c r="J125" s="37" t="e">
        <f t="shared" si="81"/>
        <v>#DIV/0!</v>
      </c>
      <c r="K125" s="37" t="e">
        <f t="shared" si="82"/>
        <v>#DIV/0!</v>
      </c>
      <c r="L125" s="39" t="e">
        <f t="shared" si="65"/>
        <v>#DIV/0!</v>
      </c>
      <c r="M125" s="39" t="e">
        <f>M124+(1000*$C$2*(B125-B124))/(BerechnungenCLT!$W$47*2*'Berechnung freier Bereich'!G125)</f>
        <v>#DIV/0!</v>
      </c>
      <c r="N125" s="17" t="e">
        <f t="shared" si="83"/>
        <v>#DIV/0!</v>
      </c>
      <c r="O125" s="173">
        <f t="shared" si="84"/>
        <v>3592.5582322082214</v>
      </c>
      <c r="P125" s="173"/>
      <c r="Q125" s="173"/>
      <c r="R125" s="37" t="e">
        <f t="shared" si="66"/>
        <v>#DIV/0!</v>
      </c>
      <c r="S125" s="37" t="e">
        <f t="shared" si="67"/>
        <v>#DIV/0!</v>
      </c>
      <c r="T125" s="37" t="e">
        <f t="shared" si="68"/>
        <v>#DIV/0!</v>
      </c>
      <c r="U125" s="39" t="e">
        <f t="shared" si="69"/>
        <v>#DIV/0!</v>
      </c>
      <c r="V125" s="39" t="e">
        <f t="shared" si="85"/>
        <v>#DIV/0!</v>
      </c>
      <c r="W125" s="9" t="e">
        <f t="shared" si="86"/>
        <v>#DIV/0!</v>
      </c>
      <c r="AB125" s="129">
        <v>85.958471472745018</v>
      </c>
      <c r="AC125" s="9">
        <v>15.25</v>
      </c>
      <c r="AD125" s="129">
        <f t="shared" si="87"/>
        <v>101.21013211709742</v>
      </c>
      <c r="AE125" s="36">
        <f t="shared" si="119"/>
        <v>1.5245754698577866E-2</v>
      </c>
      <c r="AF125" s="37">
        <f t="shared" si="88"/>
        <v>39532129.0724333</v>
      </c>
      <c r="AG125" s="36">
        <f t="shared" si="70"/>
        <v>1.973702203624812</v>
      </c>
      <c r="AH125" s="37">
        <f t="shared" si="89"/>
        <v>-1.9915599876421699E-4</v>
      </c>
      <c r="AI125" s="37">
        <f t="shared" si="90"/>
        <v>-1.5119065695920846E-2</v>
      </c>
      <c r="AJ125" s="37">
        <f t="shared" si="91"/>
        <v>-0.56813276959605141</v>
      </c>
      <c r="AK125" s="39">
        <f t="shared" si="92"/>
        <v>2.015660494683889E-2</v>
      </c>
      <c r="AL125" s="39">
        <f>AL124+(1000*$C$2*($B125-$B124))/(BerechnungenCLT!$W$47*2*AF125)</f>
        <v>4.3125394687828986E-3</v>
      </c>
      <c r="AM125" s="37">
        <f t="shared" si="71"/>
        <v>2.5601993743279984E-6</v>
      </c>
      <c r="AN125" s="173">
        <f t="shared" si="93"/>
        <v>3070.4216762300771</v>
      </c>
      <c r="AO125" s="173">
        <v>-257.50198673266584</v>
      </c>
      <c r="AV125" s="129">
        <v>95.315986310211514</v>
      </c>
      <c r="AW125" s="9">
        <v>12.4375</v>
      </c>
      <c r="AX125" s="129">
        <f t="shared" si="94"/>
        <v>109.13509341726871</v>
      </c>
      <c r="AY125" s="36">
        <f t="shared" si="120"/>
        <v>1.5089268463278419E-2</v>
      </c>
      <c r="AZ125" s="37">
        <f t="shared" si="95"/>
        <v>46589460.793105893</v>
      </c>
      <c r="BA125" s="36">
        <f t="shared" si="72"/>
        <v>1.9818501565717477</v>
      </c>
      <c r="BB125" s="37">
        <f t="shared" si="96"/>
        <v>-1.6898801820564136E-4</v>
      </c>
      <c r="BC125" s="37">
        <f t="shared" si="97"/>
        <v>-1.464672615123265E-2</v>
      </c>
      <c r="BD125" s="37">
        <f t="shared" si="98"/>
        <v>-0.56357359607001078</v>
      </c>
      <c r="BE125" s="39">
        <f t="shared" si="99"/>
        <v>1.8442523153271773E-2</v>
      </c>
      <c r="BF125" s="39">
        <f>BF124+(1000*$C$2*($B125-$B124))/(BerechnungenCLT!$W$47*2*AZ125)</f>
        <v>4.1759849825940562E-3</v>
      </c>
      <c r="BG125" s="37">
        <f t="shared" si="73"/>
        <v>2.3424845782593397E-6</v>
      </c>
      <c r="BH125" s="173">
        <f t="shared" si="100"/>
        <v>2573.2691114140011</v>
      </c>
      <c r="BI125">
        <v>-259.11869750609577</v>
      </c>
      <c r="BP125" s="129">
        <v>85.761943872568494</v>
      </c>
      <c r="BQ125" s="9">
        <v>15.1875</v>
      </c>
      <c r="BR125" s="129">
        <f t="shared" si="101"/>
        <v>100.95063662092372</v>
      </c>
      <c r="BS125" s="36">
        <f t="shared" si="121"/>
        <v>1.5145819337644676E-2</v>
      </c>
      <c r="BT125" s="37">
        <f t="shared" si="102"/>
        <v>39080984.937744506</v>
      </c>
      <c r="BU125" s="36">
        <f t="shared" si="74"/>
        <v>1.9737904675958799</v>
      </c>
      <c r="BV125" s="37">
        <f t="shared" si="103"/>
        <v>-2.0145502118838803E-4</v>
      </c>
      <c r="BW125" s="37">
        <f t="shared" si="104"/>
        <v>-1.5148908767590447E-2</v>
      </c>
      <c r="BX125" s="37">
        <f t="shared" si="105"/>
        <v>-0.56836099543223761</v>
      </c>
      <c r="BY125" s="39">
        <f t="shared" si="106"/>
        <v>2.0337012639449446E-2</v>
      </c>
      <c r="BZ125" s="39">
        <f>BZ124+(1000*$C$2*($B125-$B124))/(BerechnungenCLT!$W$47*2*BT125)</f>
        <v>4.3211672039317438E-3</v>
      </c>
      <c r="CA125" s="37">
        <f t="shared" si="75"/>
        <v>2.5831139307705973E-6</v>
      </c>
      <c r="CB125" s="173">
        <f t="shared" si="107"/>
        <v>3085.4382657496672</v>
      </c>
      <c r="CC125" s="9">
        <v>-257.8403486097111</v>
      </c>
      <c r="CJ125" s="9">
        <f t="shared" si="123"/>
        <v>74</v>
      </c>
      <c r="CK125" s="129">
        <v>85.52576727289545</v>
      </c>
      <c r="CL125" s="9">
        <v>10.078125</v>
      </c>
      <c r="CM125" s="129">
        <f t="shared" si="108"/>
        <v>95.603895105818154</v>
      </c>
      <c r="CN125" s="36">
        <f t="shared" si="122"/>
        <v>9.7491832667922912E-3</v>
      </c>
      <c r="CO125" s="173">
        <f t="shared" si="109"/>
        <v>3278.5730799803455</v>
      </c>
      <c r="CP125" s="9">
        <v>-630.77317423052716</v>
      </c>
      <c r="CQ125" s="129"/>
      <c r="CR125" s="36">
        <f t="shared" si="110"/>
        <v>0.83457925876444539</v>
      </c>
      <c r="CS125" s="17">
        <f t="shared" si="76"/>
        <v>0.59996318901797574</v>
      </c>
      <c r="CT125" s="9">
        <f t="shared" si="77"/>
        <v>10.078743347400314</v>
      </c>
      <c r="CU125" s="9">
        <f t="shared" si="111"/>
        <v>95.604513453392272</v>
      </c>
      <c r="CV125" s="9">
        <v>13.2</v>
      </c>
      <c r="CW125" s="9">
        <f t="shared" si="112"/>
        <v>98.725770983365365</v>
      </c>
      <c r="CX125">
        <f t="shared" si="113"/>
        <v>22</v>
      </c>
      <c r="CY125" s="9">
        <f t="shared" si="78"/>
        <v>625.29446838041326</v>
      </c>
      <c r="CZ125" s="17">
        <f t="shared" si="114"/>
        <v>0.58878951824897663</v>
      </c>
      <c r="DA125">
        <v>45</v>
      </c>
      <c r="DB125" s="9">
        <f t="shared" si="115"/>
        <v>10.090708946770292</v>
      </c>
      <c r="DC125" s="9">
        <f t="shared" si="116"/>
        <v>10.925288205606702</v>
      </c>
    </row>
    <row r="126" spans="2:107" x14ac:dyDescent="0.25">
      <c r="B126" s="9">
        <f t="shared" si="117"/>
        <v>75</v>
      </c>
      <c r="C126" s="9">
        <v>86.622383263195516</v>
      </c>
      <c r="D126" s="9"/>
      <c r="E126" s="9">
        <f t="shared" si="79"/>
        <v>86.622383263195516</v>
      </c>
      <c r="F126" s="36">
        <f t="shared" si="118"/>
        <v>0</v>
      </c>
      <c r="G126" s="37">
        <f t="shared" si="63"/>
        <v>0</v>
      </c>
      <c r="H126" s="36" t="e">
        <f t="shared" si="64"/>
        <v>#DIV/0!</v>
      </c>
      <c r="I126" s="37" t="e">
        <f t="shared" si="80"/>
        <v>#DIV/0!</v>
      </c>
      <c r="J126" s="37" t="e">
        <f t="shared" si="81"/>
        <v>#DIV/0!</v>
      </c>
      <c r="K126" s="37" t="e">
        <f t="shared" si="82"/>
        <v>#DIV/0!</v>
      </c>
      <c r="L126" s="39" t="e">
        <f t="shared" si="65"/>
        <v>#DIV/0!</v>
      </c>
      <c r="M126" s="39" t="e">
        <f>M125+(1000*$C$2*(B126-B125))/(BerechnungenCLT!$W$47*2*'Berechnung freier Bereich'!G126)</f>
        <v>#DIV/0!</v>
      </c>
      <c r="N126" s="17" t="e">
        <f t="shared" si="83"/>
        <v>#DIV/0!</v>
      </c>
      <c r="O126" s="173">
        <f t="shared" si="84"/>
        <v>3583.8000870098358</v>
      </c>
      <c r="P126" s="173"/>
      <c r="Q126" s="173"/>
      <c r="R126" s="37" t="e">
        <f t="shared" si="66"/>
        <v>#DIV/0!</v>
      </c>
      <c r="S126" s="37" t="e">
        <f t="shared" si="67"/>
        <v>#DIV/0!</v>
      </c>
      <c r="T126" s="37" t="e">
        <f t="shared" si="68"/>
        <v>#DIV/0!</v>
      </c>
      <c r="U126" s="39" t="e">
        <f t="shared" si="69"/>
        <v>#DIV/0!</v>
      </c>
      <c r="V126" s="39" t="e">
        <f t="shared" si="85"/>
        <v>#DIV/0!</v>
      </c>
      <c r="W126" s="9" t="e">
        <f t="shared" si="86"/>
        <v>#DIV/0!</v>
      </c>
      <c r="AB126" s="129">
        <v>85.973229564807482</v>
      </c>
      <c r="AC126" s="9">
        <v>15.25</v>
      </c>
      <c r="AD126" s="129">
        <f t="shared" si="87"/>
        <v>101.22470678663585</v>
      </c>
      <c r="AE126" s="36">
        <f t="shared" si="119"/>
        <v>1.5247960608427355E-2</v>
      </c>
      <c r="AF126" s="37">
        <f t="shared" si="88"/>
        <v>39550154.543680251</v>
      </c>
      <c r="AG126" s="36">
        <f t="shared" si="70"/>
        <v>1.9737109890505162</v>
      </c>
      <c r="AH126" s="37">
        <f t="shared" si="89"/>
        <v>-1.9906523095886199E-4</v>
      </c>
      <c r="AI126" s="37">
        <f t="shared" si="90"/>
        <v>-1.5318130926879708E-2</v>
      </c>
      <c r="AJ126" s="37">
        <f t="shared" si="91"/>
        <v>-0.58335136790745168</v>
      </c>
      <c r="AK126" s="39">
        <f t="shared" si="92"/>
        <v>2.0150319635224751E-2</v>
      </c>
      <c r="AL126" s="39">
        <f>AL125+(1000*$C$2*($B126-$B125))/(BerechnungenCLT!$W$47*2*AF126)</f>
        <v>4.3700899253912564E-3</v>
      </c>
      <c r="AM126" s="37">
        <f t="shared" si="71"/>
        <v>2.5594010429173055E-6</v>
      </c>
      <c r="AN126" s="173">
        <f t="shared" si="93"/>
        <v>3069.4595193541422</v>
      </c>
      <c r="AO126" s="173">
        <v>-257.44778066114623</v>
      </c>
      <c r="AV126" s="129">
        <v>95.800246188290288</v>
      </c>
      <c r="AW126" s="9">
        <v>12.375</v>
      </c>
      <c r="AX126" s="129">
        <f t="shared" si="94"/>
        <v>109.5647295096834</v>
      </c>
      <c r="AY126" s="36">
        <f t="shared" si="120"/>
        <v>1.5096806412018099E-2</v>
      </c>
      <c r="AZ126" s="37">
        <f t="shared" si="95"/>
        <v>47026811.998758905</v>
      </c>
      <c r="BA126" s="36">
        <f t="shared" si="72"/>
        <v>1.9821512319093506</v>
      </c>
      <c r="BB126" s="37">
        <f t="shared" si="96"/>
        <v>-1.6741642297385953E-4</v>
      </c>
      <c r="BC126" s="37">
        <f t="shared" si="97"/>
        <v>-1.4814142574206509E-2</v>
      </c>
      <c r="BD126" s="37">
        <f t="shared" si="98"/>
        <v>-0.57830403043273038</v>
      </c>
      <c r="BE126" s="39">
        <f t="shared" si="99"/>
        <v>1.8342935098609667E-2</v>
      </c>
      <c r="BF126" s="39">
        <f>BF125+(1000*$C$2*($B126-$B125))/(BerechnungenCLT!$W$47*2*AZ126)</f>
        <v>4.2243856577871778E-3</v>
      </c>
      <c r="BG126" s="37">
        <f t="shared" si="73"/>
        <v>2.3298353609973593E-6</v>
      </c>
      <c r="BH126" s="173">
        <f t="shared" si="100"/>
        <v>2550.4174288829049</v>
      </c>
      <c r="BI126">
        <v>-258.09784671840754</v>
      </c>
      <c r="BP126" s="129">
        <v>85.774476865426465</v>
      </c>
      <c r="BQ126" s="9">
        <v>15.1875</v>
      </c>
      <c r="BR126" s="129">
        <f t="shared" si="101"/>
        <v>100.96317441696509</v>
      </c>
      <c r="BS126" s="36">
        <f t="shared" si="121"/>
        <v>1.5147857829329103E-2</v>
      </c>
      <c r="BT126" s="37">
        <f t="shared" si="102"/>
        <v>39096673.339634903</v>
      </c>
      <c r="BU126" s="36">
        <f t="shared" si="74"/>
        <v>1.9737974190288543</v>
      </c>
      <c r="BV126" s="37">
        <f t="shared" si="103"/>
        <v>-2.0137418292095319E-4</v>
      </c>
      <c r="BW126" s="37">
        <f t="shared" si="104"/>
        <v>-1.53502829505114E-2</v>
      </c>
      <c r="BX126" s="37">
        <f t="shared" si="105"/>
        <v>-0.58361059129128856</v>
      </c>
      <c r="BY126" s="39">
        <f t="shared" si="106"/>
        <v>2.0331376753322028E-2</v>
      </c>
      <c r="BZ126" s="39">
        <f>BZ125+(1000*$C$2*($B126-$B125))/(BerechnungenCLT!$W$47*2*BT126)</f>
        <v>4.3793851866523468E-3</v>
      </c>
      <c r="CA126" s="37">
        <f t="shared" si="75"/>
        <v>2.5823980864022001E-6</v>
      </c>
      <c r="CB126" s="173">
        <f t="shared" si="107"/>
        <v>3084.6098395783165</v>
      </c>
      <c r="CC126" s="9">
        <v>-257.7711196462962</v>
      </c>
      <c r="CJ126" s="9">
        <f t="shared" si="123"/>
        <v>75</v>
      </c>
      <c r="CK126" s="129">
        <v>85.525017477930078</v>
      </c>
      <c r="CL126" s="9">
        <v>10.078125</v>
      </c>
      <c r="CM126" s="129">
        <f t="shared" si="108"/>
        <v>95.603146935246102</v>
      </c>
      <c r="CN126" s="36">
        <f t="shared" si="122"/>
        <v>9.7491042111573709E-3</v>
      </c>
      <c r="CO126" s="173">
        <f t="shared" si="109"/>
        <v>3278.6273090927511</v>
      </c>
      <c r="CP126" s="9">
        <v>-630.78360751004641</v>
      </c>
      <c r="CQ126" s="129"/>
      <c r="CR126" s="36">
        <f t="shared" si="110"/>
        <v>0.83458303545163881</v>
      </c>
      <c r="CS126" s="17">
        <f t="shared" si="76"/>
        <v>0.59996590400671845</v>
      </c>
      <c r="CT126" s="9">
        <f t="shared" si="77"/>
        <v>10.078697738683974</v>
      </c>
      <c r="CU126" s="9">
        <f t="shared" si="111"/>
        <v>95.603719674183381</v>
      </c>
      <c r="CV126" s="9">
        <v>13.2</v>
      </c>
      <c r="CW126" s="9">
        <f t="shared" si="112"/>
        <v>98.725023315977481</v>
      </c>
      <c r="CX126">
        <f t="shared" si="113"/>
        <v>22</v>
      </c>
      <c r="CY126" s="9">
        <f t="shared" si="78"/>
        <v>625.29995031608644</v>
      </c>
      <c r="CZ126" s="17">
        <f t="shared" si="114"/>
        <v>0.588794680146974</v>
      </c>
      <c r="DA126">
        <v>45</v>
      </c>
      <c r="DB126" s="9">
        <f t="shared" si="115"/>
        <v>10.090797411677853</v>
      </c>
      <c r="DC126" s="9">
        <f t="shared" si="116"/>
        <v>10.925380447242709</v>
      </c>
    </row>
    <row r="127" spans="2:107" x14ac:dyDescent="0.25">
      <c r="B127" s="9">
        <f t="shared" si="117"/>
        <v>76</v>
      </c>
      <c r="C127" s="9">
        <v>86.732132903286811</v>
      </c>
      <c r="D127" s="9"/>
      <c r="E127" s="9">
        <f t="shared" si="79"/>
        <v>86.732132903286811</v>
      </c>
      <c r="F127" s="36">
        <f t="shared" si="118"/>
        <v>0</v>
      </c>
      <c r="G127" s="37">
        <f t="shared" si="63"/>
        <v>0</v>
      </c>
      <c r="H127" s="36" t="e">
        <f t="shared" si="64"/>
        <v>#DIV/0!</v>
      </c>
      <c r="I127" s="37" t="e">
        <f t="shared" si="80"/>
        <v>#DIV/0!</v>
      </c>
      <c r="J127" s="37" t="e">
        <f t="shared" si="81"/>
        <v>#DIV/0!</v>
      </c>
      <c r="K127" s="37" t="e">
        <f t="shared" si="82"/>
        <v>#DIV/0!</v>
      </c>
      <c r="L127" s="39" t="e">
        <f t="shared" si="65"/>
        <v>#DIV/0!</v>
      </c>
      <c r="M127" s="39" t="e">
        <f>M126+(1000*$C$2*(B127-B126))/(BerechnungenCLT!$W$47*2*'Berechnung freier Bereich'!G127)</f>
        <v>#DIV/0!</v>
      </c>
      <c r="N127" s="17" t="e">
        <f t="shared" si="83"/>
        <v>#DIV/0!</v>
      </c>
      <c r="O127" s="173">
        <f t="shared" si="84"/>
        <v>3574.7360433798071</v>
      </c>
      <c r="P127" s="173"/>
      <c r="Q127" s="173"/>
      <c r="R127" s="37" t="e">
        <f t="shared" si="66"/>
        <v>#DIV/0!</v>
      </c>
      <c r="S127" s="37" t="e">
        <f t="shared" si="67"/>
        <v>#DIV/0!</v>
      </c>
      <c r="T127" s="37" t="e">
        <f t="shared" si="68"/>
        <v>#DIV/0!</v>
      </c>
      <c r="U127" s="39" t="e">
        <f t="shared" si="69"/>
        <v>#DIV/0!</v>
      </c>
      <c r="V127" s="39" t="e">
        <f t="shared" si="85"/>
        <v>#DIV/0!</v>
      </c>
      <c r="W127" s="9" t="e">
        <f t="shared" si="86"/>
        <v>#DIV/0!</v>
      </c>
      <c r="AB127" s="129">
        <v>85.987148738399824</v>
      </c>
      <c r="AC127" s="9">
        <v>15.25</v>
      </c>
      <c r="AD127" s="129">
        <f t="shared" si="87"/>
        <v>101.23843846925129</v>
      </c>
      <c r="AE127" s="36">
        <f t="shared" si="119"/>
        <v>1.5250025396957826E-2</v>
      </c>
      <c r="AF127" s="37">
        <f t="shared" si="88"/>
        <v>39567113.00728748</v>
      </c>
      <c r="AG127" s="36">
        <f t="shared" si="70"/>
        <v>1.9737193166777809</v>
      </c>
      <c r="AH127" s="37">
        <f t="shared" si="89"/>
        <v>-1.989799116060434E-4</v>
      </c>
      <c r="AI127" s="37">
        <f t="shared" si="90"/>
        <v>-1.551711083848575E-2</v>
      </c>
      <c r="AJ127" s="37">
        <f t="shared" si="91"/>
        <v>-0.5987689887901344</v>
      </c>
      <c r="AK127" s="39">
        <f t="shared" si="92"/>
        <v>2.0144415537745486E-2</v>
      </c>
      <c r="AL127" s="39">
        <f>AL126+(1000*$C$2*($B127-$B126))/(BerechnungenCLT!$W$47*2*AF127)</f>
        <v>4.4276157158754069E-3</v>
      </c>
      <c r="AM127" s="37">
        <f t="shared" si="71"/>
        <v>2.5586511315749817E-6</v>
      </c>
      <c r="AN127" s="173">
        <f t="shared" si="93"/>
        <v>3068.5529454427228</v>
      </c>
      <c r="AO127" s="173">
        <v>-257.38929128631406</v>
      </c>
      <c r="AV127" s="129">
        <v>96.287247309336465</v>
      </c>
      <c r="AW127" s="9">
        <v>12.25</v>
      </c>
      <c r="AX127" s="129">
        <f t="shared" si="94"/>
        <v>109.92379562681299</v>
      </c>
      <c r="AY127" s="36">
        <f t="shared" si="120"/>
        <v>1.501810610825031E-2</v>
      </c>
      <c r="AZ127" s="37">
        <f t="shared" si="95"/>
        <v>47162318.97416044</v>
      </c>
      <c r="BA127" s="36">
        <f t="shared" si="72"/>
        <v>1.9826218509320992</v>
      </c>
      <c r="BB127" s="37">
        <f t="shared" si="96"/>
        <v>-1.6693540139554907E-4</v>
      </c>
      <c r="BC127" s="37">
        <f t="shared" si="97"/>
        <v>-1.4981077975602058E-2</v>
      </c>
      <c r="BD127" s="37">
        <f t="shared" si="98"/>
        <v>-0.5932016407076347</v>
      </c>
      <c r="BE127" s="39">
        <f t="shared" si="99"/>
        <v>1.8350172945884327E-2</v>
      </c>
      <c r="BF127" s="39">
        <f>BF126+(1000*$C$2*($B127-$B126))/(BerechnungenCLT!$W$47*2*AZ127)</f>
        <v>4.272647267954544E-3</v>
      </c>
      <c r="BG127" s="37">
        <f t="shared" si="73"/>
        <v>2.3307546791123367E-6</v>
      </c>
      <c r="BH127" s="173">
        <f t="shared" si="100"/>
        <v>2529.5320494232606</v>
      </c>
      <c r="BI127">
        <v>-258.598031352112</v>
      </c>
      <c r="BP127" s="129">
        <v>85.787035069029344</v>
      </c>
      <c r="BQ127" s="9">
        <v>15.1875</v>
      </c>
      <c r="BR127" s="129">
        <f t="shared" si="101"/>
        <v>100.97573358709923</v>
      </c>
      <c r="BS127" s="36">
        <f t="shared" si="121"/>
        <v>1.5149896274337316E-2</v>
      </c>
      <c r="BT127" s="37">
        <f t="shared" si="102"/>
        <v>39112385.081968218</v>
      </c>
      <c r="BU127" s="36">
        <f t="shared" si="74"/>
        <v>1.9738043937446212</v>
      </c>
      <c r="BV127" s="37">
        <f t="shared" si="103"/>
        <v>-2.0129328938127246E-4</v>
      </c>
      <c r="BW127" s="37">
        <f t="shared" si="104"/>
        <v>-1.5551576239892673E-2</v>
      </c>
      <c r="BX127" s="37">
        <f t="shared" si="105"/>
        <v>-0.59906152088649056</v>
      </c>
      <c r="BY127" s="39">
        <f t="shared" si="106"/>
        <v>2.0325737561434236E-2</v>
      </c>
      <c r="BZ127" s="39">
        <f>BZ126+(1000*$C$2*($B127-$B126))/(BerechnungenCLT!$W$47*2*BT127)</f>
        <v>4.4375797827668467E-3</v>
      </c>
      <c r="CA127" s="37">
        <f t="shared" si="75"/>
        <v>2.5816818221513052E-6</v>
      </c>
      <c r="CB127" s="173">
        <f t="shared" si="107"/>
        <v>3083.7802086101856</v>
      </c>
      <c r="CC127" s="9">
        <v>-257.70179000181264</v>
      </c>
      <c r="CJ127" s="9">
        <f t="shared" si="123"/>
        <v>76</v>
      </c>
      <c r="CK127" s="129">
        <v>85.524076971240973</v>
      </c>
      <c r="CL127" s="9">
        <v>10.078125</v>
      </c>
      <c r="CM127" s="129">
        <f t="shared" si="108"/>
        <v>95.602208514378646</v>
      </c>
      <c r="CN127" s="36">
        <f t="shared" si="122"/>
        <v>9.7490050968225168E-3</v>
      </c>
      <c r="CO127" s="173">
        <f t="shared" si="109"/>
        <v>3278.6953316344211</v>
      </c>
      <c r="CP127" s="9">
        <v>-630.79669454317991</v>
      </c>
      <c r="CQ127" s="129"/>
      <c r="CR127" s="36">
        <f t="shared" si="110"/>
        <v>0.83458777252514316</v>
      </c>
      <c r="CS127" s="17">
        <f t="shared" si="76"/>
        <v>0.59996930939895232</v>
      </c>
      <c r="CT127" s="9">
        <f t="shared" si="77"/>
        <v>10.078640532559479</v>
      </c>
      <c r="CU127" s="9">
        <f t="shared" si="111"/>
        <v>95.602724047272829</v>
      </c>
      <c r="CV127" s="9">
        <v>13.2</v>
      </c>
      <c r="CW127" s="9">
        <f t="shared" si="112"/>
        <v>98.72408554122967</v>
      </c>
      <c r="CX127">
        <f t="shared" si="113"/>
        <v>22</v>
      </c>
      <c r="CY127" s="9">
        <f t="shared" si="78"/>
        <v>625.30682672804892</v>
      </c>
      <c r="CZ127" s="17">
        <f t="shared" si="114"/>
        <v>0.58880115511115727</v>
      </c>
      <c r="DA127">
        <v>45</v>
      </c>
      <c r="DB127" s="9">
        <f t="shared" si="115"/>
        <v>10.090908379989937</v>
      </c>
      <c r="DC127" s="9">
        <f t="shared" si="116"/>
        <v>10.925496152681264</v>
      </c>
    </row>
    <row r="128" spans="2:107" x14ac:dyDescent="0.25">
      <c r="B128" s="9">
        <f t="shared" si="117"/>
        <v>77</v>
      </c>
      <c r="C128" s="9">
        <v>86.845870491981117</v>
      </c>
      <c r="D128" s="9"/>
      <c r="E128" s="9">
        <f t="shared" si="79"/>
        <v>86.845870491981117</v>
      </c>
      <c r="F128" s="36">
        <f t="shared" si="118"/>
        <v>0</v>
      </c>
      <c r="G128" s="37">
        <f t="shared" si="63"/>
        <v>0</v>
      </c>
      <c r="H128" s="36" t="e">
        <f t="shared" si="64"/>
        <v>#DIV/0!</v>
      </c>
      <c r="I128" s="37" t="e">
        <f t="shared" si="80"/>
        <v>#DIV/0!</v>
      </c>
      <c r="J128" s="37" t="e">
        <f t="shared" si="81"/>
        <v>#DIV/0!</v>
      </c>
      <c r="K128" s="37" t="e">
        <f t="shared" si="82"/>
        <v>#DIV/0!</v>
      </c>
      <c r="L128" s="39" t="e">
        <f t="shared" si="65"/>
        <v>#DIV/0!</v>
      </c>
      <c r="M128" s="39" t="e">
        <f>M127+(1000*$C$2*(B128-B127))/(BerechnungenCLT!$W$47*2*'Berechnung freier Bereich'!G128)</f>
        <v>#DIV/0!</v>
      </c>
      <c r="N128" s="17" t="e">
        <f t="shared" si="83"/>
        <v>#DIV/0!</v>
      </c>
      <c r="O128" s="173">
        <f t="shared" si="84"/>
        <v>3565.3788772699386</v>
      </c>
      <c r="P128" s="173"/>
      <c r="Q128" s="173"/>
      <c r="R128" s="37" t="e">
        <f t="shared" si="66"/>
        <v>#DIV/0!</v>
      </c>
      <c r="S128" s="37" t="e">
        <f t="shared" si="67"/>
        <v>#DIV/0!</v>
      </c>
      <c r="T128" s="37" t="e">
        <f t="shared" si="68"/>
        <v>#DIV/0!</v>
      </c>
      <c r="U128" s="39" t="e">
        <f t="shared" si="69"/>
        <v>#DIV/0!</v>
      </c>
      <c r="V128" s="39" t="e">
        <f t="shared" si="85"/>
        <v>#DIV/0!</v>
      </c>
      <c r="W128" s="9" t="e">
        <f t="shared" si="86"/>
        <v>#DIV/0!</v>
      </c>
      <c r="AB128" s="129">
        <v>86.000154590244705</v>
      </c>
      <c r="AC128" s="9">
        <v>15.25</v>
      </c>
      <c r="AD128" s="129">
        <f t="shared" si="87"/>
        <v>101.25125587019372</v>
      </c>
      <c r="AE128" s="36">
        <f t="shared" si="119"/>
        <v>1.5251940308772249E-2</v>
      </c>
      <c r="AF128" s="37">
        <f t="shared" si="88"/>
        <v>39582919.733697116</v>
      </c>
      <c r="AG128" s="36">
        <f t="shared" si="70"/>
        <v>1.9737271360577646</v>
      </c>
      <c r="AH128" s="37">
        <f t="shared" si="89"/>
        <v>-1.9890045256045174E-4</v>
      </c>
      <c r="AI128" s="37">
        <f t="shared" si="90"/>
        <v>-1.5716011291046203E-2</v>
      </c>
      <c r="AJ128" s="37">
        <f t="shared" si="91"/>
        <v>-0.61438554985490035</v>
      </c>
      <c r="AK128" s="39">
        <f t="shared" si="92"/>
        <v>2.0138920614895625E-2</v>
      </c>
      <c r="AL128" s="39">
        <f>AL127+(1000*$C$2*($B128-$B127))/(BerechnungenCLT!$W$47*2*AF128)</f>
        <v>4.4851185344707278E-3</v>
      </c>
      <c r="AM128" s="37">
        <f t="shared" si="71"/>
        <v>2.5579531917146091E-6</v>
      </c>
      <c r="AN128" s="173">
        <f t="shared" si="93"/>
        <v>3067.7066548397765</v>
      </c>
      <c r="AO128" s="173">
        <v>-257.32633127282082</v>
      </c>
      <c r="AV128" s="129">
        <v>96.77631445433704</v>
      </c>
      <c r="AW128" s="9">
        <v>12.125</v>
      </c>
      <c r="AX128" s="129">
        <f t="shared" si="94"/>
        <v>110.28113161990258</v>
      </c>
      <c r="AY128" s="36">
        <f t="shared" si="120"/>
        <v>1.4934075957847867E-2</v>
      </c>
      <c r="AZ128" s="37">
        <f t="shared" si="95"/>
        <v>47278611.789678477</v>
      </c>
      <c r="BA128" s="36">
        <f t="shared" si="72"/>
        <v>1.9830920351091998</v>
      </c>
      <c r="BB128" s="37">
        <f t="shared" si="96"/>
        <v>-1.6652478468953655E-4</v>
      </c>
      <c r="BC128" s="37">
        <f t="shared" si="97"/>
        <v>-1.5147602760291595E-2</v>
      </c>
      <c r="BD128" s="37">
        <f t="shared" si="98"/>
        <v>-0.6082659810755815</v>
      </c>
      <c r="BE128" s="39">
        <f t="shared" si="99"/>
        <v>1.8364541698322717E-2</v>
      </c>
      <c r="BF128" s="39">
        <f>BF127+(1000*$C$2*($B128-$B127))/(BerechnungenCLT!$W$47*2*AZ128)</f>
        <v>4.3207901673917234E-3</v>
      </c>
      <c r="BG128" s="37">
        <f t="shared" si="73"/>
        <v>2.3325797320465818E-6</v>
      </c>
      <c r="BH128" s="173">
        <f t="shared" si="100"/>
        <v>2508.8940290114142</v>
      </c>
      <c r="BI128">
        <v>-259.15347372907763</v>
      </c>
      <c r="BP128" s="129">
        <v>85.799598339607059</v>
      </c>
      <c r="BQ128" s="9">
        <v>15.1875</v>
      </c>
      <c r="BR128" s="129">
        <f t="shared" si="101"/>
        <v>100.98829398290673</v>
      </c>
      <c r="BS128" s="36">
        <f t="shared" si="121"/>
        <v>1.5151931398050808E-2</v>
      </c>
      <c r="BT128" s="37">
        <f t="shared" si="102"/>
        <v>39128094.954493195</v>
      </c>
      <c r="BU128" s="36">
        <f t="shared" si="74"/>
        <v>1.9738113805475574</v>
      </c>
      <c r="BV128" s="37">
        <f t="shared" si="103"/>
        <v>-2.0121247042190351E-4</v>
      </c>
      <c r="BW128" s="37">
        <f t="shared" si="104"/>
        <v>-1.5752788710314575E-2</v>
      </c>
      <c r="BX128" s="37">
        <f t="shared" si="105"/>
        <v>-0.61471370336159414</v>
      </c>
      <c r="BY128" s="39">
        <f t="shared" si="106"/>
        <v>2.0320104115994116E-2</v>
      </c>
      <c r="BZ128" s="39">
        <f>BZ127+(1000*$C$2*($B128-$B127))/(BerechnungenCLT!$W$47*2*BT128)</f>
        <v>4.4957510138366732E-3</v>
      </c>
      <c r="CA128" s="37">
        <f t="shared" si="75"/>
        <v>2.5809662877877967E-6</v>
      </c>
      <c r="CB128" s="173">
        <f t="shared" si="107"/>
        <v>3082.9507045796281</v>
      </c>
      <c r="CC128" s="9">
        <v>-257.63247096510196</v>
      </c>
      <c r="CJ128" s="9">
        <f t="shared" si="123"/>
        <v>77</v>
      </c>
      <c r="CK128" s="129">
        <v>85.522937461014067</v>
      </c>
      <c r="CL128" s="9">
        <v>10.078125</v>
      </c>
      <c r="CM128" s="129">
        <f t="shared" si="108"/>
        <v>95.601071601291153</v>
      </c>
      <c r="CN128" s="36">
        <f t="shared" si="122"/>
        <v>9.7488850821026412E-3</v>
      </c>
      <c r="CO128" s="173">
        <f t="shared" si="109"/>
        <v>3278.7777474934283</v>
      </c>
      <c r="CP128" s="9">
        <v>-630.81255074394926</v>
      </c>
      <c r="CQ128" s="129"/>
      <c r="CR128" s="36">
        <f t="shared" si="110"/>
        <v>0.83459351160521766</v>
      </c>
      <c r="CS128" s="17">
        <f t="shared" si="76"/>
        <v>0.59997343511469148</v>
      </c>
      <c r="CT128" s="9">
        <f t="shared" si="77"/>
        <v>10.078571226814523</v>
      </c>
      <c r="CU128" s="9">
        <f t="shared" si="111"/>
        <v>95.601517828510367</v>
      </c>
      <c r="CV128" s="9">
        <v>13.2</v>
      </c>
      <c r="CW128" s="9">
        <f t="shared" si="112"/>
        <v>98.722949432651404</v>
      </c>
      <c r="CX128">
        <f t="shared" si="113"/>
        <v>22</v>
      </c>
      <c r="CY128" s="9">
        <f t="shared" si="78"/>
        <v>625.31515833527806</v>
      </c>
      <c r="CZ128" s="17">
        <f t="shared" si="114"/>
        <v>0.58880900031570438</v>
      </c>
      <c r="DA128">
        <v>45</v>
      </c>
      <c r="DB128" s="9">
        <f t="shared" si="115"/>
        <v>10.091042831560934</v>
      </c>
      <c r="DC128" s="9">
        <f t="shared" si="116"/>
        <v>10.925636343398271</v>
      </c>
    </row>
    <row r="129" spans="2:107" x14ac:dyDescent="0.25">
      <c r="B129" s="9">
        <f t="shared" si="117"/>
        <v>78</v>
      </c>
      <c r="C129" s="9">
        <v>86.963485282946351</v>
      </c>
      <c r="D129" s="9"/>
      <c r="E129" s="9">
        <f t="shared" si="79"/>
        <v>86.963485282946351</v>
      </c>
      <c r="F129" s="36">
        <f t="shared" si="118"/>
        <v>0</v>
      </c>
      <c r="G129" s="37">
        <f t="shared" si="63"/>
        <v>0</v>
      </c>
      <c r="H129" s="36" t="e">
        <f t="shared" si="64"/>
        <v>#DIV/0!</v>
      </c>
      <c r="I129" s="37" t="e">
        <f t="shared" si="80"/>
        <v>#DIV/0!</v>
      </c>
      <c r="J129" s="37" t="e">
        <f t="shared" si="81"/>
        <v>#DIV/0!</v>
      </c>
      <c r="K129" s="37" t="e">
        <f t="shared" si="82"/>
        <v>#DIV/0!</v>
      </c>
      <c r="L129" s="39" t="e">
        <f t="shared" si="65"/>
        <v>#DIV/0!</v>
      </c>
      <c r="M129" s="39" t="e">
        <f>M128+(1000*$C$2*(B129-B128))/(BerechnungenCLT!$W$47*2*'Berechnung freier Bereich'!G129)</f>
        <v>#DIV/0!</v>
      </c>
      <c r="N129" s="17" t="e">
        <f t="shared" si="83"/>
        <v>#DIV/0!</v>
      </c>
      <c r="O129" s="173">
        <f t="shared" si="84"/>
        <v>3555.7413214966905</v>
      </c>
      <c r="P129" s="173"/>
      <c r="Q129" s="173"/>
      <c r="R129" s="37" t="e">
        <f t="shared" si="66"/>
        <v>#DIV/0!</v>
      </c>
      <c r="S129" s="37" t="e">
        <f t="shared" si="67"/>
        <v>#DIV/0!</v>
      </c>
      <c r="T129" s="37" t="e">
        <f t="shared" si="68"/>
        <v>#DIV/0!</v>
      </c>
      <c r="U129" s="39" t="e">
        <f t="shared" si="69"/>
        <v>#DIV/0!</v>
      </c>
      <c r="V129" s="39" t="e">
        <f t="shared" si="85"/>
        <v>#DIV/0!</v>
      </c>
      <c r="W129" s="9" t="e">
        <f t="shared" si="86"/>
        <v>#DIV/0!</v>
      </c>
      <c r="AB129" s="129">
        <v>86.012172717064828</v>
      </c>
      <c r="AC129" s="9">
        <v>15.25</v>
      </c>
      <c r="AD129" s="129">
        <f t="shared" si="87"/>
        <v>101.26308794811536</v>
      </c>
      <c r="AE129" s="36">
        <f t="shared" si="119"/>
        <v>1.5253696864973756E-2</v>
      </c>
      <c r="AF129" s="37">
        <f t="shared" si="88"/>
        <v>39597490.801234201</v>
      </c>
      <c r="AG129" s="36">
        <f t="shared" si="70"/>
        <v>1.9737343959880005</v>
      </c>
      <c r="AH129" s="37">
        <f t="shared" si="89"/>
        <v>-1.9882726125795326E-4</v>
      </c>
      <c r="AI129" s="37">
        <f t="shared" si="90"/>
        <v>-1.5914838552304158E-2</v>
      </c>
      <c r="AJ129" s="37">
        <f t="shared" si="91"/>
        <v>-0.63020097477657555</v>
      </c>
      <c r="AK129" s="39">
        <f t="shared" si="92"/>
        <v>2.0133862443247028E-2</v>
      </c>
      <c r="AL129" s="39">
        <f>AL128+(1000*$C$2*($B129-$B128))/(BerechnungenCLT!$W$47*2*AF129)</f>
        <v>4.5426001932037351E-3</v>
      </c>
      <c r="AM129" s="37">
        <f t="shared" si="71"/>
        <v>2.557310725985676E-6</v>
      </c>
      <c r="AN129" s="173">
        <f t="shared" si="93"/>
        <v>3066.9253367671158</v>
      </c>
      <c r="AO129" s="173">
        <v>-257.25871375874937</v>
      </c>
      <c r="AV129" s="129">
        <v>97.266772404279081</v>
      </c>
      <c r="AW129" s="9">
        <v>12.0625</v>
      </c>
      <c r="AX129" s="129">
        <f t="shared" si="94"/>
        <v>110.70578031032819</v>
      </c>
      <c r="AY129" s="36">
        <f t="shared" si="120"/>
        <v>1.492698258058613E-2</v>
      </c>
      <c r="AZ129" s="37">
        <f t="shared" si="95"/>
        <v>47671063.58965084</v>
      </c>
      <c r="BA129" s="36">
        <f t="shared" si="72"/>
        <v>1.9834015020414999</v>
      </c>
      <c r="BB129" s="37">
        <f t="shared" si="96"/>
        <v>-1.6515387020661306E-4</v>
      </c>
      <c r="BC129" s="37">
        <f t="shared" si="97"/>
        <v>-1.5312756630498208E-2</v>
      </c>
      <c r="BD129" s="37">
        <f t="shared" si="98"/>
        <v>-0.62349616077097636</v>
      </c>
      <c r="BE129" s="39">
        <f t="shared" si="99"/>
        <v>1.8283488072493762E-2</v>
      </c>
      <c r="BF129" s="39">
        <f>BF128+(1000*$C$2*($B129-$B128))/(BerechnungenCLT!$W$47*2*AZ129)</f>
        <v>4.3685367306426021E-3</v>
      </c>
      <c r="BG129" s="37">
        <f t="shared" si="73"/>
        <v>2.3222846728001658E-6</v>
      </c>
      <c r="BH129" s="173">
        <f t="shared" si="100"/>
        <v>2486.863675366676</v>
      </c>
      <c r="BI129">
        <v>-258.25098449002479</v>
      </c>
      <c r="BP129" s="129">
        <v>85.812146533389637</v>
      </c>
      <c r="BQ129" s="9">
        <v>15.1875</v>
      </c>
      <c r="BR129" s="129">
        <f t="shared" si="101"/>
        <v>101.00083547445179</v>
      </c>
      <c r="BS129" s="36">
        <f t="shared" si="121"/>
        <v>1.5153959945789207E-2</v>
      </c>
      <c r="BT129" s="37">
        <f t="shared" si="102"/>
        <v>39143777.779714502</v>
      </c>
      <c r="BU129" s="36">
        <f t="shared" si="74"/>
        <v>1.9738183682018919</v>
      </c>
      <c r="BV129" s="37">
        <f t="shared" si="103"/>
        <v>-2.0113185531051256E-4</v>
      </c>
      <c r="BW129" s="37">
        <f t="shared" si="104"/>
        <v>-1.5953920565625088E-2</v>
      </c>
      <c r="BX129" s="37">
        <f t="shared" si="105"/>
        <v>-0.63056705799956392</v>
      </c>
      <c r="BY129" s="39">
        <f t="shared" si="106"/>
        <v>2.031448542688832E-2</v>
      </c>
      <c r="BZ129" s="39">
        <f>BZ128+(1000*$C$2*($B129-$B128))/(BerechnungenCLT!$W$47*2*BT129)</f>
        <v>4.5538989387949921E-3</v>
      </c>
      <c r="CA129" s="37">
        <f t="shared" si="75"/>
        <v>2.5802526277060946E-6</v>
      </c>
      <c r="CB129" s="173">
        <f t="shared" si="107"/>
        <v>3082.1226564642157</v>
      </c>
      <c r="CC129" s="9">
        <v>-257.56327359463</v>
      </c>
      <c r="CJ129" s="9">
        <f t="shared" si="123"/>
        <v>78</v>
      </c>
      <c r="CK129" s="129">
        <v>85.521590655435276</v>
      </c>
      <c r="CL129" s="9">
        <v>10.078125</v>
      </c>
      <c r="CM129" s="129">
        <f t="shared" si="108"/>
        <v>95.599727956137556</v>
      </c>
      <c r="CN129" s="36">
        <f t="shared" si="122"/>
        <v>9.748743327425648E-3</v>
      </c>
      <c r="CO129" s="173">
        <f t="shared" si="109"/>
        <v>3278.8751568495213</v>
      </c>
      <c r="CP129" s="9">
        <v>-630.83129158249187</v>
      </c>
      <c r="CQ129" s="129"/>
      <c r="CR129" s="36">
        <f t="shared" si="110"/>
        <v>0.8346002943059847</v>
      </c>
      <c r="CS129" s="17">
        <f t="shared" si="76"/>
        <v>0.59997831106953903</v>
      </c>
      <c r="CT129" s="9">
        <f t="shared" si="77"/>
        <v>10.078489319423335</v>
      </c>
      <c r="CU129" s="9">
        <f t="shared" si="111"/>
        <v>95.600092276005554</v>
      </c>
      <c r="CV129" s="9">
        <v>13.2</v>
      </c>
      <c r="CW129" s="9">
        <f t="shared" si="112"/>
        <v>98.721606766494631</v>
      </c>
      <c r="CX129">
        <f t="shared" si="113"/>
        <v>22</v>
      </c>
      <c r="CY129" s="9">
        <f t="shared" si="78"/>
        <v>625.32500588298262</v>
      </c>
      <c r="CZ129" s="17">
        <f t="shared" si="114"/>
        <v>0.58881827295949407</v>
      </c>
      <c r="DA129">
        <v>45</v>
      </c>
      <c r="DB129" s="9">
        <f t="shared" si="115"/>
        <v>10.091201746668537</v>
      </c>
      <c r="DC129" s="9">
        <f t="shared" si="116"/>
        <v>10.925802041286865</v>
      </c>
    </row>
    <row r="130" spans="2:107" x14ac:dyDescent="0.25">
      <c r="B130" s="9">
        <f t="shared" si="117"/>
        <v>79</v>
      </c>
      <c r="C130" s="9">
        <v>87.084866529850444</v>
      </c>
      <c r="D130" s="9"/>
      <c r="E130" s="9">
        <f t="shared" si="79"/>
        <v>87.084866529850444</v>
      </c>
      <c r="F130" s="36">
        <f t="shared" si="118"/>
        <v>0</v>
      </c>
      <c r="G130" s="37">
        <f t="shared" si="63"/>
        <v>0</v>
      </c>
      <c r="H130" s="36" t="e">
        <f t="shared" si="64"/>
        <v>#DIV/0!</v>
      </c>
      <c r="I130" s="37" t="e">
        <f t="shared" si="80"/>
        <v>#DIV/0!</v>
      </c>
      <c r="J130" s="37" t="e">
        <f t="shared" si="81"/>
        <v>#DIV/0!</v>
      </c>
      <c r="K130" s="37" t="e">
        <f t="shared" si="82"/>
        <v>#DIV/0!</v>
      </c>
      <c r="L130" s="39" t="e">
        <f t="shared" si="65"/>
        <v>#DIV/0!</v>
      </c>
      <c r="M130" s="39" t="e">
        <f>M129+(1000*$C$2*(B130-B129))/(BerechnungenCLT!$W$47*2*'Berechnung freier Bereich'!G130)</f>
        <v>#DIV/0!</v>
      </c>
      <c r="N130" s="17" t="e">
        <f t="shared" si="83"/>
        <v>#DIV/0!</v>
      </c>
      <c r="O130" s="173">
        <f t="shared" si="84"/>
        <v>3545.836052203636</v>
      </c>
      <c r="P130" s="173"/>
      <c r="Q130" s="173"/>
      <c r="R130" s="37" t="e">
        <f t="shared" si="66"/>
        <v>#DIV/0!</v>
      </c>
      <c r="S130" s="37" t="e">
        <f t="shared" si="67"/>
        <v>#DIV/0!</v>
      </c>
      <c r="T130" s="37" t="e">
        <f t="shared" si="68"/>
        <v>#DIV/0!</v>
      </c>
      <c r="U130" s="39" t="e">
        <f t="shared" si="69"/>
        <v>#DIV/0!</v>
      </c>
      <c r="V130" s="39" t="e">
        <f t="shared" si="85"/>
        <v>#DIV/0!</v>
      </c>
      <c r="W130" s="9" t="e">
        <f t="shared" si="86"/>
        <v>#DIV/0!</v>
      </c>
      <c r="AB130" s="129">
        <v>86.023128715582828</v>
      </c>
      <c r="AC130" s="9">
        <v>15.1875</v>
      </c>
      <c r="AD130" s="129">
        <f t="shared" si="87"/>
        <v>101.21136090197176</v>
      </c>
      <c r="AE130" s="36">
        <f t="shared" si="119"/>
        <v>1.5187695207016294E-2</v>
      </c>
      <c r="AF130" s="37">
        <f t="shared" si="88"/>
        <v>39406972.80795709</v>
      </c>
      <c r="AG130" s="36">
        <f t="shared" si="70"/>
        <v>1.9739365160174001</v>
      </c>
      <c r="AH130" s="37">
        <f t="shared" si="89"/>
        <v>-1.9978851679534892E-4</v>
      </c>
      <c r="AI130" s="37">
        <f t="shared" si="90"/>
        <v>-1.6114627069099507E-2</v>
      </c>
      <c r="AJ130" s="37">
        <f t="shared" si="91"/>
        <v>-0.64621570758727742</v>
      </c>
      <c r="AK130" s="39">
        <f t="shared" si="92"/>
        <v>2.0220867677443705E-2</v>
      </c>
      <c r="AL130" s="39">
        <f>AL129+(1000*$C$2*($B130-$B129))/(BerechnungenCLT!$W$47*2*AF130)</f>
        <v>4.600359754284771E-3</v>
      </c>
      <c r="AM130" s="37">
        <f t="shared" si="71"/>
        <v>2.5683617311892344E-6</v>
      </c>
      <c r="AN130" s="173">
        <f t="shared" si="93"/>
        <v>3068.2611523360615</v>
      </c>
      <c r="AO130" s="173">
        <v>-258.41776052488405</v>
      </c>
      <c r="AV130" s="129">
        <v>97.757945940149597</v>
      </c>
      <c r="AW130" s="9">
        <v>11.9375</v>
      </c>
      <c r="AX130" s="129">
        <f t="shared" si="94"/>
        <v>111.05790196638202</v>
      </c>
      <c r="AY130" s="36">
        <f t="shared" si="120"/>
        <v>1.4832435045160238E-2</v>
      </c>
      <c r="AZ130" s="37">
        <f t="shared" si="95"/>
        <v>47748386.4024584</v>
      </c>
      <c r="BA130" s="36">
        <f t="shared" si="72"/>
        <v>1.9838713871307987</v>
      </c>
      <c r="BB130" s="37">
        <f t="shared" si="96"/>
        <v>-1.6488642322562414E-4</v>
      </c>
      <c r="BC130" s="37">
        <f t="shared" si="97"/>
        <v>-1.5477643053723832E-2</v>
      </c>
      <c r="BD130" s="37">
        <f t="shared" si="98"/>
        <v>-0.63889136061308738</v>
      </c>
      <c r="BE130" s="39">
        <f t="shared" si="99"/>
        <v>1.8311940226178741E-2</v>
      </c>
      <c r="BF130" s="39">
        <f>BF129+(1000*$C$2*($B130-$B129))/(BerechnungenCLT!$W$47*2*AZ130)</f>
        <v>4.4162059740330498E-3</v>
      </c>
      <c r="BG130" s="37">
        <f t="shared" si="73"/>
        <v>2.3258985346709861E-6</v>
      </c>
      <c r="BH130" s="173">
        <f t="shared" si="100"/>
        <v>2466.8180174445456</v>
      </c>
      <c r="BI130">
        <v>-258.91396275594161</v>
      </c>
      <c r="BP130" s="129">
        <v>85.824659506606977</v>
      </c>
      <c r="BQ130" s="9">
        <v>15.1875</v>
      </c>
      <c r="BR130" s="129">
        <f t="shared" si="101"/>
        <v>101.01333795028222</v>
      </c>
      <c r="BS130" s="36">
        <f t="shared" si="121"/>
        <v>1.5155978682831131E-2</v>
      </c>
      <c r="BT130" s="37">
        <f t="shared" si="102"/>
        <v>39159408.413096726</v>
      </c>
      <c r="BU130" s="36">
        <f t="shared" si="74"/>
        <v>1.9738253454317607</v>
      </c>
      <c r="BV130" s="37">
        <f t="shared" si="103"/>
        <v>-2.0105157273170846E-4</v>
      </c>
      <c r="BW130" s="37">
        <f t="shared" si="104"/>
        <v>-1.6154972138356798E-2</v>
      </c>
      <c r="BX130" s="37">
        <f t="shared" si="105"/>
        <v>-0.64662150435155485</v>
      </c>
      <c r="BY130" s="39">
        <f t="shared" si="106"/>
        <v>2.0308890461783812E-2</v>
      </c>
      <c r="BZ130" s="39">
        <f>BZ129+(1000*$C$2*($B130-$B129))/(BerechnungenCLT!$W$47*2*BT130)</f>
        <v>4.6120236537781399E-3</v>
      </c>
      <c r="CA130" s="37">
        <f t="shared" si="75"/>
        <v>2.5795419809380643E-6</v>
      </c>
      <c r="CB130" s="173">
        <f t="shared" si="107"/>
        <v>3081.2973904918131</v>
      </c>
      <c r="CC130" s="9">
        <v>-257.49430871907828</v>
      </c>
      <c r="CJ130" s="9">
        <f t="shared" si="123"/>
        <v>79</v>
      </c>
      <c r="CK130" s="129">
        <v>85.520028262690531</v>
      </c>
      <c r="CL130" s="9">
        <v>10.078125</v>
      </c>
      <c r="CM130" s="129">
        <f t="shared" si="108"/>
        <v>95.598169341150395</v>
      </c>
      <c r="CN130" s="36">
        <f t="shared" si="122"/>
        <v>9.7485789953306676E-3</v>
      </c>
      <c r="CO130" s="173">
        <f t="shared" si="109"/>
        <v>3278.9881602144196</v>
      </c>
      <c r="CP130" s="9">
        <v>-630.85303259281454</v>
      </c>
      <c r="CQ130" s="129"/>
      <c r="CR130" s="36">
        <f t="shared" si="110"/>
        <v>0.83460816223590517</v>
      </c>
      <c r="CS130" s="17">
        <f t="shared" si="76"/>
        <v>0.59998396717502744</v>
      </c>
      <c r="CT130" s="9">
        <f t="shared" si="77"/>
        <v>10.078394308553255</v>
      </c>
      <c r="CU130" s="9">
        <f t="shared" si="111"/>
        <v>95.598438650133303</v>
      </c>
      <c r="CV130" s="9">
        <v>13.2</v>
      </c>
      <c r="CW130" s="9">
        <f t="shared" si="112"/>
        <v>98.720049321733782</v>
      </c>
      <c r="CX130">
        <f t="shared" si="113"/>
        <v>22</v>
      </c>
      <c r="CY130" s="9">
        <f t="shared" si="78"/>
        <v>625.33643014548761</v>
      </c>
      <c r="CZ130" s="17">
        <f t="shared" si="114"/>
        <v>0.58882903026882072</v>
      </c>
      <c r="DA130">
        <v>45</v>
      </c>
      <c r="DB130" s="9">
        <f t="shared" si="115"/>
        <v>10.091386106060307</v>
      </c>
      <c r="DC130" s="9">
        <f t="shared" si="116"/>
        <v>10.925994268704439</v>
      </c>
    </row>
    <row r="131" spans="2:107" x14ac:dyDescent="0.25">
      <c r="B131" s="9">
        <f t="shared" si="117"/>
        <v>80</v>
      </c>
      <c r="C131" s="9">
        <v>87.209903486361284</v>
      </c>
      <c r="D131" s="9"/>
      <c r="E131" s="9">
        <f t="shared" si="79"/>
        <v>87.209903486361284</v>
      </c>
      <c r="F131" s="36">
        <f t="shared" si="118"/>
        <v>0</v>
      </c>
      <c r="G131" s="37">
        <f t="shared" si="63"/>
        <v>0</v>
      </c>
      <c r="H131" s="36" t="e">
        <f t="shared" si="64"/>
        <v>#DIV/0!</v>
      </c>
      <c r="I131" s="37" t="e">
        <f t="shared" si="80"/>
        <v>#DIV/0!</v>
      </c>
      <c r="J131" s="37" t="e">
        <f t="shared" si="81"/>
        <v>#DIV/0!</v>
      </c>
      <c r="K131" s="37" t="e">
        <f t="shared" si="82"/>
        <v>#DIV/0!</v>
      </c>
      <c r="L131" s="39" t="e">
        <f t="shared" si="65"/>
        <v>#DIV/0!</v>
      </c>
      <c r="M131" s="39" t="e">
        <f>M130+(1000*$C$2*(B131-B130))/(BerechnungenCLT!$W$47*2*'Berechnung freier Bereich'!G131)</f>
        <v>#DIV/0!</v>
      </c>
      <c r="N131" s="17" t="e">
        <f t="shared" si="83"/>
        <v>#DIV/0!</v>
      </c>
      <c r="O131" s="173">
        <f t="shared" si="84"/>
        <v>3535.675675983362</v>
      </c>
      <c r="P131" s="173"/>
      <c r="Q131" s="173"/>
      <c r="R131" s="37" t="e">
        <f t="shared" si="66"/>
        <v>#DIV/0!</v>
      </c>
      <c r="S131" s="37" t="e">
        <f t="shared" si="67"/>
        <v>#DIV/0!</v>
      </c>
      <c r="T131" s="37" t="e">
        <f t="shared" si="68"/>
        <v>#DIV/0!</v>
      </c>
      <c r="U131" s="39" t="e">
        <f t="shared" si="69"/>
        <v>#DIV/0!</v>
      </c>
      <c r="V131" s="39" t="e">
        <f t="shared" si="85"/>
        <v>#DIV/0!</v>
      </c>
      <c r="W131" s="9" t="e">
        <f t="shared" si="86"/>
        <v>#DIV/0!</v>
      </c>
      <c r="AB131" s="129">
        <v>86.032948182521409</v>
      </c>
      <c r="AC131" s="9">
        <v>15.1875</v>
      </c>
      <c r="AD131" s="129">
        <f t="shared" si="87"/>
        <v>101.22101092079525</v>
      </c>
      <c r="AE131" s="36">
        <f t="shared" si="119"/>
        <v>1.5189105032244136E-2</v>
      </c>
      <c r="AF131" s="37">
        <f t="shared" si="88"/>
        <v>39418768.115515143</v>
      </c>
      <c r="AG131" s="36">
        <f t="shared" si="70"/>
        <v>1.9739424582343941</v>
      </c>
      <c r="AH131" s="37">
        <f t="shared" si="89"/>
        <v>-1.9972873392757224E-4</v>
      </c>
      <c r="AI131" s="37">
        <f t="shared" si="90"/>
        <v>-1.6314355803027078E-2</v>
      </c>
      <c r="AJ131" s="37">
        <f t="shared" si="91"/>
        <v>-0.66243019902334077</v>
      </c>
      <c r="AK131" s="39">
        <f t="shared" si="92"/>
        <v>2.0216744358079398E-2</v>
      </c>
      <c r="AL131" s="39">
        <f>AL130+(1000*$C$2*($B131-$B130))/(BerechnungenCLT!$W$47*2*AF131)</f>
        <v>4.6581020319290097E-3</v>
      </c>
      <c r="AM131" s="37">
        <f t="shared" si="71"/>
        <v>2.5678380061033637E-6</v>
      </c>
      <c r="AN131" s="173">
        <f t="shared" si="93"/>
        <v>3067.623148615944</v>
      </c>
      <c r="AO131" s="173">
        <v>-258.33987477745166</v>
      </c>
      <c r="AV131" s="129">
        <v>98.249159842935612</v>
      </c>
      <c r="AW131" s="9">
        <v>11.875</v>
      </c>
      <c r="AX131" s="129">
        <f t="shared" si="94"/>
        <v>111.47616048313611</v>
      </c>
      <c r="AY131" s="36">
        <f t="shared" si="120"/>
        <v>1.4815319954749169E-2</v>
      </c>
      <c r="AZ131" s="37">
        <f t="shared" si="95"/>
        <v>48105848.846898742</v>
      </c>
      <c r="BA131" s="36">
        <f t="shared" si="72"/>
        <v>1.984184030135717</v>
      </c>
      <c r="BB131" s="37">
        <f t="shared" si="96"/>
        <v>-1.6366119375116168E-4</v>
      </c>
      <c r="BC131" s="37">
        <f t="shared" si="97"/>
        <v>-1.5641304247474994E-2</v>
      </c>
      <c r="BD131" s="37">
        <f t="shared" si="98"/>
        <v>-0.65445083426368678</v>
      </c>
      <c r="BE131" s="39">
        <f t="shared" si="99"/>
        <v>1.8244321499466132E-2</v>
      </c>
      <c r="BF131" s="39">
        <f>BF130+(1000*$C$2*($B131-$B130))/(BerechnungenCLT!$W$47*2*AZ131)</f>
        <v>4.4635209992842191E-3</v>
      </c>
      <c r="BG131" s="37">
        <f t="shared" si="73"/>
        <v>2.3173099145993491E-6</v>
      </c>
      <c r="BH131" s="173">
        <f t="shared" si="100"/>
        <v>2445.4697274069272</v>
      </c>
      <c r="BI131">
        <v>-258.10919825839477</v>
      </c>
      <c r="BP131" s="129">
        <v>85.837117115489093</v>
      </c>
      <c r="BQ131" s="9">
        <v>15.1875</v>
      </c>
      <c r="BR131" s="129">
        <f t="shared" si="101"/>
        <v>101.02578131742969</v>
      </c>
      <c r="BS131" s="36">
        <f t="shared" si="121"/>
        <v>1.5157984394434713E-2</v>
      </c>
      <c r="BT131" s="37">
        <f t="shared" si="102"/>
        <v>39174961.74337551</v>
      </c>
      <c r="BU131" s="36">
        <f t="shared" si="74"/>
        <v>1.9738323009212313</v>
      </c>
      <c r="BV131" s="37">
        <f t="shared" si="103"/>
        <v>-2.0097175078997309E-4</v>
      </c>
      <c r="BW131" s="37">
        <f t="shared" si="104"/>
        <v>-1.6355943889146771E-2</v>
      </c>
      <c r="BX131" s="37">
        <f t="shared" si="105"/>
        <v>-0.66287696236530669</v>
      </c>
      <c r="BY131" s="39">
        <f t="shared" si="106"/>
        <v>2.0303328146288799E-2</v>
      </c>
      <c r="BZ131" s="39">
        <f>BZ130+(1000*$C$2*($B131-$B130))/(BerechnungenCLT!$W$47*2*BT131)</f>
        <v>4.6701252919579099E-3</v>
      </c>
      <c r="CA131" s="37">
        <f t="shared" si="75"/>
        <v>2.5788354811734605E-6</v>
      </c>
      <c r="CB131" s="173">
        <f t="shared" si="107"/>
        <v>3080.4762301561877</v>
      </c>
      <c r="CC131" s="9">
        <v>-257.42568693864843</v>
      </c>
      <c r="CJ131" s="9">
        <f t="shared" si="123"/>
        <v>80</v>
      </c>
      <c r="CK131" s="129">
        <v>85.518241990965734</v>
      </c>
      <c r="CL131" s="9">
        <v>10.078125</v>
      </c>
      <c r="CM131" s="129">
        <f t="shared" si="108"/>
        <v>95.596387520640761</v>
      </c>
      <c r="CN131" s="36">
        <f t="shared" si="122"/>
        <v>9.7483912504661725E-3</v>
      </c>
      <c r="CO131" s="173">
        <f t="shared" si="109"/>
        <v>3279.1173584737708</v>
      </c>
      <c r="CP131" s="9">
        <v>-630.87788938086487</v>
      </c>
      <c r="CQ131" s="129"/>
      <c r="CR131" s="36">
        <f t="shared" si="110"/>
        <v>0.8346171569982721</v>
      </c>
      <c r="CS131" s="17">
        <f t="shared" si="76"/>
        <v>0.59999043333897473</v>
      </c>
      <c r="CT131" s="9">
        <f t="shared" si="77"/>
        <v>10.078285692571562</v>
      </c>
      <c r="CU131" s="9">
        <f t="shared" si="111"/>
        <v>95.596548213539663</v>
      </c>
      <c r="CV131" s="9">
        <v>13.2</v>
      </c>
      <c r="CW131" s="9">
        <f t="shared" si="112"/>
        <v>98.718268880065679</v>
      </c>
      <c r="CX131">
        <f t="shared" si="113"/>
        <v>22</v>
      </c>
      <c r="CY131" s="9">
        <f t="shared" si="78"/>
        <v>625.34949192923852</v>
      </c>
      <c r="CZ131" s="17">
        <f t="shared" si="114"/>
        <v>0.58884132950022461</v>
      </c>
      <c r="DA131">
        <v>45</v>
      </c>
      <c r="DB131" s="9">
        <f t="shared" si="115"/>
        <v>10.091596891002158</v>
      </c>
      <c r="DC131" s="9">
        <f t="shared" si="116"/>
        <v>10.926214048521615</v>
      </c>
    </row>
    <row r="132" spans="2:107" x14ac:dyDescent="0.25">
      <c r="B132" s="9">
        <f t="shared" si="117"/>
        <v>81</v>
      </c>
      <c r="C132" s="9">
        <v>87.338485406146816</v>
      </c>
      <c r="D132" s="9"/>
      <c r="E132" s="9">
        <f t="shared" si="79"/>
        <v>87.338485406146816</v>
      </c>
      <c r="F132" s="36">
        <f t="shared" si="118"/>
        <v>0</v>
      </c>
      <c r="G132" s="37">
        <f t="shared" si="63"/>
        <v>0</v>
      </c>
      <c r="H132" s="36" t="e">
        <f t="shared" si="64"/>
        <v>#DIV/0!</v>
      </c>
      <c r="I132" s="37" t="e">
        <f t="shared" si="80"/>
        <v>#DIV/0!</v>
      </c>
      <c r="J132" s="37" t="e">
        <f t="shared" si="81"/>
        <v>#DIV/0!</v>
      </c>
      <c r="K132" s="37" t="e">
        <f t="shared" si="82"/>
        <v>#DIV/0!</v>
      </c>
      <c r="L132" s="39" t="e">
        <f t="shared" si="65"/>
        <v>#DIV/0!</v>
      </c>
      <c r="M132" s="39" t="e">
        <f>M131+(1000*$C$2*(B132-B131))/(BerechnungenCLT!$W$47*2*'Berechnung freier Bereich'!G132)</f>
        <v>#DIV/0!</v>
      </c>
      <c r="N132" s="17" t="e">
        <f t="shared" si="83"/>
        <v>#DIV/0!</v>
      </c>
      <c r="O132" s="173">
        <f t="shared" si="84"/>
        <v>3525.2727176629155</v>
      </c>
      <c r="P132" s="173"/>
      <c r="Q132" s="173"/>
      <c r="R132" s="37" t="e">
        <f t="shared" si="66"/>
        <v>#DIV/0!</v>
      </c>
      <c r="S132" s="37" t="e">
        <f t="shared" si="67"/>
        <v>#DIV/0!</v>
      </c>
      <c r="T132" s="37" t="e">
        <f t="shared" si="68"/>
        <v>#DIV/0!</v>
      </c>
      <c r="U132" s="39" t="e">
        <f t="shared" si="69"/>
        <v>#DIV/0!</v>
      </c>
      <c r="V132" s="39" t="e">
        <f t="shared" si="85"/>
        <v>#DIV/0!</v>
      </c>
      <c r="W132" s="9" t="e">
        <f t="shared" si="86"/>
        <v>#DIV/0!</v>
      </c>
      <c r="AB132" s="129">
        <v>86.04155671460326</v>
      </c>
      <c r="AC132" s="9">
        <v>15.1875</v>
      </c>
      <c r="AD132" s="129">
        <f t="shared" si="87"/>
        <v>101.22946395564996</v>
      </c>
      <c r="AE132" s="36">
        <f t="shared" si="119"/>
        <v>1.5190333459191605E-2</v>
      </c>
      <c r="AF132" s="37">
        <f t="shared" si="88"/>
        <v>39429088.057515509</v>
      </c>
      <c r="AG132" s="36">
        <f t="shared" si="70"/>
        <v>1.9739476877819142</v>
      </c>
      <c r="AH132" s="37">
        <f t="shared" si="89"/>
        <v>-1.9967645808119882E-4</v>
      </c>
      <c r="AI132" s="37">
        <f t="shared" si="90"/>
        <v>-1.6514032261108275E-2</v>
      </c>
      <c r="AJ132" s="37">
        <f t="shared" si="91"/>
        <v>-0.67884439305540845</v>
      </c>
      <c r="AK132" s="39">
        <f t="shared" si="92"/>
        <v>2.0213140816122566E-2</v>
      </c>
      <c r="AL132" s="39">
        <f>AL131+(1000*$C$2*($B132-$B131))/(BerechnungenCLT!$W$47*2*AF132)</f>
        <v>4.7158291964426733E-3</v>
      </c>
      <c r="AM132" s="37">
        <f t="shared" si="71"/>
        <v>2.5673803007562787E-6</v>
      </c>
      <c r="AN132" s="173">
        <f t="shared" si="93"/>
        <v>3067.0642145820748</v>
      </c>
      <c r="AO132" s="173">
        <v>-258.25674782999545</v>
      </c>
      <c r="AV132" s="129">
        <v>98.739738893624235</v>
      </c>
      <c r="AW132" s="9">
        <v>11.75</v>
      </c>
      <c r="AX132" s="129">
        <f t="shared" si="94"/>
        <v>111.82073549374979</v>
      </c>
      <c r="AY132" s="36">
        <f t="shared" si="120"/>
        <v>1.4710128863499787E-2</v>
      </c>
      <c r="AZ132" s="37">
        <f t="shared" si="95"/>
        <v>48139789.96354755</v>
      </c>
      <c r="BA132" s="36">
        <f t="shared" si="72"/>
        <v>1.9846510249733549</v>
      </c>
      <c r="BB132" s="37">
        <f t="shared" si="96"/>
        <v>-1.6354580389025457E-4</v>
      </c>
      <c r="BC132" s="37">
        <f t="shared" si="97"/>
        <v>-1.5804850051365248E-2</v>
      </c>
      <c r="BD132" s="37">
        <f t="shared" si="98"/>
        <v>-0.67017391141310689</v>
      </c>
      <c r="BE132" s="39">
        <f t="shared" si="99"/>
        <v>1.8287812077924834E-2</v>
      </c>
      <c r="BF132" s="39">
        <f>BF131+(1000*$C$2*($B132-$B131))/(BerechnungenCLT!$W$47*2*AZ132)</f>
        <v>4.510802664921802E-3</v>
      </c>
      <c r="BG132" s="37">
        <f t="shared" si="73"/>
        <v>2.3228338881084187E-6</v>
      </c>
      <c r="BH132" s="173">
        <f t="shared" si="100"/>
        <v>2426.1090789560371</v>
      </c>
      <c r="BI132">
        <v>-258.89591934903211</v>
      </c>
      <c r="BP132" s="129">
        <v>85.849499216265954</v>
      </c>
      <c r="BQ132" s="9">
        <v>15.1875</v>
      </c>
      <c r="BR132" s="129">
        <f t="shared" si="101"/>
        <v>101.03814550140977</v>
      </c>
      <c r="BS132" s="36">
        <f t="shared" si="121"/>
        <v>1.5159973885857953E-2</v>
      </c>
      <c r="BT132" s="37">
        <f t="shared" si="102"/>
        <v>39190412.692975089</v>
      </c>
      <c r="BU132" s="36">
        <f t="shared" si="74"/>
        <v>1.9738392233142241</v>
      </c>
      <c r="BV132" s="37">
        <f t="shared" si="103"/>
        <v>-2.0089251701367372E-4</v>
      </c>
      <c r="BW132" s="37">
        <f t="shared" si="104"/>
        <v>-1.6556836406160444E-2</v>
      </c>
      <c r="BX132" s="37">
        <f t="shared" si="105"/>
        <v>-0.67933335251296034</v>
      </c>
      <c r="BY132" s="39">
        <f t="shared" si="106"/>
        <v>2.0297807364172003E-2</v>
      </c>
      <c r="BZ132" s="39">
        <f>BZ131+(1000*$C$2*($B132-$B131))/(BerechnungenCLT!$W$47*2*BT132)</f>
        <v>4.7282040233749927E-3</v>
      </c>
      <c r="CA132" s="37">
        <f t="shared" si="75"/>
        <v>2.5781342567877814E-6</v>
      </c>
      <c r="CB132" s="173">
        <f t="shared" si="107"/>
        <v>3079.6604962411552</v>
      </c>
      <c r="CC132" s="9">
        <v>-257.35751862708003</v>
      </c>
      <c r="CJ132" s="9">
        <f t="shared" si="123"/>
        <v>81</v>
      </c>
      <c r="CK132" s="129">
        <v>85.516223548446845</v>
      </c>
      <c r="CL132" s="9">
        <v>10.078125</v>
      </c>
      <c r="CM132" s="129">
        <f t="shared" si="108"/>
        <v>95.594374260998265</v>
      </c>
      <c r="CN132" s="36">
        <f t="shared" si="122"/>
        <v>9.7481792595878105E-3</v>
      </c>
      <c r="CO132" s="173">
        <f t="shared" si="109"/>
        <v>3279.263352930765</v>
      </c>
      <c r="CP132" s="9">
        <v>-630.90597763292192</v>
      </c>
      <c r="CQ132" s="129"/>
      <c r="CR132" s="36">
        <f t="shared" si="110"/>
        <v>0.83462732019172514</v>
      </c>
      <c r="CS132" s="17">
        <f t="shared" si="76"/>
        <v>0.59999773946585322</v>
      </c>
      <c r="CT132" s="9">
        <f t="shared" si="77"/>
        <v>10.078162970052551</v>
      </c>
      <c r="CU132" s="9">
        <f t="shared" si="111"/>
        <v>95.594412231147686</v>
      </c>
      <c r="CV132" s="9">
        <v>13.2</v>
      </c>
      <c r="CW132" s="9">
        <f t="shared" si="112"/>
        <v>98.716257225909544</v>
      </c>
      <c r="CX132">
        <f t="shared" si="113"/>
        <v>22</v>
      </c>
      <c r="CY132" s="9">
        <f t="shared" si="78"/>
        <v>625.36425207592538</v>
      </c>
      <c r="CZ132" s="17">
        <f t="shared" si="114"/>
        <v>0.58885522794343259</v>
      </c>
      <c r="DA132">
        <v>45</v>
      </c>
      <c r="DB132" s="9">
        <f t="shared" si="115"/>
        <v>10.09183508332875</v>
      </c>
      <c r="DC132" s="9">
        <f t="shared" si="116"/>
        <v>10.926462404173163</v>
      </c>
    </row>
    <row r="133" spans="2:107" x14ac:dyDescent="0.25">
      <c r="B133" s="9">
        <f t="shared" si="117"/>
        <v>82</v>
      </c>
      <c r="C133" s="9">
        <v>87.470501542874942</v>
      </c>
      <c r="D133" s="9"/>
      <c r="E133" s="9">
        <f t="shared" si="79"/>
        <v>87.470501542874942</v>
      </c>
      <c r="F133" s="36">
        <f t="shared" si="118"/>
        <v>0</v>
      </c>
      <c r="G133" s="37">
        <f t="shared" si="63"/>
        <v>0</v>
      </c>
      <c r="H133" s="36" t="e">
        <f t="shared" si="64"/>
        <v>#DIV/0!</v>
      </c>
      <c r="I133" s="37" t="e">
        <f t="shared" si="80"/>
        <v>#DIV/0!</v>
      </c>
      <c r="J133" s="37" t="e">
        <f t="shared" si="81"/>
        <v>#DIV/0!</v>
      </c>
      <c r="K133" s="37" t="e">
        <f t="shared" si="82"/>
        <v>#DIV/0!</v>
      </c>
      <c r="L133" s="39" t="e">
        <f t="shared" si="65"/>
        <v>#DIV/0!</v>
      </c>
      <c r="M133" s="39" t="e">
        <f>M132+(1000*$C$2*(B133-B132))/(BerechnungenCLT!$W$47*2*'Berechnung freier Bereich'!G133)</f>
        <v>#DIV/0!</v>
      </c>
      <c r="N133" s="17" t="e">
        <f t="shared" si="83"/>
        <v>#DIV/0!</v>
      </c>
      <c r="O133" s="173">
        <f t="shared" si="84"/>
        <v>3514.6396087546777</v>
      </c>
      <c r="P133" s="173"/>
      <c r="Q133" s="173"/>
      <c r="R133" s="37" t="e">
        <f t="shared" si="66"/>
        <v>#DIV/0!</v>
      </c>
      <c r="S133" s="37" t="e">
        <f t="shared" si="67"/>
        <v>#DIV/0!</v>
      </c>
      <c r="T133" s="37" t="e">
        <f t="shared" si="68"/>
        <v>#DIV/0!</v>
      </c>
      <c r="U133" s="39" t="e">
        <f t="shared" si="69"/>
        <v>#DIV/0!</v>
      </c>
      <c r="V133" s="39" t="e">
        <f t="shared" si="85"/>
        <v>#DIV/0!</v>
      </c>
      <c r="W133" s="9" t="e">
        <f t="shared" si="86"/>
        <v>#DIV/0!</v>
      </c>
      <c r="AB133" s="129">
        <v>86.048879908551029</v>
      </c>
      <c r="AC133" s="9">
        <v>15.1875</v>
      </c>
      <c r="AD133" s="129">
        <f t="shared" si="87"/>
        <v>101.23664996090558</v>
      </c>
      <c r="AE133" s="36">
        <f t="shared" si="119"/>
        <v>1.5191373139608156E-2</v>
      </c>
      <c r="AF133" s="37">
        <f t="shared" si="88"/>
        <v>39437852.492756002</v>
      </c>
      <c r="AG133" s="36">
        <f t="shared" si="70"/>
        <v>1.9739521506765623</v>
      </c>
      <c r="AH133" s="37">
        <f t="shared" si="89"/>
        <v>-1.9963208316534293E-4</v>
      </c>
      <c r="AI133" s="37">
        <f t="shared" si="90"/>
        <v>-1.671366434427362E-2</v>
      </c>
      <c r="AJ133" s="37">
        <f t="shared" si="91"/>
        <v>-0.69545824135809942</v>
      </c>
      <c r="AK133" s="39">
        <f t="shared" si="92"/>
        <v>2.0210083324376214E-2</v>
      </c>
      <c r="AL133" s="39">
        <f>AL132+(1000*$C$2*($B133-$B132))/(BerechnungenCLT!$W$47*2*AF133)</f>
        <v>4.7735435320124921E-3</v>
      </c>
      <c r="AM133" s="37">
        <f t="shared" si="71"/>
        <v>2.5669919521987378E-6</v>
      </c>
      <c r="AN133" s="173">
        <f t="shared" si="93"/>
        <v>3066.5890158634661</v>
      </c>
      <c r="AO133" s="173">
        <v>-258.16819431187776</v>
      </c>
      <c r="AV133" s="129">
        <v>99.229007873202463</v>
      </c>
      <c r="AW133" s="9">
        <v>11.6875</v>
      </c>
      <c r="AX133" s="129">
        <f t="shared" si="94"/>
        <v>112.23024398977797</v>
      </c>
      <c r="AY133" s="36">
        <f t="shared" si="120"/>
        <v>1.4682842189701777E-2</v>
      </c>
      <c r="AZ133" s="37">
        <f t="shared" si="95"/>
        <v>48457748.81719064</v>
      </c>
      <c r="BA133" s="36">
        <f t="shared" si="72"/>
        <v>1.9849644704285121</v>
      </c>
      <c r="BB133" s="37">
        <f t="shared" si="96"/>
        <v>-1.6247268684308719E-4</v>
      </c>
      <c r="BC133" s="37">
        <f t="shared" si="97"/>
        <v>-1.5967322738208334E-2</v>
      </c>
      <c r="BD133" s="37">
        <f t="shared" si="98"/>
        <v>-0.68605999780789373</v>
      </c>
      <c r="BE133" s="39">
        <f t="shared" si="99"/>
        <v>1.8234349286074467E-2</v>
      </c>
      <c r="BF133" s="39">
        <f>BF132+(1000*$C$2*($B133-$B132))/(BerechnungenCLT!$W$47*2*AZ133)</f>
        <v>4.5577740886564612E-3</v>
      </c>
      <c r="BG133" s="37">
        <f t="shared" si="73"/>
        <v>2.3160432898600461E-6</v>
      </c>
      <c r="BH133" s="173">
        <f t="shared" si="100"/>
        <v>2405.5292447480097</v>
      </c>
      <c r="BI133">
        <v>-258.20304383529265</v>
      </c>
      <c r="BP133" s="129">
        <v>85.861785665167517</v>
      </c>
      <c r="BQ133" s="9">
        <v>15.1875</v>
      </c>
      <c r="BR133" s="129">
        <f t="shared" si="101"/>
        <v>101.05041044622226</v>
      </c>
      <c r="BS133" s="36">
        <f t="shared" si="121"/>
        <v>1.516194398237875E-2</v>
      </c>
      <c r="BT133" s="37">
        <f t="shared" si="102"/>
        <v>39205736.218531236</v>
      </c>
      <c r="BU133" s="36">
        <f t="shared" si="74"/>
        <v>1.9738461012143866</v>
      </c>
      <c r="BV133" s="37">
        <f t="shared" si="103"/>
        <v>-2.008139983601446E-4</v>
      </c>
      <c r="BW133" s="37">
        <f t="shared" si="104"/>
        <v>-1.675765040452059E-2</v>
      </c>
      <c r="BX133" s="37">
        <f t="shared" si="105"/>
        <v>-0.69599059591830081</v>
      </c>
      <c r="BY133" s="39">
        <f t="shared" si="106"/>
        <v>2.0292336957639615E-2</v>
      </c>
      <c r="BZ133" s="39">
        <f>BZ132+(1000*$C$2*($B133-$B132))/(BerechnungenCLT!$W$47*2*BT133)</f>
        <v>4.7862600547738899E-3</v>
      </c>
      <c r="CA133" s="37">
        <f t="shared" si="75"/>
        <v>2.577439430877442E-6</v>
      </c>
      <c r="CB133" s="173">
        <f t="shared" si="107"/>
        <v>3078.851506853181</v>
      </c>
      <c r="CC133" s="9">
        <v>-257.28991393437474</v>
      </c>
      <c r="CJ133" s="9">
        <f t="shared" si="123"/>
        <v>82</v>
      </c>
      <c r="CK133" s="129">
        <v>85.513964643319767</v>
      </c>
      <c r="CL133" s="9">
        <v>10.078125</v>
      </c>
      <c r="CM133" s="129">
        <f t="shared" si="108"/>
        <v>95.592121330690958</v>
      </c>
      <c r="CN133" s="36">
        <f t="shared" si="122"/>
        <v>9.7479421915561745E-3</v>
      </c>
      <c r="CO133" s="173">
        <f t="shared" si="109"/>
        <v>3279.4267453514271</v>
      </c>
      <c r="CP133" s="9">
        <v>-630.93741312431177</v>
      </c>
      <c r="CQ133" s="129"/>
      <c r="CR133" s="36">
        <f t="shared" si="110"/>
        <v>0.83463869341078145</v>
      </c>
      <c r="CS133" s="17">
        <f t="shared" si="76"/>
        <v>0.60000591545717186</v>
      </c>
      <c r="CT133" s="9">
        <f t="shared" si="77"/>
        <v>10.078025639784919</v>
      </c>
      <c r="CU133" s="9">
        <f t="shared" si="111"/>
        <v>95.592021970163472</v>
      </c>
      <c r="CV133" s="9">
        <v>13.2</v>
      </c>
      <c r="CW133" s="9">
        <f t="shared" si="112"/>
        <v>98.714006146406859</v>
      </c>
      <c r="CX133">
        <f t="shared" si="113"/>
        <v>22</v>
      </c>
      <c r="CY133" s="9">
        <f t="shared" si="78"/>
        <v>625.38077146572562</v>
      </c>
      <c r="CZ133" s="17">
        <f t="shared" si="114"/>
        <v>0.58887078292441208</v>
      </c>
      <c r="DA133">
        <v>45</v>
      </c>
      <c r="DB133" s="9">
        <f t="shared" si="115"/>
        <v>10.092101665495843</v>
      </c>
      <c r="DC133" s="9">
        <f t="shared" si="116"/>
        <v>10.926740359710895</v>
      </c>
    </row>
    <row r="134" spans="2:107" x14ac:dyDescent="0.25">
      <c r="B134" s="9">
        <f t="shared" si="117"/>
        <v>83</v>
      </c>
      <c r="C134" s="9">
        <v>87.605841150213607</v>
      </c>
      <c r="D134" s="9"/>
      <c r="E134" s="9">
        <f t="shared" si="79"/>
        <v>87.605841150213607</v>
      </c>
      <c r="F134" s="36">
        <f t="shared" si="118"/>
        <v>0</v>
      </c>
      <c r="G134" s="37">
        <f t="shared" si="63"/>
        <v>0</v>
      </c>
      <c r="H134" s="36" t="e">
        <f t="shared" si="64"/>
        <v>#DIV/0!</v>
      </c>
      <c r="I134" s="37" t="e">
        <f t="shared" si="80"/>
        <v>#DIV/0!</v>
      </c>
      <c r="J134" s="37" t="e">
        <f t="shared" si="81"/>
        <v>#DIV/0!</v>
      </c>
      <c r="K134" s="37" t="e">
        <f t="shared" si="82"/>
        <v>#DIV/0!</v>
      </c>
      <c r="L134" s="39" t="e">
        <f t="shared" si="65"/>
        <v>#DIV/0!</v>
      </c>
      <c r="M134" s="39" t="e">
        <f>M133+(1000*$C$2*(B134-B133))/(BerechnungenCLT!$W$47*2*'Berechnung freier Bereich'!G134)</f>
        <v>#DIV/0!</v>
      </c>
      <c r="N134" s="17" t="e">
        <f t="shared" si="83"/>
        <v>#DIV/0!</v>
      </c>
      <c r="O134" s="173">
        <f t="shared" si="84"/>
        <v>3503.7886765723251</v>
      </c>
      <c r="P134" s="173"/>
      <c r="Q134" s="173"/>
      <c r="R134" s="37" t="e">
        <f t="shared" si="66"/>
        <v>#DIV/0!</v>
      </c>
      <c r="S134" s="37" t="e">
        <f t="shared" si="67"/>
        <v>#DIV/0!</v>
      </c>
      <c r="T134" s="37" t="e">
        <f t="shared" si="68"/>
        <v>#DIV/0!</v>
      </c>
      <c r="U134" s="39" t="e">
        <f t="shared" si="69"/>
        <v>#DIV/0!</v>
      </c>
      <c r="V134" s="39" t="e">
        <f t="shared" si="85"/>
        <v>#DIV/0!</v>
      </c>
      <c r="W134" s="9" t="e">
        <f t="shared" si="86"/>
        <v>#DIV/0!</v>
      </c>
      <c r="AB134" s="129">
        <v>86.054843361087379</v>
      </c>
      <c r="AC134" s="9">
        <v>15.1875</v>
      </c>
      <c r="AD134" s="129">
        <f t="shared" si="87"/>
        <v>101.24249914325679</v>
      </c>
      <c r="AE134" s="36">
        <f t="shared" si="119"/>
        <v>1.5192216998527741E-2</v>
      </c>
      <c r="AF134" s="37">
        <f t="shared" si="88"/>
        <v>39444982.17578692</v>
      </c>
      <c r="AG134" s="36">
        <f t="shared" si="70"/>
        <v>1.9739557921047173</v>
      </c>
      <c r="AH134" s="37">
        <f t="shared" si="89"/>
        <v>-1.9959599965364483E-4</v>
      </c>
      <c r="AI134" s="37">
        <f t="shared" si="90"/>
        <v>-1.6913260343927265E-2</v>
      </c>
      <c r="AJ134" s="37">
        <f t="shared" si="91"/>
        <v>-0.71227170370219983</v>
      </c>
      <c r="AK134" s="39">
        <f t="shared" si="92"/>
        <v>2.0207597823931622E-2</v>
      </c>
      <c r="AL134" s="39">
        <f>AL133+(1000*$C$2*($B134-$B133))/(BerechnungenCLT!$W$47*2*AF134)</f>
        <v>4.831247435712495E-3</v>
      </c>
      <c r="AM134" s="37">
        <f t="shared" si="71"/>
        <v>2.5666762553489995E-6</v>
      </c>
      <c r="AN134" s="173">
        <f t="shared" si="93"/>
        <v>3066.20221535054</v>
      </c>
      <c r="AO134" s="173">
        <v>-258.07402960204536</v>
      </c>
      <c r="AV134" s="129">
        <v>99.71629156265729</v>
      </c>
      <c r="AW134" s="9">
        <v>11.5625</v>
      </c>
      <c r="AX134" s="129">
        <f t="shared" si="94"/>
        <v>112.56503158033544</v>
      </c>
      <c r="AY134" s="36">
        <f t="shared" si="120"/>
        <v>1.4567033589295689E-2</v>
      </c>
      <c r="AZ134" s="37">
        <f t="shared" si="95"/>
        <v>48444437.820093632</v>
      </c>
      <c r="BA134" s="36">
        <f t="shared" si="72"/>
        <v>1.9854260919298052</v>
      </c>
      <c r="BB134" s="37">
        <f t="shared" si="96"/>
        <v>-1.6251732919131596E-4</v>
      </c>
      <c r="BC134" s="37">
        <f t="shared" si="97"/>
        <v>-1.6129840067399651E-2</v>
      </c>
      <c r="BD134" s="37">
        <f t="shared" si="98"/>
        <v>-0.70210857921069769</v>
      </c>
      <c r="BE134" s="39">
        <f t="shared" si="99"/>
        <v>1.8293768292772253E-2</v>
      </c>
      <c r="BF134" s="39">
        <f>BF133+(1000*$C$2*($B134-$B133))/(BerechnungenCLT!$W$47*2*AZ134)</f>
        <v>4.6047584186506025E-3</v>
      </c>
      <c r="BG134" s="37">
        <f t="shared" si="73"/>
        <v>2.3235904191594537E-6</v>
      </c>
      <c r="BH134" s="173">
        <f t="shared" si="100"/>
        <v>2386.9342270181564</v>
      </c>
      <c r="BI134">
        <v>-259.12938753851904</v>
      </c>
      <c r="BP134" s="129">
        <v>85.873956318423751</v>
      </c>
      <c r="BQ134" s="9">
        <v>15.125</v>
      </c>
      <c r="BR134" s="129">
        <f t="shared" si="101"/>
        <v>101.00005158844233</v>
      </c>
      <c r="BS134" s="36">
        <f t="shared" si="121"/>
        <v>1.5096439314729615E-2</v>
      </c>
      <c r="BT134" s="37">
        <f t="shared" si="102"/>
        <v>39018405.341280818</v>
      </c>
      <c r="BU134" s="36">
        <f t="shared" si="74"/>
        <v>1.9740484070320934</v>
      </c>
      <c r="BV134" s="37">
        <f t="shared" si="103"/>
        <v>-2.0177812444751111E-4</v>
      </c>
      <c r="BW134" s="37">
        <f t="shared" si="104"/>
        <v>-1.6959428528968101E-2</v>
      </c>
      <c r="BX134" s="37">
        <f t="shared" si="105"/>
        <v>-0.71284913538504513</v>
      </c>
      <c r="BY134" s="39">
        <f t="shared" si="106"/>
        <v>2.0379600978617761E-2</v>
      </c>
      <c r="BZ134" s="39">
        <f>BZ133+(1000*$C$2*($B134-$B133))/(BerechnungenCLT!$W$47*2*BT134)</f>
        <v>4.8445948184068829E-3</v>
      </c>
      <c r="CA134" s="37">
        <f t="shared" si="75"/>
        <v>2.5885233059892883E-6</v>
      </c>
      <c r="CB134" s="173">
        <f t="shared" si="107"/>
        <v>3080.1099785456868</v>
      </c>
      <c r="CC134" s="9">
        <v>-258.45869648111801</v>
      </c>
      <c r="CJ134" s="9">
        <f t="shared" si="123"/>
        <v>83</v>
      </c>
      <c r="CK134" s="129">
        <v>85.511456983770429</v>
      </c>
      <c r="CL134" s="9">
        <v>10.078125</v>
      </c>
      <c r="CM134" s="129">
        <f t="shared" si="108"/>
        <v>95.589620500265283</v>
      </c>
      <c r="CN134" s="36">
        <f t="shared" si="122"/>
        <v>9.7476792173342881E-3</v>
      </c>
      <c r="CO134" s="173">
        <f t="shared" si="109"/>
        <v>3279.6081380115793</v>
      </c>
      <c r="CP134" s="9">
        <v>-630.97231172844079</v>
      </c>
      <c r="CQ134" s="129"/>
      <c r="CR134" s="36">
        <f t="shared" si="110"/>
        <v>0.83465131824638716</v>
      </c>
      <c r="CS134" s="17">
        <f t="shared" si="76"/>
        <v>0.60001499121187263</v>
      </c>
      <c r="CT134" s="9">
        <f t="shared" si="77"/>
        <v>10.077873200779369</v>
      </c>
      <c r="CU134" s="9">
        <f t="shared" si="111"/>
        <v>95.589368700082332</v>
      </c>
      <c r="CV134" s="9">
        <v>13.2</v>
      </c>
      <c r="CW134" s="9">
        <f t="shared" si="112"/>
        <v>98.711507431421367</v>
      </c>
      <c r="CX134">
        <f t="shared" si="113"/>
        <v>22</v>
      </c>
      <c r="CY134" s="9">
        <f t="shared" si="78"/>
        <v>625.39911102066776</v>
      </c>
      <c r="CZ134" s="17">
        <f t="shared" si="114"/>
        <v>0.58888805180853843</v>
      </c>
      <c r="DA134">
        <v>45</v>
      </c>
      <c r="DB134" s="9">
        <f t="shared" si="115"/>
        <v>10.09239762063457</v>
      </c>
      <c r="DC134" s="9">
        <f t="shared" si="116"/>
        <v>10.927048939858464</v>
      </c>
    </row>
    <row r="135" spans="2:107" x14ac:dyDescent="0.25">
      <c r="B135" s="9">
        <f t="shared" si="117"/>
        <v>84</v>
      </c>
      <c r="C135" s="9">
        <v>87.744393481830727</v>
      </c>
      <c r="D135" s="9"/>
      <c r="E135" s="9">
        <f t="shared" si="79"/>
        <v>87.744393481830727</v>
      </c>
      <c r="F135" s="36">
        <f t="shared" si="118"/>
        <v>0</v>
      </c>
      <c r="G135" s="37">
        <f t="shared" si="63"/>
        <v>0</v>
      </c>
      <c r="H135" s="36" t="e">
        <f t="shared" si="64"/>
        <v>#DIV/0!</v>
      </c>
      <c r="I135" s="37" t="e">
        <f t="shared" si="80"/>
        <v>#DIV/0!</v>
      </c>
      <c r="J135" s="37" t="e">
        <f t="shared" si="81"/>
        <v>#DIV/0!</v>
      </c>
      <c r="K135" s="37" t="e">
        <f t="shared" si="82"/>
        <v>#DIV/0!</v>
      </c>
      <c r="L135" s="39" t="e">
        <f t="shared" si="65"/>
        <v>#DIV/0!</v>
      </c>
      <c r="M135" s="39" t="e">
        <f>M134+(1000*$C$2*(B135-B134))/(BerechnungenCLT!$W$47*2*'Berechnung freier Bereich'!G135)</f>
        <v>#DIV/0!</v>
      </c>
      <c r="N135" s="17" t="e">
        <f t="shared" si="83"/>
        <v>#DIV/0!</v>
      </c>
      <c r="O135" s="173">
        <f t="shared" si="84"/>
        <v>3492.7321340095896</v>
      </c>
      <c r="P135" s="173"/>
      <c r="Q135" s="173"/>
      <c r="R135" s="37" t="e">
        <f t="shared" si="66"/>
        <v>#DIV/0!</v>
      </c>
      <c r="S135" s="37" t="e">
        <f t="shared" si="67"/>
        <v>#DIV/0!</v>
      </c>
      <c r="T135" s="37" t="e">
        <f t="shared" si="68"/>
        <v>#DIV/0!</v>
      </c>
      <c r="U135" s="39" t="e">
        <f t="shared" si="69"/>
        <v>#DIV/0!</v>
      </c>
      <c r="V135" s="39" t="e">
        <f t="shared" si="85"/>
        <v>#DIV/0!</v>
      </c>
      <c r="W135" s="9" t="e">
        <f t="shared" si="86"/>
        <v>#DIV/0!</v>
      </c>
      <c r="AB135" s="129">
        <v>86.05937266893504</v>
      </c>
      <c r="AC135" s="9">
        <v>15.1875</v>
      </c>
      <c r="AD135" s="129">
        <f t="shared" si="87"/>
        <v>101.24694196167177</v>
      </c>
      <c r="AE135" s="36">
        <f t="shared" si="119"/>
        <v>1.5192858233504011E-2</v>
      </c>
      <c r="AF135" s="37">
        <f t="shared" si="88"/>
        <v>39450398.776743367</v>
      </c>
      <c r="AG135" s="36">
        <f t="shared" si="70"/>
        <v>1.9739585564013615</v>
      </c>
      <c r="AH135" s="37">
        <f t="shared" si="89"/>
        <v>-1.9956859481323383E-4</v>
      </c>
      <c r="AI135" s="37">
        <f t="shared" si="90"/>
        <v>-1.7112828938740499E-2</v>
      </c>
      <c r="AJ135" s="37">
        <f t="shared" si="91"/>
        <v>-0.72928474834353374</v>
      </c>
      <c r="AK135" s="39">
        <f t="shared" si="92"/>
        <v>2.0205709936427875E-2</v>
      </c>
      <c r="AL135" s="39">
        <f>AL134+(1000*$C$2*($B135-$B134))/(BerechnungenCLT!$W$47*2*AF135)</f>
        <v>4.8889434165769966E-3</v>
      </c>
      <c r="AM135" s="37">
        <f t="shared" si="71"/>
        <v>2.5664364645499715E-6</v>
      </c>
      <c r="AN135" s="173">
        <f t="shared" si="93"/>
        <v>3065.9084751785344</v>
      </c>
      <c r="AO135" s="173">
        <v>-257.97406988940895</v>
      </c>
      <c r="AV135" s="129">
        <v>100.20091474297581</v>
      </c>
      <c r="AW135" s="9">
        <v>11.5</v>
      </c>
      <c r="AX135" s="129">
        <f t="shared" si="94"/>
        <v>112.96351926306338</v>
      </c>
      <c r="AY135" s="36">
        <f t="shared" si="120"/>
        <v>1.4529572997849492E-2</v>
      </c>
      <c r="AZ135" s="37">
        <f t="shared" si="95"/>
        <v>48718897.548097998</v>
      </c>
      <c r="BA135" s="36">
        <f t="shared" si="72"/>
        <v>1.9857380538797205</v>
      </c>
      <c r="BB135" s="37">
        <f t="shared" si="96"/>
        <v>-1.6160178175057575E-4</v>
      </c>
      <c r="BC135" s="37">
        <f t="shared" si="97"/>
        <v>-1.6291441849150226E-2</v>
      </c>
      <c r="BD135" s="37">
        <f t="shared" si="98"/>
        <v>-0.71831922016897265</v>
      </c>
      <c r="BE135" s="39">
        <f t="shared" si="99"/>
        <v>1.8255105985726525E-2</v>
      </c>
      <c r="BF135" s="39">
        <f>BF134+(1000*$C$2*($B135-$B134))/(BerechnungenCLT!$W$47*2*AZ135)</f>
        <v>4.6514780606678055E-3</v>
      </c>
      <c r="BG135" s="37">
        <f t="shared" si="73"/>
        <v>2.3186797105073967E-6</v>
      </c>
      <c r="BH135" s="173">
        <f t="shared" si="100"/>
        <v>2367.1977158271015</v>
      </c>
      <c r="BI135">
        <v>-258.56205867096912</v>
      </c>
      <c r="BP135" s="129">
        <v>85.885991032264656</v>
      </c>
      <c r="BQ135" s="9">
        <v>15.125</v>
      </c>
      <c r="BR135" s="129">
        <f t="shared" si="101"/>
        <v>101.01205807748897</v>
      </c>
      <c r="BS135" s="36">
        <f t="shared" si="121"/>
        <v>1.509835328739949E-2</v>
      </c>
      <c r="BT135" s="37">
        <f t="shared" si="102"/>
        <v>39033327.202938855</v>
      </c>
      <c r="BU135" s="36">
        <f t="shared" si="74"/>
        <v>1.9740551138364488</v>
      </c>
      <c r="BV135" s="37">
        <f t="shared" si="103"/>
        <v>-2.0170098766532059E-4</v>
      </c>
      <c r="BW135" s="37">
        <f t="shared" si="104"/>
        <v>-1.7161129516633421E-2</v>
      </c>
      <c r="BX135" s="37">
        <f t="shared" si="105"/>
        <v>-0.72990941440784585</v>
      </c>
      <c r="BY135" s="39">
        <f t="shared" si="106"/>
        <v>2.0374231880336251E-2</v>
      </c>
      <c r="BZ135" s="39">
        <f>BZ134+(1000*$C$2*($B135-$B134))/(BerechnungenCLT!$W$47*2*BT135)</f>
        <v>4.9029072815255422E-3</v>
      </c>
      <c r="CA135" s="37">
        <f t="shared" si="75"/>
        <v>2.5878413477876333E-6</v>
      </c>
      <c r="CB135" s="173">
        <f t="shared" si="107"/>
        <v>3079.3176237119615</v>
      </c>
      <c r="CC135" s="9">
        <v>-258.39220827163797</v>
      </c>
      <c r="CJ135" s="9">
        <f t="shared" si="123"/>
        <v>84</v>
      </c>
      <c r="CK135" s="129">
        <v>85.50869227798475</v>
      </c>
      <c r="CL135" s="9">
        <v>10.078125</v>
      </c>
      <c r="CM135" s="129">
        <f t="shared" si="108"/>
        <v>95.58686354234608</v>
      </c>
      <c r="CN135" s="36">
        <f t="shared" si="122"/>
        <v>9.7473895099850043E-3</v>
      </c>
      <c r="CO135" s="173">
        <f t="shared" si="109"/>
        <v>3279.808133745466</v>
      </c>
      <c r="CP135" s="9">
        <v>-631.0107894261522</v>
      </c>
      <c r="CQ135" s="129"/>
      <c r="CR135" s="36">
        <f t="shared" si="110"/>
        <v>0.8346652362864857</v>
      </c>
      <c r="CS135" s="17">
        <f t="shared" si="76"/>
        <v>0.60002499662673847</v>
      </c>
      <c r="CT135" s="9">
        <f t="shared" si="77"/>
        <v>10.077705152276547</v>
      </c>
      <c r="CU135" s="9">
        <f t="shared" si="111"/>
        <v>95.586443692695298</v>
      </c>
      <c r="CV135" s="9">
        <v>13.2</v>
      </c>
      <c r="CW135" s="9">
        <f t="shared" si="112"/>
        <v>98.708752873538941</v>
      </c>
      <c r="CX135">
        <f t="shared" si="113"/>
        <v>22</v>
      </c>
      <c r="CY135" s="9">
        <f t="shared" si="78"/>
        <v>625.41933170811524</v>
      </c>
      <c r="CZ135" s="17">
        <f t="shared" si="114"/>
        <v>0.58890709200387503</v>
      </c>
      <c r="DA135">
        <v>45</v>
      </c>
      <c r="DB135" s="9">
        <f t="shared" si="115"/>
        <v>10.092723932607655</v>
      </c>
      <c r="DC135" s="9">
        <f t="shared" si="116"/>
        <v>10.927389170068171</v>
      </c>
    </row>
    <row r="136" spans="2:107" x14ac:dyDescent="0.25">
      <c r="B136" s="9">
        <f t="shared" si="117"/>
        <v>85</v>
      </c>
      <c r="C136" s="9">
        <v>87.886047791394219</v>
      </c>
      <c r="D136" s="9"/>
      <c r="E136" s="9">
        <f t="shared" si="79"/>
        <v>87.886047791394219</v>
      </c>
      <c r="F136" s="36">
        <f t="shared" si="118"/>
        <v>0</v>
      </c>
      <c r="G136" s="37">
        <f t="shared" si="63"/>
        <v>0</v>
      </c>
      <c r="H136" s="36" t="e">
        <f t="shared" si="64"/>
        <v>#DIV/0!</v>
      </c>
      <c r="I136" s="37" t="e">
        <f t="shared" si="80"/>
        <v>#DIV/0!</v>
      </c>
      <c r="J136" s="37" t="e">
        <f t="shared" si="81"/>
        <v>#DIV/0!</v>
      </c>
      <c r="K136" s="37" t="e">
        <f t="shared" si="82"/>
        <v>#DIV/0!</v>
      </c>
      <c r="L136" s="39" t="e">
        <f t="shared" si="65"/>
        <v>#DIV/0!</v>
      </c>
      <c r="M136" s="39" t="e">
        <f>M135+(1000*$C$2*(B136-B135))/(BerechnungenCLT!$W$47*2*'Berechnung freier Bereich'!G136)</f>
        <v>#DIV/0!</v>
      </c>
      <c r="N136" s="17" t="e">
        <f t="shared" si="83"/>
        <v>#DIV/0!</v>
      </c>
      <c r="O136" s="173">
        <f t="shared" si="84"/>
        <v>3481.4820699775619</v>
      </c>
      <c r="P136" s="173"/>
      <c r="Q136" s="173"/>
      <c r="R136" s="37" t="e">
        <f t="shared" si="66"/>
        <v>#DIV/0!</v>
      </c>
      <c r="S136" s="37" t="e">
        <f t="shared" si="67"/>
        <v>#DIV/0!</v>
      </c>
      <c r="T136" s="37" t="e">
        <f t="shared" si="68"/>
        <v>#DIV/0!</v>
      </c>
      <c r="U136" s="39" t="e">
        <f t="shared" si="69"/>
        <v>#DIV/0!</v>
      </c>
      <c r="V136" s="39" t="e">
        <f t="shared" si="85"/>
        <v>#DIV/0!</v>
      </c>
      <c r="W136" s="9" t="e">
        <f t="shared" si="86"/>
        <v>#DIV/0!</v>
      </c>
      <c r="AB136" s="129">
        <v>86.062393428816648</v>
      </c>
      <c r="AC136" s="9">
        <v>15.1875</v>
      </c>
      <c r="AD136" s="129">
        <f t="shared" si="87"/>
        <v>101.24990912731992</v>
      </c>
      <c r="AE136" s="36">
        <f t="shared" si="119"/>
        <v>1.5193290313696439E-2</v>
      </c>
      <c r="AF136" s="37">
        <f t="shared" si="88"/>
        <v>39454024.901443541</v>
      </c>
      <c r="AG136" s="36">
        <f t="shared" si="70"/>
        <v>1.9739603870272211</v>
      </c>
      <c r="AH136" s="37">
        <f t="shared" si="89"/>
        <v>-1.9955025294284573E-4</v>
      </c>
      <c r="AI136" s="37">
        <f t="shared" si="90"/>
        <v>-1.7312379191683346E-2</v>
      </c>
      <c r="AJ136" s="37">
        <f t="shared" si="91"/>
        <v>-0.74649735240874571</v>
      </c>
      <c r="AK136" s="39">
        <f t="shared" si="92"/>
        <v>2.0204444976796836E-2</v>
      </c>
      <c r="AL136" s="39">
        <f>AL135+(1000*$C$2*($B136-$B135))/(BerechnungenCLT!$W$47*2*AF136)</f>
        <v>4.9466340947424241E-3</v>
      </c>
      <c r="AM136" s="37">
        <f t="shared" si="71"/>
        <v>2.5662757951880192E-6</v>
      </c>
      <c r="AN136" s="173">
        <f t="shared" si="93"/>
        <v>3065.7124588150346</v>
      </c>
      <c r="AO136" s="173">
        <v>-257.86813223509102</v>
      </c>
      <c r="AV136" s="129">
        <v>100.68220219514507</v>
      </c>
      <c r="AW136" s="9">
        <v>11.4375</v>
      </c>
      <c r="AX136" s="129">
        <f t="shared" si="94"/>
        <v>113.35561727777177</v>
      </c>
      <c r="AY136" s="36">
        <f t="shared" si="120"/>
        <v>1.4487150479487182E-2</v>
      </c>
      <c r="AZ136" s="37">
        <f t="shared" si="95"/>
        <v>48971685.582962975</v>
      </c>
      <c r="BA136" s="36">
        <f t="shared" si="72"/>
        <v>1.9860495888275391</v>
      </c>
      <c r="BB136" s="37">
        <f t="shared" si="96"/>
        <v>-1.6076760591298485E-4</v>
      </c>
      <c r="BC136" s="37">
        <f t="shared" si="97"/>
        <v>-1.6452209455063212E-2</v>
      </c>
      <c r="BD136" s="37">
        <f t="shared" si="98"/>
        <v>-0.73469104582107936</v>
      </c>
      <c r="BE136" s="39">
        <f t="shared" si="99"/>
        <v>1.822391120653595E-2</v>
      </c>
      <c r="BF136" s="39">
        <f>BF135+(1000*$C$2*($B136-$B135))/(BerechnungenCLT!$W$47*2*AZ136)</f>
        <v>4.6979565395239998E-3</v>
      </c>
      <c r="BG136" s="37">
        <f t="shared" si="73"/>
        <v>2.3147174929426498E-6</v>
      </c>
      <c r="BH136" s="173">
        <f t="shared" si="100"/>
        <v>2347.9183389467275</v>
      </c>
      <c r="BI136">
        <v>-258.06080299197356</v>
      </c>
      <c r="BP136" s="129">
        <v>85.897869662920158</v>
      </c>
      <c r="BQ136" s="9">
        <v>15.125</v>
      </c>
      <c r="BR136" s="129">
        <f t="shared" si="101"/>
        <v>101.02390528349875</v>
      </c>
      <c r="BS136" s="36">
        <f t="shared" si="121"/>
        <v>1.5100238581961413E-2</v>
      </c>
      <c r="BT136" s="37">
        <f t="shared" si="102"/>
        <v>39048047.706756756</v>
      </c>
      <c r="BU136" s="36">
        <f t="shared" si="74"/>
        <v>1.9740617422716791</v>
      </c>
      <c r="BV136" s="37">
        <f t="shared" si="103"/>
        <v>-2.0162494954476461E-4</v>
      </c>
      <c r="BW136" s="37">
        <f t="shared" si="104"/>
        <v>-1.7362754466178184E-2</v>
      </c>
      <c r="BX136" s="37">
        <f t="shared" si="105"/>
        <v>-0.7471713563992517</v>
      </c>
      <c r="BY136" s="39">
        <f t="shared" si="106"/>
        <v>2.0368939805600516E-2</v>
      </c>
      <c r="BZ136" s="39">
        <f>BZ135+(1000*$C$2*($B136-$B135))/(BerechnungenCLT!$W$47*2*BT136)</f>
        <v>4.9611977617568005E-3</v>
      </c>
      <c r="CA136" s="37">
        <f t="shared" si="75"/>
        <v>2.587169172762967E-6</v>
      </c>
      <c r="CB136" s="173">
        <f t="shared" si="107"/>
        <v>3078.5359625029782</v>
      </c>
      <c r="CC136" s="9">
        <v>-258.32661738736084</v>
      </c>
      <c r="CJ136" s="9">
        <f t="shared" si="123"/>
        <v>85</v>
      </c>
      <c r="CK136" s="129">
        <v>85.505662234148673</v>
      </c>
      <c r="CL136" s="9">
        <v>10.078125</v>
      </c>
      <c r="CM136" s="129">
        <f t="shared" si="108"/>
        <v>95.583842231636481</v>
      </c>
      <c r="CN136" s="36">
        <f t="shared" si="122"/>
        <v>9.7470722446681198E-3</v>
      </c>
      <c r="CO136" s="173">
        <f t="shared" si="109"/>
        <v>3280.0273359960852</v>
      </c>
      <c r="CP136" s="9">
        <v>-631.05296231540865</v>
      </c>
      <c r="CQ136" s="129"/>
      <c r="CR136" s="36">
        <f t="shared" si="110"/>
        <v>0.83468048911660508</v>
      </c>
      <c r="CS136" s="17">
        <f t="shared" si="76"/>
        <v>0.60003596159681638</v>
      </c>
      <c r="CT136" s="9">
        <f t="shared" si="77"/>
        <v>10.07752099375519</v>
      </c>
      <c r="CU136" s="9">
        <f t="shared" si="111"/>
        <v>95.583238222095545</v>
      </c>
      <c r="CV136" s="9">
        <v>13.2</v>
      </c>
      <c r="CW136" s="9">
        <f t="shared" si="112"/>
        <v>98.705734268067602</v>
      </c>
      <c r="CX136">
        <f t="shared" si="113"/>
        <v>22</v>
      </c>
      <c r="CY136" s="9">
        <f t="shared" si="78"/>
        <v>625.4414945443707</v>
      </c>
      <c r="CZ136" s="17">
        <f t="shared" si="114"/>
        <v>0.58892796096456757</v>
      </c>
      <c r="DA136">
        <v>45</v>
      </c>
      <c r="DB136" s="9">
        <f t="shared" si="115"/>
        <v>10.09308158606758</v>
      </c>
      <c r="DC136" s="9">
        <f t="shared" si="116"/>
        <v>10.927762076579715</v>
      </c>
    </row>
    <row r="137" spans="2:107" x14ac:dyDescent="0.25">
      <c r="B137" s="9">
        <f t="shared" si="117"/>
        <v>86</v>
      </c>
      <c r="C137" s="9">
        <v>88.030693332571985</v>
      </c>
      <c r="D137" s="9"/>
      <c r="E137" s="9">
        <f t="shared" si="79"/>
        <v>88.030693332571985</v>
      </c>
      <c r="F137" s="36">
        <f t="shared" si="118"/>
        <v>0</v>
      </c>
      <c r="G137" s="37">
        <f t="shared" si="63"/>
        <v>0</v>
      </c>
      <c r="H137" s="36" t="e">
        <f t="shared" si="64"/>
        <v>#DIV/0!</v>
      </c>
      <c r="I137" s="37" t="e">
        <f t="shared" si="80"/>
        <v>#DIV/0!</v>
      </c>
      <c r="J137" s="37" t="e">
        <f t="shared" si="81"/>
        <v>#DIV/0!</v>
      </c>
      <c r="K137" s="37" t="e">
        <f t="shared" si="82"/>
        <v>#DIV/0!</v>
      </c>
      <c r="L137" s="39" t="e">
        <f t="shared" si="65"/>
        <v>#DIV/0!</v>
      </c>
      <c r="M137" s="39" t="e">
        <f>M136+(1000*$C$2*(B137-B136))/(BerechnungenCLT!$W$47*2*'Berechnung freier Bereich'!G137)</f>
        <v>#DIV/0!</v>
      </c>
      <c r="N137" s="17" t="e">
        <f t="shared" si="83"/>
        <v>#DIV/0!</v>
      </c>
      <c r="O137" s="173">
        <f t="shared" si="84"/>
        <v>3470.0504404945714</v>
      </c>
      <c r="P137" s="173"/>
      <c r="Q137" s="173"/>
      <c r="R137" s="37" t="e">
        <f t="shared" si="66"/>
        <v>#DIV/0!</v>
      </c>
      <c r="S137" s="37" t="e">
        <f t="shared" si="67"/>
        <v>#DIV/0!</v>
      </c>
      <c r="T137" s="37" t="e">
        <f t="shared" si="68"/>
        <v>#DIV/0!</v>
      </c>
      <c r="U137" s="39" t="e">
        <f t="shared" si="69"/>
        <v>#DIV/0!</v>
      </c>
      <c r="V137" s="39" t="e">
        <f t="shared" si="85"/>
        <v>#DIV/0!</v>
      </c>
      <c r="W137" s="9" t="e">
        <f t="shared" si="86"/>
        <v>#DIV/0!</v>
      </c>
      <c r="AB137" s="129">
        <v>86.063831237454863</v>
      </c>
      <c r="AC137" s="9">
        <v>15.1875</v>
      </c>
      <c r="AD137" s="129">
        <f t="shared" si="87"/>
        <v>101.2513316034766</v>
      </c>
      <c r="AE137" s="36">
        <f t="shared" si="119"/>
        <v>1.5193506978797669E-2</v>
      </c>
      <c r="AF137" s="37">
        <f t="shared" si="88"/>
        <v>39455784.111683831</v>
      </c>
      <c r="AG137" s="36">
        <f t="shared" si="70"/>
        <v>1.9739612265441304</v>
      </c>
      <c r="AH137" s="37">
        <f t="shared" si="89"/>
        <v>-1.9954135562002393E-4</v>
      </c>
      <c r="AI137" s="37">
        <f t="shared" si="90"/>
        <v>-1.751192054730337E-2</v>
      </c>
      <c r="AJ137" s="37">
        <f t="shared" si="91"/>
        <v>-0.76390950227823906</v>
      </c>
      <c r="AK137" s="39">
        <f t="shared" si="92"/>
        <v>2.0203827966490291E-2</v>
      </c>
      <c r="AL137" s="39">
        <f>AL136+(1000*$C$2*($B137-$B136))/(BerechnungenCLT!$W$47*2*AF137)</f>
        <v>5.0043222006606108E-3</v>
      </c>
      <c r="AM137" s="37">
        <f t="shared" si="71"/>
        <v>2.5661974253730159E-6</v>
      </c>
      <c r="AN137" s="173">
        <f t="shared" si="93"/>
        <v>3065.6188332521165</v>
      </c>
      <c r="AO137" s="173">
        <v>-257.7560346364948</v>
      </c>
      <c r="AV137" s="129">
        <v>101.15947870015205</v>
      </c>
      <c r="AW137" s="9">
        <v>11.3125</v>
      </c>
      <c r="AX137" s="129">
        <f t="shared" si="94"/>
        <v>113.67164388776298</v>
      </c>
      <c r="AY137" s="36">
        <f t="shared" si="120"/>
        <v>1.4355835105615729E-2</v>
      </c>
      <c r="AZ137" s="37">
        <f t="shared" si="95"/>
        <v>48882637.703981705</v>
      </c>
      <c r="BA137" s="36">
        <f t="shared" si="72"/>
        <v>1.986500268484503</v>
      </c>
      <c r="BB137" s="37">
        <f t="shared" si="96"/>
        <v>-1.6106047092575567E-4</v>
      </c>
      <c r="BC137" s="37">
        <f t="shared" si="97"/>
        <v>-1.6613269925988966E-2</v>
      </c>
      <c r="BD137" s="37">
        <f t="shared" si="98"/>
        <v>-0.7512237855116054</v>
      </c>
      <c r="BE137" s="39">
        <f t="shared" si="99"/>
        <v>1.8308008495467903E-2</v>
      </c>
      <c r="BF137" s="39">
        <f>BF136+(1000*$C$2*($B137-$B136))/(BerechnungenCLT!$W$47*2*AZ137)</f>
        <v>4.7445196866827818E-3</v>
      </c>
      <c r="BG137" s="37">
        <f t="shared" si="73"/>
        <v>2.3253991442958475E-6</v>
      </c>
      <c r="BH137" s="173">
        <f t="shared" si="100"/>
        <v>2330.6101212703829</v>
      </c>
      <c r="BI137">
        <v>-259.21539276229515</v>
      </c>
      <c r="BP137" s="129">
        <v>85.909572066620242</v>
      </c>
      <c r="BQ137" s="9">
        <v>15.125</v>
      </c>
      <c r="BR137" s="129">
        <f t="shared" si="101"/>
        <v>101.03557322374662</v>
      </c>
      <c r="BS137" s="36">
        <f t="shared" si="121"/>
        <v>1.5102092116587605E-2</v>
      </c>
      <c r="BT137" s="37">
        <f t="shared" si="102"/>
        <v>39062542.072301693</v>
      </c>
      <c r="BU137" s="36">
        <f t="shared" si="74"/>
        <v>1.9740682808592172</v>
      </c>
      <c r="BV137" s="37">
        <f t="shared" si="103"/>
        <v>-2.015501355268681E-4</v>
      </c>
      <c r="BW137" s="37">
        <f t="shared" si="104"/>
        <v>-1.7564304601705053E-2</v>
      </c>
      <c r="BX137" s="37">
        <f t="shared" si="105"/>
        <v>-0.76463488593319329</v>
      </c>
      <c r="BY137" s="39">
        <f t="shared" si="106"/>
        <v>2.0363733476280937E-2</v>
      </c>
      <c r="BZ137" s="39">
        <f>BZ136+(1000*$C$2*($B137-$B136))/(BerechnungenCLT!$W$47*2*BT137)</f>
        <v>5.0194666129930307E-3</v>
      </c>
      <c r="CA137" s="37">
        <f t="shared" si="75"/>
        <v>2.5865078887272036E-6</v>
      </c>
      <c r="CB137" s="173">
        <f t="shared" si="107"/>
        <v>3077.7663041402338</v>
      </c>
      <c r="CC137" s="9">
        <v>-258.2620336878968</v>
      </c>
      <c r="CJ137" s="9">
        <f t="shared" si="123"/>
        <v>86</v>
      </c>
      <c r="CK137" s="129">
        <v>85.502358560448101</v>
      </c>
      <c r="CL137" s="9">
        <v>10.078125</v>
      </c>
      <c r="CM137" s="129">
        <f t="shared" si="108"/>
        <v>95.580548336040124</v>
      </c>
      <c r="CN137" s="36">
        <f t="shared" si="122"/>
        <v>9.7467265895737204E-3</v>
      </c>
      <c r="CO137" s="173">
        <f t="shared" si="109"/>
        <v>3280.2663491888297</v>
      </c>
      <c r="CP137" s="9">
        <v>-631.09894668317861</v>
      </c>
      <c r="CQ137" s="129"/>
      <c r="CR137" s="36">
        <f t="shared" si="110"/>
        <v>0.8346971183652836</v>
      </c>
      <c r="CS137" s="17">
        <f t="shared" si="76"/>
        <v>0.60004791604807228</v>
      </c>
      <c r="CT137" s="9">
        <f t="shared" si="77"/>
        <v>10.077320224399481</v>
      </c>
      <c r="CU137" s="9">
        <f t="shared" si="111"/>
        <v>95.579743555267029</v>
      </c>
      <c r="CV137" s="9">
        <v>13.2</v>
      </c>
      <c r="CW137" s="9">
        <f t="shared" si="112"/>
        <v>98.702443401409568</v>
      </c>
      <c r="CX137">
        <f t="shared" si="113"/>
        <v>22</v>
      </c>
      <c r="CY137" s="9">
        <f t="shared" si="78"/>
        <v>625.46566059840188</v>
      </c>
      <c r="CZ137" s="17">
        <f t="shared" si="114"/>
        <v>0.58895071619435213</v>
      </c>
      <c r="DA137">
        <v>45</v>
      </c>
      <c r="DB137" s="9">
        <f t="shared" si="115"/>
        <v>10.093471566516715</v>
      </c>
      <c r="DC137" s="9">
        <f t="shared" si="116"/>
        <v>10.928168686526041</v>
      </c>
    </row>
    <row r="138" spans="2:107" x14ac:dyDescent="0.25">
      <c r="B138" s="9">
        <f t="shared" si="117"/>
        <v>87</v>
      </c>
      <c r="C138" s="9">
        <v>88.178219359031985</v>
      </c>
      <c r="D138" s="9"/>
      <c r="E138" s="9">
        <f t="shared" si="79"/>
        <v>88.178219359031985</v>
      </c>
      <c r="F138" s="36">
        <f t="shared" si="118"/>
        <v>0</v>
      </c>
      <c r="G138" s="37">
        <f t="shared" si="63"/>
        <v>0</v>
      </c>
      <c r="H138" s="36" t="e">
        <f t="shared" si="64"/>
        <v>#DIV/0!</v>
      </c>
      <c r="I138" s="37" t="e">
        <f t="shared" si="80"/>
        <v>#DIV/0!</v>
      </c>
      <c r="J138" s="37" t="e">
        <f t="shared" si="81"/>
        <v>#DIV/0!</v>
      </c>
      <c r="K138" s="37" t="e">
        <f t="shared" si="82"/>
        <v>#DIV/0!</v>
      </c>
      <c r="L138" s="39" t="e">
        <f t="shared" si="65"/>
        <v>#DIV/0!</v>
      </c>
      <c r="M138" s="39" t="e">
        <f>M137+(1000*$C$2*(B138-B137))/(BerechnungenCLT!$W$47*2*'Berechnung freier Bereich'!G138)</f>
        <v>#DIV/0!</v>
      </c>
      <c r="N138" s="17" t="e">
        <f t="shared" si="83"/>
        <v>#DIV/0!</v>
      </c>
      <c r="O138" s="173">
        <f t="shared" si="84"/>
        <v>3458.4490604209786</v>
      </c>
      <c r="P138" s="173"/>
      <c r="Q138" s="173"/>
      <c r="R138" s="37" t="e">
        <f t="shared" si="66"/>
        <v>#DIV/0!</v>
      </c>
      <c r="S138" s="37" t="e">
        <f t="shared" si="67"/>
        <v>#DIV/0!</v>
      </c>
      <c r="T138" s="37" t="e">
        <f t="shared" si="68"/>
        <v>#DIV/0!</v>
      </c>
      <c r="U138" s="39" t="e">
        <f t="shared" si="69"/>
        <v>#DIV/0!</v>
      </c>
      <c r="V138" s="39" t="e">
        <f t="shared" si="85"/>
        <v>#DIV/0!</v>
      </c>
      <c r="W138" s="9" t="e">
        <f t="shared" si="86"/>
        <v>#DIV/0!</v>
      </c>
      <c r="AB138" s="129">
        <v>86.063611691572405</v>
      </c>
      <c r="AC138" s="9">
        <v>15.1875</v>
      </c>
      <c r="AD138" s="129">
        <f t="shared" si="87"/>
        <v>101.25114060540147</v>
      </c>
      <c r="AE138" s="36">
        <f t="shared" si="119"/>
        <v>1.5193502237792608E-2</v>
      </c>
      <c r="AF138" s="37">
        <f t="shared" si="88"/>
        <v>39455600.945660025</v>
      </c>
      <c r="AG138" s="36">
        <f t="shared" si="70"/>
        <v>1.9739610165886137</v>
      </c>
      <c r="AH138" s="37">
        <f t="shared" si="89"/>
        <v>-1.9954228195737065E-4</v>
      </c>
      <c r="AI138" s="37">
        <f t="shared" si="90"/>
        <v>-1.7711462829260741E-2</v>
      </c>
      <c r="AJ138" s="37">
        <f t="shared" si="91"/>
        <v>-0.78152119396652109</v>
      </c>
      <c r="AK138" s="39">
        <f t="shared" si="92"/>
        <v>2.0203883647188402E-2</v>
      </c>
      <c r="AL138" s="39">
        <f>AL137+(1000*$C$2*($B138-$B137))/(BerechnungenCLT!$W$47*2*AF138)</f>
        <v>5.0620105743861745E-3</v>
      </c>
      <c r="AM138" s="37">
        <f t="shared" si="71"/>
        <v>2.5662044976795299E-6</v>
      </c>
      <c r="AN138" s="173">
        <f t="shared" si="93"/>
        <v>3065.6322713038662</v>
      </c>
      <c r="AO138" s="173">
        <v>-257.63759609317128</v>
      </c>
      <c r="AV138" s="129">
        <v>101.63206903898383</v>
      </c>
      <c r="AW138" s="9">
        <v>11.3125</v>
      </c>
      <c r="AX138" s="129">
        <f t="shared" si="94"/>
        <v>114.11843991309867</v>
      </c>
      <c r="AY138" s="36">
        <f t="shared" si="120"/>
        <v>1.4387550244508435E-2</v>
      </c>
      <c r="AZ138" s="37">
        <f t="shared" si="95"/>
        <v>49408742.856796287</v>
      </c>
      <c r="BA138" s="36">
        <f t="shared" si="72"/>
        <v>1.9866693569592124</v>
      </c>
      <c r="BB138" s="37">
        <f t="shared" si="96"/>
        <v>-1.593454962316135E-4</v>
      </c>
      <c r="BC138" s="37">
        <f t="shared" si="97"/>
        <v>-1.6772615422220579E-2</v>
      </c>
      <c r="BD138" s="37">
        <f t="shared" si="98"/>
        <v>-0.76791672818571022</v>
      </c>
      <c r="BE138" s="39">
        <f t="shared" si="99"/>
        <v>1.8184259437130274E-2</v>
      </c>
      <c r="BF138" s="39">
        <f>BF137+(1000*$C$2*($B138-$B137))/(BerechnungenCLT!$W$47*2*AZ138)</f>
        <v>4.7905870286412073E-3</v>
      </c>
      <c r="BG138" s="37">
        <f t="shared" si="73"/>
        <v>2.3096811073265632E-6</v>
      </c>
      <c r="BH138" s="173">
        <f t="shared" si="100"/>
        <v>2310.78939665091</v>
      </c>
      <c r="BI138">
        <v>-257.26776338892654</v>
      </c>
      <c r="BP138" s="129">
        <v>85.921078099594894</v>
      </c>
      <c r="BQ138" s="9">
        <v>15.125</v>
      </c>
      <c r="BR138" s="129">
        <f t="shared" si="101"/>
        <v>101.04704193391782</v>
      </c>
      <c r="BS138" s="36">
        <f t="shared" si="121"/>
        <v>1.5103910829464742E-2</v>
      </c>
      <c r="BT138" s="37">
        <f t="shared" si="102"/>
        <v>39076785.557241842</v>
      </c>
      <c r="BU138" s="36">
        <f t="shared" si="74"/>
        <v>1.9740747180787115</v>
      </c>
      <c r="BV138" s="37">
        <f t="shared" si="103"/>
        <v>-2.0147667051998165E-4</v>
      </c>
      <c r="BW138" s="37">
        <f t="shared" si="104"/>
        <v>-1.7765781272225036E-2</v>
      </c>
      <c r="BX138" s="37">
        <f t="shared" si="105"/>
        <v>-0.78229992887015831</v>
      </c>
      <c r="BY138" s="39">
        <f t="shared" si="106"/>
        <v>2.0358621574738733E-2</v>
      </c>
      <c r="BZ138" s="39">
        <f>BZ137+(1000*$C$2*($B138-$B137))/(BerechnungenCLT!$W$47*2*BT138)</f>
        <v>5.0777142252380484E-3</v>
      </c>
      <c r="CA138" s="37">
        <f t="shared" si="75"/>
        <v>2.5858585984739844E-6</v>
      </c>
      <c r="CB138" s="173">
        <f t="shared" si="107"/>
        <v>3077.009955455851</v>
      </c>
      <c r="CC138" s="9">
        <v>-258.19856683235832</v>
      </c>
      <c r="CJ138" s="9">
        <f t="shared" si="123"/>
        <v>87</v>
      </c>
      <c r="CK138" s="129">
        <v>85.498773210752347</v>
      </c>
      <c r="CL138" s="9">
        <v>10.078125</v>
      </c>
      <c r="CM138" s="129">
        <f t="shared" si="108"/>
        <v>95.57697330335813</v>
      </c>
      <c r="CN138" s="36">
        <f t="shared" si="122"/>
        <v>9.746351161700641E-3</v>
      </c>
      <c r="CO138" s="173">
        <f t="shared" si="109"/>
        <v>3280.525781235498</v>
      </c>
      <c r="CP138" s="9">
        <v>-631.14885948718882</v>
      </c>
      <c r="CQ138" s="129"/>
      <c r="CR138" s="36">
        <f t="shared" si="110"/>
        <v>0.83471516728645545</v>
      </c>
      <c r="CS138" s="17">
        <f t="shared" si="76"/>
        <v>0.60006089107493865</v>
      </c>
      <c r="CT138" s="9">
        <f t="shared" si="77"/>
        <v>10.07710232401204</v>
      </c>
      <c r="CU138" s="9">
        <f t="shared" si="111"/>
        <v>95.575950619750159</v>
      </c>
      <c r="CV138" s="9">
        <v>13.2</v>
      </c>
      <c r="CW138" s="9">
        <f t="shared" si="112"/>
        <v>98.698871564602527</v>
      </c>
      <c r="CX138">
        <f t="shared" si="113"/>
        <v>22</v>
      </c>
      <c r="CY138" s="9">
        <f t="shared" si="78"/>
        <v>625.49188919831875</v>
      </c>
      <c r="CZ138" s="17">
        <f t="shared" si="114"/>
        <v>0.58897541355773897</v>
      </c>
      <c r="DA138">
        <v>45</v>
      </c>
      <c r="DB138" s="9">
        <f t="shared" si="115"/>
        <v>10.093894831364281</v>
      </c>
      <c r="DC138" s="9">
        <f t="shared" si="116"/>
        <v>10.928610000558036</v>
      </c>
    </row>
    <row r="139" spans="2:107" x14ac:dyDescent="0.25">
      <c r="B139" s="9">
        <f t="shared" si="117"/>
        <v>88</v>
      </c>
      <c r="C139" s="9">
        <v>88.328515124442092</v>
      </c>
      <c r="D139" s="9"/>
      <c r="E139" s="9">
        <f t="shared" si="79"/>
        <v>88.328515124442092</v>
      </c>
      <c r="F139" s="36">
        <f t="shared" si="118"/>
        <v>0</v>
      </c>
      <c r="G139" s="37">
        <f t="shared" si="63"/>
        <v>0</v>
      </c>
      <c r="H139" s="36" t="e">
        <f t="shared" si="64"/>
        <v>#DIV/0!</v>
      </c>
      <c r="I139" s="37" t="e">
        <f t="shared" si="80"/>
        <v>#DIV/0!</v>
      </c>
      <c r="J139" s="37" t="e">
        <f t="shared" si="81"/>
        <v>#DIV/0!</v>
      </c>
      <c r="K139" s="37" t="e">
        <f t="shared" si="82"/>
        <v>#DIV/0!</v>
      </c>
      <c r="L139" s="39" t="e">
        <f t="shared" si="65"/>
        <v>#DIV/0!</v>
      </c>
      <c r="M139" s="39" t="e">
        <f>M138+(1000*$C$2*(B139-B138))/(BerechnungenCLT!$W$47*2*'Berechnung freier Bereich'!G139)</f>
        <v>#DIV/0!</v>
      </c>
      <c r="N139" s="17" t="e">
        <f t="shared" si="83"/>
        <v>#DIV/0!</v>
      </c>
      <c r="O139" s="173">
        <f t="shared" si="84"/>
        <v>3446.6895958297814</v>
      </c>
      <c r="P139" s="173"/>
      <c r="Q139" s="173"/>
      <c r="R139" s="37" t="e">
        <f t="shared" si="66"/>
        <v>#DIV/0!</v>
      </c>
      <c r="S139" s="37" t="e">
        <f t="shared" si="67"/>
        <v>#DIV/0!</v>
      </c>
      <c r="T139" s="37" t="e">
        <f t="shared" si="68"/>
        <v>#DIV/0!</v>
      </c>
      <c r="U139" s="39" t="e">
        <f t="shared" si="69"/>
        <v>#DIV/0!</v>
      </c>
      <c r="V139" s="39" t="e">
        <f t="shared" si="85"/>
        <v>#DIV/0!</v>
      </c>
      <c r="W139" s="9" t="e">
        <f t="shared" si="86"/>
        <v>#DIV/0!</v>
      </c>
      <c r="AB139" s="129">
        <v>86.061660387891919</v>
      </c>
      <c r="AC139" s="9">
        <v>15.1875</v>
      </c>
      <c r="AD139" s="129">
        <f t="shared" si="87"/>
        <v>101.24926760018718</v>
      </c>
      <c r="AE139" s="36">
        <f t="shared" si="119"/>
        <v>1.5193270367538994E-2</v>
      </c>
      <c r="AF139" s="37">
        <f t="shared" si="88"/>
        <v>39453400.938443638</v>
      </c>
      <c r="AG139" s="36">
        <f t="shared" si="70"/>
        <v>1.9739596978435918</v>
      </c>
      <c r="AH139" s="37">
        <f t="shared" si="89"/>
        <v>-1.9955340886784832E-4</v>
      </c>
      <c r="AI139" s="37">
        <f t="shared" si="90"/>
        <v>-1.7911016238128588E-2</v>
      </c>
      <c r="AJ139" s="37">
        <f t="shared" si="91"/>
        <v>-0.79933243350021577</v>
      </c>
      <c r="AK139" s="39">
        <f t="shared" si="92"/>
        <v>2.0204636494990338E-2</v>
      </c>
      <c r="AL139" s="39">
        <f>AL138+(1000*$C$2*($B139-$B138))/(BerechnungenCLT!$W$47*2*AF139)</f>
        <v>5.119702164940591E-3</v>
      </c>
      <c r="AM139" s="37">
        <f t="shared" si="71"/>
        <v>2.5663001209492507E-6</v>
      </c>
      <c r="AN139" s="173">
        <f t="shared" si="93"/>
        <v>3065.7574540102078</v>
      </c>
      <c r="AO139" s="173">
        <v>-257.51263667443351</v>
      </c>
      <c r="AV139" s="129">
        <v>102.09929799262744</v>
      </c>
      <c r="AW139" s="9">
        <v>11.1875</v>
      </c>
      <c r="AX139" s="129">
        <f t="shared" si="94"/>
        <v>114.4192622427162</v>
      </c>
      <c r="AY139" s="36">
        <f t="shared" si="120"/>
        <v>1.4246342207756193E-2</v>
      </c>
      <c r="AZ139" s="37">
        <f t="shared" si="95"/>
        <v>49267275.133333944</v>
      </c>
      <c r="BA139" s="36">
        <f t="shared" si="72"/>
        <v>1.9871120611894599</v>
      </c>
      <c r="BB139" s="37">
        <f t="shared" si="96"/>
        <v>-1.5980304628963592E-4</v>
      </c>
      <c r="BC139" s="37">
        <f t="shared" si="97"/>
        <v>-1.6932418468510214E-2</v>
      </c>
      <c r="BD139" s="37">
        <f t="shared" si="98"/>
        <v>-0.7847692451310756</v>
      </c>
      <c r="BE139" s="39">
        <f t="shared" si="99"/>
        <v>1.8284546660598769E-2</v>
      </c>
      <c r="BF139" s="39">
        <f>BF138+(1000*$C$2*($B139-$B138))/(BerechnungenCLT!$W$47*2*AZ139)</f>
        <v>4.8367866499265319E-3</v>
      </c>
      <c r="BG139" s="37">
        <f t="shared" si="73"/>
        <v>2.3224191297988146E-6</v>
      </c>
      <c r="BH139" s="173">
        <f t="shared" si="100"/>
        <v>2294.424454102169</v>
      </c>
      <c r="BI139">
        <v>-258.57783760244877</v>
      </c>
      <c r="BP139" s="129">
        <v>85.932367618074053</v>
      </c>
      <c r="BQ139" s="9">
        <v>15.125</v>
      </c>
      <c r="BR139" s="129">
        <f t="shared" si="101"/>
        <v>101.05829146810842</v>
      </c>
      <c r="BS139" s="36">
        <f t="shared" si="121"/>
        <v>1.5105691678808814E-2</v>
      </c>
      <c r="BT139" s="37">
        <f t="shared" si="102"/>
        <v>39090753.458471231</v>
      </c>
      <c r="BU139" s="36">
        <f t="shared" si="74"/>
        <v>1.97408104236743</v>
      </c>
      <c r="BV139" s="37">
        <f t="shared" si="103"/>
        <v>-2.0140467891110059E-4</v>
      </c>
      <c r="BW139" s="37">
        <f t="shared" si="104"/>
        <v>-1.7967185951136135E-2</v>
      </c>
      <c r="BX139" s="37">
        <f t="shared" si="105"/>
        <v>-0.80016641248183895</v>
      </c>
      <c r="BY139" s="39">
        <f t="shared" si="106"/>
        <v>2.0353612744438792E-2</v>
      </c>
      <c r="BZ139" s="39">
        <f>BZ138+(1000*$C$2*($B139-$B138))/(BerechnungenCLT!$W$47*2*BT139)</f>
        <v>5.1359410244563855E-3</v>
      </c>
      <c r="CA139" s="37">
        <f t="shared" si="75"/>
        <v>2.5852223998565166E-6</v>
      </c>
      <c r="CB139" s="173">
        <f t="shared" si="107"/>
        <v>3076.268220975207</v>
      </c>
      <c r="CC139" s="9">
        <v>-258.13632628629415</v>
      </c>
      <c r="CJ139" s="9">
        <f t="shared" si="123"/>
        <v>88</v>
      </c>
      <c r="CK139" s="129">
        <v>85.494912879933509</v>
      </c>
      <c r="CL139" s="9">
        <v>10.078125</v>
      </c>
      <c r="CM139" s="129">
        <f t="shared" si="108"/>
        <v>95.573122824740693</v>
      </c>
      <c r="CN139" s="36">
        <f t="shared" si="122"/>
        <v>9.7459456569382909E-3</v>
      </c>
      <c r="CO139" s="173">
        <f t="shared" si="109"/>
        <v>3280.805190548776</v>
      </c>
      <c r="CP139" s="9">
        <v>-631.20261576931102</v>
      </c>
      <c r="CQ139" s="129"/>
      <c r="CR139" s="36">
        <f t="shared" si="110"/>
        <v>0.83473460723283788</v>
      </c>
      <c r="CS139" s="17">
        <f t="shared" si="76"/>
        <v>0.60007486608342764</v>
      </c>
      <c r="CT139" s="9">
        <f t="shared" si="77"/>
        <v>10.07686764064421</v>
      </c>
      <c r="CU139" s="9">
        <f t="shared" si="111"/>
        <v>95.571865454787087</v>
      </c>
      <c r="CV139" s="9">
        <v>13.2</v>
      </c>
      <c r="CW139" s="9">
        <f t="shared" si="112"/>
        <v>98.695024137876302</v>
      </c>
      <c r="CX139">
        <f t="shared" si="113"/>
        <v>22</v>
      </c>
      <c r="CY139" s="9">
        <f t="shared" si="78"/>
        <v>625.52013188008164</v>
      </c>
      <c r="CZ139" s="17">
        <f t="shared" si="114"/>
        <v>0.58900200742003916</v>
      </c>
      <c r="DA139">
        <v>45</v>
      </c>
      <c r="DB139" s="9">
        <f t="shared" si="115"/>
        <v>10.094350598520327</v>
      </c>
      <c r="DC139" s="9">
        <f t="shared" si="116"/>
        <v>10.929085207912369</v>
      </c>
    </row>
    <row r="140" spans="2:107" x14ac:dyDescent="0.25">
      <c r="B140" s="9">
        <f t="shared" si="117"/>
        <v>89</v>
      </c>
      <c r="C140" s="9">
        <v>88.481469882470279</v>
      </c>
      <c r="D140" s="9"/>
      <c r="E140" s="9">
        <f t="shared" si="79"/>
        <v>88.481469882470279</v>
      </c>
      <c r="F140" s="36">
        <f t="shared" si="118"/>
        <v>0</v>
      </c>
      <c r="G140" s="37">
        <f t="shared" si="63"/>
        <v>0</v>
      </c>
      <c r="H140" s="36" t="e">
        <f t="shared" si="64"/>
        <v>#DIV/0!</v>
      </c>
      <c r="I140" s="37" t="e">
        <f t="shared" si="80"/>
        <v>#DIV/0!</v>
      </c>
      <c r="J140" s="37" t="e">
        <f t="shared" si="81"/>
        <v>#DIV/0!</v>
      </c>
      <c r="K140" s="37" t="e">
        <f t="shared" si="82"/>
        <v>#DIV/0!</v>
      </c>
      <c r="L140" s="39" t="e">
        <f t="shared" si="65"/>
        <v>#DIV/0!</v>
      </c>
      <c r="M140" s="39" t="e">
        <f>M139+(1000*$C$2*(B140-B139))/(BerechnungenCLT!$W$47*2*'Berechnung freier Bereich'!G140)</f>
        <v>#DIV/0!</v>
      </c>
      <c r="N140" s="17" t="e">
        <f t="shared" si="83"/>
        <v>#DIV/0!</v>
      </c>
      <c r="O140" s="173">
        <f t="shared" si="84"/>
        <v>3434.7835570024422</v>
      </c>
      <c r="P140" s="173"/>
      <c r="Q140" s="173"/>
      <c r="R140" s="37" t="e">
        <f t="shared" si="66"/>
        <v>#DIV/0!</v>
      </c>
      <c r="S140" s="37" t="e">
        <f t="shared" si="67"/>
        <v>#DIV/0!</v>
      </c>
      <c r="T140" s="37" t="e">
        <f t="shared" si="68"/>
        <v>#DIV/0!</v>
      </c>
      <c r="U140" s="39" t="e">
        <f t="shared" si="69"/>
        <v>#DIV/0!</v>
      </c>
      <c r="V140" s="39" t="e">
        <f t="shared" si="85"/>
        <v>#DIV/0!</v>
      </c>
      <c r="W140" s="9" t="e">
        <f t="shared" si="86"/>
        <v>#DIV/0!</v>
      </c>
      <c r="AB140" s="129">
        <v>86.057902923136112</v>
      </c>
      <c r="AC140" s="9">
        <v>15.1875</v>
      </c>
      <c r="AD140" s="129">
        <f t="shared" si="87"/>
        <v>101.24564430657576</v>
      </c>
      <c r="AE140" s="36">
        <f t="shared" si="119"/>
        <v>1.5192805911159971E-2</v>
      </c>
      <c r="AF140" s="37">
        <f t="shared" si="88"/>
        <v>39449110.642445102</v>
      </c>
      <c r="AG140" s="36">
        <f t="shared" si="70"/>
        <v>1.973957210008193</v>
      </c>
      <c r="AH140" s="37">
        <f t="shared" si="89"/>
        <v>-1.9957511133914909E-4</v>
      </c>
      <c r="AI140" s="37">
        <f t="shared" si="90"/>
        <v>-1.8110591349467738E-2</v>
      </c>
      <c r="AJ140" s="37">
        <f t="shared" si="91"/>
        <v>-0.81734323729401392</v>
      </c>
      <c r="AK140" s="39">
        <f t="shared" si="92"/>
        <v>2.0206110735088743E-2</v>
      </c>
      <c r="AL140" s="39">
        <f>AL139+(1000*$C$2*($B140-$B139))/(BerechnungenCLT!$W$47*2*AF140)</f>
        <v>5.1774000297555951E-3</v>
      </c>
      <c r="AM140" s="37">
        <f t="shared" si="71"/>
        <v>2.5664873721548726E-6</v>
      </c>
      <c r="AN140" s="173">
        <f t="shared" si="93"/>
        <v>3065.9990731481221</v>
      </c>
      <c r="AO140" s="173">
        <v>-257.38097758868622</v>
      </c>
      <c r="AV140" s="129">
        <v>102.56049034206991</v>
      </c>
      <c r="AW140" s="9">
        <v>11.125</v>
      </c>
      <c r="AX140" s="129">
        <f t="shared" si="94"/>
        <v>114.78054477270875</v>
      </c>
      <c r="AY140" s="36">
        <f t="shared" si="120"/>
        <v>1.4184488042846381E-2</v>
      </c>
      <c r="AZ140" s="37">
        <f t="shared" si="95"/>
        <v>49422985.900135204</v>
      </c>
      <c r="BA140" s="36">
        <f t="shared" si="72"/>
        <v>1.9874145945897739</v>
      </c>
      <c r="BB140" s="37">
        <f t="shared" si="96"/>
        <v>-1.5929957499137773E-4</v>
      </c>
      <c r="BC140" s="37">
        <f t="shared" si="97"/>
        <v>-1.7091718043501593E-2</v>
      </c>
      <c r="BD140" s="37">
        <f t="shared" si="98"/>
        <v>-0.80178131338708147</v>
      </c>
      <c r="BE140" s="39">
        <f t="shared" si="99"/>
        <v>1.8284491999571308E-2</v>
      </c>
      <c r="BF140" s="39">
        <f>BF139+(1000*$C$2*($B140-$B139))/(BerechnungenCLT!$W$47*2*AZ140)</f>
        <v>4.8828407158933093E-3</v>
      </c>
      <c r="BG140" s="37">
        <f t="shared" si="73"/>
        <v>2.3224121870061832E-6</v>
      </c>
      <c r="BH140" s="173">
        <f t="shared" si="100"/>
        <v>2277.0919165539835</v>
      </c>
      <c r="BI140">
        <v>-258.37420895881377</v>
      </c>
      <c r="BP140" s="129">
        <v>85.943420478287734</v>
      </c>
      <c r="BQ140" s="9">
        <v>15.125</v>
      </c>
      <c r="BR140" s="129">
        <f t="shared" si="101"/>
        <v>101.06930189882593</v>
      </c>
      <c r="BS140" s="36">
        <f t="shared" si="121"/>
        <v>1.5107431642878413E-2</v>
      </c>
      <c r="BT140" s="37">
        <f t="shared" si="102"/>
        <v>39104421.113330357</v>
      </c>
      <c r="BU140" s="36">
        <f t="shared" si="74"/>
        <v>1.9740872421196098</v>
      </c>
      <c r="BV140" s="37">
        <f t="shared" si="103"/>
        <v>-2.0133428457818378E-4</v>
      </c>
      <c r="BW140" s="37">
        <f t="shared" si="104"/>
        <v>-1.816852023571432E-2</v>
      </c>
      <c r="BX140" s="37">
        <f t="shared" si="105"/>
        <v>-0.81823426557526413</v>
      </c>
      <c r="BY140" s="39">
        <f t="shared" si="106"/>
        <v>2.034871559061659E-2</v>
      </c>
      <c r="BZ140" s="39">
        <f>BZ139+(1000*$C$2*($B140-$B139))/(BerechnungenCLT!$W$47*2*BT140)</f>
        <v>5.1941474724261274E-3</v>
      </c>
      <c r="CA140" s="37">
        <f t="shared" si="75"/>
        <v>2.5846003858722841E-6</v>
      </c>
      <c r="CB140" s="173">
        <f t="shared" si="107"/>
        <v>3075.5424030077475</v>
      </c>
      <c r="CC140" s="9">
        <v>-258.07542132930922</v>
      </c>
      <c r="CJ140" s="9">
        <f t="shared" si="123"/>
        <v>89</v>
      </c>
      <c r="CK140" s="129">
        <v>85.49080711141805</v>
      </c>
      <c r="CL140" s="9">
        <v>10.078125</v>
      </c>
      <c r="CM140" s="129">
        <f t="shared" si="108"/>
        <v>95.569026138801888</v>
      </c>
      <c r="CN140" s="36">
        <f t="shared" si="122"/>
        <v>9.7455129444402322E-3</v>
      </c>
      <c r="CO140" s="173">
        <f t="shared" si="109"/>
        <v>3281.1024543231324</v>
      </c>
      <c r="CP140" s="9">
        <v>-631.25980711748616</v>
      </c>
      <c r="CQ140" s="129"/>
      <c r="CR140" s="36">
        <f t="shared" si="110"/>
        <v>0.83475529067284915</v>
      </c>
      <c r="CS140" s="17">
        <f t="shared" si="76"/>
        <v>0.60008973501588514</v>
      </c>
      <c r="CT140" s="9">
        <f t="shared" si="77"/>
        <v>10.076617957545851</v>
      </c>
      <c r="CU140" s="9">
        <f t="shared" si="111"/>
        <v>95.567519082287262</v>
      </c>
      <c r="CV140" s="9">
        <v>13.2</v>
      </c>
      <c r="CW140" s="9">
        <f t="shared" si="112"/>
        <v>98.690930265424043</v>
      </c>
      <c r="CX140">
        <f t="shared" si="113"/>
        <v>22</v>
      </c>
      <c r="CY140" s="9">
        <f t="shared" si="78"/>
        <v>625.55017301491273</v>
      </c>
      <c r="CZ140" s="17">
        <f t="shared" si="114"/>
        <v>0.58903029474097235</v>
      </c>
      <c r="DA140">
        <v>45</v>
      </c>
      <c r="DB140" s="9">
        <f t="shared" si="115"/>
        <v>10.094835388268743</v>
      </c>
      <c r="DC140" s="9">
        <f t="shared" si="116"/>
        <v>10.929590681333501</v>
      </c>
    </row>
    <row r="141" spans="2:107" x14ac:dyDescent="0.25">
      <c r="B141" s="9">
        <f t="shared" si="117"/>
        <v>90</v>
      </c>
      <c r="C141" s="9">
        <v>88.636972886784434</v>
      </c>
      <c r="D141" s="9"/>
      <c r="E141" s="9">
        <f t="shared" si="79"/>
        <v>88.636972886784434</v>
      </c>
      <c r="F141" s="36">
        <f t="shared" si="118"/>
        <v>0</v>
      </c>
      <c r="G141" s="37">
        <f t="shared" si="63"/>
        <v>0</v>
      </c>
      <c r="H141" s="36" t="e">
        <f t="shared" si="64"/>
        <v>#DIV/0!</v>
      </c>
      <c r="I141" s="37" t="e">
        <f t="shared" si="80"/>
        <v>#DIV/0!</v>
      </c>
      <c r="J141" s="37" t="e">
        <f t="shared" si="81"/>
        <v>#DIV/0!</v>
      </c>
      <c r="K141" s="37" t="e">
        <f t="shared" si="82"/>
        <v>#DIV/0!</v>
      </c>
      <c r="L141" s="39" t="e">
        <f t="shared" si="65"/>
        <v>#DIV/0!</v>
      </c>
      <c r="M141" s="39" t="e">
        <f>M140+(1000*$C$2*(B141-B140))/(BerechnungenCLT!$W$47*2*'Berechnung freier Bereich'!G141)</f>
        <v>#DIV/0!</v>
      </c>
      <c r="N141" s="17" t="e">
        <f t="shared" si="83"/>
        <v>#DIV/0!</v>
      </c>
      <c r="O141" s="173">
        <f t="shared" si="84"/>
        <v>3422.7422920382151</v>
      </c>
      <c r="P141" s="173"/>
      <c r="Q141" s="173"/>
      <c r="R141" s="37" t="e">
        <f t="shared" si="66"/>
        <v>#DIV/0!</v>
      </c>
      <c r="S141" s="37" t="e">
        <f t="shared" si="67"/>
        <v>#DIV/0!</v>
      </c>
      <c r="T141" s="37" t="e">
        <f t="shared" si="68"/>
        <v>#DIV/0!</v>
      </c>
      <c r="U141" s="39" t="e">
        <f t="shared" si="69"/>
        <v>#DIV/0!</v>
      </c>
      <c r="V141" s="39" t="e">
        <f t="shared" si="85"/>
        <v>#DIV/0!</v>
      </c>
      <c r="W141" s="9" t="e">
        <f t="shared" si="86"/>
        <v>#DIV/0!</v>
      </c>
      <c r="AB141" s="129">
        <v>86.05226489402763</v>
      </c>
      <c r="AC141" s="9">
        <v>15.125</v>
      </c>
      <c r="AD141" s="129">
        <f t="shared" si="87"/>
        <v>101.17770089308948</v>
      </c>
      <c r="AE141" s="36">
        <f t="shared" si="119"/>
        <v>1.5124535802427253E-2</v>
      </c>
      <c r="AF141" s="37">
        <f t="shared" si="88"/>
        <v>39239094.465630613</v>
      </c>
      <c r="AG141" s="36">
        <f t="shared" si="70"/>
        <v>1.9741482644161583</v>
      </c>
      <c r="AH141" s="37">
        <f t="shared" si="89"/>
        <v>-2.0064328078703191E-4</v>
      </c>
      <c r="AI141" s="37">
        <f t="shared" si="90"/>
        <v>-1.8311234630254771E-2</v>
      </c>
      <c r="AJ141" s="37">
        <f t="shared" si="91"/>
        <v>-0.83555415028387514</v>
      </c>
      <c r="AK141" s="39">
        <f t="shared" si="92"/>
        <v>2.0300625849678483E-2</v>
      </c>
      <c r="AL141" s="39">
        <f>AL140+(1000*$C$2*($B141-$B140))/(BerechnungenCLT!$W$47*2*AF141)</f>
        <v>5.2354067061052131E-3</v>
      </c>
      <c r="AM141" s="37">
        <f t="shared" si="71"/>
        <v>2.5784922478705689E-6</v>
      </c>
      <c r="AN141" s="173">
        <f t="shared" si="93"/>
        <v>3068.4094241238568</v>
      </c>
      <c r="AO141" s="173">
        <v>-258.47830173944766</v>
      </c>
      <c r="AV141" s="129">
        <v>103.01497086829829</v>
      </c>
      <c r="AW141" s="9">
        <v>11.0625</v>
      </c>
      <c r="AX141" s="129">
        <f t="shared" si="94"/>
        <v>115.13279006064643</v>
      </c>
      <c r="AY141" s="36">
        <f t="shared" si="120"/>
        <v>1.411802745097447E-2</v>
      </c>
      <c r="AZ141" s="37">
        <f t="shared" si="95"/>
        <v>49553536.340203635</v>
      </c>
      <c r="BA141" s="36">
        <f t="shared" si="72"/>
        <v>1.9877142720636913</v>
      </c>
      <c r="BB141" s="37">
        <f t="shared" si="96"/>
        <v>-1.5887989496137823E-4</v>
      </c>
      <c r="BC141" s="37">
        <f t="shared" si="97"/>
        <v>-1.7250597938462973E-2</v>
      </c>
      <c r="BD141" s="37">
        <f t="shared" si="98"/>
        <v>-0.81895247137806371</v>
      </c>
      <c r="BE141" s="39">
        <f t="shared" si="99"/>
        <v>1.8292285591445915E-2</v>
      </c>
      <c r="BF141" s="39">
        <f>BF140+(1000*$C$2*($B141-$B140))/(BerechnungenCLT!$W$47*2*AZ141)</f>
        <v>4.9287734508911395E-3</v>
      </c>
      <c r="BG141" s="37">
        <f t="shared" si="73"/>
        <v>2.323402093247525E-6</v>
      </c>
      <c r="BH141" s="173">
        <f t="shared" si="100"/>
        <v>2260.2813642444726</v>
      </c>
      <c r="BI141">
        <v>-258.25099517543708</v>
      </c>
      <c r="BP141" s="129">
        <v>85.954216536465864</v>
      </c>
      <c r="BQ141" s="9">
        <v>15.125</v>
      </c>
      <c r="BR141" s="129">
        <f t="shared" si="101"/>
        <v>101.08005331698982</v>
      </c>
      <c r="BS141" s="36">
        <f t="shared" si="121"/>
        <v>1.5109127719986723E-2</v>
      </c>
      <c r="BT141" s="37">
        <f t="shared" si="102"/>
        <v>39117763.900922634</v>
      </c>
      <c r="BU141" s="36">
        <f t="shared" si="74"/>
        <v>1.9740933056856946</v>
      </c>
      <c r="BV141" s="37">
        <f t="shared" si="103"/>
        <v>-2.0126561090345703E-4</v>
      </c>
      <c r="BW141" s="37">
        <f t="shared" si="104"/>
        <v>-1.8369785846617775E-2</v>
      </c>
      <c r="BX141" s="37">
        <f t="shared" si="105"/>
        <v>-0.83650341861643018</v>
      </c>
      <c r="BY141" s="39">
        <f t="shared" si="106"/>
        <v>2.0343938680997965E-2</v>
      </c>
      <c r="BZ141" s="39">
        <f>BZ140+(1000*$C$2*($B141-$B140))/(BerechnungenCLT!$W$47*2*BT141)</f>
        <v>5.2523340665955928E-3</v>
      </c>
      <c r="CA141" s="37">
        <f t="shared" si="75"/>
        <v>2.5839936447544675E-6</v>
      </c>
      <c r="CB141" s="173">
        <f t="shared" si="107"/>
        <v>3074.8338017459851</v>
      </c>
      <c r="CC141" s="9">
        <v>-258.01596106337212</v>
      </c>
      <c r="CJ141" s="9">
        <f t="shared" si="123"/>
        <v>90</v>
      </c>
      <c r="CK141" s="129">
        <v>85.486487414099457</v>
      </c>
      <c r="CL141" s="9">
        <v>10.078125</v>
      </c>
      <c r="CM141" s="129">
        <f t="shared" si="108"/>
        <v>95.564714550639735</v>
      </c>
      <c r="CN141" s="36">
        <f t="shared" si="122"/>
        <v>9.7450562081323657E-3</v>
      </c>
      <c r="CO141" s="173">
        <f t="shared" si="109"/>
        <v>3281.4153029175936</v>
      </c>
      <c r="CP141" s="9">
        <v>-631.3199968696033</v>
      </c>
      <c r="CQ141" s="129"/>
      <c r="CR141" s="36">
        <f t="shared" si="110"/>
        <v>0.83477705963313942</v>
      </c>
      <c r="CS141" s="17">
        <f t="shared" si="76"/>
        <v>0.60010538430826843</v>
      </c>
      <c r="CT141" s="9">
        <f t="shared" si="77"/>
        <v>10.07635518379848</v>
      </c>
      <c r="CU141" s="9">
        <f t="shared" si="111"/>
        <v>95.562944716502045</v>
      </c>
      <c r="CV141" s="9">
        <v>13.2</v>
      </c>
      <c r="CW141" s="9">
        <f t="shared" si="112"/>
        <v>98.686621189214534</v>
      </c>
      <c r="CX141">
        <f t="shared" si="113"/>
        <v>22</v>
      </c>
      <c r="CY141" s="9">
        <f t="shared" si="78"/>
        <v>625.58178254159645</v>
      </c>
      <c r="CZ141" s="17">
        <f t="shared" si="114"/>
        <v>0.58906005889039215</v>
      </c>
      <c r="DA141">
        <v>45</v>
      </c>
      <c r="DB141" s="9">
        <f t="shared" si="115"/>
        <v>10.095345487989498</v>
      </c>
      <c r="DC141" s="9">
        <f t="shared" si="116"/>
        <v>10.930122550222816</v>
      </c>
    </row>
    <row r="142" spans="2:107" x14ac:dyDescent="0.25">
      <c r="B142" s="9">
        <f t="shared" si="117"/>
        <v>91</v>
      </c>
      <c r="C142" s="9">
        <v>88.794913391052489</v>
      </c>
      <c r="D142" s="9"/>
      <c r="E142" s="9">
        <f t="shared" si="79"/>
        <v>88.794913391052489</v>
      </c>
      <c r="F142" s="36">
        <f t="shared" si="118"/>
        <v>0</v>
      </c>
      <c r="G142" s="37">
        <f t="shared" si="63"/>
        <v>0</v>
      </c>
      <c r="H142" s="36" t="e">
        <f t="shared" si="64"/>
        <v>#DIV/0!</v>
      </c>
      <c r="I142" s="37" t="e">
        <f t="shared" si="80"/>
        <v>#DIV/0!</v>
      </c>
      <c r="J142" s="37" t="e">
        <f t="shared" si="81"/>
        <v>#DIV/0!</v>
      </c>
      <c r="K142" s="37" t="e">
        <f t="shared" si="82"/>
        <v>#DIV/0!</v>
      </c>
      <c r="L142" s="39" t="e">
        <f t="shared" si="65"/>
        <v>#DIV/0!</v>
      </c>
      <c r="M142" s="39" t="e">
        <f>M141+(1000*$C$2*(B142-B141))/(BerechnungenCLT!$W$47*2*'Berechnung freier Bereich'!G142)</f>
        <v>#DIV/0!</v>
      </c>
      <c r="N142" s="17" t="e">
        <f t="shared" si="83"/>
        <v>#DIV/0!</v>
      </c>
      <c r="O142" s="173">
        <f t="shared" si="84"/>
        <v>3410.5769810639972</v>
      </c>
      <c r="P142" s="173"/>
      <c r="Q142" s="173"/>
      <c r="R142" s="37" t="e">
        <f t="shared" si="66"/>
        <v>#DIV/0!</v>
      </c>
      <c r="S142" s="37" t="e">
        <f t="shared" si="67"/>
        <v>#DIV/0!</v>
      </c>
      <c r="T142" s="37" t="e">
        <f t="shared" si="68"/>
        <v>#DIV/0!</v>
      </c>
      <c r="U142" s="39" t="e">
        <f t="shared" si="69"/>
        <v>#DIV/0!</v>
      </c>
      <c r="V142" s="39" t="e">
        <f t="shared" si="85"/>
        <v>#DIV/0!</v>
      </c>
      <c r="W142" s="9" t="e">
        <f t="shared" si="86"/>
        <v>#DIV/0!</v>
      </c>
      <c r="AB142" s="129">
        <v>86.044671897289163</v>
      </c>
      <c r="AC142" s="9">
        <v>15.125</v>
      </c>
      <c r="AD142" s="129">
        <f t="shared" si="87"/>
        <v>101.17037209264755</v>
      </c>
      <c r="AE142" s="36">
        <f t="shared" si="119"/>
        <v>1.5123594571265905E-2</v>
      </c>
      <c r="AF142" s="37">
        <f t="shared" si="88"/>
        <v>39230448.080627389</v>
      </c>
      <c r="AG142" s="36">
        <f t="shared" si="70"/>
        <v>1.9741432888418331</v>
      </c>
      <c r="AH142" s="37">
        <f t="shared" si="89"/>
        <v>-2.0068750253668995E-4</v>
      </c>
      <c r="AI142" s="37">
        <f t="shared" si="90"/>
        <v>-1.8511922132791462E-2</v>
      </c>
      <c r="AJ142" s="37">
        <f t="shared" si="91"/>
        <v>-0.85396572866539822</v>
      </c>
      <c r="AK142" s="39">
        <f t="shared" si="92"/>
        <v>2.0303629305981074E-2</v>
      </c>
      <c r="AL142" s="39">
        <f>AL141+(1000*$C$2*($B142-$B141))/(BerechnungenCLT!$W$47*2*AF142)</f>
        <v>5.2934261671177913E-3</v>
      </c>
      <c r="AM142" s="37">
        <f t="shared" si="71"/>
        <v>2.5788737330942459E-6</v>
      </c>
      <c r="AN142" s="173">
        <f t="shared" si="93"/>
        <v>3068.8985729314477</v>
      </c>
      <c r="AO142" s="173">
        <v>-258.33196958947138</v>
      </c>
      <c r="AV142" s="129">
        <v>103.46206435229963</v>
      </c>
      <c r="AW142" s="9">
        <v>11</v>
      </c>
      <c r="AX142" s="129">
        <f t="shared" si="94"/>
        <v>115.47549675780611</v>
      </c>
      <c r="AY142" s="36">
        <f t="shared" si="120"/>
        <v>1.4047083987950236E-2</v>
      </c>
      <c r="AZ142" s="37">
        <f t="shared" si="95"/>
        <v>49658485.152159199</v>
      </c>
      <c r="BA142" s="36">
        <f t="shared" si="72"/>
        <v>1.9880106488139666</v>
      </c>
      <c r="BB142" s="37">
        <f t="shared" si="96"/>
        <v>-1.5854411636948747E-4</v>
      </c>
      <c r="BC142" s="37">
        <f t="shared" si="97"/>
        <v>-1.740914205483246E-2</v>
      </c>
      <c r="BD142" s="37">
        <f t="shared" si="98"/>
        <v>-0.83628234137471147</v>
      </c>
      <c r="BE142" s="39">
        <f t="shared" si="99"/>
        <v>1.8307960595793985E-2</v>
      </c>
      <c r="BF142" s="39">
        <f>BF141+(1000*$C$2*($B142-$B141))/(BerechnungenCLT!$W$47*2*AZ142)</f>
        <v>4.9746091111201136E-3</v>
      </c>
      <c r="BG142" s="37">
        <f t="shared" si="73"/>
        <v>2.3253930602992856E-6</v>
      </c>
      <c r="BH142" s="173">
        <f t="shared" si="100"/>
        <v>2244.0032008266548</v>
      </c>
      <c r="BI142">
        <v>-258.21093246388261</v>
      </c>
      <c r="BP142" s="129">
        <v>85.964735648838442</v>
      </c>
      <c r="BQ142" s="9">
        <v>15.125</v>
      </c>
      <c r="BR142" s="129">
        <f t="shared" si="101"/>
        <v>101.09052583193231</v>
      </c>
      <c r="BS142" s="36">
        <f t="shared" si="121"/>
        <v>1.5110776928511765E-2</v>
      </c>
      <c r="BT142" s="37">
        <f t="shared" si="102"/>
        <v>39130757.243524812</v>
      </c>
      <c r="BU142" s="36">
        <f t="shared" si="74"/>
        <v>1.9740992213715374</v>
      </c>
      <c r="BV142" s="37">
        <f t="shared" si="103"/>
        <v>-2.0119878078769338E-4</v>
      </c>
      <c r="BW142" s="37">
        <f t="shared" si="104"/>
        <v>-1.857098462740547E-2</v>
      </c>
      <c r="BX142" s="37">
        <f t="shared" si="105"/>
        <v>-0.85497380385344179</v>
      </c>
      <c r="BY142" s="39">
        <f t="shared" si="106"/>
        <v>2.0339290546571603E-2</v>
      </c>
      <c r="BZ142" s="39">
        <f>BZ141+(1000*$C$2*($B142-$B141))/(BerechnungenCLT!$W$47*2*BT142)</f>
        <v>5.3105013399441445E-3</v>
      </c>
      <c r="CA142" s="37">
        <f t="shared" si="75"/>
        <v>2.583403260070065E-6</v>
      </c>
      <c r="CB142" s="173">
        <f t="shared" si="107"/>
        <v>3074.1437153725897</v>
      </c>
      <c r="CC142" s="9">
        <v>-257.95805442180102</v>
      </c>
      <c r="CJ142" s="9">
        <f t="shared" si="123"/>
        <v>91</v>
      </c>
      <c r="CK142" s="129">
        <v>85.481985296871201</v>
      </c>
      <c r="CL142" s="9">
        <v>10.078125</v>
      </c>
      <c r="CM142" s="129">
        <f t="shared" si="108"/>
        <v>95.560219395369273</v>
      </c>
      <c r="CN142" s="36">
        <f t="shared" si="122"/>
        <v>9.7445786626409354E-3</v>
      </c>
      <c r="CO142" s="173">
        <f t="shared" si="109"/>
        <v>3281.7414646690513</v>
      </c>
      <c r="CP142" s="9">
        <v>-631.38274797450799</v>
      </c>
      <c r="CQ142" s="129"/>
      <c r="CR142" s="36">
        <f t="shared" si="110"/>
        <v>0.83479975597772704</v>
      </c>
      <c r="CS142" s="17">
        <f t="shared" si="76"/>
        <v>0.60012170027962142</v>
      </c>
      <c r="CT142" s="9">
        <f t="shared" si="77"/>
        <v>10.076081230161336</v>
      </c>
      <c r="CU142" s="9">
        <f t="shared" si="111"/>
        <v>95.558175603406241</v>
      </c>
      <c r="CV142" s="9">
        <v>13.2</v>
      </c>
      <c r="CW142" s="9">
        <f t="shared" si="112"/>
        <v>98.682128190531941</v>
      </c>
      <c r="CX142">
        <f t="shared" si="113"/>
        <v>22</v>
      </c>
      <c r="CY142" s="9">
        <f t="shared" si="78"/>
        <v>625.61473033183665</v>
      </c>
      <c r="CZ142" s="17">
        <f t="shared" si="114"/>
        <v>0.58909108317498748</v>
      </c>
      <c r="DA142">
        <v>45</v>
      </c>
      <c r="DB142" s="9">
        <f t="shared" si="115"/>
        <v>10.095877183980049</v>
      </c>
      <c r="DC142" s="9">
        <f t="shared" si="116"/>
        <v>10.930676942737303</v>
      </c>
    </row>
    <row r="143" spans="2:107" x14ac:dyDescent="0.25">
      <c r="B143" s="9">
        <f t="shared" si="117"/>
        <v>92</v>
      </c>
      <c r="C143" s="9">
        <v>88.95518064894236</v>
      </c>
      <c r="D143" s="9"/>
      <c r="E143" s="9">
        <f t="shared" si="79"/>
        <v>88.95518064894236</v>
      </c>
      <c r="F143" s="36">
        <f t="shared" si="118"/>
        <v>0</v>
      </c>
      <c r="G143" s="37">
        <f t="shared" si="63"/>
        <v>0</v>
      </c>
      <c r="H143" s="36" t="e">
        <f t="shared" si="64"/>
        <v>#DIV/0!</v>
      </c>
      <c r="I143" s="37" t="e">
        <f t="shared" si="80"/>
        <v>#DIV/0!</v>
      </c>
      <c r="J143" s="37" t="e">
        <f t="shared" si="81"/>
        <v>#DIV/0!</v>
      </c>
      <c r="K143" s="37" t="e">
        <f t="shared" si="82"/>
        <v>#DIV/0!</v>
      </c>
      <c r="L143" s="39" t="e">
        <f t="shared" si="65"/>
        <v>#DIV/0!</v>
      </c>
      <c r="M143" s="39" t="e">
        <f>M142+(1000*$C$2*(B143-B142))/(BerechnungenCLT!$W$47*2*'Berechnung freier Bereich'!G143)</f>
        <v>#DIV/0!</v>
      </c>
      <c r="N143" s="17" t="e">
        <f t="shared" si="83"/>
        <v>#DIV/0!</v>
      </c>
      <c r="O143" s="173">
        <f t="shared" si="84"/>
        <v>3398.2986310307983</v>
      </c>
      <c r="P143" s="173"/>
      <c r="Q143" s="173"/>
      <c r="R143" s="37" t="e">
        <f t="shared" si="66"/>
        <v>#DIV/0!</v>
      </c>
      <c r="S143" s="37" t="e">
        <f t="shared" si="67"/>
        <v>#DIV/0!</v>
      </c>
      <c r="T143" s="37" t="e">
        <f t="shared" si="68"/>
        <v>#DIV/0!</v>
      </c>
      <c r="U143" s="39" t="e">
        <f t="shared" si="69"/>
        <v>#DIV/0!</v>
      </c>
      <c r="V143" s="39" t="e">
        <f t="shared" si="85"/>
        <v>#DIV/0!</v>
      </c>
      <c r="W143" s="9" t="e">
        <f t="shared" si="86"/>
        <v>#DIV/0!</v>
      </c>
      <c r="AB143" s="129">
        <v>86.035049529643359</v>
      </c>
      <c r="AC143" s="9">
        <v>15.125</v>
      </c>
      <c r="AD143" s="129">
        <f t="shared" si="87"/>
        <v>101.16108935581678</v>
      </c>
      <c r="AE143" s="36">
        <f t="shared" si="119"/>
        <v>1.5122406929482411E-2</v>
      </c>
      <c r="AF143" s="37">
        <f t="shared" si="88"/>
        <v>39219508.137259819</v>
      </c>
      <c r="AG143" s="36">
        <f t="shared" si="70"/>
        <v>1.9741369666312607</v>
      </c>
      <c r="AH143" s="37">
        <f t="shared" si="89"/>
        <v>-2.0074348258377893E-4</v>
      </c>
      <c r="AI143" s="37">
        <f t="shared" si="90"/>
        <v>-1.871266561537524E-2</v>
      </c>
      <c r="AJ143" s="37">
        <f t="shared" si="91"/>
        <v>-0.87257802253948158</v>
      </c>
      <c r="AK143" s="39">
        <f t="shared" si="92"/>
        <v>2.0307429379255511E-2</v>
      </c>
      <c r="AL143" s="39">
        <f>AL142+(1000*$C$2*($B143-$B142))/(BerechnungenCLT!$W$47*2*AF143)</f>
        <v>5.3514618121583658E-3</v>
      </c>
      <c r="AM143" s="37">
        <f t="shared" si="71"/>
        <v>2.5793564009465594E-6</v>
      </c>
      <c r="AN143" s="173">
        <f t="shared" si="93"/>
        <v>3069.5184658216726</v>
      </c>
      <c r="AO143" s="173">
        <v>-258.17837229635927</v>
      </c>
      <c r="AV143" s="129">
        <v>103.90109557506094</v>
      </c>
      <c r="AW143" s="9">
        <v>10.9375</v>
      </c>
      <c r="AX143" s="129">
        <f t="shared" si="94"/>
        <v>115.80817421843332</v>
      </c>
      <c r="AY143" s="36">
        <f t="shared" si="120"/>
        <v>1.3971801175592486E-2</v>
      </c>
      <c r="AZ143" s="37">
        <f t="shared" si="95"/>
        <v>49737497.671155408</v>
      </c>
      <c r="BA143" s="36">
        <f t="shared" si="72"/>
        <v>1.9883032928131197</v>
      </c>
      <c r="BB143" s="37">
        <f t="shared" si="96"/>
        <v>-1.5829225468377893E-4</v>
      </c>
      <c r="BC143" s="37">
        <f t="shared" si="97"/>
        <v>-1.7567434309516239E-2</v>
      </c>
      <c r="BD143" s="37">
        <f t="shared" si="98"/>
        <v>-0.85377062955688587</v>
      </c>
      <c r="BE143" s="39">
        <f t="shared" si="99"/>
        <v>1.833153700784769E-2</v>
      </c>
      <c r="BF143" s="39">
        <f>BF142+(1000*$C$2*($B143-$B142))/(BerechnungenCLT!$W$47*2*AZ143)</f>
        <v>5.0203719572521968E-3</v>
      </c>
      <c r="BG143" s="37">
        <f t="shared" si="73"/>
        <v>2.328387627864011E-6</v>
      </c>
      <c r="BH143" s="173">
        <f t="shared" si="100"/>
        <v>2228.2671737667092</v>
      </c>
      <c r="BI143">
        <v>-258.25677226046855</v>
      </c>
      <c r="BP143" s="129">
        <v>85.974957671635394</v>
      </c>
      <c r="BQ143" s="9">
        <v>15.125</v>
      </c>
      <c r="BR143" s="129">
        <f t="shared" si="101"/>
        <v>101.10069957139879</v>
      </c>
      <c r="BS143" s="36">
        <f t="shared" si="121"/>
        <v>1.511237630690471E-2</v>
      </c>
      <c r="BT143" s="37">
        <f t="shared" si="102"/>
        <v>39143376.608089641</v>
      </c>
      <c r="BU143" s="36">
        <f t="shared" si="74"/>
        <v>1.9741049774374884</v>
      </c>
      <c r="BV143" s="37">
        <f t="shared" si="103"/>
        <v>-2.0113391666546447E-4</v>
      </c>
      <c r="BW143" s="37">
        <f t="shared" si="104"/>
        <v>-1.8772118544070935E-2</v>
      </c>
      <c r="BX143" s="37">
        <f t="shared" si="105"/>
        <v>-0.87364535543917998</v>
      </c>
      <c r="BY143" s="39">
        <f t="shared" si="106"/>
        <v>2.0334779682413883E-2</v>
      </c>
      <c r="BZ143" s="39">
        <f>BZ142+(1000*$C$2*($B143-$B142))/(BerechnungenCLT!$W$47*2*BT143)</f>
        <v>5.3686498608474112E-3</v>
      </c>
      <c r="CA143" s="37">
        <f t="shared" si="75"/>
        <v>2.5828303108246574E-6</v>
      </c>
      <c r="CB143" s="173">
        <f t="shared" si="107"/>
        <v>3073.4734401756282</v>
      </c>
      <c r="CC143" s="9">
        <v>-257.901810178934</v>
      </c>
      <c r="CJ143" s="9">
        <f t="shared" si="123"/>
        <v>92</v>
      </c>
      <c r="CK143" s="129">
        <v>85.477332268626768</v>
      </c>
      <c r="CL143" s="9">
        <v>10.078125</v>
      </c>
      <c r="CM143" s="129">
        <f t="shared" si="108"/>
        <v>95.555572038122392</v>
      </c>
      <c r="CN143" s="36">
        <f t="shared" si="122"/>
        <v>9.7440835532855742E-3</v>
      </c>
      <c r="CO143" s="173">
        <f t="shared" si="109"/>
        <v>3282.0786657411545</v>
      </c>
      <c r="CP143" s="9">
        <v>-631.44762296293004</v>
      </c>
      <c r="CQ143" s="129"/>
      <c r="CR143" s="36">
        <f t="shared" si="110"/>
        <v>0.83482322140620413</v>
      </c>
      <c r="CS143" s="17">
        <f t="shared" si="76"/>
        <v>0.60013856913078545</v>
      </c>
      <c r="CT143" s="9">
        <f t="shared" si="77"/>
        <v>10.075798009046528</v>
      </c>
      <c r="CU143" s="9">
        <f t="shared" si="111"/>
        <v>95.553245020669195</v>
      </c>
      <c r="CV143" s="9">
        <v>13.2</v>
      </c>
      <c r="CW143" s="9">
        <f t="shared" si="112"/>
        <v>98.677482589975455</v>
      </c>
      <c r="CX143">
        <f t="shared" si="113"/>
        <v>22</v>
      </c>
      <c r="CY143" s="9">
        <f t="shared" si="78"/>
        <v>625.64878617954628</v>
      </c>
      <c r="CZ143" s="17">
        <f t="shared" si="114"/>
        <v>0.58912315082819799</v>
      </c>
      <c r="DA143">
        <v>45</v>
      </c>
      <c r="DB143" s="9">
        <f t="shared" si="115"/>
        <v>10.096426761282506</v>
      </c>
      <c r="DC143" s="9">
        <f t="shared" si="116"/>
        <v>10.931249985614938</v>
      </c>
    </row>
    <row r="144" spans="2:107" x14ac:dyDescent="0.25">
      <c r="B144" s="9">
        <f t="shared" si="117"/>
        <v>93</v>
      </c>
      <c r="C144" s="9">
        <v>89.117663914121962</v>
      </c>
      <c r="D144" s="9"/>
      <c r="E144" s="9">
        <f t="shared" si="79"/>
        <v>89.117663914121962</v>
      </c>
      <c r="F144" s="36">
        <f t="shared" si="118"/>
        <v>0</v>
      </c>
      <c r="G144" s="37">
        <f>(PI()/4)*(E144^4-C144^4)</f>
        <v>0</v>
      </c>
      <c r="H144" s="36" t="e">
        <f t="shared" si="64"/>
        <v>#DIV/0!</v>
      </c>
      <c r="I144" s="37" t="e">
        <f t="shared" si="80"/>
        <v>#DIV/0!</v>
      </c>
      <c r="J144" s="37" t="e">
        <f t="shared" si="81"/>
        <v>#DIV/0!</v>
      </c>
      <c r="K144" s="37" t="e">
        <f t="shared" si="82"/>
        <v>#DIV/0!</v>
      </c>
      <c r="L144" s="39" t="e">
        <f t="shared" si="65"/>
        <v>#DIV/0!</v>
      </c>
      <c r="M144" s="39" t="e">
        <f>M143+(1000*$C$2*(B144-B143))/(BerechnungenCLT!$W$47*2*'Berechnung freier Bereich'!G144)</f>
        <v>#DIV/0!</v>
      </c>
      <c r="N144" s="17" t="e">
        <f t="shared" si="83"/>
        <v>#DIV/0!</v>
      </c>
      <c r="O144" s="173">
        <f t="shared" si="84"/>
        <v>3385.9180710819928</v>
      </c>
      <c r="P144" s="173"/>
      <c r="Q144" s="173"/>
      <c r="R144" s="37" t="e">
        <f t="shared" si="66"/>
        <v>#DIV/0!</v>
      </c>
      <c r="S144" s="37" t="e">
        <f t="shared" si="67"/>
        <v>#DIV/0!</v>
      </c>
      <c r="T144" s="37" t="e">
        <f t="shared" si="68"/>
        <v>#DIV/0!</v>
      </c>
      <c r="U144" s="39" t="e">
        <f t="shared" si="69"/>
        <v>#DIV/0!</v>
      </c>
      <c r="V144" s="39" t="e">
        <f t="shared" si="85"/>
        <v>#DIV/0!</v>
      </c>
      <c r="W144" s="9" t="e">
        <f t="shared" si="86"/>
        <v>#DIV/0!</v>
      </c>
      <c r="AB144" s="129">
        <v>86.023323387812937</v>
      </c>
      <c r="AC144" s="9">
        <v>15.125</v>
      </c>
      <c r="AD144" s="129">
        <f t="shared" si="87"/>
        <v>101.14978537599811</v>
      </c>
      <c r="AE144" s="36">
        <f t="shared" si="119"/>
        <v>1.5120968478482976E-2</v>
      </c>
      <c r="AF144" s="37">
        <f t="shared" si="88"/>
        <v>39206205.764767244</v>
      </c>
      <c r="AG144" s="36">
        <f t="shared" si="70"/>
        <v>1.9741292336619489</v>
      </c>
      <c r="AH144" s="37">
        <f t="shared" si="89"/>
        <v>-2.008115933465701E-4</v>
      </c>
      <c r="AI144" s="37">
        <f t="shared" si="90"/>
        <v>-1.8913477208721809E-2</v>
      </c>
      <c r="AJ144" s="37">
        <f t="shared" si="91"/>
        <v>-0.89139109395153016</v>
      </c>
      <c r="AK144" s="39">
        <f t="shared" si="92"/>
        <v>2.0312049568017774E-2</v>
      </c>
      <c r="AL144" s="39">
        <f>AL143+(1000*$C$2*($B144-$B143))/(BerechnungenCLT!$W$47*2*AF144)</f>
        <v>5.4095171482594013E-3</v>
      </c>
      <c r="AM144" s="37">
        <f t="shared" si="71"/>
        <v>2.579943236101072E-6</v>
      </c>
      <c r="AN144" s="173">
        <f t="shared" si="93"/>
        <v>3070.2738706246105</v>
      </c>
      <c r="AO144" s="173">
        <v>-258.01733548721671</v>
      </c>
      <c r="AV144" s="129">
        <v>104.33138931756925</v>
      </c>
      <c r="AW144" s="9">
        <v>10.875</v>
      </c>
      <c r="AX144" s="129">
        <f t="shared" si="94"/>
        <v>116.13034260339654</v>
      </c>
      <c r="AY144" s="36">
        <f t="shared" si="120"/>
        <v>1.3892342781550967E-2</v>
      </c>
      <c r="AZ144" s="37">
        <f t="shared" si="95"/>
        <v>49790351.16512496</v>
      </c>
      <c r="BA144" s="36">
        <f t="shared" si="72"/>
        <v>1.9885917848494707</v>
      </c>
      <c r="BB144" s="37">
        <f t="shared" si="96"/>
        <v>-1.5812422416114594E-4</v>
      </c>
      <c r="BC144" s="37">
        <f t="shared" si="97"/>
        <v>-1.7725558533677386E-2</v>
      </c>
      <c r="BD144" s="37">
        <f t="shared" si="98"/>
        <v>-0.87141712597848264</v>
      </c>
      <c r="BE144" s="39">
        <f t="shared" si="99"/>
        <v>1.8363020325730152E-2</v>
      </c>
      <c r="BF144" s="39">
        <f>BF143+(1000*$C$2*($B144-$B143))/(BerechnungenCLT!$W$47*2*AZ144)</f>
        <v>5.0660862251707215E-3</v>
      </c>
      <c r="BG144" s="37">
        <f t="shared" si="73"/>
        <v>2.3323864942880461E-6</v>
      </c>
      <c r="BH144" s="173">
        <f t="shared" si="100"/>
        <v>2213.0824496151554</v>
      </c>
      <c r="BI144">
        <v>-258.39129453276229</v>
      </c>
      <c r="BP144" s="129">
        <v>85.984862461086749</v>
      </c>
      <c r="BQ144" s="9">
        <v>15.125</v>
      </c>
      <c r="BR144" s="129">
        <f t="shared" si="101"/>
        <v>101.11055468154862</v>
      </c>
      <c r="BS144" s="36">
        <f t="shared" si="121"/>
        <v>1.5113922913696533E-2</v>
      </c>
      <c r="BT144" s="37">
        <f t="shared" si="102"/>
        <v>39155597.507841013</v>
      </c>
      <c r="BU144" s="36">
        <f t="shared" si="74"/>
        <v>1.974110562097418</v>
      </c>
      <c r="BV144" s="37">
        <f t="shared" si="103"/>
        <v>-2.0107114052134672E-4</v>
      </c>
      <c r="BW144" s="37">
        <f t="shared" si="104"/>
        <v>-1.897318968459228E-2</v>
      </c>
      <c r="BX144" s="37">
        <f t="shared" si="105"/>
        <v>-0.89251800955351157</v>
      </c>
      <c r="BY144" s="39">
        <f t="shared" si="106"/>
        <v>2.0330414548564973E-2</v>
      </c>
      <c r="BZ144" s="39">
        <f>BZ143+(1000*$C$2*($B144-$B143))/(BerechnungenCLT!$W$47*2*BT144)</f>
        <v>5.4267802329471893E-3</v>
      </c>
      <c r="CA144" s="37">
        <f t="shared" si="75"/>
        <v>2.5822758715736866E-6</v>
      </c>
      <c r="CB144" s="173">
        <f t="shared" si="107"/>
        <v>3072.8242706718333</v>
      </c>
      <c r="CC144" s="9">
        <v>-257.84733696047277</v>
      </c>
      <c r="CJ144" s="9">
        <f t="shared" si="123"/>
        <v>93</v>
      </c>
      <c r="CK144" s="129">
        <v>85.472559838259642</v>
      </c>
      <c r="CL144" s="9">
        <v>10.078125</v>
      </c>
      <c r="CM144" s="129">
        <f t="shared" si="108"/>
        <v>95.55080387404746</v>
      </c>
      <c r="CN144" s="36">
        <f t="shared" si="122"/>
        <v>9.7435741560703403E-3</v>
      </c>
      <c r="CO144" s="173">
        <f t="shared" si="109"/>
        <v>3282.4246299966962</v>
      </c>
      <c r="CP144" s="9">
        <v>-631.51418392293147</v>
      </c>
      <c r="CQ144" s="129"/>
      <c r="CR144" s="36">
        <f t="shared" si="110"/>
        <v>0.83484729745222608</v>
      </c>
      <c r="CS144" s="17">
        <f t="shared" si="76"/>
        <v>0.60015587694331329</v>
      </c>
      <c r="CT144" s="9">
        <f t="shared" si="77"/>
        <v>10.075507434497966</v>
      </c>
      <c r="CU144" s="9">
        <f t="shared" si="111"/>
        <v>95.54818627762856</v>
      </c>
      <c r="CV144" s="9">
        <v>13.2</v>
      </c>
      <c r="CW144" s="9">
        <f t="shared" si="112"/>
        <v>98.672715747458938</v>
      </c>
      <c r="CX144">
        <f t="shared" si="113"/>
        <v>22</v>
      </c>
      <c r="CY144" s="9">
        <f t="shared" si="78"/>
        <v>625.6837197918303</v>
      </c>
      <c r="CZ144" s="17">
        <f t="shared" si="114"/>
        <v>0.58915604500172347</v>
      </c>
      <c r="DA144">
        <v>45</v>
      </c>
      <c r="DB144" s="9">
        <f t="shared" si="115"/>
        <v>10.096990503538105</v>
      </c>
      <c r="DC144" s="9">
        <f t="shared" si="116"/>
        <v>10.93183780402763</v>
      </c>
    </row>
    <row r="145" spans="2:107" x14ac:dyDescent="0.25">
      <c r="B145" s="9">
        <f t="shared" si="117"/>
        <v>94</v>
      </c>
      <c r="C145" s="9">
        <v>89.282252440259214</v>
      </c>
      <c r="D145" s="9"/>
      <c r="E145" s="9">
        <f t="shared" si="79"/>
        <v>89.282252440259214</v>
      </c>
      <c r="F145" s="36">
        <f t="shared" si="118"/>
        <v>0</v>
      </c>
      <c r="G145" s="37">
        <f t="shared" ref="G145:G174" si="124">(PI()/4)*(E145^4-C145^4)</f>
        <v>0</v>
      </c>
      <c r="H145" s="36" t="e">
        <f t="shared" si="64"/>
        <v>#DIV/0!</v>
      </c>
      <c r="I145" s="37" t="e">
        <f t="shared" si="80"/>
        <v>#DIV/0!</v>
      </c>
      <c r="J145" s="37" t="e">
        <f t="shared" si="81"/>
        <v>#DIV/0!</v>
      </c>
      <c r="K145" s="37" t="e">
        <f t="shared" si="82"/>
        <v>#DIV/0!</v>
      </c>
      <c r="L145" s="39" t="e">
        <f t="shared" si="65"/>
        <v>#DIV/0!</v>
      </c>
      <c r="M145" s="39" t="e">
        <f>M144+(1000*$C$2*(B145-B144))/(BerechnungenCLT!$W$47*2*'Berechnung freier Bereich'!G145)</f>
        <v>#DIV/0!</v>
      </c>
      <c r="N145" s="17" t="e">
        <f t="shared" si="83"/>
        <v>#DIV/0!</v>
      </c>
      <c r="O145" s="173">
        <f t="shared" si="84"/>
        <v>3373.4459484777285</v>
      </c>
      <c r="P145" s="173"/>
      <c r="Q145" s="173"/>
      <c r="R145" s="37" t="e">
        <f t="shared" si="66"/>
        <v>#DIV/0!</v>
      </c>
      <c r="S145" s="37" t="e">
        <f t="shared" si="67"/>
        <v>#DIV/0!</v>
      </c>
      <c r="T145" s="37" t="e">
        <f t="shared" si="68"/>
        <v>#DIV/0!</v>
      </c>
      <c r="U145" s="39" t="e">
        <f t="shared" si="69"/>
        <v>#DIV/0!</v>
      </c>
      <c r="V145" s="39" t="e">
        <f t="shared" si="85"/>
        <v>#DIV/0!</v>
      </c>
      <c r="W145" s="9" t="e">
        <f t="shared" si="86"/>
        <v>#DIV/0!</v>
      </c>
      <c r="AB145" s="129">
        <v>86.009419068520529</v>
      </c>
      <c r="AC145" s="9">
        <v>15.125</v>
      </c>
      <c r="AD145" s="129">
        <f t="shared" si="87"/>
        <v>101.13639182608864</v>
      </c>
      <c r="AE145" s="36">
        <f t="shared" si="119"/>
        <v>1.5119273701992364E-2</v>
      </c>
      <c r="AF145" s="37">
        <f t="shared" si="88"/>
        <v>39190469.077258684</v>
      </c>
      <c r="AG145" s="36">
        <f t="shared" si="70"/>
        <v>1.9741200286078719</v>
      </c>
      <c r="AH145" s="37">
        <f t="shared" si="89"/>
        <v>-2.0089222798471036E-4</v>
      </c>
      <c r="AI145" s="37">
        <f t="shared" si="90"/>
        <v>-1.9114369436706517E-2</v>
      </c>
      <c r="AJ145" s="37">
        <f t="shared" si="91"/>
        <v>-0.91040501727424428</v>
      </c>
      <c r="AK145" s="39">
        <f t="shared" si="92"/>
        <v>2.0317515084277597E-2</v>
      </c>
      <c r="AL145" s="39">
        <f>AL144+(1000*$C$2*($B145-$B144))/(BerechnungenCLT!$W$47*2*AF145)</f>
        <v>5.4675957961171969E-3</v>
      </c>
      <c r="AM145" s="37">
        <f t="shared" si="71"/>
        <v>2.5806374408714523E-6</v>
      </c>
      <c r="AN145" s="173">
        <f t="shared" si="93"/>
        <v>3071.1696218756051</v>
      </c>
      <c r="AO145" s="173">
        <v>-257.84940458580149</v>
      </c>
      <c r="AV145" s="129">
        <v>104.75227036081162</v>
      </c>
      <c r="AW145" s="9">
        <v>10.8125</v>
      </c>
      <c r="AX145" s="129">
        <f t="shared" si="94"/>
        <v>116.44157059927922</v>
      </c>
      <c r="AY145" s="36">
        <f t="shared" si="120"/>
        <v>1.3808939845060438E-2</v>
      </c>
      <c r="AZ145" s="37">
        <f t="shared" si="95"/>
        <v>49817126.327254876</v>
      </c>
      <c r="BA145" s="36">
        <f t="shared" si="72"/>
        <v>1.9888756509580556</v>
      </c>
      <c r="BB145" s="37">
        <f t="shared" si="96"/>
        <v>-1.5803923728914594E-4</v>
      </c>
      <c r="BC145" s="37">
        <f t="shared" si="97"/>
        <v>-1.7883597770966531E-2</v>
      </c>
      <c r="BD145" s="37">
        <f t="shared" si="98"/>
        <v>-0.88922170413080459</v>
      </c>
      <c r="BE145" s="39">
        <f t="shared" si="99"/>
        <v>1.8402337006260327E-2</v>
      </c>
      <c r="BF145" s="39">
        <f>BF144+(1000*$C$2*($B145-$B144))/(BerechnungenCLT!$W$47*2*AZ145)</f>
        <v>5.1117759230864092E-3</v>
      </c>
      <c r="BG145" s="37">
        <f t="shared" si="73"/>
        <v>2.3373803184543428E-6</v>
      </c>
      <c r="BH145" s="173">
        <f t="shared" si="100"/>
        <v>2198.4569396609822</v>
      </c>
      <c r="BI145">
        <v>-258.60786266378631</v>
      </c>
      <c r="BP145" s="129">
        <v>85.994429873422433</v>
      </c>
      <c r="BQ145" s="9">
        <v>15.125</v>
      </c>
      <c r="BR145" s="129">
        <f t="shared" si="101"/>
        <v>101.12007141240953</v>
      </c>
      <c r="BS145" s="36">
        <f t="shared" si="121"/>
        <v>1.5115413919801557E-2</v>
      </c>
      <c r="BT145" s="37">
        <f t="shared" si="102"/>
        <v>39167395.781542249</v>
      </c>
      <c r="BU145" s="36">
        <f t="shared" si="74"/>
        <v>1.9741159632514589</v>
      </c>
      <c r="BV145" s="37">
        <f t="shared" si="103"/>
        <v>-2.0101057248249823E-4</v>
      </c>
      <c r="BW145" s="37">
        <f t="shared" si="104"/>
        <v>-1.9174200257074777E-2</v>
      </c>
      <c r="BX145" s="37">
        <f t="shared" si="105"/>
        <v>-0.91159170452434513</v>
      </c>
      <c r="BY145" s="39">
        <f t="shared" si="106"/>
        <v>2.0326203444079542E-2</v>
      </c>
      <c r="BZ145" s="39">
        <f>BZ144+(1000*$C$2*($B145-$B144))/(BerechnungenCLT!$W$47*2*BT145)</f>
        <v>5.484893094614458E-3</v>
      </c>
      <c r="CA145" s="37">
        <f t="shared" si="75"/>
        <v>2.5817409964249567E-6</v>
      </c>
      <c r="CB145" s="173">
        <f t="shared" si="107"/>
        <v>3072.1974969318608</v>
      </c>
      <c r="CC145" s="9">
        <v>-257.79474301903878</v>
      </c>
      <c r="CJ145" s="9">
        <f t="shared" si="123"/>
        <v>94</v>
      </c>
      <c r="CK145" s="129">
        <v>85.467699514663323</v>
      </c>
      <c r="CL145" s="9">
        <v>10.078125</v>
      </c>
      <c r="CM145" s="129">
        <f t="shared" si="108"/>
        <v>95.545946328309128</v>
      </c>
      <c r="CN145" s="36">
        <f t="shared" si="122"/>
        <v>9.7430537776731427E-3</v>
      </c>
      <c r="CO145" s="173">
        <f t="shared" si="109"/>
        <v>3282.7770788935377</v>
      </c>
      <c r="CP145" s="9">
        <v>-631.5819924798833</v>
      </c>
      <c r="CQ145" s="129"/>
      <c r="CR145" s="36">
        <f t="shared" si="110"/>
        <v>0.8348718254822769</v>
      </c>
      <c r="CS145" s="17">
        <f t="shared" si="76"/>
        <v>0.60017350967858085</v>
      </c>
      <c r="CT145" s="9">
        <f t="shared" si="77"/>
        <v>10.075211422174174</v>
      </c>
      <c r="CU145" s="9">
        <f t="shared" si="111"/>
        <v>95.543032715267074</v>
      </c>
      <c r="CV145" s="9">
        <v>13.2</v>
      </c>
      <c r="CW145" s="9">
        <f t="shared" si="112"/>
        <v>98.667859062210567</v>
      </c>
      <c r="CX145">
        <f t="shared" si="113"/>
        <v>22</v>
      </c>
      <c r="CY145" s="9">
        <f t="shared" si="78"/>
        <v>625.71930078165929</v>
      </c>
      <c r="CZ145" s="17">
        <f t="shared" si="114"/>
        <v>0.5891895487586245</v>
      </c>
      <c r="DA145">
        <v>45</v>
      </c>
      <c r="DB145" s="9">
        <f t="shared" si="115"/>
        <v>10.097564692868984</v>
      </c>
      <c r="DC145" s="9">
        <f t="shared" si="116"/>
        <v>10.932436521461778</v>
      </c>
    </row>
    <row r="146" spans="2:107" x14ac:dyDescent="0.25">
      <c r="B146" s="9">
        <f t="shared" si="117"/>
        <v>95</v>
      </c>
      <c r="C146" s="9">
        <v>89.448835481022059</v>
      </c>
      <c r="D146" s="9"/>
      <c r="E146" s="9">
        <f t="shared" si="79"/>
        <v>89.448835481022059</v>
      </c>
      <c r="F146" s="36">
        <f t="shared" si="118"/>
        <v>0</v>
      </c>
      <c r="G146" s="37">
        <f t="shared" si="124"/>
        <v>0</v>
      </c>
      <c r="H146" s="36" t="e">
        <f t="shared" si="64"/>
        <v>#DIV/0!</v>
      </c>
      <c r="I146" s="37" t="e">
        <f t="shared" si="80"/>
        <v>#DIV/0!</v>
      </c>
      <c r="J146" s="37" t="e">
        <f t="shared" si="81"/>
        <v>#DIV/0!</v>
      </c>
      <c r="K146" s="37" t="e">
        <f t="shared" si="82"/>
        <v>#DIV/0!</v>
      </c>
      <c r="L146" s="39" t="e">
        <f t="shared" si="65"/>
        <v>#DIV/0!</v>
      </c>
      <c r="M146" s="39" t="e">
        <f>M145+(1000*$C$2*(B146-B145))/(BerechnungenCLT!$W$47*2*'Berechnung freier Bereich'!G146)</f>
        <v>#DIV/0!</v>
      </c>
      <c r="N146" s="17" t="e">
        <f t="shared" si="83"/>
        <v>#DIV/0!</v>
      </c>
      <c r="O146" s="173">
        <f t="shared" si="84"/>
        <v>3360.8927250592296</v>
      </c>
      <c r="P146" s="173"/>
      <c r="Q146" s="173"/>
      <c r="R146" s="37" t="e">
        <f t="shared" si="66"/>
        <v>#DIV/0!</v>
      </c>
      <c r="S146" s="37" t="e">
        <f t="shared" si="67"/>
        <v>#DIV/0!</v>
      </c>
      <c r="T146" s="37" t="e">
        <f t="shared" si="68"/>
        <v>#DIV/0!</v>
      </c>
      <c r="U146" s="39" t="e">
        <f t="shared" si="69"/>
        <v>#DIV/0!</v>
      </c>
      <c r="V146" s="39" t="e">
        <f t="shared" si="85"/>
        <v>#DIV/0!</v>
      </c>
      <c r="W146" s="9" t="e">
        <f t="shared" si="86"/>
        <v>#DIV/0!</v>
      </c>
      <c r="AB146" s="129">
        <v>85.993267365299943</v>
      </c>
      <c r="AC146" s="9">
        <v>15.125</v>
      </c>
      <c r="AD146" s="129">
        <f t="shared" si="87"/>
        <v>101.12079043237711</v>
      </c>
      <c r="AE146" s="36">
        <f t="shared" si="119"/>
        <v>1.5117258345493222E-2</v>
      </c>
      <c r="AF146" s="37">
        <f t="shared" si="88"/>
        <v>39172053.889285624</v>
      </c>
      <c r="AG146" s="36">
        <f t="shared" si="70"/>
        <v>1.9741094643773611</v>
      </c>
      <c r="AH146" s="37">
        <f t="shared" si="89"/>
        <v>-2.0098666950036642E-4</v>
      </c>
      <c r="AI146" s="37">
        <f t="shared" si="90"/>
        <v>-1.9315356106206882E-2</v>
      </c>
      <c r="AJ146" s="37">
        <f t="shared" si="91"/>
        <v>-0.92961988004570095</v>
      </c>
      <c r="AK146" s="39">
        <f t="shared" si="92"/>
        <v>2.0323930886247992E-2</v>
      </c>
      <c r="AL146" s="39">
        <f>AL145+(1000*$C$2*($B146-$B145))/(BerechnungenCLT!$W$47*2*AF146)</f>
        <v>5.5257017473484774E-3</v>
      </c>
      <c r="AM146" s="37">
        <f t="shared" si="71"/>
        <v>2.5814523465678106E-6</v>
      </c>
      <c r="AN146" s="173">
        <f t="shared" si="93"/>
        <v>3072.2120600793883</v>
      </c>
      <c r="AO146" s="173">
        <v>-257.68283970263366</v>
      </c>
      <c r="AV146" s="129">
        <v>105.16307263729369</v>
      </c>
      <c r="AW146" s="9">
        <v>10.75</v>
      </c>
      <c r="AX146" s="129">
        <f t="shared" si="94"/>
        <v>116.74282741733109</v>
      </c>
      <c r="AY146" s="36">
        <f t="shared" si="120"/>
        <v>1.3723566974501713E-2</v>
      </c>
      <c r="AZ146" s="37">
        <f t="shared" si="95"/>
        <v>49824942.903903663</v>
      </c>
      <c r="BA146" s="36">
        <f t="shared" si="72"/>
        <v>1.9891519944299993</v>
      </c>
      <c r="BB146" s="37">
        <f t="shared" si="96"/>
        <v>-1.5801444396797409E-4</v>
      </c>
      <c r="BC146" s="37">
        <f t="shared" si="97"/>
        <v>-1.8041612214934506E-2</v>
      </c>
      <c r="BD146" s="37">
        <f t="shared" si="98"/>
        <v>-0.90718430912375514</v>
      </c>
      <c r="BE146" s="39">
        <f t="shared" si="99"/>
        <v>1.8447052961598733E-2</v>
      </c>
      <c r="BF146" s="39">
        <f>BF145+(1000*$C$2*($B146-$B145))/(BerechnungenCLT!$W$47*2*AZ146)</f>
        <v>5.1574584531659693E-3</v>
      </c>
      <c r="BG146" s="37">
        <f t="shared" si="73"/>
        <v>2.3430599337061069E-6</v>
      </c>
      <c r="BH146" s="173">
        <f t="shared" si="100"/>
        <v>2184.3706115977729</v>
      </c>
      <c r="BI146">
        <v>-258.82787946891415</v>
      </c>
      <c r="BP146" s="129">
        <v>86.003640378332577</v>
      </c>
      <c r="BQ146" s="9">
        <v>15.125</v>
      </c>
      <c r="BR146" s="129">
        <f t="shared" si="101"/>
        <v>101.12923374060446</v>
      </c>
      <c r="BS146" s="36">
        <f t="shared" si="121"/>
        <v>1.5116849958292837E-2</v>
      </c>
      <c r="BT146" s="37">
        <f t="shared" si="102"/>
        <v>39178758.140716374</v>
      </c>
      <c r="BU146" s="36">
        <f t="shared" si="74"/>
        <v>1.9741211594482109</v>
      </c>
      <c r="BV146" s="37">
        <f t="shared" si="103"/>
        <v>-2.0095227675208892E-4</v>
      </c>
      <c r="BW146" s="37">
        <f t="shared" si="104"/>
        <v>-1.9375152533826864E-2</v>
      </c>
      <c r="BX146" s="37">
        <f t="shared" si="105"/>
        <v>-0.9308663809197959</v>
      </c>
      <c r="BY146" s="39">
        <f t="shared" si="106"/>
        <v>2.0322149766368636E-2</v>
      </c>
      <c r="BZ146" s="39">
        <f>BZ145+(1000*$C$2*($B146-$B145))/(BerechnungenCLT!$W$47*2*BT146)</f>
        <v>5.5429891027815592E-3</v>
      </c>
      <c r="CA146" s="37">
        <f t="shared" si="75"/>
        <v>2.5812261169020133E-6</v>
      </c>
      <c r="CB146" s="173">
        <f t="shared" si="107"/>
        <v>3071.5942656584702</v>
      </c>
      <c r="CC146" s="9">
        <v>-257.74412457694314</v>
      </c>
      <c r="CJ146" s="9">
        <f t="shared" si="123"/>
        <v>95</v>
      </c>
      <c r="CK146" s="129">
        <v>85.462782806731298</v>
      </c>
      <c r="CL146" s="9">
        <v>10.078125</v>
      </c>
      <c r="CM146" s="129">
        <f t="shared" si="108"/>
        <v>95.541030856088142</v>
      </c>
      <c r="CN146" s="36">
        <f t="shared" si="122"/>
        <v>9.7425257554341182E-3</v>
      </c>
      <c r="CO146" s="173">
        <f t="shared" si="109"/>
        <v>3283.133731404143</v>
      </c>
      <c r="CP146" s="9">
        <v>-631.65060978098461</v>
      </c>
      <c r="CQ146" s="129"/>
      <c r="CR146" s="36">
        <f t="shared" si="110"/>
        <v>0.83489664669472041</v>
      </c>
      <c r="CS146" s="17">
        <f t="shared" si="76"/>
        <v>0.60019135317710604</v>
      </c>
      <c r="CT146" s="9">
        <f t="shared" si="77"/>
        <v>10.074911889334855</v>
      </c>
      <c r="CU146" s="9">
        <f t="shared" si="111"/>
        <v>95.537817706192357</v>
      </c>
      <c r="CV146" s="9">
        <v>13.2</v>
      </c>
      <c r="CW146" s="9">
        <f t="shared" si="112"/>
        <v>98.662943972772624</v>
      </c>
      <c r="CX146">
        <f t="shared" si="113"/>
        <v>22</v>
      </c>
      <c r="CY146" s="9">
        <f t="shared" si="78"/>
        <v>625.75529866223769</v>
      </c>
      <c r="CZ146" s="17">
        <f t="shared" si="114"/>
        <v>0.58922344506802049</v>
      </c>
      <c r="DA146">
        <v>45</v>
      </c>
      <c r="DB146" s="9">
        <f t="shared" si="115"/>
        <v>10.098145609787309</v>
      </c>
      <c r="DC146" s="9">
        <f t="shared" si="116"/>
        <v>10.933042259626454</v>
      </c>
    </row>
    <row r="147" spans="2:107" x14ac:dyDescent="0.25">
      <c r="B147" s="9">
        <f t="shared" si="117"/>
        <v>96</v>
      </c>
      <c r="C147" s="9">
        <v>89.617302290078413</v>
      </c>
      <c r="D147" s="9"/>
      <c r="E147" s="9">
        <f t="shared" si="79"/>
        <v>89.617302290078413</v>
      </c>
      <c r="F147" s="36">
        <f t="shared" si="118"/>
        <v>0</v>
      </c>
      <c r="G147" s="37">
        <f t="shared" si="124"/>
        <v>0</v>
      </c>
      <c r="H147" s="36" t="e">
        <f t="shared" si="64"/>
        <v>#DIV/0!</v>
      </c>
      <c r="I147" s="37" t="e">
        <f t="shared" si="80"/>
        <v>#DIV/0!</v>
      </c>
      <c r="J147" s="37" t="e">
        <f t="shared" si="81"/>
        <v>#DIV/0!</v>
      </c>
      <c r="K147" s="37" t="e">
        <f t="shared" si="82"/>
        <v>#DIV/0!</v>
      </c>
      <c r="L147" s="39" t="e">
        <f t="shared" si="65"/>
        <v>#DIV/0!</v>
      </c>
      <c r="M147" s="39" t="e">
        <f>M146+(1000*$C$2*(B147-B146))/(BerechnungenCLT!$W$47*2*'Berechnung freier Bereich'!G147)</f>
        <v>#DIV/0!</v>
      </c>
      <c r="N147" s="17" t="e">
        <f t="shared" si="83"/>
        <v>#DIV/0!</v>
      </c>
      <c r="O147" s="173">
        <f t="shared" si="84"/>
        <v>3348.2686742361257</v>
      </c>
      <c r="P147" s="173"/>
      <c r="Q147" s="173"/>
      <c r="R147" s="37" t="e">
        <f t="shared" si="66"/>
        <v>#DIV/0!</v>
      </c>
      <c r="S147" s="37" t="e">
        <f t="shared" si="67"/>
        <v>#DIV/0!</v>
      </c>
      <c r="T147" s="37" t="e">
        <f t="shared" si="68"/>
        <v>#DIV/0!</v>
      </c>
      <c r="U147" s="39" t="e">
        <f t="shared" si="69"/>
        <v>#DIV/0!</v>
      </c>
      <c r="V147" s="39" t="e">
        <f t="shared" si="85"/>
        <v>#DIV/0!</v>
      </c>
      <c r="W147" s="9" t="e">
        <f t="shared" si="86"/>
        <v>#DIV/0!</v>
      </c>
      <c r="AB147" s="129">
        <v>85.97500109771606</v>
      </c>
      <c r="AC147" s="9">
        <v>15.125</v>
      </c>
      <c r="AD147" s="129">
        <f t="shared" si="87"/>
        <v>101.10302143368234</v>
      </c>
      <c r="AE147" s="36">
        <f t="shared" si="119"/>
        <v>1.5114843831700952E-2</v>
      </c>
      <c r="AF147" s="37">
        <f t="shared" si="88"/>
        <v>39150828.041157998</v>
      </c>
      <c r="AG147" s="36">
        <f t="shared" si="70"/>
        <v>1.9740979001208199</v>
      </c>
      <c r="AH147" s="37">
        <f t="shared" si="89"/>
        <v>-2.0109563558706089E-4</v>
      </c>
      <c r="AI147" s="37">
        <f t="shared" si="90"/>
        <v>-1.9516451741793943E-2</v>
      </c>
      <c r="AJ147" s="37">
        <f t="shared" si="91"/>
        <v>-0.94903578396970134</v>
      </c>
      <c r="AK147" s="39">
        <f t="shared" si="92"/>
        <v>2.033137635497859E-2</v>
      </c>
      <c r="AL147" s="39">
        <f>AL146+(1000*$C$2*($B147-$B146))/(BerechnungenCLT!$W$47*2*AF147)</f>
        <v>5.5838392010576837E-3</v>
      </c>
      <c r="AM147" s="37">
        <f t="shared" si="71"/>
        <v>2.5823980358064459E-6</v>
      </c>
      <c r="AN147" s="173">
        <f t="shared" si="93"/>
        <v>3073.3957228156614</v>
      </c>
      <c r="AO147" s="173">
        <v>-257.53868900179987</v>
      </c>
      <c r="AV147" s="129">
        <v>105.563485844807</v>
      </c>
      <c r="AW147" s="9">
        <v>10.75</v>
      </c>
      <c r="AX147" s="129">
        <f t="shared" si="94"/>
        <v>117.10278492100012</v>
      </c>
      <c r="AY147" s="36">
        <f t="shared" si="120"/>
        <v>1.3722481666209549E-2</v>
      </c>
      <c r="AZ147" s="37">
        <f t="shared" si="95"/>
        <v>50161142.894524515</v>
      </c>
      <c r="BA147" s="36">
        <f t="shared" si="72"/>
        <v>1.989300507758176</v>
      </c>
      <c r="BB147" s="37">
        <f t="shared" si="96"/>
        <v>-1.5695536812730397E-4</v>
      </c>
      <c r="BC147" s="37">
        <f t="shared" si="97"/>
        <v>-1.8198567583061809E-2</v>
      </c>
      <c r="BD147" s="37">
        <f t="shared" si="98"/>
        <v>-0.9253043990227533</v>
      </c>
      <c r="BE147" s="39">
        <f t="shared" si="99"/>
        <v>1.8379910716008075E-2</v>
      </c>
      <c r="BF147" s="39">
        <f>BF146+(1000*$C$2*($B147-$B146))/(BerechnungenCLT!$W$47*2*AZ147)</f>
        <v>5.2028348007046614E-3</v>
      </c>
      <c r="BG147" s="37">
        <f t="shared" si="73"/>
        <v>2.3345318340779435E-6</v>
      </c>
      <c r="BH147" s="173">
        <f t="shared" si="100"/>
        <v>2169.4775115484799</v>
      </c>
      <c r="BI147">
        <v>-257.40883926440807</v>
      </c>
      <c r="BP147" s="129">
        <v>86.012498293770065</v>
      </c>
      <c r="BQ147" s="9">
        <v>15.125</v>
      </c>
      <c r="BR147" s="129">
        <f t="shared" si="101"/>
        <v>101.13804990949509</v>
      </c>
      <c r="BS147" s="36">
        <f t="shared" si="121"/>
        <v>1.5118235968684101E-2</v>
      </c>
      <c r="BT147" s="37">
        <f t="shared" si="102"/>
        <v>39189702.493633315</v>
      </c>
      <c r="BU147" s="36">
        <f t="shared" si="74"/>
        <v>1.9741261410072577</v>
      </c>
      <c r="BV147" s="37">
        <f t="shared" si="103"/>
        <v>-2.0089615760608123E-4</v>
      </c>
      <c r="BW147" s="37">
        <f t="shared" si="104"/>
        <v>-1.9576048691432944E-2</v>
      </c>
      <c r="BX147" s="37">
        <f t="shared" si="105"/>
        <v>-0.95034198153242577</v>
      </c>
      <c r="BY147" s="39">
        <f t="shared" si="106"/>
        <v>2.0318245614589635E-2</v>
      </c>
      <c r="BZ147" s="39">
        <f>BZ146+(1000*$C$2*($B147-$B146))/(BerechnungenCLT!$W$47*2*BT147)</f>
        <v>5.6010688867066784E-3</v>
      </c>
      <c r="CA147" s="37">
        <f t="shared" si="75"/>
        <v>2.5807302294761181E-6</v>
      </c>
      <c r="CB147" s="173">
        <f t="shared" si="107"/>
        <v>3071.014143898818</v>
      </c>
      <c r="CC147" s="9">
        <v>-257.69544530417551</v>
      </c>
      <c r="CJ147" s="9">
        <f t="shared" si="123"/>
        <v>96</v>
      </c>
      <c r="CK147" s="129">
        <v>85.45784122335705</v>
      </c>
      <c r="CL147" s="9">
        <v>10.078125</v>
      </c>
      <c r="CM147" s="129">
        <f t="shared" si="108"/>
        <v>95.536088942581202</v>
      </c>
      <c r="CN147" s="36">
        <f t="shared" si="122"/>
        <v>9.7419934573429907E-3</v>
      </c>
      <c r="CO147" s="173">
        <f t="shared" si="109"/>
        <v>3283.4923039587975</v>
      </c>
      <c r="CP147" s="9">
        <v>-631.71959648433801</v>
      </c>
      <c r="CQ147" s="129"/>
      <c r="CR147" s="36">
        <f t="shared" si="110"/>
        <v>0.83492160211912958</v>
      </c>
      <c r="CS147" s="17">
        <f t="shared" si="76"/>
        <v>0.60020929315806604</v>
      </c>
      <c r="CT147" s="9">
        <f t="shared" si="77"/>
        <v>10.074610754831392</v>
      </c>
      <c r="CU147" s="9">
        <f t="shared" si="111"/>
        <v>95.532574654620376</v>
      </c>
      <c r="CV147" s="9">
        <v>13.2</v>
      </c>
      <c r="CW147" s="9">
        <f t="shared" si="112"/>
        <v>98.658001957001346</v>
      </c>
      <c r="CX147">
        <f t="shared" si="113"/>
        <v>22</v>
      </c>
      <c r="CY147" s="9">
        <f t="shared" si="78"/>
        <v>625.79148284306825</v>
      </c>
      <c r="CZ147" s="17">
        <f t="shared" si="114"/>
        <v>0.5892575168013825</v>
      </c>
      <c r="DA147">
        <v>45</v>
      </c>
      <c r="DB147" s="9">
        <f t="shared" si="115"/>
        <v>10.098729533131753</v>
      </c>
      <c r="DC147" s="9">
        <f t="shared" si="116"/>
        <v>10.933651138389211</v>
      </c>
    </row>
    <row r="148" spans="2:107" x14ac:dyDescent="0.25">
      <c r="B148" s="9">
        <f t="shared" si="117"/>
        <v>97</v>
      </c>
      <c r="C148" s="9">
        <v>89.78754212109618</v>
      </c>
      <c r="D148" s="9"/>
      <c r="E148" s="9">
        <f t="shared" si="79"/>
        <v>89.78754212109618</v>
      </c>
      <c r="F148" s="36">
        <f t="shared" si="118"/>
        <v>0</v>
      </c>
      <c r="G148" s="37">
        <f t="shared" si="124"/>
        <v>0</v>
      </c>
      <c r="H148" s="36" t="e">
        <f t="shared" si="64"/>
        <v>#DIV/0!</v>
      </c>
      <c r="I148" s="37" t="e">
        <f t="shared" si="80"/>
        <v>#DIV/0!</v>
      </c>
      <c r="J148" s="37" t="e">
        <f t="shared" si="81"/>
        <v>#DIV/0!</v>
      </c>
      <c r="K148" s="37" t="e">
        <f t="shared" si="82"/>
        <v>#DIV/0!</v>
      </c>
      <c r="L148" s="39" t="e">
        <f t="shared" si="65"/>
        <v>#DIV/0!</v>
      </c>
      <c r="M148" s="39" t="e">
        <f>M147+(1000*$C$2*(B148-B147))/(BerechnungenCLT!$W$47*2*'Berechnung freier Bereich'!G148)</f>
        <v>#DIV/0!</v>
      </c>
      <c r="N148" s="17" t="e">
        <f t="shared" si="83"/>
        <v>#DIV/0!</v>
      </c>
      <c r="O148" s="173">
        <f t="shared" si="84"/>
        <v>3335.5838784795064</v>
      </c>
      <c r="P148" s="173"/>
      <c r="Q148" s="173"/>
      <c r="R148" s="37" t="e">
        <f t="shared" si="66"/>
        <v>#DIV/0!</v>
      </c>
      <c r="S148" s="37" t="e">
        <f t="shared" si="67"/>
        <v>#DIV/0!</v>
      </c>
      <c r="T148" s="37" t="e">
        <f t="shared" si="68"/>
        <v>#DIV/0!</v>
      </c>
      <c r="U148" s="39" t="e">
        <f t="shared" si="69"/>
        <v>#DIV/0!</v>
      </c>
      <c r="V148" s="39" t="e">
        <f t="shared" si="85"/>
        <v>#DIV/0!</v>
      </c>
      <c r="W148" s="9" t="e">
        <f t="shared" si="86"/>
        <v>#DIV/0!</v>
      </c>
      <c r="AB148" s="129">
        <v>85.955015524293771</v>
      </c>
      <c r="AC148" s="9">
        <v>15.125</v>
      </c>
      <c r="AD148" s="129">
        <f t="shared" si="87"/>
        <v>101.08344361585903</v>
      </c>
      <c r="AE148" s="36">
        <f t="shared" si="119"/>
        <v>1.5112054648226632E-2</v>
      </c>
      <c r="AF148" s="37">
        <f t="shared" si="88"/>
        <v>39127170.206304625</v>
      </c>
      <c r="AG148" s="36">
        <f t="shared" si="70"/>
        <v>1.974085664467836</v>
      </c>
      <c r="AH148" s="37">
        <f t="shared" si="89"/>
        <v>-2.0121722596304177E-4</v>
      </c>
      <c r="AI148" s="37">
        <f t="shared" si="90"/>
        <v>-1.9717668967756986E-2</v>
      </c>
      <c r="AJ148" s="37">
        <f t="shared" si="91"/>
        <v>-0.96865284432447685</v>
      </c>
      <c r="AK148" s="39">
        <f t="shared" si="92"/>
        <v>2.0339730115174696E-2</v>
      </c>
      <c r="AL148" s="39">
        <f>AL147+(1000*$C$2*($B148-$B147))/(BerechnungenCLT!$W$47*2*AF148)</f>
        <v>5.6420118069711363E-3</v>
      </c>
      <c r="AM148" s="37">
        <f t="shared" si="71"/>
        <v>2.5834590920549447E-6</v>
      </c>
      <c r="AN148" s="173">
        <f t="shared" si="93"/>
        <v>3074.6960630569224</v>
      </c>
      <c r="AO148" s="173">
        <v>-257.41985686345879</v>
      </c>
      <c r="AV148" s="129">
        <v>105.95366183283274</v>
      </c>
      <c r="AW148" s="9">
        <v>10.6875</v>
      </c>
      <c r="AX148" s="129">
        <f t="shared" si="94"/>
        <v>117.38725082318867</v>
      </c>
      <c r="AY148" s="36">
        <f t="shared" si="120"/>
        <v>1.363796768021636E-2</v>
      </c>
      <c r="AZ148" s="37">
        <f t="shared" si="95"/>
        <v>50151510.477269895</v>
      </c>
      <c r="BA148" s="36">
        <f t="shared" si="72"/>
        <v>1.9895579949588551</v>
      </c>
      <c r="BB148" s="37">
        <f t="shared" si="96"/>
        <v>-1.5698551397100373E-4</v>
      </c>
      <c r="BC148" s="37">
        <f t="shared" si="97"/>
        <v>-1.8355553097032812E-2</v>
      </c>
      <c r="BD148" s="37">
        <f t="shared" si="98"/>
        <v>-0.94358145936280058</v>
      </c>
      <c r="BE148" s="39">
        <f t="shared" si="99"/>
        <v>1.8428097904121404E-2</v>
      </c>
      <c r="BF148" s="39">
        <f>BF147+(1000*$C$2*($B148-$B147))/(BerechnungenCLT!$W$47*2*AZ148)</f>
        <v>5.2482198635125212E-3</v>
      </c>
      <c r="BG148" s="37">
        <f t="shared" si="73"/>
        <v>2.3406523493722474E-6</v>
      </c>
      <c r="BH148" s="173">
        <f t="shared" si="100"/>
        <v>2156.3907033517567</v>
      </c>
      <c r="BI148">
        <v>-257.66436139822349</v>
      </c>
      <c r="BP148" s="129">
        <v>86.021038917424789</v>
      </c>
      <c r="BQ148" s="9">
        <v>15.125</v>
      </c>
      <c r="BR148" s="129">
        <f t="shared" si="101"/>
        <v>101.1465549673014</v>
      </c>
      <c r="BS148" s="36">
        <f t="shared" si="121"/>
        <v>1.5119577386501677E-2</v>
      </c>
      <c r="BT148" s="37">
        <f t="shared" si="102"/>
        <v>39200271.964644447</v>
      </c>
      <c r="BU148" s="36">
        <f t="shared" si="74"/>
        <v>1.9741309282065389</v>
      </c>
      <c r="BV148" s="37">
        <f t="shared" si="103"/>
        <v>-2.0084199047897607E-4</v>
      </c>
      <c r="BW148" s="37">
        <f t="shared" si="104"/>
        <v>-1.9776890681911921E-2</v>
      </c>
      <c r="BX148" s="37">
        <f t="shared" si="105"/>
        <v>-0.97001845121909824</v>
      </c>
      <c r="BY148" s="39">
        <f t="shared" si="106"/>
        <v>2.0314475429723977E-2</v>
      </c>
      <c r="BZ148" s="39">
        <f>BZ147+(1000*$C$2*($B148-$B147))/(BerechnungenCLT!$W$47*2*BT148)</f>
        <v>5.6591330107253288E-3</v>
      </c>
      <c r="CA148" s="37">
        <f t="shared" si="75"/>
        <v>2.5802513579122004E-6</v>
      </c>
      <c r="CB148" s="173">
        <f t="shared" si="107"/>
        <v>3070.4548040677914</v>
      </c>
      <c r="CC148" s="9">
        <v>-257.64850988802993</v>
      </c>
      <c r="CJ148" s="9">
        <f t="shared" si="123"/>
        <v>97</v>
      </c>
      <c r="CK148" s="129">
        <v>85.452906273434053</v>
      </c>
      <c r="CL148" s="9">
        <v>10.078125</v>
      </c>
      <c r="CM148" s="129">
        <f t="shared" si="108"/>
        <v>95.531152103000935</v>
      </c>
      <c r="CN148" s="36">
        <f t="shared" si="122"/>
        <v>9.7414602820261754E-3</v>
      </c>
      <c r="CO148" s="173">
        <f t="shared" si="109"/>
        <v>3283.8505104125779</v>
      </c>
      <c r="CP148" s="9">
        <v>-631.78851275259547</v>
      </c>
      <c r="CQ148" s="129"/>
      <c r="CR148" s="36">
        <f t="shared" si="110"/>
        <v>0.83494653261589846</v>
      </c>
      <c r="CS148" s="17">
        <f t="shared" si="76"/>
        <v>0.60022721521901856</v>
      </c>
      <c r="CT148" s="9">
        <f t="shared" si="77"/>
        <v>10.074309939101211</v>
      </c>
      <c r="CU148" s="9">
        <f t="shared" si="111"/>
        <v>95.52733699636228</v>
      </c>
      <c r="CV148" s="9">
        <v>13.2</v>
      </c>
      <c r="CW148" s="9">
        <f t="shared" si="112"/>
        <v>98.653064532066779</v>
      </c>
      <c r="CX148">
        <f t="shared" si="113"/>
        <v>22</v>
      </c>
      <c r="CY148" s="9">
        <f t="shared" si="78"/>
        <v>625.82762262771394</v>
      </c>
      <c r="CZ148" s="17">
        <f t="shared" si="114"/>
        <v>0.58929154673042738</v>
      </c>
      <c r="DA148">
        <v>45</v>
      </c>
      <c r="DB148" s="9">
        <f t="shared" si="115"/>
        <v>10.09931274003138</v>
      </c>
      <c r="DC148" s="9">
        <f t="shared" si="116"/>
        <v>10.934259275739574</v>
      </c>
    </row>
    <row r="149" spans="2:107" x14ac:dyDescent="0.25">
      <c r="B149" s="9">
        <f t="shared" si="117"/>
        <v>98</v>
      </c>
      <c r="C149" s="9">
        <v>89.959444227743276</v>
      </c>
      <c r="D149" s="9"/>
      <c r="E149" s="9">
        <f t="shared" si="79"/>
        <v>89.959444227743276</v>
      </c>
      <c r="F149" s="36">
        <f t="shared" si="118"/>
        <v>0</v>
      </c>
      <c r="G149" s="37">
        <f t="shared" si="124"/>
        <v>0</v>
      </c>
      <c r="H149" s="36" t="e">
        <f t="shared" si="64"/>
        <v>#DIV/0!</v>
      </c>
      <c r="I149" s="37" t="e">
        <f t="shared" si="80"/>
        <v>#DIV/0!</v>
      </c>
      <c r="J149" s="37" t="e">
        <f t="shared" si="81"/>
        <v>#DIV/0!</v>
      </c>
      <c r="K149" s="37" t="e">
        <f t="shared" si="82"/>
        <v>#DIV/0!</v>
      </c>
      <c r="L149" s="39" t="e">
        <f t="shared" si="65"/>
        <v>#DIV/0!</v>
      </c>
      <c r="M149" s="39" t="e">
        <f>M148+(1000*$C$2*(B149-B148))/(BerechnungenCLT!$W$47*2*'Berechnung freier Bereich'!G149)</f>
        <v>#DIV/0!</v>
      </c>
      <c r="N149" s="17" t="e">
        <f t="shared" si="83"/>
        <v>#DIV/0!</v>
      </c>
      <c r="O149" s="173">
        <f t="shared" si="84"/>
        <v>3322.8482273030099</v>
      </c>
      <c r="P149" s="173"/>
      <c r="Q149" s="173"/>
      <c r="R149" s="37" t="e">
        <f t="shared" si="66"/>
        <v>#DIV/0!</v>
      </c>
      <c r="S149" s="37" t="e">
        <f t="shared" si="67"/>
        <v>#DIV/0!</v>
      </c>
      <c r="T149" s="37" t="e">
        <f t="shared" si="68"/>
        <v>#DIV/0!</v>
      </c>
      <c r="U149" s="39" t="e">
        <f t="shared" si="69"/>
        <v>#DIV/0!</v>
      </c>
      <c r="V149" s="39" t="e">
        <f t="shared" si="85"/>
        <v>#DIV/0!</v>
      </c>
      <c r="W149" s="9" t="e">
        <f t="shared" si="86"/>
        <v>#DIV/0!</v>
      </c>
      <c r="AB149" s="129">
        <v>85.933723442795426</v>
      </c>
      <c r="AC149" s="9">
        <v>15.125</v>
      </c>
      <c r="AD149" s="129">
        <f t="shared" si="87"/>
        <v>101.06244531813864</v>
      </c>
      <c r="AE149" s="36">
        <f t="shared" si="119"/>
        <v>1.5108931132661313E-2</v>
      </c>
      <c r="AF149" s="37">
        <f t="shared" si="88"/>
        <v>39101519.780228816</v>
      </c>
      <c r="AG149" s="36">
        <f t="shared" si="70"/>
        <v>1.9740730588484723</v>
      </c>
      <c r="AH149" s="37">
        <f t="shared" si="89"/>
        <v>-2.0134922358381848E-4</v>
      </c>
      <c r="AI149" s="37">
        <f t="shared" si="90"/>
        <v>-1.9919018191340804E-2</v>
      </c>
      <c r="AJ149" s="37">
        <f t="shared" si="91"/>
        <v>-0.98847118790402577</v>
      </c>
      <c r="AK149" s="39">
        <f t="shared" si="92"/>
        <v>2.0348844898289326E-2</v>
      </c>
      <c r="AL149" s="39">
        <f>AL148+(1000*$C$2*($B149-$B148))/(BerechnungenCLT!$W$47*2*AF149)</f>
        <v>5.7002225738598143E-3</v>
      </c>
      <c r="AM149" s="37">
        <f t="shared" si="71"/>
        <v>2.5846168099389217E-6</v>
      </c>
      <c r="AN149" s="173">
        <f t="shared" si="93"/>
        <v>3076.0869446660554</v>
      </c>
      <c r="AO149" s="173">
        <v>-257.32395155350201</v>
      </c>
      <c r="AV149" s="129">
        <v>106.33378333722749</v>
      </c>
      <c r="AW149" s="9">
        <v>10.625</v>
      </c>
      <c r="AX149" s="129">
        <f t="shared" si="94"/>
        <v>117.66366520061599</v>
      </c>
      <c r="AY149" s="36">
        <f t="shared" si="120"/>
        <v>1.3553992689649177E-2</v>
      </c>
      <c r="AZ149" s="37">
        <f t="shared" si="95"/>
        <v>50133052.88036719</v>
      </c>
      <c r="BA149" s="36">
        <f t="shared" si="72"/>
        <v>1.9898056283993384</v>
      </c>
      <c r="BB149" s="37">
        <f t="shared" si="96"/>
        <v>-1.570433116747134E-4</v>
      </c>
      <c r="BC149" s="37">
        <f t="shared" si="97"/>
        <v>-1.8512596408707525E-2</v>
      </c>
      <c r="BD149" s="37">
        <f t="shared" si="98"/>
        <v>-0.96201553411567076</v>
      </c>
      <c r="BE149" s="39">
        <f t="shared" si="99"/>
        <v>1.8478291646889466E-2</v>
      </c>
      <c r="BF149" s="39">
        <f>BF148+(1000*$C$2*($B149-$B148))/(BerechnungenCLT!$W$47*2*AZ149)</f>
        <v>5.2936216358392824E-3</v>
      </c>
      <c r="BG149" s="37">
        <f t="shared" si="73"/>
        <v>2.3470277280220202E-6</v>
      </c>
      <c r="BH149" s="173">
        <f t="shared" si="100"/>
        <v>2143.7684783690934</v>
      </c>
      <c r="BI149">
        <v>-257.94642779402778</v>
      </c>
      <c r="BP149" s="129">
        <v>86.029299617414466</v>
      </c>
      <c r="BQ149" s="9">
        <v>15.125</v>
      </c>
      <c r="BR149" s="129">
        <f t="shared" si="101"/>
        <v>101.15478580756749</v>
      </c>
      <c r="BS149" s="36">
        <f t="shared" si="121"/>
        <v>1.5120879738279015E-2</v>
      </c>
      <c r="BT149" s="37">
        <f t="shared" si="102"/>
        <v>39210511.575447053</v>
      </c>
      <c r="BU149" s="36">
        <f t="shared" si="74"/>
        <v>1.974135543129695</v>
      </c>
      <c r="BV149" s="37">
        <f t="shared" si="103"/>
        <v>-2.0078954169081456E-4</v>
      </c>
      <c r="BW149" s="37">
        <f t="shared" si="104"/>
        <v>-1.9977680223602735E-2</v>
      </c>
      <c r="BX149" s="37">
        <f t="shared" si="105"/>
        <v>-0.9898957366718556</v>
      </c>
      <c r="BY149" s="39">
        <f t="shared" si="106"/>
        <v>2.0310823082133989E-2</v>
      </c>
      <c r="BZ149" s="39">
        <f>BZ148+(1000*$C$2*($B149-$B148))/(BerechnungenCLT!$W$47*2*BT149)</f>
        <v>5.7171819716153264E-3</v>
      </c>
      <c r="CA149" s="37">
        <f t="shared" si="75"/>
        <v>2.5797874534977729E-6</v>
      </c>
      <c r="CB149" s="173">
        <f t="shared" si="107"/>
        <v>3069.9137933481406</v>
      </c>
      <c r="CC149" s="9">
        <v>-257.60311250730086</v>
      </c>
      <c r="CJ149" s="9">
        <f t="shared" si="123"/>
        <v>98</v>
      </c>
      <c r="CK149" s="129">
        <v>85.448009465855819</v>
      </c>
      <c r="CL149" s="9">
        <v>10.078125</v>
      </c>
      <c r="CM149" s="129">
        <f t="shared" si="108"/>
        <v>95.52625188257592</v>
      </c>
      <c r="CN149" s="36">
        <f t="shared" si="122"/>
        <v>9.7409296587335995E-3</v>
      </c>
      <c r="CO149" s="173">
        <f t="shared" si="109"/>
        <v>3284.206062036139</v>
      </c>
      <c r="CP149" s="9">
        <v>-631.85691825118442</v>
      </c>
      <c r="CQ149" s="129"/>
      <c r="CR149" s="36">
        <f t="shared" si="110"/>
        <v>0.83497127887613787</v>
      </c>
      <c r="CS149" s="17">
        <f t="shared" si="76"/>
        <v>0.60024500483582677</v>
      </c>
      <c r="CT149" s="9">
        <f t="shared" si="77"/>
        <v>10.07401136416601</v>
      </c>
      <c r="CU149" s="9">
        <f t="shared" si="111"/>
        <v>95.522138198815384</v>
      </c>
      <c r="CV149" s="9">
        <v>13.2</v>
      </c>
      <c r="CW149" s="9">
        <f t="shared" si="112"/>
        <v>98.648163254452939</v>
      </c>
      <c r="CX149">
        <f t="shared" si="113"/>
        <v>22</v>
      </c>
      <c r="CY149" s="9">
        <f t="shared" si="78"/>
        <v>625.86348721325908</v>
      </c>
      <c r="CZ149" s="17">
        <f t="shared" si="114"/>
        <v>0.58932531752660933</v>
      </c>
      <c r="DA149">
        <v>45</v>
      </c>
      <c r="DB149" s="9">
        <f t="shared" si="115"/>
        <v>10.099891505896958</v>
      </c>
      <c r="DC149" s="9">
        <f t="shared" si="116"/>
        <v>10.93486278778026</v>
      </c>
    </row>
    <row r="150" spans="2:107" x14ac:dyDescent="0.25">
      <c r="B150" s="9">
        <f t="shared" si="117"/>
        <v>99</v>
      </c>
      <c r="C150" s="9">
        <v>90.13289786368766</v>
      </c>
      <c r="D150" s="9"/>
      <c r="E150" s="9">
        <f t="shared" si="79"/>
        <v>90.13289786368766</v>
      </c>
      <c r="F150" s="36">
        <f t="shared" si="118"/>
        <v>0</v>
      </c>
      <c r="G150" s="37">
        <f t="shared" si="124"/>
        <v>0</v>
      </c>
      <c r="H150" s="36" t="e">
        <f t="shared" si="64"/>
        <v>#DIV/0!</v>
      </c>
      <c r="I150" s="37" t="e">
        <f t="shared" si="80"/>
        <v>#DIV/0!</v>
      </c>
      <c r="J150" s="37" t="e">
        <f t="shared" si="81"/>
        <v>#DIV/0!</v>
      </c>
      <c r="K150" s="37" t="e">
        <f t="shared" si="82"/>
        <v>#DIV/0!</v>
      </c>
      <c r="L150" s="39" t="e">
        <f t="shared" si="65"/>
        <v>#DIV/0!</v>
      </c>
      <c r="M150" s="39" t="e">
        <f>M149+(1000*$C$2*(B150-B149))/(BerechnungenCLT!$W$47*2*'Berechnung freier Bereich'!G150)</f>
        <v>#DIV/0!</v>
      </c>
      <c r="N150" s="17" t="e">
        <f t="shared" si="83"/>
        <v>#DIV/0!</v>
      </c>
      <c r="O150" s="173">
        <f t="shared" si="84"/>
        <v>3310.0714157139946</v>
      </c>
      <c r="P150" s="173"/>
      <c r="Q150" s="173"/>
      <c r="R150" s="37" t="e">
        <f t="shared" si="66"/>
        <v>#DIV/0!</v>
      </c>
      <c r="S150" s="37" t="e">
        <f t="shared" si="67"/>
        <v>#DIV/0!</v>
      </c>
      <c r="T150" s="37" t="e">
        <f t="shared" si="68"/>
        <v>#DIV/0!</v>
      </c>
      <c r="U150" s="39" t="e">
        <f t="shared" si="69"/>
        <v>#DIV/0!</v>
      </c>
      <c r="V150" s="39" t="e">
        <f t="shared" si="85"/>
        <v>#DIV/0!</v>
      </c>
      <c r="W150" s="9" t="e">
        <f t="shared" si="86"/>
        <v>#DIV/0!</v>
      </c>
      <c r="AB150" s="129">
        <v>85.911537650983391</v>
      </c>
      <c r="AC150" s="9">
        <v>15.0625</v>
      </c>
      <c r="AD150" s="129">
        <f t="shared" si="87"/>
        <v>100.9779065558654</v>
      </c>
      <c r="AE150" s="36">
        <f t="shared" si="119"/>
        <v>1.5038072131001974E-2</v>
      </c>
      <c r="AF150" s="37">
        <f t="shared" si="88"/>
        <v>38871934.575966261</v>
      </c>
      <c r="AG150" s="36">
        <f t="shared" si="70"/>
        <v>1.9742551784275724</v>
      </c>
      <c r="AH150" s="37">
        <f t="shared" si="89"/>
        <v>-2.025384312507088E-4</v>
      </c>
      <c r="AI150" s="37">
        <f t="shared" si="90"/>
        <v>-2.0121556622591512E-2</v>
      </c>
      <c r="AJ150" s="37">
        <f t="shared" si="91"/>
        <v>-1.0084914753109919</v>
      </c>
      <c r="AK150" s="39">
        <f t="shared" si="92"/>
        <v>2.0451906784805643E-2</v>
      </c>
      <c r="AL150" s="39">
        <f>AL149+(1000*$C$2*($B150-$B149))/(BerechnungenCLT!$W$47*2*AF150)</f>
        <v>5.7587771448568345E-3</v>
      </c>
      <c r="AM150" s="37">
        <f t="shared" si="71"/>
        <v>2.5977072573665532E-6</v>
      </c>
      <c r="AN150" s="173">
        <f t="shared" si="93"/>
        <v>3079.6011907082698</v>
      </c>
      <c r="AO150" s="173">
        <v>-258.48846888063503</v>
      </c>
      <c r="AV150" s="129">
        <v>106.70403309384771</v>
      </c>
      <c r="AW150" s="9">
        <v>10.5625</v>
      </c>
      <c r="AX150" s="129">
        <f t="shared" si="94"/>
        <v>117.93214473274953</v>
      </c>
      <c r="AY150" s="36">
        <f t="shared" si="120"/>
        <v>1.3470546554871189E-2</v>
      </c>
      <c r="AZ150" s="37">
        <f t="shared" si="95"/>
        <v>50105959.06046325</v>
      </c>
      <c r="BA150" s="36">
        <f t="shared" si="72"/>
        <v>1.9900439087380766</v>
      </c>
      <c r="BB150" s="37">
        <f t="shared" si="96"/>
        <v>-1.5712822978192892E-4</v>
      </c>
      <c r="BC150" s="37">
        <f t="shared" si="97"/>
        <v>-1.8669724638489454E-2</v>
      </c>
      <c r="BD150" s="37">
        <f t="shared" si="98"/>
        <v>-0.98060669463926919</v>
      </c>
      <c r="BE150" s="39">
        <f t="shared" si="99"/>
        <v>1.8530469136243167E-2</v>
      </c>
      <c r="BF150" s="39">
        <f>BF149+(1000*$C$2*($B150-$B149))/(BerechnungenCLT!$W$47*2*AZ150)</f>
        <v>5.3390479582887404E-3</v>
      </c>
      <c r="BG150" s="37">
        <f t="shared" si="73"/>
        <v>2.3536550730510896E-6</v>
      </c>
      <c r="BH150" s="173">
        <f t="shared" si="100"/>
        <v>2131.5946511962679</v>
      </c>
      <c r="BI150">
        <v>-258.2551152691122</v>
      </c>
      <c r="BP150" s="129">
        <v>86.037317761856897</v>
      </c>
      <c r="BQ150" s="9">
        <v>15.125</v>
      </c>
      <c r="BR150" s="129">
        <f t="shared" si="101"/>
        <v>101.16277938718557</v>
      </c>
      <c r="BS150" s="36">
        <f t="shared" si="121"/>
        <v>1.5122148618677455E-2</v>
      </c>
      <c r="BT150" s="37">
        <f t="shared" si="102"/>
        <v>39220466.59063939</v>
      </c>
      <c r="BU150" s="36">
        <f t="shared" si="74"/>
        <v>1.9741400076353166</v>
      </c>
      <c r="BV150" s="37">
        <f t="shared" si="103"/>
        <v>-2.0073857689840508E-4</v>
      </c>
      <c r="BW150" s="37">
        <f t="shared" si="104"/>
        <v>-2.0178418800501141E-2</v>
      </c>
      <c r="BX150" s="37">
        <f t="shared" si="105"/>
        <v>-1.0099737861839075</v>
      </c>
      <c r="BY150" s="39">
        <f t="shared" si="106"/>
        <v>2.0307272369270938E-2</v>
      </c>
      <c r="BZ150" s="39">
        <f>BZ149+(1000*$C$2*($B150-$B149))/(BerechnungenCLT!$W$47*2*BT150)</f>
        <v>5.7752161984050499E-3</v>
      </c>
      <c r="CA150" s="37">
        <f t="shared" si="75"/>
        <v>2.5793364582595181E-6</v>
      </c>
      <c r="CB150" s="173">
        <f t="shared" si="107"/>
        <v>3069.3886599626931</v>
      </c>
      <c r="CC150" s="9">
        <v>-257.55904742805797</v>
      </c>
      <c r="CJ150" s="9">
        <f t="shared" si="123"/>
        <v>99</v>
      </c>
      <c r="CK150" s="129">
        <v>85.443182309515805</v>
      </c>
      <c r="CL150" s="9">
        <v>10.078125</v>
      </c>
      <c r="CM150" s="129">
        <f t="shared" si="108"/>
        <v>95.521419856550679</v>
      </c>
      <c r="CN150" s="36">
        <f t="shared" si="122"/>
        <v>9.7404050473257377E-3</v>
      </c>
      <c r="CO150" s="173">
        <f t="shared" si="109"/>
        <v>3284.5566675304367</v>
      </c>
      <c r="CP150" s="9">
        <v>-631.92437215114205</v>
      </c>
      <c r="CQ150" s="129"/>
      <c r="CR150" s="36">
        <f t="shared" si="110"/>
        <v>0.83499568142185243</v>
      </c>
      <c r="CS150" s="17">
        <f t="shared" si="76"/>
        <v>0.60026254736278661</v>
      </c>
      <c r="CT150" s="9">
        <f t="shared" si="77"/>
        <v>10.073716953633941</v>
      </c>
      <c r="CU150" s="9">
        <f t="shared" si="111"/>
        <v>95.517011760957956</v>
      </c>
      <c r="CV150" s="9">
        <v>13.2</v>
      </c>
      <c r="CW150" s="9">
        <f t="shared" si="112"/>
        <v>98.643329719957762</v>
      </c>
      <c r="CX150">
        <f t="shared" si="113"/>
        <v>22</v>
      </c>
      <c r="CY150" s="9">
        <f t="shared" si="78"/>
        <v>625.89884569147387</v>
      </c>
      <c r="CZ150" s="17">
        <f t="shared" si="114"/>
        <v>0.58935861176221649</v>
      </c>
      <c r="DA150">
        <v>45</v>
      </c>
      <c r="DB150" s="9">
        <f t="shared" si="115"/>
        <v>10.100462104439735</v>
      </c>
      <c r="DC150" s="9">
        <f t="shared" si="116"/>
        <v>10.935457801144224</v>
      </c>
    </row>
    <row r="151" spans="2:107" x14ac:dyDescent="0.25">
      <c r="B151" s="9">
        <f t="shared" si="117"/>
        <v>100</v>
      </c>
      <c r="C151" s="9">
        <v>90.307792282597205</v>
      </c>
      <c r="D151" s="9"/>
      <c r="E151" s="9">
        <f t="shared" si="79"/>
        <v>90.307792282597205</v>
      </c>
      <c r="F151" s="36">
        <f t="shared" si="118"/>
        <v>0</v>
      </c>
      <c r="G151" s="37">
        <f t="shared" si="124"/>
        <v>0</v>
      </c>
      <c r="H151" s="36" t="e">
        <f t="shared" si="64"/>
        <v>#DIV/0!</v>
      </c>
      <c r="I151" s="37" t="e">
        <f t="shared" si="80"/>
        <v>#DIV/0!</v>
      </c>
      <c r="J151" s="37" t="e">
        <f t="shared" si="81"/>
        <v>#DIV/0!</v>
      </c>
      <c r="K151" s="37" t="e">
        <f t="shared" si="82"/>
        <v>#DIV/0!</v>
      </c>
      <c r="L151" s="39" t="e">
        <f t="shared" si="65"/>
        <v>#DIV/0!</v>
      </c>
      <c r="M151" s="39" t="e">
        <f>M150+(1000*$C$2*(B151-B150))/(BerechnungenCLT!$W$47*2*'Berechnung freier Bereich'!G151)</f>
        <v>#DIV/0!</v>
      </c>
      <c r="N151" s="17" t="e">
        <f t="shared" si="83"/>
        <v>#DIV/0!</v>
      </c>
      <c r="O151" s="173">
        <f t="shared" si="84"/>
        <v>3297.2629431166597</v>
      </c>
      <c r="P151" s="173"/>
      <c r="Q151" s="173"/>
      <c r="R151" s="37" t="e">
        <f t="shared" si="66"/>
        <v>#DIV/0!</v>
      </c>
      <c r="S151" s="37" t="e">
        <f t="shared" si="67"/>
        <v>#DIV/0!</v>
      </c>
      <c r="T151" s="37" t="e">
        <f t="shared" si="68"/>
        <v>#DIV/0!</v>
      </c>
      <c r="U151" s="39" t="e">
        <f t="shared" si="69"/>
        <v>#DIV/0!</v>
      </c>
      <c r="V151" s="39" t="e">
        <f t="shared" si="85"/>
        <v>#DIV/0!</v>
      </c>
      <c r="W151" s="9" t="e">
        <f t="shared" si="86"/>
        <v>#DIV/0!</v>
      </c>
      <c r="AB151" s="129">
        <v>85.888870946620003</v>
      </c>
      <c r="AC151" s="9">
        <v>15.0625</v>
      </c>
      <c r="AD151" s="129">
        <f t="shared" si="87"/>
        <v>100.95526313600828</v>
      </c>
      <c r="AE151" s="36">
        <f t="shared" si="119"/>
        <v>1.5034449483844196E-2</v>
      </c>
      <c r="AF151" s="37">
        <f t="shared" si="88"/>
        <v>38843851.159243315</v>
      </c>
      <c r="AG151" s="36">
        <f t="shared" si="70"/>
        <v>1.9742427325957079</v>
      </c>
      <c r="AH151" s="37">
        <f t="shared" si="89"/>
        <v>-2.026848629509001E-4</v>
      </c>
      <c r="AI151" s="37">
        <f t="shared" si="90"/>
        <v>-2.0324241485542412E-2</v>
      </c>
      <c r="AJ151" s="37">
        <f t="shared" si="91"/>
        <v>-1.0287143743650589</v>
      </c>
      <c r="AK151" s="39">
        <f t="shared" si="92"/>
        <v>2.0462103672893896E-2</v>
      </c>
      <c r="AL151" s="39">
        <f>AL150+(1000*$C$2*($B151-$B150))/(BerechnungenCLT!$W$47*2*AF151)</f>
        <v>5.8173740497720746E-3</v>
      </c>
      <c r="AM151" s="37">
        <f t="shared" si="71"/>
        <v>2.59900241925381E-6</v>
      </c>
      <c r="AN151" s="173">
        <f t="shared" si="93"/>
        <v>3081.0949922901946</v>
      </c>
      <c r="AO151" s="173">
        <v>-258.43088897582157</v>
      </c>
      <c r="AV151" s="129">
        <v>107.06459383854995</v>
      </c>
      <c r="AW151" s="9">
        <v>10.5</v>
      </c>
      <c r="AX151" s="129">
        <f t="shared" si="94"/>
        <v>118.19280691185072</v>
      </c>
      <c r="AY151" s="36">
        <f t="shared" si="120"/>
        <v>1.3387617485903948E-2</v>
      </c>
      <c r="AZ151" s="37">
        <f t="shared" si="95"/>
        <v>50070411.658290654</v>
      </c>
      <c r="BA151" s="36">
        <f t="shared" si="72"/>
        <v>1.9902733097782266</v>
      </c>
      <c r="BB151" s="37">
        <f t="shared" si="96"/>
        <v>-1.5723978269694877E-4</v>
      </c>
      <c r="BC151" s="37">
        <f t="shared" si="97"/>
        <v>-1.8826964421186403E-2</v>
      </c>
      <c r="BD151" s="37">
        <f t="shared" si="98"/>
        <v>-0.99935503916910717</v>
      </c>
      <c r="BE151" s="39">
        <f t="shared" si="99"/>
        <v>1.8584611275161832E-2</v>
      </c>
      <c r="BF151" s="39">
        <f>BF150+(1000*$C$2*($B151-$B150))/(BerechnungenCLT!$W$47*2*AZ151)</f>
        <v>5.3845065310772679E-3</v>
      </c>
      <c r="BG151" s="37">
        <f t="shared" si="73"/>
        <v>2.360531958843609E-6</v>
      </c>
      <c r="BH151" s="173">
        <f t="shared" si="100"/>
        <v>2119.8536873002968</v>
      </c>
      <c r="BI151">
        <v>-258.59051297141013</v>
      </c>
      <c r="BP151" s="129">
        <v>86.045130718869885</v>
      </c>
      <c r="BQ151" s="9">
        <v>15.125</v>
      </c>
      <c r="BR151" s="129">
        <f t="shared" si="101"/>
        <v>101.17057272639805</v>
      </c>
      <c r="BS151" s="36">
        <f t="shared" si="121"/>
        <v>1.5123389690549691E-2</v>
      </c>
      <c r="BT151" s="37">
        <f t="shared" si="102"/>
        <v>39230182.515683062</v>
      </c>
      <c r="BU151" s="36">
        <f t="shared" si="74"/>
        <v>1.9741443433590402</v>
      </c>
      <c r="BV151" s="37">
        <f t="shared" si="103"/>
        <v>-2.0068886107142063E-4</v>
      </c>
      <c r="BW151" s="37">
        <f t="shared" si="104"/>
        <v>-2.0379107661572561E-2</v>
      </c>
      <c r="BX151" s="37">
        <f t="shared" si="105"/>
        <v>-1.0302525494149444</v>
      </c>
      <c r="BY151" s="39">
        <f t="shared" si="106"/>
        <v>2.0303807014404155E-2</v>
      </c>
      <c r="BZ151" s="39">
        <f>BZ150+(1000*$C$2*($B151-$B150))/(BerechnungenCLT!$W$47*2*BT151)</f>
        <v>5.8332360521747848E-3</v>
      </c>
      <c r="CA151" s="37">
        <f t="shared" si="75"/>
        <v>2.5788963048018718E-6</v>
      </c>
      <c r="CB151" s="173">
        <f t="shared" si="107"/>
        <v>3068.8769529719748</v>
      </c>
      <c r="CC151" s="9">
        <v>-257.51610898666382</v>
      </c>
      <c r="CJ151" s="9">
        <f t="shared" si="123"/>
        <v>100</v>
      </c>
      <c r="CK151" s="129">
        <v>85.438456313307498</v>
      </c>
      <c r="CL151" s="9">
        <v>10.09375</v>
      </c>
      <c r="CM151" s="129">
        <f t="shared" si="108"/>
        <v>95.532312795018342</v>
      </c>
      <c r="CN151" s="36">
        <f t="shared" si="122"/>
        <v>9.7558328694391499E-3</v>
      </c>
      <c r="CO151" s="173">
        <f t="shared" si="109"/>
        <v>3284.3328156201005</v>
      </c>
      <c r="CP151" s="9">
        <v>-630.90316026727578</v>
      </c>
      <c r="CQ151" s="129"/>
      <c r="CR151" s="36">
        <f t="shared" si="110"/>
        <v>0.83494067118650284</v>
      </c>
      <c r="CS151" s="17">
        <f t="shared" si="76"/>
        <v>0.60022300154867458</v>
      </c>
      <c r="CT151" s="9">
        <f t="shared" si="77"/>
        <v>10.089999857342809</v>
      </c>
      <c r="CU151" s="9">
        <f t="shared" si="111"/>
        <v>95.528562612799874</v>
      </c>
      <c r="CV151" s="9">
        <v>13.2</v>
      </c>
      <c r="CW151" s="9">
        <f t="shared" si="112"/>
        <v>98.638595563693428</v>
      </c>
      <c r="CX151">
        <f t="shared" si="113"/>
        <v>22</v>
      </c>
      <c r="CY151" s="9">
        <f t="shared" si="78"/>
        <v>625.93346705168051</v>
      </c>
      <c r="CZ151" s="17">
        <f t="shared" si="114"/>
        <v>0.5893912119130702</v>
      </c>
      <c r="DA151">
        <v>45</v>
      </c>
      <c r="DB151" s="9">
        <f t="shared" si="115"/>
        <v>10.101020807717715</v>
      </c>
      <c r="DC151" s="9">
        <f t="shared" si="116"/>
        <v>10.935961481630583</v>
      </c>
    </row>
    <row r="152" spans="2:107" x14ac:dyDescent="0.25">
      <c r="B152" s="9">
        <f t="shared" si="117"/>
        <v>101</v>
      </c>
      <c r="C152" s="9">
        <v>90.484016738139871</v>
      </c>
      <c r="D152" s="9"/>
      <c r="E152" s="9">
        <f t="shared" si="79"/>
        <v>90.484016738139871</v>
      </c>
      <c r="F152" s="36">
        <f t="shared" si="118"/>
        <v>0</v>
      </c>
      <c r="G152" s="37">
        <f t="shared" si="124"/>
        <v>0</v>
      </c>
      <c r="H152" s="36" t="e">
        <f t="shared" si="64"/>
        <v>#DIV/0!</v>
      </c>
      <c r="I152" s="37" t="e">
        <f t="shared" si="80"/>
        <v>#DIV/0!</v>
      </c>
      <c r="J152" s="37" t="e">
        <f t="shared" si="81"/>
        <v>#DIV/0!</v>
      </c>
      <c r="K152" s="37" t="e">
        <f t="shared" si="82"/>
        <v>#DIV/0!</v>
      </c>
      <c r="L152" s="39" t="e">
        <f t="shared" si="65"/>
        <v>#DIV/0!</v>
      </c>
      <c r="M152" s="39" t="e">
        <f>M151+(1000*$C$2*(B152-B151))/(BerechnungenCLT!$W$47*2*'Berechnung freier Bereich'!G152)</f>
        <v>#DIV/0!</v>
      </c>
      <c r="N152" s="17" t="e">
        <f t="shared" si="83"/>
        <v>#DIV/0!</v>
      </c>
      <c r="O152" s="173">
        <f t="shared" si="84"/>
        <v>3284.4321126488339</v>
      </c>
      <c r="P152" s="173"/>
      <c r="Q152" s="173"/>
      <c r="R152" s="37" t="e">
        <f t="shared" si="66"/>
        <v>#DIV/0!</v>
      </c>
      <c r="S152" s="37" t="e">
        <f t="shared" si="67"/>
        <v>#DIV/0!</v>
      </c>
      <c r="T152" s="37" t="e">
        <f t="shared" si="68"/>
        <v>#DIV/0!</v>
      </c>
      <c r="U152" s="39" t="e">
        <f t="shared" si="69"/>
        <v>#DIV/0!</v>
      </c>
      <c r="V152" s="39" t="e">
        <f t="shared" si="85"/>
        <v>#DIV/0!</v>
      </c>
      <c r="W152" s="9" t="e">
        <f t="shared" si="86"/>
        <v>#DIV/0!</v>
      </c>
      <c r="AB152" s="129">
        <v>85.866136127467627</v>
      </c>
      <c r="AC152" s="9">
        <v>15.0625</v>
      </c>
      <c r="AD152" s="129">
        <f t="shared" si="87"/>
        <v>100.93241120707745</v>
      </c>
      <c r="AE152" s="36">
        <f t="shared" si="119"/>
        <v>1.503066450434064E-2</v>
      </c>
      <c r="AF152" s="37">
        <f t="shared" si="88"/>
        <v>38815243.199624918</v>
      </c>
      <c r="AG152" s="36">
        <f t="shared" si="70"/>
        <v>1.9742306778319556</v>
      </c>
      <c r="AH152" s="37">
        <f t="shared" si="89"/>
        <v>-2.0283424757138897E-4</v>
      </c>
      <c r="AI152" s="37">
        <f t="shared" si="90"/>
        <v>-2.0527075733113801E-2</v>
      </c>
      <c r="AJ152" s="37">
        <f t="shared" si="91"/>
        <v>-1.049140032974387</v>
      </c>
      <c r="AK152" s="39">
        <f t="shared" si="92"/>
        <v>2.0472549682753582E-2</v>
      </c>
      <c r="AL152" s="39">
        <f>AL151+(1000*$C$2*($B152-$B151))/(BerechnungenCLT!$W$47*2*AF152)</f>
        <v>5.8760141423051526E-3</v>
      </c>
      <c r="AM152" s="37">
        <f t="shared" si="71"/>
        <v>2.6003292234441749E-6</v>
      </c>
      <c r="AN152" s="173">
        <f t="shared" si="93"/>
        <v>3082.5990108382589</v>
      </c>
      <c r="AO152" s="173">
        <v>-258.38905644798132</v>
      </c>
      <c r="AV152" s="129">
        <v>107.41564830719075</v>
      </c>
      <c r="AW152" s="9">
        <v>10.5</v>
      </c>
      <c r="AX152" s="129">
        <f t="shared" si="94"/>
        <v>118.51181872884176</v>
      </c>
      <c r="AY152" s="36">
        <f t="shared" si="120"/>
        <v>1.3388778156634621E-2</v>
      </c>
      <c r="AZ152" s="37">
        <f t="shared" si="95"/>
        <v>50371679.933971077</v>
      </c>
      <c r="BA152" s="36">
        <f t="shared" si="72"/>
        <v>1.9903861137468406</v>
      </c>
      <c r="BB152" s="37">
        <f t="shared" si="96"/>
        <v>-1.5629934635923737E-4</v>
      </c>
      <c r="BC152" s="37">
        <f t="shared" si="97"/>
        <v>-1.8983263767545642E-2</v>
      </c>
      <c r="BD152" s="37">
        <f t="shared" si="98"/>
        <v>-1.0182601532634732</v>
      </c>
      <c r="BE152" s="39">
        <f t="shared" si="99"/>
        <v>1.8523319803162391E-2</v>
      </c>
      <c r="BF152" s="39">
        <f>BF151+(1000*$C$2*($B152-$B151))/(BerechnungenCLT!$W$47*2*AZ152)</f>
        <v>5.4296932204214304E-3</v>
      </c>
      <c r="BG152" s="37">
        <f t="shared" si="73"/>
        <v>2.3527469976024446E-6</v>
      </c>
      <c r="BH152" s="173">
        <f t="shared" si="100"/>
        <v>2107.2980109370601</v>
      </c>
      <c r="BI152">
        <v>-257.26230973439095</v>
      </c>
      <c r="BP152" s="129">
        <v>86.052775856571202</v>
      </c>
      <c r="BQ152" s="9">
        <v>15.125</v>
      </c>
      <c r="BR152" s="129">
        <f t="shared" si="101"/>
        <v>101.17820290879919</v>
      </c>
      <c r="BS152" s="36">
        <f t="shared" si="121"/>
        <v>1.5124608684997289E-2</v>
      </c>
      <c r="BT152" s="37">
        <f t="shared" si="102"/>
        <v>39239705.095186599</v>
      </c>
      <c r="BU152" s="36">
        <f t="shared" si="74"/>
        <v>1.9741485717153298</v>
      </c>
      <c r="BV152" s="37">
        <f t="shared" si="103"/>
        <v>-2.0064015847209195E-4</v>
      </c>
      <c r="BW152" s="37">
        <f t="shared" si="104"/>
        <v>-2.0579747820044653E-2</v>
      </c>
      <c r="BX152" s="37">
        <f t="shared" si="105"/>
        <v>-1.0507319771557531</v>
      </c>
      <c r="BY152" s="39">
        <f t="shared" si="106"/>
        <v>2.0300410665542945E-2</v>
      </c>
      <c r="BZ152" s="39">
        <f>BZ151+(1000*$C$2*($B152-$B151))/(BerechnungenCLT!$W$47*2*BT152)</f>
        <v>5.8912418258522002E-3</v>
      </c>
      <c r="CA152" s="37">
        <f t="shared" si="75"/>
        <v>2.5784649161700857E-6</v>
      </c>
      <c r="CB152" s="173">
        <f t="shared" si="107"/>
        <v>3068.3762221010825</v>
      </c>
      <c r="CC152" s="9">
        <v>-257.47409157524669</v>
      </c>
      <c r="CJ152" s="9">
        <f t="shared" si="123"/>
        <v>101</v>
      </c>
      <c r="CK152" s="129">
        <v>85.43386298612441</v>
      </c>
      <c r="CL152" s="9">
        <v>10.09375</v>
      </c>
      <c r="CM152" s="129">
        <f t="shared" si="108"/>
        <v>95.52771199201878</v>
      </c>
      <c r="CN152" s="36">
        <f t="shared" si="122"/>
        <v>9.7553300040892181E-3</v>
      </c>
      <c r="CO152" s="173">
        <f t="shared" si="109"/>
        <v>3284.6665588534233</v>
      </c>
      <c r="CP152" s="9">
        <v>-630.96727059727016</v>
      </c>
      <c r="CQ152" s="129"/>
      <c r="CR152" s="36">
        <f t="shared" si="110"/>
        <v>0.83496390520813213</v>
      </c>
      <c r="CS152" s="17">
        <f t="shared" si="76"/>
        <v>0.60023970404584781</v>
      </c>
      <c r="CT152" s="9">
        <f t="shared" si="77"/>
        <v>10.089719089188089</v>
      </c>
      <c r="CU152" s="9">
        <f t="shared" si="111"/>
        <v>95.52368104166915</v>
      </c>
      <c r="CV152" s="9">
        <v>13.2</v>
      </c>
      <c r="CW152" s="9">
        <f t="shared" si="112"/>
        <v>98.633992460086588</v>
      </c>
      <c r="CX152">
        <f t="shared" si="113"/>
        <v>22</v>
      </c>
      <c r="CY152" s="9">
        <f t="shared" si="78"/>
        <v>625.96712018532708</v>
      </c>
      <c r="CZ152" s="17">
        <f t="shared" si="114"/>
        <v>0.58942290036283151</v>
      </c>
      <c r="DA152">
        <v>45</v>
      </c>
      <c r="DB152" s="9">
        <f t="shared" si="115"/>
        <v>10.101563886209442</v>
      </c>
      <c r="DC152" s="9">
        <f t="shared" si="116"/>
        <v>10.936527793954333</v>
      </c>
    </row>
    <row r="153" spans="2:107" x14ac:dyDescent="0.25">
      <c r="B153" s="9">
        <f t="shared" si="117"/>
        <v>102</v>
      </c>
      <c r="C153" s="9">
        <v>90.661460483983561</v>
      </c>
      <c r="D153" s="9"/>
      <c r="E153" s="9">
        <f t="shared" si="79"/>
        <v>90.661460483983561</v>
      </c>
      <c r="F153" s="36">
        <f t="shared" si="118"/>
        <v>0</v>
      </c>
      <c r="G153" s="37">
        <f t="shared" si="124"/>
        <v>0</v>
      </c>
      <c r="H153" s="36" t="e">
        <f t="shared" si="64"/>
        <v>#DIV/0!</v>
      </c>
      <c r="I153" s="37" t="e">
        <f t="shared" si="80"/>
        <v>#DIV/0!</v>
      </c>
      <c r="J153" s="37" t="e">
        <f t="shared" si="81"/>
        <v>#DIV/0!</v>
      </c>
      <c r="K153" s="37" t="e">
        <f t="shared" si="82"/>
        <v>#DIV/0!</v>
      </c>
      <c r="L153" s="39" t="e">
        <f t="shared" si="65"/>
        <v>#DIV/0!</v>
      </c>
      <c r="M153" s="39" t="e">
        <f>M152+(1000*$C$2*(B153-B152))/(BerechnungenCLT!$W$47*2*'Berechnung freier Bereich'!G153)</f>
        <v>#DIV/0!</v>
      </c>
      <c r="N153" s="17" t="e">
        <f t="shared" si="83"/>
        <v>#DIV/0!</v>
      </c>
      <c r="O153" s="173">
        <f t="shared" si="84"/>
        <v>3271.588030934186</v>
      </c>
      <c r="P153" s="173"/>
      <c r="Q153" s="173"/>
      <c r="R153" s="37" t="e">
        <f t="shared" si="66"/>
        <v>#DIV/0!</v>
      </c>
      <c r="S153" s="37" t="e">
        <f t="shared" si="67"/>
        <v>#DIV/0!</v>
      </c>
      <c r="T153" s="37" t="e">
        <f t="shared" si="68"/>
        <v>#DIV/0!</v>
      </c>
      <c r="U153" s="39" t="e">
        <f t="shared" si="69"/>
        <v>#DIV/0!</v>
      </c>
      <c r="V153" s="39" t="e">
        <f t="shared" si="85"/>
        <v>#DIV/0!</v>
      </c>
      <c r="W153" s="9" t="e">
        <f t="shared" si="86"/>
        <v>#DIV/0!</v>
      </c>
      <c r="AB153" s="129">
        <v>85.843745991288586</v>
      </c>
      <c r="AC153" s="9">
        <v>15.0625</v>
      </c>
      <c r="AD153" s="129">
        <f t="shared" si="87"/>
        <v>100.9097699915333</v>
      </c>
      <c r="AE153" s="36">
        <f t="shared" si="119"/>
        <v>1.5026790650525347E-2</v>
      </c>
      <c r="AF153" s="37">
        <f t="shared" si="88"/>
        <v>38786644.664258234</v>
      </c>
      <c r="AG153" s="36">
        <f t="shared" si="70"/>
        <v>1.9742192203566891</v>
      </c>
      <c r="AH153" s="37">
        <f t="shared" si="89"/>
        <v>-2.0298380323553465E-4</v>
      </c>
      <c r="AI153" s="37">
        <f t="shared" si="90"/>
        <v>-2.0730059536349335E-2</v>
      </c>
      <c r="AJ153" s="37">
        <f t="shared" si="91"/>
        <v>-1.0697686006091185</v>
      </c>
      <c r="AK153" s="39">
        <f t="shared" si="92"/>
        <v>2.0483048896504454E-2</v>
      </c>
      <c r="AL153" s="39">
        <f>AL152+(1000*$C$2*($B153-$B152))/(BerechnungenCLT!$W$47*2*AF153)</f>
        <v>5.9346974719053898E-3</v>
      </c>
      <c r="AM153" s="37">
        <f t="shared" si="71"/>
        <v>2.6016627853484143E-6</v>
      </c>
      <c r="AN153" s="173">
        <f t="shared" si="93"/>
        <v>3084.0857869818315</v>
      </c>
      <c r="AO153" s="173">
        <v>-258.36049936537142</v>
      </c>
      <c r="AV153" s="129">
        <v>107.75737923562662</v>
      </c>
      <c r="AW153" s="9">
        <v>10.4375</v>
      </c>
      <c r="AX153" s="129">
        <f t="shared" si="94"/>
        <v>118.75701966667691</v>
      </c>
      <c r="AY153" s="36">
        <f t="shared" si="120"/>
        <v>1.3306783679982071E-2</v>
      </c>
      <c r="AZ153" s="37">
        <f t="shared" si="95"/>
        <v>50320938.056111172</v>
      </c>
      <c r="BA153" s="36">
        <f t="shared" si="72"/>
        <v>1.9906007917032951</v>
      </c>
      <c r="BB153" s="37">
        <f t="shared" si="96"/>
        <v>-1.5645695316564667E-4</v>
      </c>
      <c r="BC153" s="37">
        <f t="shared" si="97"/>
        <v>-1.9139720720711288E-2</v>
      </c>
      <c r="BD153" s="37">
        <f t="shared" si="98"/>
        <v>-1.0373216455076018</v>
      </c>
      <c r="BE153" s="39">
        <f t="shared" si="99"/>
        <v>1.8580361464081048E-2</v>
      </c>
      <c r="BF153" s="39">
        <f>BF152+(1000*$C$2*($B153-$B152))/(BerechnungenCLT!$W$47*2*AZ153)</f>
        <v>5.4749254744462239E-3</v>
      </c>
      <c r="BG153" s="37">
        <f t="shared" si="73"/>
        <v>2.35999216736093E-6</v>
      </c>
      <c r="BH153" s="173">
        <f t="shared" si="100"/>
        <v>2096.3915260213121</v>
      </c>
      <c r="BI153">
        <v>-257.64013041811285</v>
      </c>
      <c r="BP153" s="129">
        <v>86.060290543078636</v>
      </c>
      <c r="BQ153" s="9">
        <v>15.125</v>
      </c>
      <c r="BR153" s="129">
        <f t="shared" si="101"/>
        <v>101.1857070813365</v>
      </c>
      <c r="BS153" s="36">
        <f t="shared" si="121"/>
        <v>1.5125811401423404E-2</v>
      </c>
      <c r="BT153" s="37">
        <f t="shared" si="102"/>
        <v>39249080.31151925</v>
      </c>
      <c r="BU153" s="36">
        <f t="shared" si="74"/>
        <v>1.9741527138990083</v>
      </c>
      <c r="BV153" s="37">
        <f t="shared" si="103"/>
        <v>-2.0059223263852428E-4</v>
      </c>
      <c r="BW153" s="37">
        <f t="shared" si="104"/>
        <v>-2.0780340052683179E-2</v>
      </c>
      <c r="BX153" s="37">
        <f t="shared" si="105"/>
        <v>-1.071412021092117</v>
      </c>
      <c r="BY153" s="39">
        <f t="shared" si="106"/>
        <v>2.0297066894553024E-2</v>
      </c>
      <c r="BZ153" s="39">
        <f>BZ152+(1000*$C$2*($B153-$B152))/(BerechnungenCLT!$W$47*2*BT153)</f>
        <v>5.9492337440030033E-3</v>
      </c>
      <c r="CA153" s="37">
        <f t="shared" si="75"/>
        <v>2.5780402057380035E-6</v>
      </c>
      <c r="CB153" s="173">
        <f t="shared" si="107"/>
        <v>3067.8840175957903</v>
      </c>
      <c r="CC153" s="9">
        <v>-257.43278962962592</v>
      </c>
      <c r="CJ153" s="9">
        <f t="shared" si="123"/>
        <v>102</v>
      </c>
      <c r="CK153" s="129">
        <v>85.429433836860014</v>
      </c>
      <c r="CL153" s="9">
        <v>10.09375</v>
      </c>
      <c r="CM153" s="129">
        <f t="shared" si="108"/>
        <v>95.523274287579738</v>
      </c>
      <c r="CN153" s="36">
        <f t="shared" si="122"/>
        <v>9.7548437392689855E-3</v>
      </c>
      <c r="CO153" s="173">
        <f t="shared" si="109"/>
        <v>3284.9884702711811</v>
      </c>
      <c r="CP153" s="9">
        <v>-631.02910809736272</v>
      </c>
      <c r="CQ153" s="129"/>
      <c r="CR153" s="36">
        <f t="shared" si="110"/>
        <v>0.83498631615407937</v>
      </c>
      <c r="CS153" s="17">
        <f t="shared" si="76"/>
        <v>0.60025581484953516</v>
      </c>
      <c r="CT153" s="9">
        <f t="shared" si="77"/>
        <v>10.089448282176336</v>
      </c>
      <c r="CU153" s="9">
        <f t="shared" si="111"/>
        <v>95.518972531208121</v>
      </c>
      <c r="CV153" s="9">
        <v>13.2</v>
      </c>
      <c r="CW153" s="9">
        <f t="shared" si="112"/>
        <v>98.629552122878636</v>
      </c>
      <c r="CX153">
        <f t="shared" si="113"/>
        <v>22</v>
      </c>
      <c r="CY153" s="9">
        <f t="shared" si="78"/>
        <v>625.99957389226836</v>
      </c>
      <c r="CZ153" s="17">
        <f t="shared" si="114"/>
        <v>0.58945345940891558</v>
      </c>
      <c r="DA153">
        <v>45</v>
      </c>
      <c r="DB153" s="9">
        <f t="shared" si="115"/>
        <v>10.102087608915381</v>
      </c>
      <c r="DC153" s="9">
        <f t="shared" si="116"/>
        <v>10.937073927388637</v>
      </c>
    </row>
    <row r="154" spans="2:107" x14ac:dyDescent="0.25">
      <c r="B154" s="9">
        <f t="shared" si="117"/>
        <v>103</v>
      </c>
      <c r="C154" s="9">
        <v>90.840012773796204</v>
      </c>
      <c r="D154" s="9"/>
      <c r="E154" s="9">
        <f t="shared" si="79"/>
        <v>90.840012773796204</v>
      </c>
      <c r="F154" s="36">
        <f t="shared" si="118"/>
        <v>0</v>
      </c>
      <c r="G154" s="37">
        <f t="shared" si="124"/>
        <v>0</v>
      </c>
      <c r="H154" s="36" t="e">
        <f t="shared" si="64"/>
        <v>#DIV/0!</v>
      </c>
      <c r="I154" s="37" t="e">
        <f t="shared" si="80"/>
        <v>#DIV/0!</v>
      </c>
      <c r="J154" s="37" t="e">
        <f t="shared" si="81"/>
        <v>#DIV/0!</v>
      </c>
      <c r="K154" s="37" t="e">
        <f t="shared" si="82"/>
        <v>#DIV/0!</v>
      </c>
      <c r="L154" s="39" t="e">
        <f t="shared" si="65"/>
        <v>#DIV/0!</v>
      </c>
      <c r="M154" s="39" t="e">
        <f>M153+(1000*$C$2*(B154-B153))/(BerechnungenCLT!$W$47*2*'Berechnung freier Bereich'!G154)</f>
        <v>#DIV/0!</v>
      </c>
      <c r="N154" s="17" t="e">
        <f t="shared" si="83"/>
        <v>#DIV/0!</v>
      </c>
      <c r="O154" s="173">
        <f t="shared" si="84"/>
        <v>3258.7396082315836</v>
      </c>
      <c r="P154" s="173"/>
      <c r="Q154" s="173"/>
      <c r="R154" s="37" t="e">
        <f t="shared" si="66"/>
        <v>#DIV/0!</v>
      </c>
      <c r="S154" s="37" t="e">
        <f t="shared" si="67"/>
        <v>#DIV/0!</v>
      </c>
      <c r="T154" s="37" t="e">
        <f t="shared" si="68"/>
        <v>#DIV/0!</v>
      </c>
      <c r="U154" s="39" t="e">
        <f t="shared" si="69"/>
        <v>#DIV/0!</v>
      </c>
      <c r="V154" s="39" t="e">
        <f t="shared" si="85"/>
        <v>#DIV/0!</v>
      </c>
      <c r="W154" s="9" t="e">
        <f t="shared" si="86"/>
        <v>#DIV/0!</v>
      </c>
      <c r="AB154" s="129">
        <v>85.822113335845245</v>
      </c>
      <c r="AC154" s="9">
        <v>15.0625</v>
      </c>
      <c r="AD154" s="129">
        <f t="shared" si="87"/>
        <v>100.88776640700415</v>
      </c>
      <c r="AE154" s="36">
        <f t="shared" si="119"/>
        <v>1.5022909661112433E-2</v>
      </c>
      <c r="AF154" s="37">
        <f t="shared" si="88"/>
        <v>38758613.26407662</v>
      </c>
      <c r="AG154" s="36">
        <f t="shared" si="70"/>
        <v>1.9742085429619827</v>
      </c>
      <c r="AH154" s="37">
        <f t="shared" si="89"/>
        <v>-2.0313060725507252E-4</v>
      </c>
      <c r="AI154" s="37">
        <f t="shared" si="90"/>
        <v>-2.0933190143604407E-2</v>
      </c>
      <c r="AJ154" s="37">
        <f t="shared" si="91"/>
        <v>-1.0906002254490954</v>
      </c>
      <c r="AK154" s="39">
        <f t="shared" si="92"/>
        <v>2.0493393254862661E-2</v>
      </c>
      <c r="AL154" s="39">
        <f>AL153+(1000*$C$2*($B154-$B153))/(BerechnungenCLT!$W$47*2*AF154)</f>
        <v>5.9934232430626762E-3</v>
      </c>
      <c r="AM154" s="37">
        <f t="shared" si="71"/>
        <v>2.6029766782319809E-6</v>
      </c>
      <c r="AN154" s="173">
        <f t="shared" si="93"/>
        <v>3085.5275278675513</v>
      </c>
      <c r="AO154" s="173">
        <v>-258.34272313782253</v>
      </c>
      <c r="AV154" s="129">
        <v>108.08996935971409</v>
      </c>
      <c r="AW154" s="9">
        <v>10.375</v>
      </c>
      <c r="AX154" s="129">
        <f t="shared" si="94"/>
        <v>118.99476909591169</v>
      </c>
      <c r="AY154" s="36">
        <f t="shared" si="120"/>
        <v>1.3225266622031698E-2</v>
      </c>
      <c r="AZ154" s="37">
        <f t="shared" si="95"/>
        <v>50262230.105559692</v>
      </c>
      <c r="BA154" s="36">
        <f t="shared" si="72"/>
        <v>1.9908078039920696</v>
      </c>
      <c r="BB154" s="37">
        <f t="shared" si="96"/>
        <v>-1.5663970007223226E-4</v>
      </c>
      <c r="BC154" s="37">
        <f t="shared" si="97"/>
        <v>-1.9296360420783521E-2</v>
      </c>
      <c r="BD154" s="37">
        <f t="shared" si="98"/>
        <v>-1.0565396860783491</v>
      </c>
      <c r="BE154" s="39">
        <f t="shared" si="99"/>
        <v>1.8639304941348141E-2</v>
      </c>
      <c r="BF154" s="39">
        <f>BF153+(1000*$C$2*($B154-$B153))/(BerechnungenCLT!$W$47*2*AZ154)</f>
        <v>5.5202105612428033E-3</v>
      </c>
      <c r="BG154" s="37">
        <f t="shared" si="73"/>
        <v>2.3674788970963155E-6</v>
      </c>
      <c r="BH154" s="173">
        <f t="shared" si="100"/>
        <v>2085.8742756930701</v>
      </c>
      <c r="BI154">
        <v>-258.04467973970765</v>
      </c>
      <c r="BP154" s="129">
        <v>86.067712146509962</v>
      </c>
      <c r="BQ154" s="9">
        <v>15.125</v>
      </c>
      <c r="BR154" s="129">
        <f t="shared" si="101"/>
        <v>101.19312245431163</v>
      </c>
      <c r="BS154" s="36">
        <f t="shared" si="121"/>
        <v>1.5127003707581289E-2</v>
      </c>
      <c r="BT154" s="37">
        <f t="shared" si="102"/>
        <v>39258354.383762047</v>
      </c>
      <c r="BU154" s="36">
        <f t="shared" si="74"/>
        <v>1.9741567908865176</v>
      </c>
      <c r="BV154" s="37">
        <f t="shared" si="103"/>
        <v>-2.0054484637167653E-4</v>
      </c>
      <c r="BW154" s="37">
        <f t="shared" si="104"/>
        <v>-2.0980884899054857E-2</v>
      </c>
      <c r="BX154" s="37">
        <f t="shared" si="105"/>
        <v>-1.0922926335679859</v>
      </c>
      <c r="BY154" s="39">
        <f t="shared" si="106"/>
        <v>2.0293759196470178E-2</v>
      </c>
      <c r="BZ154" s="39">
        <f>BZ153+(1000*$C$2*($B154-$B153))/(BerechnungenCLT!$W$47*2*BT154)</f>
        <v>6.0072119626178259E-3</v>
      </c>
      <c r="CA154" s="37">
        <f t="shared" si="75"/>
        <v>2.5776200771208817E-6</v>
      </c>
      <c r="CB154" s="173">
        <f t="shared" si="107"/>
        <v>3067.3978901079267</v>
      </c>
      <c r="CC154" s="9">
        <v>-257.39199761969377</v>
      </c>
      <c r="CJ154" s="9">
        <f t="shared" si="123"/>
        <v>103</v>
      </c>
      <c r="CK154" s="129">
        <v>85.425200374407794</v>
      </c>
      <c r="CL154" s="9">
        <v>10.09375</v>
      </c>
      <c r="CM154" s="129">
        <f t="shared" si="108"/>
        <v>95.519031377300863</v>
      </c>
      <c r="CN154" s="36">
        <f t="shared" si="122"/>
        <v>9.7543776627545559E-3</v>
      </c>
      <c r="CO154" s="173">
        <f t="shared" si="109"/>
        <v>3285.2962495092306</v>
      </c>
      <c r="CP154" s="9">
        <v>-631.08823087962958</v>
      </c>
      <c r="CQ154" s="129"/>
      <c r="CR154" s="36">
        <f t="shared" si="110"/>
        <v>0.83500774388994503</v>
      </c>
      <c r="CS154" s="17">
        <f t="shared" si="76"/>
        <v>0.60027121884215584</v>
      </c>
      <c r="CT154" s="9">
        <f t="shared" si="77"/>
        <v>10.089189369568157</v>
      </c>
      <c r="CU154" s="9">
        <f t="shared" si="111"/>
        <v>95.514470710269705</v>
      </c>
      <c r="CV154" s="9">
        <v>13.2</v>
      </c>
      <c r="CW154" s="9">
        <f t="shared" si="112"/>
        <v>98.625306305126159</v>
      </c>
      <c r="CX154">
        <f t="shared" si="113"/>
        <v>22</v>
      </c>
      <c r="CY154" s="9">
        <f t="shared" si="78"/>
        <v>626.03059688875601</v>
      </c>
      <c r="CZ154" s="17">
        <f t="shared" si="114"/>
        <v>0.58948267127001508</v>
      </c>
      <c r="DA154">
        <v>45</v>
      </c>
      <c r="DB154" s="9">
        <f t="shared" si="115"/>
        <v>10.102588243486842</v>
      </c>
      <c r="DC154" s="9">
        <f t="shared" si="116"/>
        <v>10.93759598945514</v>
      </c>
    </row>
    <row r="155" spans="2:107" x14ac:dyDescent="0.25">
      <c r="B155" s="9">
        <f t="shared" si="117"/>
        <v>104</v>
      </c>
      <c r="C155" s="9">
        <v>91.019562861245703</v>
      </c>
      <c r="D155" s="9"/>
      <c r="E155" s="9">
        <f t="shared" si="79"/>
        <v>91.019562861245703</v>
      </c>
      <c r="F155" s="36">
        <f t="shared" si="118"/>
        <v>0</v>
      </c>
      <c r="G155" s="37">
        <f t="shared" si="124"/>
        <v>0</v>
      </c>
      <c r="H155" s="36" t="e">
        <f t="shared" si="64"/>
        <v>#DIV/0!</v>
      </c>
      <c r="I155" s="37" t="e">
        <f t="shared" si="80"/>
        <v>#DIV/0!</v>
      </c>
      <c r="J155" s="37" t="e">
        <f t="shared" si="81"/>
        <v>#DIV/0!</v>
      </c>
      <c r="K155" s="37" t="e">
        <f t="shared" si="82"/>
        <v>#DIV/0!</v>
      </c>
      <c r="L155" s="39" t="e">
        <f t="shared" si="65"/>
        <v>#DIV/0!</v>
      </c>
      <c r="M155" s="39" t="e">
        <f>M154+(1000*$C$2*(B155-B154))/(BerechnungenCLT!$W$47*2*'Berechnung freier Bereich'!G155)</f>
        <v>#DIV/0!</v>
      </c>
      <c r="N155" s="17" t="e">
        <f t="shared" si="83"/>
        <v>#DIV/0!</v>
      </c>
      <c r="O155" s="173">
        <f t="shared" si="84"/>
        <v>3245.8955589634943</v>
      </c>
      <c r="P155" s="173"/>
      <c r="Q155" s="173"/>
      <c r="R155" s="37" t="e">
        <f t="shared" si="66"/>
        <v>#DIV/0!</v>
      </c>
      <c r="S155" s="37" t="e">
        <f t="shared" si="67"/>
        <v>#DIV/0!</v>
      </c>
      <c r="T155" s="37" t="e">
        <f t="shared" si="68"/>
        <v>#DIV/0!</v>
      </c>
      <c r="U155" s="39" t="e">
        <f t="shared" si="69"/>
        <v>#DIV/0!</v>
      </c>
      <c r="V155" s="39" t="e">
        <f t="shared" si="85"/>
        <v>#DIV/0!</v>
      </c>
      <c r="W155" s="9" t="e">
        <f t="shared" si="86"/>
        <v>#DIV/0!</v>
      </c>
      <c r="AB155" s="129">
        <v>85.801650958899955</v>
      </c>
      <c r="AC155" s="9">
        <v>15.0625</v>
      </c>
      <c r="AD155" s="129">
        <f t="shared" si="87"/>
        <v>100.8668350680808</v>
      </c>
      <c r="AE155" s="36">
        <f t="shared" si="119"/>
        <v>1.5019111543343984E-2</v>
      </c>
      <c r="AF155" s="37">
        <f t="shared" si="88"/>
        <v>38731730.394169629</v>
      </c>
      <c r="AG155" s="36">
        <f t="shared" si="70"/>
        <v>1.9741988048910002</v>
      </c>
      <c r="AH155" s="37">
        <f t="shared" si="89"/>
        <v>-2.0327159588721968E-4</v>
      </c>
      <c r="AI155" s="37">
        <f t="shared" si="90"/>
        <v>-2.1136461739491626E-2</v>
      </c>
      <c r="AJ155" s="37">
        <f t="shared" si="91"/>
        <v>-1.1116350513906434</v>
      </c>
      <c r="AK155" s="39">
        <f t="shared" si="92"/>
        <v>2.0503362536381759E-2</v>
      </c>
      <c r="AL155" s="39">
        <f>AL154+(1000*$C$2*($B155-$B154))/(BerechnungenCLT!$W$47*2*AF155)</f>
        <v>6.0521897745281165E-3</v>
      </c>
      <c r="AM155" s="37">
        <f t="shared" si="71"/>
        <v>2.6042429305782966E-6</v>
      </c>
      <c r="AN155" s="173">
        <f t="shared" si="93"/>
        <v>3086.8961103596557</v>
      </c>
      <c r="AO155" s="173">
        <v>-258.33320879210885</v>
      </c>
      <c r="AV155" s="129">
        <v>108.41360141530969</v>
      </c>
      <c r="AW155" s="9">
        <v>10.3125</v>
      </c>
      <c r="AX155" s="129">
        <f t="shared" si="94"/>
        <v>119.22518803350773</v>
      </c>
      <c r="AY155" s="36">
        <f t="shared" si="120"/>
        <v>1.3144210136857643E-2</v>
      </c>
      <c r="AZ155" s="37">
        <f t="shared" si="95"/>
        <v>50195717.46173647</v>
      </c>
      <c r="BA155" s="36">
        <f t="shared" si="72"/>
        <v>1.9910075345661433</v>
      </c>
      <c r="BB155" s="37">
        <f t="shared" si="96"/>
        <v>-1.5684725802949073E-4</v>
      </c>
      <c r="BC155" s="37">
        <f t="shared" si="97"/>
        <v>-1.9453207678813013E-2</v>
      </c>
      <c r="BD155" s="37">
        <f t="shared" si="98"/>
        <v>-1.0759144701281473</v>
      </c>
      <c r="BE155" s="39">
        <f t="shared" si="99"/>
        <v>1.8700143831106138E-2</v>
      </c>
      <c r="BF155" s="39">
        <f>BF154+(1000*$C$2*($B155-$B154))/(BerechnungenCLT!$W$47*2*AZ155)</f>
        <v>5.5655556537729575E-3</v>
      </c>
      <c r="BG155" s="37">
        <f t="shared" si="73"/>
        <v>2.3752063734200338E-6</v>
      </c>
      <c r="BH155" s="173">
        <f t="shared" si="100"/>
        <v>2075.7329960906322</v>
      </c>
      <c r="BI155">
        <v>-258.47609079697611</v>
      </c>
      <c r="BP155" s="129">
        <v>86.075078034982994</v>
      </c>
      <c r="BQ155" s="9">
        <v>15.125</v>
      </c>
      <c r="BR155" s="129">
        <f t="shared" si="101"/>
        <v>101.20048630138118</v>
      </c>
      <c r="BS155" s="36">
        <f t="shared" si="121"/>
        <v>1.5128191539619805E-2</v>
      </c>
      <c r="BT155" s="37">
        <f t="shared" si="102"/>
        <v>39267573.767005548</v>
      </c>
      <c r="BU155" s="36">
        <f t="shared" si="74"/>
        <v>1.9741608234369192</v>
      </c>
      <c r="BV155" s="37">
        <f t="shared" si="103"/>
        <v>-2.0049776172603021E-4</v>
      </c>
      <c r="BW155" s="37">
        <f t="shared" si="104"/>
        <v>-2.1181382660780887E-2</v>
      </c>
      <c r="BX155" s="37">
        <f t="shared" si="105"/>
        <v>-1.1133737673479038</v>
      </c>
      <c r="BY155" s="39">
        <f t="shared" si="106"/>
        <v>2.0290470989012706E-2</v>
      </c>
      <c r="BZ155" s="39">
        <f>BZ154+(1000*$C$2*($B155-$B154))/(BerechnungenCLT!$W$47*2*BT155)</f>
        <v>6.0651765688964146E-3</v>
      </c>
      <c r="CA155" s="37">
        <f t="shared" si="75"/>
        <v>2.5772024241134694E-6</v>
      </c>
      <c r="CB155" s="173">
        <f t="shared" si="107"/>
        <v>3066.9153906100041</v>
      </c>
      <c r="CC155" s="9">
        <v>-257.3515100422519</v>
      </c>
      <c r="CJ155" s="9">
        <f t="shared" si="123"/>
        <v>104</v>
      </c>
      <c r="CK155" s="129">
        <v>85.42119410766125</v>
      </c>
      <c r="CL155" s="9">
        <v>10.09375</v>
      </c>
      <c r="CM155" s="129">
        <f t="shared" si="108"/>
        <v>95.515014986845543</v>
      </c>
      <c r="CN155" s="36">
        <f t="shared" si="122"/>
        <v>9.753935392936286E-3</v>
      </c>
      <c r="CO155" s="173">
        <f t="shared" si="109"/>
        <v>3285.5875940673454</v>
      </c>
      <c r="CP155" s="9">
        <v>-631.14419664581726</v>
      </c>
      <c r="CQ155" s="129"/>
      <c r="CR155" s="36">
        <f t="shared" si="110"/>
        <v>0.83502802811713583</v>
      </c>
      <c r="CS155" s="17">
        <f t="shared" si="76"/>
        <v>0.60028580078809357</v>
      </c>
      <c r="CT155" s="9">
        <f t="shared" si="77"/>
        <v>10.088944286286578</v>
      </c>
      <c r="CU155" s="9">
        <f t="shared" si="111"/>
        <v>95.510209239385986</v>
      </c>
      <c r="CV155" s="9">
        <v>13.2</v>
      </c>
      <c r="CW155" s="9">
        <f t="shared" si="112"/>
        <v>98.621286799201329</v>
      </c>
      <c r="CX155">
        <f t="shared" si="113"/>
        <v>22</v>
      </c>
      <c r="CY155" s="9">
        <f t="shared" si="78"/>
        <v>626.05995781713966</v>
      </c>
      <c r="CZ155" s="17">
        <f t="shared" si="114"/>
        <v>0.58951031809523502</v>
      </c>
      <c r="DA155">
        <v>45</v>
      </c>
      <c r="DB155" s="9">
        <f t="shared" si="115"/>
        <v>10.103062056382537</v>
      </c>
      <c r="DC155" s="9">
        <f t="shared" si="116"/>
        <v>10.938090086319491</v>
      </c>
    </row>
    <row r="156" spans="2:107" x14ac:dyDescent="0.25">
      <c r="B156" s="9">
        <f t="shared" si="117"/>
        <v>105</v>
      </c>
      <c r="C156" s="9">
        <v>91.2</v>
      </c>
      <c r="D156" s="9"/>
      <c r="E156" s="9">
        <f t="shared" si="79"/>
        <v>91.2</v>
      </c>
      <c r="F156" s="36">
        <f t="shared" si="118"/>
        <v>0</v>
      </c>
      <c r="G156" s="37">
        <f t="shared" si="124"/>
        <v>0</v>
      </c>
      <c r="H156" s="36" t="e">
        <f t="shared" si="64"/>
        <v>#DIV/0!</v>
      </c>
      <c r="I156" s="37" t="e">
        <f t="shared" si="80"/>
        <v>#DIV/0!</v>
      </c>
      <c r="J156" s="37" t="e">
        <f t="shared" si="81"/>
        <v>#DIV/0!</v>
      </c>
      <c r="K156" s="37" t="e">
        <f t="shared" si="82"/>
        <v>#DIV/0!</v>
      </c>
      <c r="L156" s="39" t="e">
        <f t="shared" si="65"/>
        <v>#DIV/0!</v>
      </c>
      <c r="M156" s="39" t="e">
        <f>M155+(1000*$C$2*(B156-B155))/(BerechnungenCLT!$W$47*2*'Berechnung freier Bereich'!G156)</f>
        <v>#DIV/0!</v>
      </c>
      <c r="N156" s="17" t="e">
        <f t="shared" si="83"/>
        <v>#DIV/0!</v>
      </c>
      <c r="O156" s="173">
        <f t="shared" si="84"/>
        <v>3233.0644026054451</v>
      </c>
      <c r="P156" s="173"/>
      <c r="Q156" s="173"/>
      <c r="R156" s="37" t="e">
        <f t="shared" si="66"/>
        <v>#DIV/0!</v>
      </c>
      <c r="S156" s="37" t="e">
        <f t="shared" si="67"/>
        <v>#DIV/0!</v>
      </c>
      <c r="T156" s="37" t="e">
        <f t="shared" si="68"/>
        <v>#DIV/0!</v>
      </c>
      <c r="U156" s="39" t="e">
        <f t="shared" si="69"/>
        <v>#DIV/0!</v>
      </c>
      <c r="V156" s="39" t="e">
        <f t="shared" si="85"/>
        <v>#DIV/0!</v>
      </c>
      <c r="W156" s="9" t="e">
        <f t="shared" si="86"/>
        <v>#DIV/0!</v>
      </c>
      <c r="AB156" s="129">
        <v>85.782771658215054</v>
      </c>
      <c r="AC156" s="9">
        <v>15.0625</v>
      </c>
      <c r="AD156" s="129">
        <f t="shared" si="87"/>
        <v>100.84741828878606</v>
      </c>
      <c r="AE156" s="36">
        <f t="shared" si="119"/>
        <v>1.5015494563972638E-2</v>
      </c>
      <c r="AF156" s="37">
        <f t="shared" si="88"/>
        <v>38706601.143214419</v>
      </c>
      <c r="AG156" s="36">
        <f t="shared" si="70"/>
        <v>1.9741901417015437</v>
      </c>
      <c r="AH156" s="37">
        <f t="shared" si="89"/>
        <v>-2.0340356466758911E-4</v>
      </c>
      <c r="AI156" s="37">
        <f t="shared" si="90"/>
        <v>-2.1339865304159215E-2</v>
      </c>
      <c r="AJ156" s="37">
        <f t="shared" si="91"/>
        <v>-1.132873214912469</v>
      </c>
      <c r="AK156" s="39">
        <f t="shared" si="92"/>
        <v>2.0512724367462504E-2</v>
      </c>
      <c r="AL156" s="39">
        <f>AL155+(1000*$C$2*($B156-$B155))/(BerechnungenCLT!$W$47*2*AF156)</f>
        <v>6.1109944586309195E-3</v>
      </c>
      <c r="AM156" s="37">
        <f t="shared" si="71"/>
        <v>2.6054320273601553E-6</v>
      </c>
      <c r="AN156" s="173">
        <f t="shared" si="93"/>
        <v>3088.1630881105834</v>
      </c>
      <c r="AO156" s="173">
        <v>-258.32941159208769</v>
      </c>
      <c r="AV156" s="129">
        <v>108.72845813826993</v>
      </c>
      <c r="AW156" s="9">
        <v>10.25</v>
      </c>
      <c r="AX156" s="129">
        <f t="shared" si="94"/>
        <v>119.44839854998312</v>
      </c>
      <c r="AY156" s="36">
        <f t="shared" si="120"/>
        <v>1.3063596521630468E-2</v>
      </c>
      <c r="AZ156" s="37">
        <f t="shared" si="95"/>
        <v>50121557.08842732</v>
      </c>
      <c r="BA156" s="36">
        <f t="shared" si="72"/>
        <v>1.9912003472524107</v>
      </c>
      <c r="BB156" s="37">
        <f t="shared" si="96"/>
        <v>-1.5707933085171892E-4</v>
      </c>
      <c r="BC156" s="37">
        <f t="shared" si="97"/>
        <v>-1.9610287009664731E-2</v>
      </c>
      <c r="BD156" s="37">
        <f t="shared" si="98"/>
        <v>-1.0954462174723862</v>
      </c>
      <c r="BE156" s="39">
        <f t="shared" si="99"/>
        <v>1.8762874515540783E-2</v>
      </c>
      <c r="BF156" s="39">
        <f>BF155+(1000*$C$2*($B156-$B155))/(BerechnungenCLT!$W$47*2*AZ156)</f>
        <v>5.6109678393701495E-3</v>
      </c>
      <c r="BG156" s="37">
        <f t="shared" si="73"/>
        <v>2.3831741368139348E-6</v>
      </c>
      <c r="BH156" s="173">
        <f t="shared" si="100"/>
        <v>2065.9549049300463</v>
      </c>
      <c r="BI156">
        <v>-258.9345092666664</v>
      </c>
      <c r="BP156" s="129">
        <v>86.082425576615464</v>
      </c>
      <c r="BQ156" s="9">
        <v>15.125</v>
      </c>
      <c r="BR156" s="129">
        <f t="shared" si="101"/>
        <v>101.20783595955689</v>
      </c>
      <c r="BS156" s="36">
        <f t="shared" si="121"/>
        <v>1.5129380902126685E-2</v>
      </c>
      <c r="BT156" s="37">
        <f t="shared" si="102"/>
        <v>39276785.152001627</v>
      </c>
      <c r="BU156" s="36">
        <f t="shared" si="74"/>
        <v>1.9741648320926366</v>
      </c>
      <c r="BV156" s="37">
        <f t="shared" si="103"/>
        <v>-2.0045074000398845E-4</v>
      </c>
      <c r="BW156" s="37">
        <f t="shared" si="104"/>
        <v>-2.1381833400784877E-2</v>
      </c>
      <c r="BX156" s="37">
        <f t="shared" si="105"/>
        <v>-1.1346553753786868</v>
      </c>
      <c r="BY156" s="39">
        <f t="shared" si="106"/>
        <v>2.028718561229545E-2</v>
      </c>
      <c r="BZ156" s="39">
        <f>BZ155+(1000*$C$2*($B156-$B155))/(BerechnungenCLT!$W$47*2*BT156)</f>
        <v>6.1231275810302048E-3</v>
      </c>
      <c r="CA156" s="37">
        <f t="shared" si="75"/>
        <v>2.5767851306536762E-6</v>
      </c>
      <c r="CB156" s="173">
        <f t="shared" si="107"/>
        <v>3066.4340703391426</v>
      </c>
      <c r="CC156" s="9">
        <v>-257.31112141630564</v>
      </c>
      <c r="CJ156" s="9">
        <f t="shared" si="123"/>
        <v>105</v>
      </c>
      <c r="CK156" s="129">
        <v>85.41744654551384</v>
      </c>
      <c r="CL156" s="9">
        <v>10.09375</v>
      </c>
      <c r="CM156" s="129">
        <f t="shared" si="108"/>
        <v>95.511256871941214</v>
      </c>
      <c r="CN156" s="36">
        <f t="shared" si="122"/>
        <v>9.7535205788147426E-3</v>
      </c>
      <c r="CO156" s="173">
        <f t="shared" si="109"/>
        <v>3285.860199468832</v>
      </c>
      <c r="CP156" s="9">
        <v>-631.19656271800272</v>
      </c>
      <c r="CQ156" s="129"/>
      <c r="CR156" s="36">
        <f t="shared" si="110"/>
        <v>0.83504700837475299</v>
      </c>
      <c r="CS156" s="17">
        <f t="shared" si="76"/>
        <v>0.60029944533505408</v>
      </c>
      <c r="CT156" s="9">
        <f t="shared" si="77"/>
        <v>10.088714968943098</v>
      </c>
      <c r="CU156" s="9">
        <f t="shared" si="111"/>
        <v>95.506221810791885</v>
      </c>
      <c r="CV156" s="9">
        <v>13.2</v>
      </c>
      <c r="CW156" s="9">
        <f t="shared" si="112"/>
        <v>98.617525436792249</v>
      </c>
      <c r="CX156">
        <f t="shared" si="113"/>
        <v>22</v>
      </c>
      <c r="CY156" s="9">
        <f t="shared" si="78"/>
        <v>626.08742525727985</v>
      </c>
      <c r="CZ156" s="17">
        <f t="shared" si="114"/>
        <v>0.58953618197483981</v>
      </c>
      <c r="DA156">
        <v>45</v>
      </c>
      <c r="DB156" s="9">
        <f t="shared" si="115"/>
        <v>10.10350531305277</v>
      </c>
      <c r="DC156" s="9">
        <f t="shared" si="116"/>
        <v>10.938552322977394</v>
      </c>
    </row>
    <row r="157" spans="2:107" x14ac:dyDescent="0.25">
      <c r="B157" s="9">
        <f t="shared" si="117"/>
        <v>106</v>
      </c>
      <c r="C157" s="9">
        <v>91.381230540927888</v>
      </c>
      <c r="D157" s="9"/>
      <c r="E157" s="9">
        <f t="shared" si="79"/>
        <v>91.381230540927888</v>
      </c>
      <c r="F157" s="36">
        <f t="shared" si="118"/>
        <v>0</v>
      </c>
      <c r="G157" s="37">
        <f t="shared" si="124"/>
        <v>0</v>
      </c>
      <c r="H157" s="36" t="e">
        <f t="shared" si="64"/>
        <v>#DIV/0!</v>
      </c>
      <c r="I157" s="37" t="e">
        <f t="shared" si="80"/>
        <v>#DIV/0!</v>
      </c>
      <c r="J157" s="37" t="e">
        <f t="shared" si="81"/>
        <v>#DIV/0!</v>
      </c>
      <c r="K157" s="37" t="e">
        <f t="shared" si="82"/>
        <v>#DIV/0!</v>
      </c>
      <c r="L157" s="39" t="e">
        <f t="shared" si="65"/>
        <v>#DIV/0!</v>
      </c>
      <c r="M157" s="39" t="e">
        <f>M156+(1000*$C$2*(B157-B156))/(BerechnungenCLT!$W$47*2*'Berechnung freier Bereich'!G157)</f>
        <v>#DIV/0!</v>
      </c>
      <c r="N157" s="17" t="e">
        <f t="shared" si="83"/>
        <v>#DIV/0!</v>
      </c>
      <c r="O157" s="173">
        <f t="shared" si="84"/>
        <v>3220.2532599157394</v>
      </c>
      <c r="P157" s="173"/>
      <c r="Q157" s="173"/>
      <c r="R157" s="37" t="e">
        <f t="shared" si="66"/>
        <v>#DIV/0!</v>
      </c>
      <c r="S157" s="37" t="e">
        <f t="shared" si="67"/>
        <v>#DIV/0!</v>
      </c>
      <c r="T157" s="37" t="e">
        <f t="shared" si="68"/>
        <v>#DIV/0!</v>
      </c>
      <c r="U157" s="39" t="e">
        <f t="shared" si="69"/>
        <v>#DIV/0!</v>
      </c>
      <c r="V157" s="39" t="e">
        <f t="shared" si="85"/>
        <v>#DIV/0!</v>
      </c>
      <c r="W157" s="9" t="e">
        <f t="shared" si="86"/>
        <v>#DIV/0!</v>
      </c>
      <c r="AB157" s="129">
        <v>85.765888231552921</v>
      </c>
      <c r="AC157" s="9">
        <v>15.0625</v>
      </c>
      <c r="AD157" s="129">
        <f t="shared" si="87"/>
        <v>100.82996608532952</v>
      </c>
      <c r="AE157" s="36">
        <f t="shared" si="119"/>
        <v>1.5012165244209247E-2</v>
      </c>
      <c r="AF157" s="37">
        <f t="shared" si="88"/>
        <v>38683854.381782122</v>
      </c>
      <c r="AG157" s="36">
        <f t="shared" si="70"/>
        <v>1.9741826651209673</v>
      </c>
      <c r="AH157" s="37">
        <f t="shared" si="89"/>
        <v>-2.0352316940796245E-4</v>
      </c>
      <c r="AI157" s="37">
        <f t="shared" si="90"/>
        <v>-2.1543388473567179E-2</v>
      </c>
      <c r="AJ157" s="37">
        <f t="shared" si="91"/>
        <v>-1.154314841801332</v>
      </c>
      <c r="AK157" s="39">
        <f t="shared" si="92"/>
        <v>2.0521234268983626E-2</v>
      </c>
      <c r="AL157" s="39">
        <f>AL156+(1000*$C$2*($B157-$B156))/(BerechnungenCLT!$W$47*2*AF157)</f>
        <v>6.169833720883749E-3</v>
      </c>
      <c r="AM157" s="37">
        <f t="shared" si="71"/>
        <v>2.6065129159625482E-6</v>
      </c>
      <c r="AN157" s="173">
        <f t="shared" si="93"/>
        <v>3089.2997026578287</v>
      </c>
      <c r="AO157" s="173">
        <v>-258.32876001427292</v>
      </c>
      <c r="AV157" s="129">
        <v>109.03472226445135</v>
      </c>
      <c r="AW157" s="9">
        <v>10.25</v>
      </c>
      <c r="AX157" s="129">
        <f t="shared" si="94"/>
        <v>119.72973731692682</v>
      </c>
      <c r="AY157" s="36">
        <f t="shared" si="120"/>
        <v>1.3066785093123621E-2</v>
      </c>
      <c r="AZ157" s="37">
        <f t="shared" si="95"/>
        <v>50391250.90848697</v>
      </c>
      <c r="BA157" s="36">
        <f t="shared" si="72"/>
        <v>1.9912858776052835</v>
      </c>
      <c r="BB157" s="37">
        <f t="shared" si="96"/>
        <v>-1.5623864275555026E-4</v>
      </c>
      <c r="BC157" s="37">
        <f t="shared" si="97"/>
        <v>-1.9766525652420281E-2</v>
      </c>
      <c r="BD157" s="37">
        <f t="shared" si="98"/>
        <v>-1.1151346238034288</v>
      </c>
      <c r="BE157" s="39">
        <f t="shared" si="99"/>
        <v>1.8706411655875204E-2</v>
      </c>
      <c r="BF157" s="39">
        <f>BF156+(1000*$C$2*($B157-$B156))/(BerechnungenCLT!$W$47*2*AZ157)</f>
        <v>5.6561369790895325E-3</v>
      </c>
      <c r="BG157" s="37">
        <f t="shared" si="73"/>
        <v>2.3760024837319877E-6</v>
      </c>
      <c r="BH157" s="173">
        <f t="shared" si="100"/>
        <v>2055.3553389381832</v>
      </c>
      <c r="BI157">
        <v>-257.69127698969635</v>
      </c>
      <c r="BP157" s="129">
        <v>86.089792139525201</v>
      </c>
      <c r="BQ157" s="9">
        <v>15.125</v>
      </c>
      <c r="BR157" s="129">
        <f t="shared" si="101"/>
        <v>101.21520882920606</v>
      </c>
      <c r="BS157" s="36">
        <f t="shared" si="121"/>
        <v>1.5130577868170497E-2</v>
      </c>
      <c r="BT157" s="37">
        <f t="shared" si="102"/>
        <v>39286035.465178244</v>
      </c>
      <c r="BU157" s="36">
        <f t="shared" si="74"/>
        <v>1.9741688371799617</v>
      </c>
      <c r="BV157" s="37">
        <f t="shared" si="103"/>
        <v>-2.0040354175403615E-4</v>
      </c>
      <c r="BW157" s="37">
        <f t="shared" si="104"/>
        <v>-2.1582236942538913E-2</v>
      </c>
      <c r="BX157" s="37">
        <f t="shared" si="105"/>
        <v>-1.1561374105503486</v>
      </c>
      <c r="BY157" s="39">
        <f t="shared" si="106"/>
        <v>2.0283886328747284E-2</v>
      </c>
      <c r="BZ157" s="39">
        <f>BZ156+(1000*$C$2*($B157-$B156))/(BerechnungenCLT!$W$47*2*BT157)</f>
        <v>6.1810649479843585E-3</v>
      </c>
      <c r="CA157" s="37">
        <f t="shared" si="75"/>
        <v>2.5763660708120996E-6</v>
      </c>
      <c r="CB157" s="173">
        <f t="shared" si="107"/>
        <v>3065.9514807702758</v>
      </c>
      <c r="CC157" s="9">
        <v>-257.27062628081586</v>
      </c>
      <c r="CJ157" s="9">
        <f t="shared" si="123"/>
        <v>106</v>
      </c>
      <c r="CK157" s="129">
        <v>85.413989196859077</v>
      </c>
      <c r="CL157" s="9">
        <v>10.09375</v>
      </c>
      <c r="CM157" s="129">
        <f t="shared" si="108"/>
        <v>95.507788818379723</v>
      </c>
      <c r="CN157" s="36">
        <f t="shared" si="122"/>
        <v>9.7531368999989702E-3</v>
      </c>
      <c r="CO157" s="173">
        <f t="shared" si="109"/>
        <v>3286.1117594445018</v>
      </c>
      <c r="CP157" s="9">
        <v>-631.24488607393425</v>
      </c>
      <c r="CQ157" s="129"/>
      <c r="CR157" s="36">
        <f t="shared" si="110"/>
        <v>0.83506452404176468</v>
      </c>
      <c r="CS157" s="17">
        <f t="shared" si="76"/>
        <v>0.60031203701562574</v>
      </c>
      <c r="CT157" s="9">
        <f t="shared" si="77"/>
        <v>10.088503355867839</v>
      </c>
      <c r="CU157" s="9">
        <f t="shared" si="111"/>
        <v>95.502542148454722</v>
      </c>
      <c r="CV157" s="9">
        <v>13.2</v>
      </c>
      <c r="CW157" s="9">
        <f t="shared" si="112"/>
        <v>98.614054088903401</v>
      </c>
      <c r="CX157">
        <f t="shared" si="113"/>
        <v>22</v>
      </c>
      <c r="CY157" s="9">
        <f t="shared" si="78"/>
        <v>626.1127677396745</v>
      </c>
      <c r="CZ157" s="17">
        <f t="shared" si="114"/>
        <v>0.58956004495261249</v>
      </c>
      <c r="DA157">
        <v>45</v>
      </c>
      <c r="DB157" s="9">
        <f t="shared" si="115"/>
        <v>10.103914278151239</v>
      </c>
      <c r="DC157" s="9">
        <f t="shared" si="116"/>
        <v>10.938978803468629</v>
      </c>
    </row>
    <row r="158" spans="2:107" x14ac:dyDescent="0.25">
      <c r="B158" s="9">
        <f t="shared" si="117"/>
        <v>107</v>
      </c>
      <c r="C158" s="9">
        <v>91.563229223701697</v>
      </c>
      <c r="D158" s="9"/>
      <c r="E158" s="9">
        <f t="shared" si="79"/>
        <v>91.563229223701697</v>
      </c>
      <c r="F158" s="36">
        <f t="shared" si="118"/>
        <v>0</v>
      </c>
      <c r="G158" s="37">
        <f t="shared" si="124"/>
        <v>0</v>
      </c>
      <c r="H158" s="36" t="e">
        <f t="shared" si="64"/>
        <v>#DIV/0!</v>
      </c>
      <c r="I158" s="37" t="e">
        <f t="shared" si="80"/>
        <v>#DIV/0!</v>
      </c>
      <c r="J158" s="37" t="e">
        <f t="shared" si="81"/>
        <v>#DIV/0!</v>
      </c>
      <c r="K158" s="37" t="e">
        <f t="shared" si="82"/>
        <v>#DIV/0!</v>
      </c>
      <c r="L158" s="39" t="e">
        <f t="shared" si="65"/>
        <v>#DIV/0!</v>
      </c>
      <c r="M158" s="39" t="e">
        <f>M157+(1000*$C$2*(B158-B157))/(BerechnungenCLT!$W$47*2*'Berechnung freier Bereich'!G158)</f>
        <v>#DIV/0!</v>
      </c>
      <c r="N158" s="17" t="e">
        <f t="shared" si="83"/>
        <v>#DIV/0!</v>
      </c>
      <c r="O158" s="173">
        <f t="shared" si="84"/>
        <v>3207.4642968358494</v>
      </c>
      <c r="P158" s="173"/>
      <c r="Q158" s="173"/>
      <c r="R158" s="37" t="e">
        <f t="shared" si="66"/>
        <v>#DIV/0!</v>
      </c>
      <c r="S158" s="37" t="e">
        <f t="shared" si="67"/>
        <v>#DIV/0!</v>
      </c>
      <c r="T158" s="37" t="e">
        <f t="shared" si="68"/>
        <v>#DIV/0!</v>
      </c>
      <c r="U158" s="39" t="e">
        <f t="shared" si="69"/>
        <v>#DIV/0!</v>
      </c>
      <c r="V158" s="39" t="e">
        <f t="shared" si="85"/>
        <v>#DIV/0!</v>
      </c>
      <c r="W158" s="9" t="e">
        <f t="shared" si="86"/>
        <v>#DIV/0!</v>
      </c>
      <c r="AB158" s="129">
        <v>85.75141347667585</v>
      </c>
      <c r="AC158" s="9">
        <v>15.0625</v>
      </c>
      <c r="AD158" s="129">
        <f t="shared" si="87"/>
        <v>100.81493617861943</v>
      </c>
      <c r="AE158" s="36">
        <f t="shared" si="119"/>
        <v>1.500923835934089E-2</v>
      </c>
      <c r="AF158" s="37">
        <f t="shared" si="88"/>
        <v>38664142.939085938</v>
      </c>
      <c r="AG158" s="36">
        <f t="shared" si="70"/>
        <v>1.9741764628999126</v>
      </c>
      <c r="AH158" s="37">
        <f t="shared" si="89"/>
        <v>-2.0362692795493066E-4</v>
      </c>
      <c r="AI158" s="37">
        <f t="shared" si="90"/>
        <v>-2.1747015401522109E-2</v>
      </c>
      <c r="AJ158" s="37">
        <f t="shared" si="91"/>
        <v>-1.1759600437388766</v>
      </c>
      <c r="AK158" s="39">
        <f t="shared" si="92"/>
        <v>2.0528635746024673E-2</v>
      </c>
      <c r="AL158" s="39">
        <f>AL157+(1000*$C$2*($B158-$B157))/(BerechnungenCLT!$W$47*2*AF158)</f>
        <v>6.2287029800965005E-3</v>
      </c>
      <c r="AM158" s="37">
        <f t="shared" si="71"/>
        <v>2.6074530175788451E-6</v>
      </c>
      <c r="AN158" s="173">
        <f t="shared" si="93"/>
        <v>3090.2768987044506</v>
      </c>
      <c r="AO158" s="173">
        <v>-258.3286550909292</v>
      </c>
      <c r="AV158" s="129">
        <v>109.33257652971044</v>
      </c>
      <c r="AW158" s="9">
        <v>10.1875</v>
      </c>
      <c r="AX158" s="129">
        <f t="shared" si="94"/>
        <v>119.93875670343873</v>
      </c>
      <c r="AY158" s="36">
        <f t="shared" si="120"/>
        <v>1.2986961437993074E-2</v>
      </c>
      <c r="AZ158" s="37">
        <f t="shared" si="95"/>
        <v>50303309.976693243</v>
      </c>
      <c r="BA158" s="36">
        <f t="shared" si="72"/>
        <v>1.9914673070724556</v>
      </c>
      <c r="BB158" s="37">
        <f t="shared" si="96"/>
        <v>-1.5651178127928708E-4</v>
      </c>
      <c r="BC158" s="37">
        <f t="shared" si="97"/>
        <v>-1.9923037433699567E-2</v>
      </c>
      <c r="BD158" s="37">
        <f t="shared" si="98"/>
        <v>-1.1349794053464888</v>
      </c>
      <c r="BE158" s="39">
        <f t="shared" si="99"/>
        <v>1.8771828456078228E-2</v>
      </c>
      <c r="BF158" s="39">
        <f>BF157+(1000*$C$2*($B158-$B157))/(BerechnungenCLT!$W$47*2*AZ158)</f>
        <v>5.7013850841143212E-3</v>
      </c>
      <c r="BG158" s="37">
        <f t="shared" si="73"/>
        <v>2.3843114252125613E-6</v>
      </c>
      <c r="BH158" s="173">
        <f t="shared" si="100"/>
        <v>2046.2774150777468</v>
      </c>
      <c r="BI158">
        <v>-258.19148987316493</v>
      </c>
      <c r="BP158" s="129">
        <v>86.09721509182998</v>
      </c>
      <c r="BQ158" s="9">
        <v>15.0625</v>
      </c>
      <c r="BR158" s="129">
        <f t="shared" si="101"/>
        <v>101.16014060842211</v>
      </c>
      <c r="BS158" s="36">
        <f t="shared" si="121"/>
        <v>1.506423246785699E-2</v>
      </c>
      <c r="BT158" s="37">
        <f t="shared" si="102"/>
        <v>39091914.743678175</v>
      </c>
      <c r="BU158" s="36">
        <f t="shared" si="74"/>
        <v>1.974366876519098</v>
      </c>
      <c r="BV158" s="37">
        <f t="shared" si="103"/>
        <v>-2.0139869587660963E-4</v>
      </c>
      <c r="BW158" s="37">
        <f t="shared" si="104"/>
        <v>-2.1783635638415521E-2</v>
      </c>
      <c r="BX158" s="37">
        <f t="shared" si="105"/>
        <v>-1.1778203468408257</v>
      </c>
      <c r="BY158" s="39">
        <f t="shared" si="106"/>
        <v>2.0373520393230673E-2</v>
      </c>
      <c r="BZ158" s="39">
        <f>BZ157+(1000*$C$2*($B158-$B157))/(BerechnungenCLT!$W$47*2*BT158)</f>
        <v>6.2392900174864357E-3</v>
      </c>
      <c r="CA158" s="37">
        <f t="shared" si="75"/>
        <v>2.5877509779635804E-6</v>
      </c>
      <c r="CB158" s="173">
        <f t="shared" si="107"/>
        <v>3067.5118644973686</v>
      </c>
      <c r="CC158" s="9">
        <v>-258.46961772906457</v>
      </c>
      <c r="CJ158" s="9">
        <f t="shared" si="123"/>
        <v>107</v>
      </c>
      <c r="CK158" s="129">
        <v>85.410853570590433</v>
      </c>
      <c r="CL158" s="9">
        <v>10.09375</v>
      </c>
      <c r="CM158" s="129">
        <f t="shared" si="108"/>
        <v>95.504642642017401</v>
      </c>
      <c r="CN158" s="36">
        <f t="shared" si="122"/>
        <v>9.7527880667079327E-3</v>
      </c>
      <c r="CO158" s="173">
        <f t="shared" si="109"/>
        <v>3286.3399661411026</v>
      </c>
      <c r="CP158" s="9">
        <v>-631.28872338706969</v>
      </c>
      <c r="CQ158" s="129"/>
      <c r="CR158" s="36">
        <f t="shared" si="110"/>
        <v>0.83508041433946911</v>
      </c>
      <c r="CS158" s="17">
        <f t="shared" si="76"/>
        <v>0.60032346024905159</v>
      </c>
      <c r="CT158" s="9">
        <f t="shared" si="77"/>
        <v>10.088311387143673</v>
      </c>
      <c r="CU158" s="9">
        <f t="shared" si="111"/>
        <v>95.499204008109004</v>
      </c>
      <c r="CV158" s="9">
        <v>13.2</v>
      </c>
      <c r="CW158" s="9">
        <f t="shared" si="112"/>
        <v>98.610904665855912</v>
      </c>
      <c r="CX158">
        <f t="shared" si="113"/>
        <v>22</v>
      </c>
      <c r="CY158" s="9">
        <f t="shared" si="78"/>
        <v>626.13575376029826</v>
      </c>
      <c r="CZ158" s="17">
        <f t="shared" si="114"/>
        <v>0.58958168903982888</v>
      </c>
      <c r="DA158">
        <v>45</v>
      </c>
      <c r="DB158" s="9">
        <f t="shared" si="115"/>
        <v>10.104285215774528</v>
      </c>
      <c r="DC158" s="9">
        <f t="shared" si="116"/>
        <v>10.939365631118983</v>
      </c>
    </row>
    <row r="159" spans="2:107" x14ac:dyDescent="0.25">
      <c r="B159" s="9">
        <f t="shared" si="117"/>
        <v>108</v>
      </c>
      <c r="C159" s="9">
        <v>91.745987885194623</v>
      </c>
      <c r="D159" s="9"/>
      <c r="E159" s="9">
        <f t="shared" si="79"/>
        <v>91.745987885194623</v>
      </c>
      <c r="F159" s="36">
        <f t="shared" si="118"/>
        <v>0</v>
      </c>
      <c r="G159" s="37">
        <f t="shared" si="124"/>
        <v>0</v>
      </c>
      <c r="H159" s="36" t="e">
        <f t="shared" si="64"/>
        <v>#DIV/0!</v>
      </c>
      <c r="I159" s="37" t="e">
        <f t="shared" si="80"/>
        <v>#DIV/0!</v>
      </c>
      <c r="J159" s="37" t="e">
        <f t="shared" si="81"/>
        <v>#DIV/0!</v>
      </c>
      <c r="K159" s="37" t="e">
        <f t="shared" si="82"/>
        <v>#DIV/0!</v>
      </c>
      <c r="L159" s="39" t="e">
        <f t="shared" si="65"/>
        <v>#DIV/0!</v>
      </c>
      <c r="M159" s="39" t="e">
        <f>M158+(1000*$C$2*(B159-B158))/(BerechnungenCLT!$W$47*2*'Berechnung freier Bereich'!G159)</f>
        <v>#DIV/0!</v>
      </c>
      <c r="N159" s="17" t="e">
        <f t="shared" si="83"/>
        <v>#DIV/0!</v>
      </c>
      <c r="O159" s="173">
        <f t="shared" si="84"/>
        <v>3194.6984408900476</v>
      </c>
      <c r="P159" s="173"/>
      <c r="Q159" s="173"/>
      <c r="R159" s="37" t="e">
        <f t="shared" si="66"/>
        <v>#DIV/0!</v>
      </c>
      <c r="S159" s="37" t="e">
        <f t="shared" si="67"/>
        <v>#DIV/0!</v>
      </c>
      <c r="T159" s="37" t="e">
        <f t="shared" si="68"/>
        <v>#DIV/0!</v>
      </c>
      <c r="U159" s="39" t="e">
        <f t="shared" si="69"/>
        <v>#DIV/0!</v>
      </c>
      <c r="V159" s="39" t="e">
        <f t="shared" si="85"/>
        <v>#DIV/0!</v>
      </c>
      <c r="W159" s="9" t="e">
        <f t="shared" si="86"/>
        <v>#DIV/0!</v>
      </c>
      <c r="AB159" s="129">
        <v>85.739760191346221</v>
      </c>
      <c r="AC159" s="9">
        <v>15.0625</v>
      </c>
      <c r="AD159" s="129">
        <f t="shared" si="87"/>
        <v>100.8027939958663</v>
      </c>
      <c r="AE159" s="36">
        <f t="shared" si="119"/>
        <v>1.5006836943599777E-2</v>
      </c>
      <c r="AF159" s="37">
        <f t="shared" si="88"/>
        <v>38648143.877518386</v>
      </c>
      <c r="AG159" s="36">
        <f t="shared" si="70"/>
        <v>1.9741715986724357</v>
      </c>
      <c r="AH159" s="37">
        <f t="shared" si="89"/>
        <v>-2.0371122281181918E-4</v>
      </c>
      <c r="AI159" s="37">
        <f t="shared" si="90"/>
        <v>-2.1950726624333929E-2</v>
      </c>
      <c r="AJ159" s="37">
        <f t="shared" si="91"/>
        <v>-1.1978089147518047</v>
      </c>
      <c r="AK159" s="39">
        <f t="shared" si="92"/>
        <v>2.0534660427745828E-2</v>
      </c>
      <c r="AL159" s="39">
        <f>AL158+(1000*$C$2*($B159-$B158))/(BerechnungenCLT!$W$47*2*AF159)</f>
        <v>6.2875966092480924E-3</v>
      </c>
      <c r="AM159" s="37">
        <f t="shared" si="71"/>
        <v>2.6082182449776911E-6</v>
      </c>
      <c r="AN159" s="173">
        <f t="shared" si="93"/>
        <v>3091.0653437398041</v>
      </c>
      <c r="AO159" s="173">
        <v>-258.32647013405744</v>
      </c>
      <c r="AV159" s="129">
        <v>109.62220366990377</v>
      </c>
      <c r="AW159" s="9">
        <v>10.125</v>
      </c>
      <c r="AX159" s="129">
        <f t="shared" si="94"/>
        <v>120.14094744316479</v>
      </c>
      <c r="AY159" s="36">
        <f t="shared" si="120"/>
        <v>1.2907527205391083E-2</v>
      </c>
      <c r="AZ159" s="37">
        <f t="shared" si="95"/>
        <v>50208144.993845932</v>
      </c>
      <c r="BA159" s="36">
        <f t="shared" si="72"/>
        <v>1.991642751662972</v>
      </c>
      <c r="BB159" s="37">
        <f t="shared" si="96"/>
        <v>-1.568084351585067E-4</v>
      </c>
      <c r="BC159" s="37">
        <f t="shared" si="97"/>
        <v>-2.0079845868858075E-2</v>
      </c>
      <c r="BD159" s="37">
        <f t="shared" si="98"/>
        <v>-1.1549808469977676</v>
      </c>
      <c r="BE159" s="39">
        <f t="shared" si="99"/>
        <v>1.8839113967023067E-2</v>
      </c>
      <c r="BF159" s="39">
        <f>BF158+(1000*$C$2*($B159-$B158))/(BerechnungenCLT!$W$47*2*AZ159)</f>
        <v>5.7467189528162804E-3</v>
      </c>
      <c r="BG159" s="37">
        <f t="shared" si="73"/>
        <v>2.3928577217479473E-6</v>
      </c>
      <c r="BH159" s="173">
        <f t="shared" si="100"/>
        <v>2037.5265018139723</v>
      </c>
      <c r="BI159">
        <v>-258.71887461611834</v>
      </c>
      <c r="BP159" s="129">
        <v>86.10473180164756</v>
      </c>
      <c r="BQ159" s="9">
        <v>15.0625</v>
      </c>
      <c r="BR159" s="129">
        <f t="shared" si="101"/>
        <v>101.1676722934028</v>
      </c>
      <c r="BS159" s="36">
        <f t="shared" si="121"/>
        <v>1.5065458038915487E-2</v>
      </c>
      <c r="BT159" s="37">
        <f t="shared" si="102"/>
        <v>39101339.001626037</v>
      </c>
      <c r="BU159" s="36">
        <f t="shared" si="74"/>
        <v>1.9743709057415135</v>
      </c>
      <c r="BV159" s="37">
        <f t="shared" si="103"/>
        <v>-2.0135015448880127E-4</v>
      </c>
      <c r="BW159" s="37">
        <f t="shared" si="104"/>
        <v>-2.1984985792904321E-2</v>
      </c>
      <c r="BX159" s="37">
        <f t="shared" si="105"/>
        <v>-1.1997046575564856</v>
      </c>
      <c r="BY159" s="39">
        <f t="shared" si="106"/>
        <v>2.0370126445549076E-2</v>
      </c>
      <c r="BZ159" s="39">
        <f>BZ158+(1000*$C$2*($B159-$B158))/(BerechnungenCLT!$W$47*2*BT159)</f>
        <v>6.2975010535030098E-3</v>
      </c>
      <c r="CA159" s="37">
        <f t="shared" si="75"/>
        <v>2.5873198943185993E-6</v>
      </c>
      <c r="CB159" s="173">
        <f t="shared" si="107"/>
        <v>3067.0189005163193</v>
      </c>
      <c r="CC159" s="9">
        <v>-258.42808041238442</v>
      </c>
      <c r="CJ159" s="9">
        <f t="shared" si="123"/>
        <v>108</v>
      </c>
      <c r="CK159" s="129">
        <v>85.408071175601393</v>
      </c>
      <c r="CL159" s="9">
        <v>10.09375</v>
      </c>
      <c r="CM159" s="129">
        <f t="shared" si="108"/>
        <v>95.501850188775364</v>
      </c>
      <c r="CN159" s="36">
        <f t="shared" si="122"/>
        <v>9.7524778197752033E-3</v>
      </c>
      <c r="CO159" s="173">
        <f t="shared" si="109"/>
        <v>3286.5425103541852</v>
      </c>
      <c r="CP159" s="9">
        <v>-631.32763107130938</v>
      </c>
      <c r="CQ159" s="129"/>
      <c r="CR159" s="36">
        <f t="shared" si="110"/>
        <v>0.83509451833424519</v>
      </c>
      <c r="CS159" s="17">
        <f t="shared" si="76"/>
        <v>0.60033359934320563</v>
      </c>
      <c r="CT159" s="9">
        <f t="shared" si="77"/>
        <v>10.088141004644473</v>
      </c>
      <c r="CU159" s="9">
        <f t="shared" si="111"/>
        <v>95.49624117729752</v>
      </c>
      <c r="CV159" s="9">
        <v>13.2</v>
      </c>
      <c r="CW159" s="9">
        <f t="shared" si="112"/>
        <v>98.608109117287725</v>
      </c>
      <c r="CX159">
        <f t="shared" si="113"/>
        <v>22</v>
      </c>
      <c r="CY159" s="9">
        <f t="shared" si="78"/>
        <v>626.15615179715508</v>
      </c>
      <c r="CZ159" s="17">
        <f t="shared" si="114"/>
        <v>0.58960089623084277</v>
      </c>
      <c r="DA159">
        <v>45</v>
      </c>
      <c r="DB159" s="9">
        <f t="shared" si="115"/>
        <v>10.104614389729228</v>
      </c>
      <c r="DC159" s="9">
        <f t="shared" si="116"/>
        <v>10.939708908810118</v>
      </c>
    </row>
    <row r="160" spans="2:107" x14ac:dyDescent="0.25">
      <c r="B160" s="9">
        <f t="shared" si="117"/>
        <v>109</v>
      </c>
      <c r="C160" s="9">
        <v>91.929498362279858</v>
      </c>
      <c r="D160" s="9"/>
      <c r="E160" s="9">
        <f t="shared" si="79"/>
        <v>91.929498362279858</v>
      </c>
      <c r="F160" s="36">
        <f t="shared" si="118"/>
        <v>0</v>
      </c>
      <c r="G160" s="37">
        <f t="shared" si="124"/>
        <v>0</v>
      </c>
      <c r="H160" s="36" t="e">
        <f t="shared" si="64"/>
        <v>#DIV/0!</v>
      </c>
      <c r="I160" s="37" t="e">
        <f t="shared" si="80"/>
        <v>#DIV/0!</v>
      </c>
      <c r="J160" s="37" t="e">
        <f t="shared" si="81"/>
        <v>#DIV/0!</v>
      </c>
      <c r="K160" s="37" t="e">
        <f t="shared" si="82"/>
        <v>#DIV/0!</v>
      </c>
      <c r="L160" s="39" t="e">
        <f t="shared" si="65"/>
        <v>#DIV/0!</v>
      </c>
      <c r="M160" s="39" t="e">
        <f>M159+(1000*$C$2*(B160-B159))/(BerechnungenCLT!$W$47*2*'Berechnung freier Bereich'!G160)</f>
        <v>#DIV/0!</v>
      </c>
      <c r="N160" s="17" t="e">
        <f t="shared" si="83"/>
        <v>#DIV/0!</v>
      </c>
      <c r="O160" s="173">
        <f t="shared" si="84"/>
        <v>3181.9566007596322</v>
      </c>
      <c r="P160" s="173"/>
      <c r="Q160" s="173"/>
      <c r="R160" s="37" t="e">
        <f t="shared" si="66"/>
        <v>#DIV/0!</v>
      </c>
      <c r="S160" s="37" t="e">
        <f t="shared" si="67"/>
        <v>#DIV/0!</v>
      </c>
      <c r="T160" s="37" t="e">
        <f t="shared" si="68"/>
        <v>#DIV/0!</v>
      </c>
      <c r="U160" s="39" t="e">
        <f t="shared" si="69"/>
        <v>#DIV/0!</v>
      </c>
      <c r="V160" s="39" t="e">
        <f t="shared" si="85"/>
        <v>#DIV/0!</v>
      </c>
      <c r="W160" s="9" t="e">
        <f t="shared" si="86"/>
        <v>#DIV/0!</v>
      </c>
      <c r="AB160" s="129">
        <v>85.731341173326385</v>
      </c>
      <c r="AC160" s="9">
        <v>15.0625</v>
      </c>
      <c r="AD160" s="129">
        <f t="shared" si="87"/>
        <v>100.79401267047255</v>
      </c>
      <c r="AE160" s="36">
        <f t="shared" si="119"/>
        <v>1.5005092300736661E-2</v>
      </c>
      <c r="AF160" s="37">
        <f t="shared" si="88"/>
        <v>38636558.874124013</v>
      </c>
      <c r="AG160" s="36">
        <f t="shared" si="70"/>
        <v>1.9741681118303722</v>
      </c>
      <c r="AH160" s="37">
        <f t="shared" si="89"/>
        <v>-2.0377230473206563E-4</v>
      </c>
      <c r="AI160" s="37">
        <f t="shared" si="90"/>
        <v>-2.2154498929065996E-2</v>
      </c>
      <c r="AJ160" s="37">
        <f t="shared" si="91"/>
        <v>-1.2198615275285047</v>
      </c>
      <c r="AK160" s="39">
        <f t="shared" si="92"/>
        <v>2.0539028265055218E-2</v>
      </c>
      <c r="AL160" s="39">
        <f>AL159+(1000*$C$2*($B160-$B159))/(BerechnungenCLT!$W$47*2*AF160)</f>
        <v>6.3465078973971084E-3</v>
      </c>
      <c r="AM160" s="37">
        <f t="shared" si="71"/>
        <v>2.6087730276097938E-6</v>
      </c>
      <c r="AN160" s="173">
        <f t="shared" si="93"/>
        <v>3091.6354521538351</v>
      </c>
      <c r="AO160" s="173">
        <v>-258.31955085468906</v>
      </c>
      <c r="AV160" s="129">
        <v>109.90378642088783</v>
      </c>
      <c r="AW160" s="9">
        <v>10.125</v>
      </c>
      <c r="AX160" s="129">
        <f t="shared" si="94"/>
        <v>120.40123504913487</v>
      </c>
      <c r="AY160" s="36">
        <f t="shared" si="120"/>
        <v>1.2911775292873115E-2</v>
      </c>
      <c r="AZ160" s="37">
        <f t="shared" si="95"/>
        <v>50460926.13129165</v>
      </c>
      <c r="BA160" s="36">
        <f t="shared" si="72"/>
        <v>1.9917154504615489</v>
      </c>
      <c r="BB160" s="37">
        <f t="shared" si="96"/>
        <v>-1.5602291222741111E-4</v>
      </c>
      <c r="BC160" s="37">
        <f t="shared" si="97"/>
        <v>-2.0235868781085485E-2</v>
      </c>
      <c r="BD160" s="37">
        <f t="shared" si="98"/>
        <v>-1.1751387043227395</v>
      </c>
      <c r="BE160" s="39">
        <f t="shared" si="99"/>
        <v>1.8785351328143064E-2</v>
      </c>
      <c r="BF160" s="39">
        <f>BF159+(1000*$C$2*($B160-$B159))/(BerechnungenCLT!$W$47*2*AZ160)</f>
        <v>5.7918257240831767E-3</v>
      </c>
      <c r="BG160" s="37">
        <f t="shared" si="73"/>
        <v>2.3860290383071682E-6</v>
      </c>
      <c r="BH160" s="173">
        <f t="shared" si="100"/>
        <v>2027.9498425569357</v>
      </c>
      <c r="BI160">
        <v>-257.52757455122241</v>
      </c>
      <c r="BP160" s="129">
        <v>86.112379637095771</v>
      </c>
      <c r="BQ160" s="9">
        <v>15.0625</v>
      </c>
      <c r="BR160" s="129">
        <f t="shared" si="101"/>
        <v>101.17533975180284</v>
      </c>
      <c r="BS160" s="36">
        <f t="shared" si="121"/>
        <v>1.5066709732511761E-2</v>
      </c>
      <c r="BT160" s="37">
        <f t="shared" si="102"/>
        <v>39110943.497920714</v>
      </c>
      <c r="BU160" s="36">
        <f t="shared" si="74"/>
        <v>1.9743749906796815</v>
      </c>
      <c r="BV160" s="37">
        <f t="shared" si="103"/>
        <v>-2.0130070881861889E-4</v>
      </c>
      <c r="BW160" s="37">
        <f t="shared" si="104"/>
        <v>-2.218628650172294E-2</v>
      </c>
      <c r="BX160" s="37">
        <f t="shared" si="105"/>
        <v>-1.2217902937037992</v>
      </c>
      <c r="BY160" s="39">
        <f t="shared" si="106"/>
        <v>2.0366667607002498E-2</v>
      </c>
      <c r="BZ160" s="39">
        <f>BZ159+(1000*$C$2*($B160-$B159))/(BerechnungenCLT!$W$47*2*BT160)</f>
        <v>6.3556977946028744E-3</v>
      </c>
      <c r="CA160" s="37">
        <f t="shared" si="75"/>
        <v>2.586880568534014E-6</v>
      </c>
      <c r="CB160" s="173">
        <f t="shared" si="107"/>
        <v>3066.5173153051478</v>
      </c>
      <c r="CC160" s="9">
        <v>-258.38581666785234</v>
      </c>
      <c r="CJ160" s="9">
        <f t="shared" si="123"/>
        <v>109</v>
      </c>
      <c r="CK160" s="129">
        <v>85.405673520785456</v>
      </c>
      <c r="CL160" s="9">
        <v>10.09375</v>
      </c>
      <c r="CM160" s="129">
        <f t="shared" si="108"/>
        <v>95.499443334639508</v>
      </c>
      <c r="CN160" s="36">
        <f t="shared" si="122"/>
        <v>9.7522099306572643E-3</v>
      </c>
      <c r="CO160" s="173">
        <f t="shared" si="109"/>
        <v>3286.717081785504</v>
      </c>
      <c r="CP160" s="9">
        <v>-631.36116533044026</v>
      </c>
      <c r="CQ160" s="129"/>
      <c r="CR160" s="36">
        <f t="shared" si="110"/>
        <v>0.83510667494059398</v>
      </c>
      <c r="CS160" s="17">
        <f t="shared" si="76"/>
        <v>0.60034233849678043</v>
      </c>
      <c r="CT160" s="9">
        <f t="shared" si="77"/>
        <v>10.087994152077412</v>
      </c>
      <c r="CU160" s="9">
        <f t="shared" si="111"/>
        <v>95.493687475418298</v>
      </c>
      <c r="CV160" s="9">
        <v>13.2</v>
      </c>
      <c r="CW160" s="9">
        <f t="shared" si="112"/>
        <v>98.605699432153727</v>
      </c>
      <c r="CX160">
        <f t="shared" si="113"/>
        <v>22</v>
      </c>
      <c r="CY160" s="9">
        <f t="shared" si="78"/>
        <v>626.17373032854539</v>
      </c>
      <c r="CZ160" s="17">
        <f t="shared" si="114"/>
        <v>0.58961744852028752</v>
      </c>
      <c r="DA160">
        <v>45</v>
      </c>
      <c r="DB160" s="9">
        <f t="shared" si="115"/>
        <v>10.104898063826697</v>
      </c>
      <c r="DC160" s="9">
        <f t="shared" si="116"/>
        <v>10.940004739277397</v>
      </c>
    </row>
    <row r="161" spans="2:107" x14ac:dyDescent="0.25">
      <c r="B161" s="9">
        <f t="shared" si="117"/>
        <v>110</v>
      </c>
      <c r="C161" s="9">
        <v>92.113752491830653</v>
      </c>
      <c r="D161" s="9"/>
      <c r="E161" s="9">
        <f t="shared" si="79"/>
        <v>92.113752491830653</v>
      </c>
      <c r="F161" s="36">
        <f t="shared" si="118"/>
        <v>0</v>
      </c>
      <c r="G161" s="37">
        <f t="shared" si="124"/>
        <v>0</v>
      </c>
      <c r="H161" s="36" t="e">
        <f t="shared" si="64"/>
        <v>#DIV/0!</v>
      </c>
      <c r="I161" s="37" t="e">
        <f t="shared" si="80"/>
        <v>#DIV/0!</v>
      </c>
      <c r="J161" s="37" t="e">
        <f t="shared" si="81"/>
        <v>#DIV/0!</v>
      </c>
      <c r="K161" s="37" t="e">
        <f t="shared" si="82"/>
        <v>#DIV/0!</v>
      </c>
      <c r="L161" s="39" t="e">
        <f t="shared" si="65"/>
        <v>#DIV/0!</v>
      </c>
      <c r="M161" s="39" t="e">
        <f>M160+(1000*$C$2*(B161-B160))/(BerechnungenCLT!$W$47*2*'Berechnung freier Bereich'!G161)</f>
        <v>#DIV/0!</v>
      </c>
      <c r="N161" s="17" t="e">
        <f t="shared" si="83"/>
        <v>#DIV/0!</v>
      </c>
      <c r="O161" s="173">
        <f t="shared" si="84"/>
        <v>3169.2396664360826</v>
      </c>
      <c r="P161" s="173"/>
      <c r="Q161" s="173"/>
      <c r="R161" s="37" t="e">
        <f t="shared" si="66"/>
        <v>#DIV/0!</v>
      </c>
      <c r="S161" s="37" t="e">
        <f t="shared" si="67"/>
        <v>#DIV/0!</v>
      </c>
      <c r="T161" s="37" t="e">
        <f t="shared" si="68"/>
        <v>#DIV/0!</v>
      </c>
      <c r="U161" s="39" t="e">
        <f t="shared" si="69"/>
        <v>#DIV/0!</v>
      </c>
      <c r="V161" s="39" t="e">
        <f t="shared" si="85"/>
        <v>#DIV/0!</v>
      </c>
      <c r="W161" s="9" t="e">
        <f t="shared" si="86"/>
        <v>#DIV/0!</v>
      </c>
      <c r="AB161" s="129">
        <v>85.726569220378693</v>
      </c>
      <c r="AC161" s="9">
        <v>15.0625</v>
      </c>
      <c r="AD161" s="129">
        <f t="shared" si="87"/>
        <v>100.7890730392667</v>
      </c>
      <c r="AE161" s="36">
        <f t="shared" si="119"/>
        <v>1.5004144020627171E-2</v>
      </c>
      <c r="AF161" s="37">
        <f t="shared" si="88"/>
        <v>38630114.717992418</v>
      </c>
      <c r="AG161" s="36">
        <f t="shared" si="70"/>
        <v>1.9741660174198024</v>
      </c>
      <c r="AH161" s="37">
        <f t="shared" si="89"/>
        <v>-2.0380629739702596E-4</v>
      </c>
      <c r="AI161" s="37">
        <f t="shared" si="90"/>
        <v>-2.235830522646302E-2</v>
      </c>
      <c r="AJ161" s="37">
        <f t="shared" si="91"/>
        <v>-1.2421179296062692</v>
      </c>
      <c r="AK161" s="39">
        <f t="shared" si="92"/>
        <v>2.0541447794211361E-2</v>
      </c>
      <c r="AL161" s="39">
        <f>AL160+(1000*$C$2*($B161-$B160))/(BerechnungenCLT!$W$47*2*AF161)</f>
        <v>6.4054290129448134E-3</v>
      </c>
      <c r="AM161" s="37">
        <f t="shared" si="71"/>
        <v>2.6090803450895016E-6</v>
      </c>
      <c r="AN161" s="173">
        <f t="shared" si="93"/>
        <v>3091.9574139922252</v>
      </c>
      <c r="AO161" s="173">
        <v>-258.30521589276282</v>
      </c>
      <c r="AV161" s="129">
        <v>110.17750751851916</v>
      </c>
      <c r="AW161" s="9">
        <v>10.0625</v>
      </c>
      <c r="AX161" s="129">
        <f t="shared" si="94"/>
        <v>120.59002402229513</v>
      </c>
      <c r="AY161" s="36">
        <f t="shared" si="120"/>
        <v>1.2833029759681527E-2</v>
      </c>
      <c r="AZ161" s="37">
        <f t="shared" si="95"/>
        <v>50352726.848188534</v>
      </c>
      <c r="BA161" s="36">
        <f t="shared" si="72"/>
        <v>1.9918810984822994</v>
      </c>
      <c r="BB161" s="37">
        <f t="shared" si="96"/>
        <v>-1.5635817842464336E-4</v>
      </c>
      <c r="BC161" s="37">
        <f t="shared" si="97"/>
        <v>-2.0392226959510127E-2</v>
      </c>
      <c r="BD161" s="37">
        <f t="shared" si="98"/>
        <v>-1.1954527521930374</v>
      </c>
      <c r="BE161" s="39">
        <f t="shared" si="99"/>
        <v>1.8855236492310051E-2</v>
      </c>
      <c r="BF161" s="39">
        <f>BF160+(1000*$C$2*($B161-$B160))/(BerechnungenCLT!$W$47*2*AZ161)</f>
        <v>5.8370294219838356E-3</v>
      </c>
      <c r="BG161" s="37">
        <f t="shared" si="73"/>
        <v>2.3949055308537559E-6</v>
      </c>
      <c r="BH161" s="173">
        <f t="shared" si="100"/>
        <v>2019.8290528572975</v>
      </c>
      <c r="BI161">
        <v>-258.0964139883045</v>
      </c>
      <c r="BP161" s="129">
        <v>86.120195966292357</v>
      </c>
      <c r="BQ161" s="9">
        <v>15.0625</v>
      </c>
      <c r="BR161" s="129">
        <f t="shared" si="101"/>
        <v>101.18318063622645</v>
      </c>
      <c r="BS161" s="36">
        <f t="shared" si="121"/>
        <v>1.5067993869642873E-2</v>
      </c>
      <c r="BT161" s="37">
        <f t="shared" si="102"/>
        <v>39120775.877891876</v>
      </c>
      <c r="BU161" s="36">
        <f t="shared" si="74"/>
        <v>1.9743791506572019</v>
      </c>
      <c r="BV161" s="37">
        <f t="shared" si="103"/>
        <v>-2.0125011511199745E-4</v>
      </c>
      <c r="BW161" s="37">
        <f t="shared" si="104"/>
        <v>-2.2387536616834937E-2</v>
      </c>
      <c r="BX161" s="37">
        <f t="shared" si="105"/>
        <v>-1.2440772052630782</v>
      </c>
      <c r="BY161" s="39">
        <f t="shared" si="106"/>
        <v>2.0363126750438606E-2</v>
      </c>
      <c r="BZ161" s="39">
        <f>BZ160+(1000*$C$2*($B161-$B160))/(BerechnungenCLT!$W$47*2*BT161)</f>
        <v>6.413879908884668E-3</v>
      </c>
      <c r="CA161" s="37">
        <f t="shared" si="75"/>
        <v>2.5864308251976054E-6</v>
      </c>
      <c r="CB161" s="173">
        <f t="shared" si="107"/>
        <v>3066.0046591985551</v>
      </c>
      <c r="CC161" s="9">
        <v>-258.34262008581749</v>
      </c>
      <c r="CJ161" s="9">
        <f t="shared" si="123"/>
        <v>110</v>
      </c>
      <c r="CK161" s="129">
        <v>85.403692115036094</v>
      </c>
      <c r="CL161" s="9">
        <v>10.09375</v>
      </c>
      <c r="CM161" s="129">
        <f t="shared" si="108"/>
        <v>95.497453985660357</v>
      </c>
      <c r="CN161" s="36">
        <f t="shared" si="122"/>
        <v>9.7519882014456896E-3</v>
      </c>
      <c r="CO161" s="173">
        <f t="shared" si="109"/>
        <v>3286.8613693249276</v>
      </c>
      <c r="CP161" s="9">
        <v>-631.38888221229126</v>
      </c>
      <c r="CQ161" s="129"/>
      <c r="CR161" s="36">
        <f t="shared" si="110"/>
        <v>0.83511672292447248</v>
      </c>
      <c r="CS161" s="17">
        <f t="shared" si="76"/>
        <v>0.60034956180168253</v>
      </c>
      <c r="CT161" s="9">
        <f t="shared" si="77"/>
        <v>10.087872775029361</v>
      </c>
      <c r="CU161" s="9">
        <f t="shared" si="111"/>
        <v>95.491576753777892</v>
      </c>
      <c r="CV161" s="9">
        <v>13.2</v>
      </c>
      <c r="CW161" s="9">
        <f t="shared" si="112"/>
        <v>98.603707638725538</v>
      </c>
      <c r="CX161">
        <f t="shared" si="113"/>
        <v>22</v>
      </c>
      <c r="CY161" s="9">
        <f t="shared" si="78"/>
        <v>626.18825785304284</v>
      </c>
      <c r="CZ161" s="17">
        <f t="shared" si="114"/>
        <v>0.58963112792188588</v>
      </c>
      <c r="DA161">
        <v>45</v>
      </c>
      <c r="DB161" s="9">
        <f t="shared" si="115"/>
        <v>10.105132502205468</v>
      </c>
      <c r="DC161" s="9">
        <f t="shared" si="116"/>
        <v>10.940249225435604</v>
      </c>
    </row>
    <row r="162" spans="2:107" x14ac:dyDescent="0.25">
      <c r="B162" s="9">
        <f t="shared" si="117"/>
        <v>111</v>
      </c>
      <c r="C162" s="9">
        <v>92.29874211072017</v>
      </c>
      <c r="D162" s="9"/>
      <c r="E162" s="9">
        <f t="shared" si="79"/>
        <v>92.29874211072017</v>
      </c>
      <c r="F162" s="36">
        <f t="shared" si="118"/>
        <v>0</v>
      </c>
      <c r="G162" s="37">
        <f t="shared" si="124"/>
        <v>0</v>
      </c>
      <c r="H162" s="36" t="e">
        <f t="shared" si="64"/>
        <v>#DIV/0!</v>
      </c>
      <c r="I162" s="37" t="e">
        <f t="shared" si="80"/>
        <v>#DIV/0!</v>
      </c>
      <c r="J162" s="37" t="e">
        <f t="shared" si="81"/>
        <v>#DIV/0!</v>
      </c>
      <c r="K162" s="37" t="e">
        <f t="shared" si="82"/>
        <v>#DIV/0!</v>
      </c>
      <c r="L162" s="39" t="e">
        <f t="shared" si="65"/>
        <v>#DIV/0!</v>
      </c>
      <c r="M162" s="39" t="e">
        <f>M161+(1000*$C$2*(B162-B161))/(BerechnungenCLT!$W$47*2*'Berechnung freier Bereich'!G162)</f>
        <v>#DIV/0!</v>
      </c>
      <c r="N162" s="17" t="e">
        <f t="shared" si="83"/>
        <v>#DIV/0!</v>
      </c>
      <c r="O162" s="173">
        <f t="shared" si="84"/>
        <v>3156.5485093775351</v>
      </c>
      <c r="P162" s="173"/>
      <c r="Q162" s="173"/>
      <c r="R162" s="37" t="e">
        <f t="shared" si="66"/>
        <v>#DIV/0!</v>
      </c>
      <c r="S162" s="37" t="e">
        <f t="shared" si="67"/>
        <v>#DIV/0!</v>
      </c>
      <c r="T162" s="37" t="e">
        <f t="shared" si="68"/>
        <v>#DIV/0!</v>
      </c>
      <c r="U162" s="39" t="e">
        <f t="shared" si="69"/>
        <v>#DIV/0!</v>
      </c>
      <c r="V162" s="39" t="e">
        <f t="shared" si="85"/>
        <v>#DIV/0!</v>
      </c>
      <c r="W162" s="9" t="e">
        <f t="shared" si="86"/>
        <v>#DIV/0!</v>
      </c>
      <c r="AB162" s="129">
        <v>85.725857130265481</v>
      </c>
      <c r="AC162" s="9">
        <v>15.0625</v>
      </c>
      <c r="AD162" s="129">
        <f t="shared" si="87"/>
        <v>100.78846363600073</v>
      </c>
      <c r="AE162" s="36">
        <f t="shared" si="119"/>
        <v>1.5004140002110576E-2</v>
      </c>
      <c r="AF162" s="37">
        <f t="shared" si="88"/>
        <v>38629563.932414882</v>
      </c>
      <c r="AG162" s="36">
        <f t="shared" si="70"/>
        <v>1.9741653060677968</v>
      </c>
      <c r="AH162" s="37">
        <f t="shared" si="89"/>
        <v>-2.0380920329493912E-4</v>
      </c>
      <c r="AI162" s="37">
        <f t="shared" si="90"/>
        <v>-2.256211442975796E-2</v>
      </c>
      <c r="AJ162" s="37">
        <f t="shared" si="91"/>
        <v>-1.2645781394343798</v>
      </c>
      <c r="AK162" s="39">
        <f t="shared" si="92"/>
        <v>2.0541616474974253E-2</v>
      </c>
      <c r="AL162" s="39">
        <f>AL161+(1000*$C$2*($B162-$B161))/(BerechnungenCLT!$W$47*2*AF162)</f>
        <v>6.464350968597799E-3</v>
      </c>
      <c r="AM162" s="37">
        <f t="shared" si="71"/>
        <v>2.6091017701451971E-6</v>
      </c>
      <c r="AN162" s="173">
        <f t="shared" si="93"/>
        <v>3092.0012284908603</v>
      </c>
      <c r="AO162" s="173">
        <v>-258.28075777347874</v>
      </c>
      <c r="AV162" s="129">
        <v>110.44354969865429</v>
      </c>
      <c r="AW162" s="9">
        <v>10</v>
      </c>
      <c r="AX162" s="129">
        <f t="shared" si="94"/>
        <v>120.77237360720275</v>
      </c>
      <c r="AY162" s="36">
        <f t="shared" si="120"/>
        <v>1.2754616562583027E-2</v>
      </c>
      <c r="AZ162" s="37">
        <f t="shared" si="95"/>
        <v>50237703.457876101</v>
      </c>
      <c r="BA162" s="36">
        <f t="shared" si="72"/>
        <v>1.9920415631496253</v>
      </c>
      <c r="BB162" s="37">
        <f t="shared" si="96"/>
        <v>-1.5671617344725737E-4</v>
      </c>
      <c r="BC162" s="37">
        <f t="shared" si="97"/>
        <v>-2.0548943132957385E-2</v>
      </c>
      <c r="BD162" s="37">
        <f t="shared" si="98"/>
        <v>-1.215923337239271</v>
      </c>
      <c r="BE162" s="39">
        <f t="shared" si="99"/>
        <v>1.8926984249863353E-2</v>
      </c>
      <c r="BF162" s="39">
        <f>BF161+(1000*$C$2*($B162-$B161))/(BerechnungenCLT!$W$47*2*AZ162)</f>
        <v>5.8823366175014104E-3</v>
      </c>
      <c r="BG162" s="37">
        <f t="shared" si="73"/>
        <v>2.4040186014567602E-6</v>
      </c>
      <c r="BH162" s="173">
        <f t="shared" si="100"/>
        <v>2012.0026322197955</v>
      </c>
      <c r="BI162">
        <v>-258.69267158158738</v>
      </c>
      <c r="BP162" s="129">
        <v>86.128218157355121</v>
      </c>
      <c r="BQ162" s="9">
        <v>15.0625</v>
      </c>
      <c r="BR162" s="129">
        <f t="shared" si="101"/>
        <v>101.19123266236802</v>
      </c>
      <c r="BS162" s="36">
        <f t="shared" si="121"/>
        <v>1.5069316839681563E-2</v>
      </c>
      <c r="BT162" s="37">
        <f t="shared" si="102"/>
        <v>39130884.02695252</v>
      </c>
      <c r="BU162" s="36">
        <f t="shared" si="74"/>
        <v>1.974383404782033</v>
      </c>
      <c r="BV162" s="37">
        <f t="shared" si="103"/>
        <v>-2.0119812890691651E-4</v>
      </c>
      <c r="BW162" s="37">
        <f t="shared" si="104"/>
        <v>-2.2588734745741853E-2</v>
      </c>
      <c r="BX162" s="37">
        <f t="shared" si="105"/>
        <v>-1.2665653409443667</v>
      </c>
      <c r="BY162" s="39">
        <f t="shared" si="106"/>
        <v>2.0359486673452901E-2</v>
      </c>
      <c r="BZ162" s="39">
        <f>BZ161+(1000*$C$2*($B162-$B161))/(BerechnungenCLT!$W$47*2*BT162)</f>
        <v>6.4720469937722003E-3</v>
      </c>
      <c r="CA162" s="37">
        <f t="shared" si="75"/>
        <v>2.5859684793389707E-6</v>
      </c>
      <c r="CB162" s="173">
        <f t="shared" si="107"/>
        <v>3065.4784830853132</v>
      </c>
      <c r="CC162" s="9">
        <v>-258.29828430331514</v>
      </c>
      <c r="CJ162" s="9">
        <f t="shared" si="123"/>
        <v>111</v>
      </c>
      <c r="CK162" s="129">
        <v>85.402158467246807</v>
      </c>
      <c r="CL162" s="9">
        <v>10.09375</v>
      </c>
      <c r="CM162" s="129">
        <f t="shared" si="108"/>
        <v>95.495914077952875</v>
      </c>
      <c r="CN162" s="36">
        <f t="shared" si="122"/>
        <v>9.7518164648836732E-3</v>
      </c>
      <c r="CO162" s="173">
        <f t="shared" si="109"/>
        <v>3286.9730613568972</v>
      </c>
      <c r="CP162" s="9">
        <v>-631.4103376676004</v>
      </c>
      <c r="CQ162" s="129"/>
      <c r="CR162" s="36">
        <f t="shared" si="110"/>
        <v>0.83512450090692036</v>
      </c>
      <c r="CS162" s="17">
        <f t="shared" si="76"/>
        <v>0.60035515324564004</v>
      </c>
      <c r="CT162" s="9">
        <f t="shared" si="77"/>
        <v>10.087778821017361</v>
      </c>
      <c r="CU162" s="9">
        <f t="shared" si="111"/>
        <v>95.489942895651097</v>
      </c>
      <c r="CV162" s="9">
        <v>13.2</v>
      </c>
      <c r="CW162" s="9">
        <f t="shared" si="112"/>
        <v>98.602165804591209</v>
      </c>
      <c r="CX162">
        <f t="shared" si="113"/>
        <v>22</v>
      </c>
      <c r="CY162" s="9">
        <f t="shared" si="78"/>
        <v>626.1995029111838</v>
      </c>
      <c r="CZ162" s="17">
        <f t="shared" si="114"/>
        <v>0.58964171648887365</v>
      </c>
      <c r="DA162">
        <v>45</v>
      </c>
      <c r="DB162" s="9">
        <f t="shared" si="115"/>
        <v>10.105313969681239</v>
      </c>
      <c r="DC162" s="9">
        <f t="shared" si="116"/>
        <v>10.940438470732587</v>
      </c>
    </row>
    <row r="163" spans="2:107" x14ac:dyDescent="0.25">
      <c r="B163" s="9">
        <f t="shared" si="117"/>
        <v>112</v>
      </c>
      <c r="C163" s="9">
        <v>92.484459055821645</v>
      </c>
      <c r="D163" s="9"/>
      <c r="E163" s="9">
        <f t="shared" si="79"/>
        <v>92.484459055821645</v>
      </c>
      <c r="F163" s="36">
        <f t="shared" si="118"/>
        <v>0</v>
      </c>
      <c r="G163" s="37">
        <f t="shared" si="124"/>
        <v>0</v>
      </c>
      <c r="H163" s="36" t="e">
        <f t="shared" si="64"/>
        <v>#DIV/0!</v>
      </c>
      <c r="I163" s="37" t="e">
        <f t="shared" si="80"/>
        <v>#DIV/0!</v>
      </c>
      <c r="J163" s="37" t="e">
        <f t="shared" si="81"/>
        <v>#DIV/0!</v>
      </c>
      <c r="K163" s="37" t="e">
        <f t="shared" si="82"/>
        <v>#DIV/0!</v>
      </c>
      <c r="L163" s="39" t="e">
        <f t="shared" si="65"/>
        <v>#DIV/0!</v>
      </c>
      <c r="M163" s="39" t="e">
        <f>M162+(1000*$C$2*(B163-B162))/(BerechnungenCLT!$W$47*2*'Berechnung freier Bereich'!G163)</f>
        <v>#DIV/0!</v>
      </c>
      <c r="N163" s="17" t="e">
        <f t="shared" si="83"/>
        <v>#DIV/0!</v>
      </c>
      <c r="O163" s="173">
        <f t="shared" si="84"/>
        <v>3143.8839826683666</v>
      </c>
      <c r="P163" s="173"/>
      <c r="Q163" s="173"/>
      <c r="R163" s="37" t="e">
        <f t="shared" si="66"/>
        <v>#DIV/0!</v>
      </c>
      <c r="S163" s="37" t="e">
        <f t="shared" si="67"/>
        <v>#DIV/0!</v>
      </c>
      <c r="T163" s="37" t="e">
        <f t="shared" si="68"/>
        <v>#DIV/0!</v>
      </c>
      <c r="U163" s="39" t="e">
        <f t="shared" si="69"/>
        <v>#DIV/0!</v>
      </c>
      <c r="V163" s="39" t="e">
        <f t="shared" si="85"/>
        <v>#DIV/0!</v>
      </c>
      <c r="W163" s="9" t="e">
        <f t="shared" si="86"/>
        <v>#DIV/0!</v>
      </c>
      <c r="AB163" s="129">
        <v>85.729617700749102</v>
      </c>
      <c r="AC163" s="9">
        <v>15.0625</v>
      </c>
      <c r="AD163" s="129">
        <f t="shared" si="87"/>
        <v>100.79268067989543</v>
      </c>
      <c r="AE163" s="36">
        <f t="shared" si="119"/>
        <v>1.5005236482133285E-2</v>
      </c>
      <c r="AF163" s="37">
        <f t="shared" si="88"/>
        <v>38635685.530550346</v>
      </c>
      <c r="AG163" s="36">
        <f t="shared" si="70"/>
        <v>1.9741659439475334</v>
      </c>
      <c r="AH163" s="37">
        <f t="shared" si="89"/>
        <v>-2.0377691092011136E-4</v>
      </c>
      <c r="AI163" s="37">
        <f t="shared" si="90"/>
        <v>-2.2765891340678072E-2</v>
      </c>
      <c r="AJ163" s="37">
        <f t="shared" si="91"/>
        <v>-1.2872421423195979</v>
      </c>
      <c r="AK163" s="39">
        <f t="shared" si="92"/>
        <v>2.0539221112306279E-2</v>
      </c>
      <c r="AL163" s="39">
        <f>AL162+(1000*$C$2*($B163-$B162))/(BerechnungenCLT!$W$47*2*AF163)</f>
        <v>6.5232635884119377E-3</v>
      </c>
      <c r="AM163" s="37">
        <f t="shared" si="71"/>
        <v>2.6087975221818118E-6</v>
      </c>
      <c r="AN163" s="173">
        <f t="shared" si="93"/>
        <v>3091.7367425160546</v>
      </c>
      <c r="AO163" s="173">
        <v>-258.24344430636648</v>
      </c>
      <c r="AV163" s="129">
        <v>110.70209569714977</v>
      </c>
      <c r="AW163" s="9">
        <v>10</v>
      </c>
      <c r="AX163" s="129">
        <f t="shared" si="94"/>
        <v>121.01285607426233</v>
      </c>
      <c r="AY163" s="36">
        <f t="shared" si="120"/>
        <v>1.2759790569685759E-2</v>
      </c>
      <c r="AZ163" s="37">
        <f t="shared" si="95"/>
        <v>50474476.48422078</v>
      </c>
      <c r="BA163" s="36">
        <f t="shared" si="72"/>
        <v>1.992103313953014</v>
      </c>
      <c r="BB163" s="37">
        <f t="shared" si="96"/>
        <v>-1.5598102639375868E-4</v>
      </c>
      <c r="BC163" s="37">
        <f t="shared" si="97"/>
        <v>-2.0704924159351143E-2</v>
      </c>
      <c r="BD163" s="37">
        <f t="shared" si="98"/>
        <v>-1.2365502708854252</v>
      </c>
      <c r="BE163" s="39">
        <f t="shared" si="99"/>
        <v>1.8875709497303633E-2</v>
      </c>
      <c r="BF163" s="39">
        <f>BF162+(1000*$C$2*($B163-$B162))/(BerechnungenCLT!$W$47*2*AZ163)</f>
        <v>5.9274312794268588E-3</v>
      </c>
      <c r="BG163" s="37">
        <f t="shared" si="73"/>
        <v>2.3975059179086898E-6</v>
      </c>
      <c r="BH163" s="173">
        <f t="shared" si="100"/>
        <v>2003.3457423148768</v>
      </c>
      <c r="BI163">
        <v>-257.55147199469275</v>
      </c>
      <c r="BP163" s="129">
        <v>86.136483578401851</v>
      </c>
      <c r="BQ163" s="9">
        <v>15.0625</v>
      </c>
      <c r="BR163" s="129">
        <f t="shared" si="101"/>
        <v>101.19953360901025</v>
      </c>
      <c r="BS163" s="36">
        <f t="shared" si="121"/>
        <v>1.5070685100428464E-2</v>
      </c>
      <c r="BT163" s="37">
        <f t="shared" si="102"/>
        <v>39141316.072950251</v>
      </c>
      <c r="BU163" s="36">
        <f t="shared" si="74"/>
        <v>1.9743877719456266</v>
      </c>
      <c r="BV163" s="37">
        <f t="shared" si="103"/>
        <v>-2.0114450505503829E-4</v>
      </c>
      <c r="BW163" s="37">
        <f t="shared" si="104"/>
        <v>-2.2789879250796893E-2</v>
      </c>
      <c r="BX163" s="37">
        <f t="shared" si="105"/>
        <v>-1.2892546479426361</v>
      </c>
      <c r="BY163" s="39">
        <f t="shared" si="106"/>
        <v>2.0355730099585079E-2</v>
      </c>
      <c r="BZ163" s="39">
        <f>BZ162+(1000*$C$2*($B163-$B162))/(BerechnungenCLT!$W$47*2*BT163)</f>
        <v>6.5301985758160373E-3</v>
      </c>
      <c r="CA163" s="37">
        <f t="shared" si="75"/>
        <v>2.5854913365814784E-6</v>
      </c>
      <c r="CB163" s="173">
        <f t="shared" si="107"/>
        <v>3064.9363385579013</v>
      </c>
      <c r="CC163" s="9">
        <v>-258.25260301667504</v>
      </c>
      <c r="CJ163" s="9">
        <f t="shared" si="123"/>
        <v>112</v>
      </c>
      <c r="CK163" s="129">
        <v>85.401104086311065</v>
      </c>
      <c r="CL163" s="9">
        <v>10.09375</v>
      </c>
      <c r="CM163" s="129">
        <f t="shared" si="108"/>
        <v>95.49485557769583</v>
      </c>
      <c r="CN163" s="36">
        <f t="shared" si="122"/>
        <v>9.7516985843870713E-3</v>
      </c>
      <c r="CO163" s="173">
        <f t="shared" si="109"/>
        <v>3287.0498460914423</v>
      </c>
      <c r="CP163" s="9">
        <v>-631.42508761360295</v>
      </c>
      <c r="CQ163" s="129"/>
      <c r="CR163" s="36">
        <f t="shared" si="110"/>
        <v>0.83512984736798201</v>
      </c>
      <c r="CS163" s="17">
        <f t="shared" si="76"/>
        <v>0.6003589967150228</v>
      </c>
      <c r="CT163" s="9">
        <f t="shared" si="77"/>
        <v>10.087714239543191</v>
      </c>
      <c r="CU163" s="9">
        <f t="shared" si="111"/>
        <v>95.488819816347217</v>
      </c>
      <c r="CV163" s="9">
        <v>13.2</v>
      </c>
      <c r="CW163" s="9">
        <f t="shared" si="112"/>
        <v>98.601106036654485</v>
      </c>
      <c r="CX163">
        <f t="shared" si="113"/>
        <v>22</v>
      </c>
      <c r="CY163" s="9">
        <f t="shared" si="78"/>
        <v>626.20723410886455</v>
      </c>
      <c r="CZ163" s="17">
        <f t="shared" si="114"/>
        <v>0.58964899633603063</v>
      </c>
      <c r="DA163">
        <v>45</v>
      </c>
      <c r="DB163" s="9">
        <f t="shared" si="115"/>
        <v>10.105438732124457</v>
      </c>
      <c r="DC163" s="9">
        <f t="shared" si="116"/>
        <v>10.940568579530741</v>
      </c>
    </row>
    <row r="164" spans="2:107" x14ac:dyDescent="0.25">
      <c r="B164" s="9">
        <f t="shared" si="117"/>
        <v>113</v>
      </c>
      <c r="C164" s="9">
        <v>92.670895164008257</v>
      </c>
      <c r="D164" s="9"/>
      <c r="E164" s="9">
        <f t="shared" si="79"/>
        <v>92.670895164008257</v>
      </c>
      <c r="F164" s="36">
        <f t="shared" si="118"/>
        <v>0</v>
      </c>
      <c r="G164" s="37">
        <f t="shared" si="124"/>
        <v>0</v>
      </c>
      <c r="H164" s="36" t="e">
        <f t="shared" si="64"/>
        <v>#DIV/0!</v>
      </c>
      <c r="I164" s="37" t="e">
        <f t="shared" si="80"/>
        <v>#DIV/0!</v>
      </c>
      <c r="J164" s="37" t="e">
        <f t="shared" si="81"/>
        <v>#DIV/0!</v>
      </c>
      <c r="K164" s="37" t="e">
        <f t="shared" si="82"/>
        <v>#DIV/0!</v>
      </c>
      <c r="L164" s="39" t="e">
        <f t="shared" si="65"/>
        <v>#DIV/0!</v>
      </c>
      <c r="M164" s="39" t="e">
        <f>M163+(1000*$C$2*(B164-B163))/(BerechnungenCLT!$W$47*2*'Berechnung freier Bereich'!G164)</f>
        <v>#DIV/0!</v>
      </c>
      <c r="N164" s="17" t="e">
        <f t="shared" si="83"/>
        <v>#DIV/0!</v>
      </c>
      <c r="O164" s="173">
        <f t="shared" si="84"/>
        <v>3131.2469211817661</v>
      </c>
      <c r="P164" s="173"/>
      <c r="Q164" s="173"/>
      <c r="R164" s="37" t="e">
        <f t="shared" si="66"/>
        <v>#DIV/0!</v>
      </c>
      <c r="S164" s="37" t="e">
        <f t="shared" si="67"/>
        <v>#DIV/0!</v>
      </c>
      <c r="T164" s="37" t="e">
        <f t="shared" si="68"/>
        <v>#DIV/0!</v>
      </c>
      <c r="U164" s="39" t="e">
        <f t="shared" si="69"/>
        <v>#DIV/0!</v>
      </c>
      <c r="V164" s="39" t="e">
        <f t="shared" si="85"/>
        <v>#DIV/0!</v>
      </c>
      <c r="W164" s="9" t="e">
        <f t="shared" si="86"/>
        <v>#DIV/0!</v>
      </c>
      <c r="AB164" s="129">
        <v>85.738263729591921</v>
      </c>
      <c r="AC164" s="9">
        <v>15.0625</v>
      </c>
      <c r="AD164" s="129">
        <f t="shared" si="87"/>
        <v>100.80222805788335</v>
      </c>
      <c r="AE164" s="36">
        <f t="shared" si="119"/>
        <v>1.5007598071139208E-2</v>
      </c>
      <c r="AF164" s="37">
        <f t="shared" si="88"/>
        <v>38649285.913275175</v>
      </c>
      <c r="AG164" s="36">
        <f t="shared" si="70"/>
        <v>1.9741678727901195</v>
      </c>
      <c r="AH164" s="37">
        <f t="shared" si="89"/>
        <v>-2.0370520341210681E-4</v>
      </c>
      <c r="AI164" s="37">
        <f t="shared" si="90"/>
        <v>-2.2969596544090178E-2</v>
      </c>
      <c r="AJ164" s="37">
        <f t="shared" si="91"/>
        <v>-1.310109886261982</v>
      </c>
      <c r="AK164" s="39">
        <f t="shared" si="92"/>
        <v>2.0533938370924709E-2</v>
      </c>
      <c r="AL164" s="39">
        <f>AL163+(1000*$C$2*($B164-$B163))/(BerechnungenCLT!$W$47*2*AF164)</f>
        <v>6.5821554773339563E-3</v>
      </c>
      <c r="AM164" s="37">
        <f t="shared" si="71"/>
        <v>2.6081265326369202E-6</v>
      </c>
      <c r="AN164" s="173">
        <f t="shared" si="93"/>
        <v>3091.1336940216424</v>
      </c>
      <c r="AO164" s="173">
        <v>-258.19052044342288</v>
      </c>
      <c r="AV164" s="129">
        <v>110.95332824986208</v>
      </c>
      <c r="AW164" s="9">
        <v>9.9375</v>
      </c>
      <c r="AX164" s="129">
        <f t="shared" si="94"/>
        <v>121.18261111009961</v>
      </c>
      <c r="AY164" s="36">
        <f t="shared" si="120"/>
        <v>1.2681959596527161E-2</v>
      </c>
      <c r="AZ164" s="37">
        <f t="shared" si="95"/>
        <v>50347130.220874138</v>
      </c>
      <c r="BA164" s="36">
        <f t="shared" si="72"/>
        <v>1.9922553453104817</v>
      </c>
      <c r="BB164" s="37">
        <f t="shared" si="96"/>
        <v>-1.5637555932497199E-4</v>
      </c>
      <c r="BC164" s="37">
        <f t="shared" si="97"/>
        <v>-2.0861299718676115E-2</v>
      </c>
      <c r="BD164" s="37">
        <f t="shared" si="98"/>
        <v>-1.2573333828244388</v>
      </c>
      <c r="BE164" s="39">
        <f t="shared" si="99"/>
        <v>1.8949998592802393E-2</v>
      </c>
      <c r="BF164" s="39">
        <f>BF163+(1000*$C$2*($B164-$B163))/(BerechnungenCLT!$W$47*2*AZ164)</f>
        <v>5.9726400022067768E-3</v>
      </c>
      <c r="BG164" s="37">
        <f t="shared" si="73"/>
        <v>2.4069417775843117E-6</v>
      </c>
      <c r="BH164" s="173">
        <f t="shared" si="100"/>
        <v>1996.0860397390065</v>
      </c>
      <c r="BI164">
        <v>-258.18898190033235</v>
      </c>
      <c r="BP164" s="129">
        <v>86.14502959755032</v>
      </c>
      <c r="BQ164" s="9">
        <v>15.0625</v>
      </c>
      <c r="BR164" s="129">
        <f t="shared" si="101"/>
        <v>101.20812131802207</v>
      </c>
      <c r="BS164" s="36">
        <f t="shared" si="121"/>
        <v>1.5072105178169032E-2</v>
      </c>
      <c r="BT164" s="37">
        <f t="shared" si="102"/>
        <v>39152120.388936996</v>
      </c>
      <c r="BU164" s="36">
        <f t="shared" si="74"/>
        <v>1.9743922708218626</v>
      </c>
      <c r="BV164" s="37">
        <f t="shared" si="103"/>
        <v>-2.0108899774738741E-4</v>
      </c>
      <c r="BW164" s="37">
        <f t="shared" si="104"/>
        <v>-2.2990968248544279E-2</v>
      </c>
      <c r="BX164" s="37">
        <f t="shared" si="105"/>
        <v>-1.3121450716923067</v>
      </c>
      <c r="BY164" s="39">
        <f t="shared" si="106"/>
        <v>2.0351839679737051E-2</v>
      </c>
      <c r="BZ164" s="39">
        <f>BZ163+(1000*$C$2*($B164-$B163))/(BerechnungenCLT!$W$47*2*BT164)</f>
        <v>6.5883341105025086E-3</v>
      </c>
      <c r="CA164" s="37">
        <f t="shared" si="75"/>
        <v>2.58499719332238E-6</v>
      </c>
      <c r="CB164" s="173">
        <f t="shared" si="107"/>
        <v>3064.3757780915912</v>
      </c>
      <c r="CC164" s="9">
        <v>-258.20536999661135</v>
      </c>
      <c r="CJ164" s="9">
        <f t="shared" si="123"/>
        <v>113</v>
      </c>
      <c r="CK164" s="129">
        <v>85.400560481122369</v>
      </c>
      <c r="CL164" s="9">
        <v>10.09375</v>
      </c>
      <c r="CM164" s="129">
        <f t="shared" si="108"/>
        <v>95.494310481131166</v>
      </c>
      <c r="CN164" s="36">
        <f t="shared" si="122"/>
        <v>9.7516384540703941E-3</v>
      </c>
      <c r="CO164" s="173">
        <f t="shared" si="109"/>
        <v>3287.0894119197114</v>
      </c>
      <c r="CP164" s="9">
        <v>-631.43268800232579</v>
      </c>
      <c r="CQ164" s="129"/>
      <c r="CR164" s="36">
        <f t="shared" si="110"/>
        <v>0.83513260065092521</v>
      </c>
      <c r="CS164" s="17">
        <f t="shared" si="76"/>
        <v>0.60036097599787408</v>
      </c>
      <c r="CT164" s="9">
        <f t="shared" si="77"/>
        <v>10.087680982152053</v>
      </c>
      <c r="CU164" s="9">
        <f t="shared" si="111"/>
        <v>95.488241463283217</v>
      </c>
      <c r="CV164" s="9">
        <v>13.2</v>
      </c>
      <c r="CW164" s="9">
        <f t="shared" si="112"/>
        <v>98.600560481133883</v>
      </c>
      <c r="CX164">
        <f t="shared" si="113"/>
        <v>22</v>
      </c>
      <c r="CY164" s="9">
        <f t="shared" si="78"/>
        <v>626.21122014244258</v>
      </c>
      <c r="CZ164" s="17">
        <f t="shared" si="114"/>
        <v>0.58965274966331693</v>
      </c>
      <c r="DA164">
        <v>45</v>
      </c>
      <c r="DB164" s="9">
        <f t="shared" si="115"/>
        <v>10.105503056865393</v>
      </c>
      <c r="DC164" s="9">
        <f t="shared" si="116"/>
        <v>10.940635657516317</v>
      </c>
    </row>
    <row r="165" spans="2:107" x14ac:dyDescent="0.25">
      <c r="B165" s="9">
        <f t="shared" si="117"/>
        <v>114</v>
      </c>
      <c r="C165" s="9">
        <v>92.858042272153241</v>
      </c>
      <c r="D165" s="9"/>
      <c r="E165" s="9">
        <f t="shared" si="79"/>
        <v>92.858042272153241</v>
      </c>
      <c r="F165" s="36">
        <f t="shared" si="118"/>
        <v>0</v>
      </c>
      <c r="G165" s="37">
        <f t="shared" si="124"/>
        <v>0</v>
      </c>
      <c r="H165" s="36" t="e">
        <f t="shared" si="64"/>
        <v>#DIV/0!</v>
      </c>
      <c r="I165" s="37" t="e">
        <f t="shared" si="80"/>
        <v>#DIV/0!</v>
      </c>
      <c r="J165" s="37" t="e">
        <f t="shared" si="81"/>
        <v>#DIV/0!</v>
      </c>
      <c r="K165" s="37" t="e">
        <f t="shared" si="82"/>
        <v>#DIV/0!</v>
      </c>
      <c r="L165" s="39" t="e">
        <f t="shared" si="65"/>
        <v>#DIV/0!</v>
      </c>
      <c r="M165" s="39" t="e">
        <f>M164+(1000*$C$2*(B165-B164))/(BerechnungenCLT!$W$47*2*'Berechnung freier Bereich'!G165)</f>
        <v>#DIV/0!</v>
      </c>
      <c r="N165" s="17" t="e">
        <f t="shared" si="83"/>
        <v>#DIV/0!</v>
      </c>
      <c r="O165" s="173">
        <f t="shared" si="84"/>
        <v>3118.638141745093</v>
      </c>
      <c r="P165" s="173"/>
      <c r="Q165" s="173"/>
      <c r="R165" s="37" t="e">
        <f t="shared" si="66"/>
        <v>#DIV/0!</v>
      </c>
      <c r="S165" s="37" t="e">
        <f t="shared" si="67"/>
        <v>#DIV/0!</v>
      </c>
      <c r="T165" s="37" t="e">
        <f t="shared" si="68"/>
        <v>#DIV/0!</v>
      </c>
      <c r="U165" s="39" t="e">
        <f t="shared" si="69"/>
        <v>#DIV/0!</v>
      </c>
      <c r="V165" s="39" t="e">
        <f t="shared" si="85"/>
        <v>#DIV/0!</v>
      </c>
      <c r="W165" s="9" t="e">
        <f t="shared" si="86"/>
        <v>#DIV/0!</v>
      </c>
      <c r="AB165" s="129">
        <v>85.752208014556246</v>
      </c>
      <c r="AC165" s="9">
        <v>15.0625</v>
      </c>
      <c r="AD165" s="129">
        <f t="shared" si="87"/>
        <v>100.81761729907078</v>
      </c>
      <c r="AE165" s="36">
        <f t="shared" si="119"/>
        <v>1.5011397794520067E-2</v>
      </c>
      <c r="AF165" s="37">
        <f t="shared" si="88"/>
        <v>38671199.917864762</v>
      </c>
      <c r="AG165" s="36">
        <f t="shared" si="70"/>
        <v>1.9741710099513401</v>
      </c>
      <c r="AH165" s="37">
        <f t="shared" si="89"/>
        <v>-2.0358976875344665E-4</v>
      </c>
      <c r="AI165" s="37">
        <f t="shared" si="90"/>
        <v>-2.3173186312843624E-2</v>
      </c>
      <c r="AJ165" s="37">
        <f t="shared" si="91"/>
        <v>-1.3331812776904488</v>
      </c>
      <c r="AK165" s="39">
        <f t="shared" si="92"/>
        <v>2.0525435392191302E-2</v>
      </c>
      <c r="AL165" s="39">
        <f>AL164+(1000*$C$2*($B165-$B164))/(BerechnungenCLT!$W$47*2*AF165)</f>
        <v>6.6410139936912017E-3</v>
      </c>
      <c r="AM165" s="37">
        <f t="shared" si="71"/>
        <v>2.6070465233352252E-6</v>
      </c>
      <c r="AN165" s="173">
        <f t="shared" si="93"/>
        <v>3090.1617606151458</v>
      </c>
      <c r="AO165" s="173">
        <v>-258.11921061243555</v>
      </c>
      <c r="AV165" s="129">
        <v>111.19743009264774</v>
      </c>
      <c r="AW165" s="9">
        <v>9.875</v>
      </c>
      <c r="AX165" s="129">
        <f t="shared" si="94"/>
        <v>121.34632631990537</v>
      </c>
      <c r="AY165" s="36">
        <f t="shared" si="120"/>
        <v>1.2604403264749637E-2</v>
      </c>
      <c r="AZ165" s="37">
        <f t="shared" si="95"/>
        <v>50213346.415812597</v>
      </c>
      <c r="BA165" s="36">
        <f t="shared" si="72"/>
        <v>1.992402882931094</v>
      </c>
      <c r="BB165" s="37">
        <f t="shared" si="96"/>
        <v>-1.5679219193041278E-4</v>
      </c>
      <c r="BC165" s="37">
        <f t="shared" si="97"/>
        <v>-2.1018091910606527E-2</v>
      </c>
      <c r="BD165" s="37">
        <f t="shared" si="98"/>
        <v>-1.2782730786390801</v>
      </c>
      <c r="BE165" s="39">
        <f t="shared" si="99"/>
        <v>1.9026156486401102E-2</v>
      </c>
      <c r="BF165" s="39">
        <f>BF164+(1000*$C$2*($B165-$B164))/(BerechnungenCLT!$W$47*2*AZ165)</f>
        <v>6.0179691749345111E-3</v>
      </c>
      <c r="BG165" s="37">
        <f t="shared" si="73"/>
        <v>2.4166150034105757E-6</v>
      </c>
      <c r="BH165" s="173">
        <f t="shared" si="100"/>
        <v>1989.091019619191</v>
      </c>
      <c r="BI165">
        <v>-258.8542376939161</v>
      </c>
      <c r="BP165" s="129">
        <v>86.153893582918286</v>
      </c>
      <c r="BQ165" s="9">
        <v>15.0625</v>
      </c>
      <c r="BR165" s="129">
        <f t="shared" si="101"/>
        <v>101.21703369435608</v>
      </c>
      <c r="BS165" s="36">
        <f t="shared" si="121"/>
        <v>1.5073583667736114E-2</v>
      </c>
      <c r="BT165" s="37">
        <f t="shared" si="102"/>
        <v>39163345.596365206</v>
      </c>
      <c r="BU165" s="36">
        <f t="shared" si="74"/>
        <v>1.9743969198657612</v>
      </c>
      <c r="BV165" s="37">
        <f t="shared" si="103"/>
        <v>-2.0103136054410787E-4</v>
      </c>
      <c r="BW165" s="37">
        <f t="shared" si="104"/>
        <v>-2.3191999609088389E-2</v>
      </c>
      <c r="BX165" s="37">
        <f t="shared" si="105"/>
        <v>-1.335236555621123</v>
      </c>
      <c r="BY165" s="39">
        <f t="shared" si="106"/>
        <v>2.0347797993815211E-2</v>
      </c>
      <c r="BZ165" s="39">
        <f>BZ164+(1000*$C$2*($B165-$B164))/(BerechnungenCLT!$W$47*2*BT165)</f>
        <v>6.6464529820713146E-3</v>
      </c>
      <c r="CA165" s="37">
        <f t="shared" si="75"/>
        <v>2.5844838369414011E-6</v>
      </c>
      <c r="CB165" s="173">
        <f t="shared" si="107"/>
        <v>3063.794355252996</v>
      </c>
      <c r="CC165" s="9">
        <v>-258.15637910579534</v>
      </c>
      <c r="CJ165" s="9">
        <f t="shared" si="123"/>
        <v>114</v>
      </c>
      <c r="CK165" s="129">
        <v>85.400559160574204</v>
      </c>
      <c r="CL165" s="9">
        <v>10.09375</v>
      </c>
      <c r="CM165" s="129">
        <f t="shared" si="108"/>
        <v>95.494310814562795</v>
      </c>
      <c r="CN165" s="36">
        <f t="shared" si="122"/>
        <v>9.7516399987779296E-3</v>
      </c>
      <c r="CO165" s="173">
        <f t="shared" si="109"/>
        <v>3287.0894477940333</v>
      </c>
      <c r="CP165" s="9">
        <v>-631.43269489359545</v>
      </c>
      <c r="CQ165" s="129"/>
      <c r="CR165" s="36">
        <f t="shared" si="110"/>
        <v>0.8351325989667594</v>
      </c>
      <c r="CS165" s="17">
        <f t="shared" si="76"/>
        <v>0.60036097478715922</v>
      </c>
      <c r="CT165" s="9">
        <f t="shared" si="77"/>
        <v>10.087681002495323</v>
      </c>
      <c r="CU165" s="9">
        <f t="shared" si="111"/>
        <v>95.488241816063635</v>
      </c>
      <c r="CV165" s="9">
        <v>13.2</v>
      </c>
      <c r="CW165" s="9">
        <f t="shared" si="112"/>
        <v>98.600561323561138</v>
      </c>
      <c r="CX165">
        <f t="shared" si="113"/>
        <v>22</v>
      </c>
      <c r="CY165" s="9">
        <f t="shared" si="78"/>
        <v>626.21122982554152</v>
      </c>
      <c r="CZ165" s="17">
        <f t="shared" si="114"/>
        <v>0.58965275878111256</v>
      </c>
      <c r="DA165">
        <v>45</v>
      </c>
      <c r="DB165" s="9">
        <f t="shared" si="115"/>
        <v>10.105503213126706</v>
      </c>
      <c r="DC165" s="9">
        <f t="shared" si="116"/>
        <v>10.940635812136504</v>
      </c>
    </row>
    <row r="166" spans="2:107" x14ac:dyDescent="0.25">
      <c r="B166" s="9">
        <f t="shared" si="117"/>
        <v>115</v>
      </c>
      <c r="C166" s="9">
        <v>93.045892217129776</v>
      </c>
      <c r="D166" s="9"/>
      <c r="E166" s="9">
        <f t="shared" si="79"/>
        <v>93.045892217129776</v>
      </c>
      <c r="F166" s="36">
        <f t="shared" si="118"/>
        <v>0</v>
      </c>
      <c r="G166" s="37">
        <f t="shared" si="124"/>
        <v>0</v>
      </c>
      <c r="H166" s="36" t="e">
        <f t="shared" si="64"/>
        <v>#DIV/0!</v>
      </c>
      <c r="I166" s="37" t="e">
        <f t="shared" si="80"/>
        <v>#DIV/0!</v>
      </c>
      <c r="J166" s="37" t="e">
        <f t="shared" si="81"/>
        <v>#DIV/0!</v>
      </c>
      <c r="K166" s="37" t="e">
        <f t="shared" si="82"/>
        <v>#DIV/0!</v>
      </c>
      <c r="L166" s="39" t="e">
        <f t="shared" si="65"/>
        <v>#DIV/0!</v>
      </c>
      <c r="M166" s="39" t="e">
        <f>M165+(1000*$C$2*(B166-B165))/(BerechnungenCLT!$W$47*2*'Berechnung freier Bereich'!G166)</f>
        <v>#DIV/0!</v>
      </c>
      <c r="N166" s="17" t="e">
        <f t="shared" si="83"/>
        <v>#DIV/0!</v>
      </c>
      <c r="O166" s="173">
        <f t="shared" si="84"/>
        <v>3106.0584433078966</v>
      </c>
      <c r="P166" s="173"/>
      <c r="Q166" s="173"/>
      <c r="R166" s="37" t="e">
        <f t="shared" si="66"/>
        <v>#DIV/0!</v>
      </c>
      <c r="S166" s="37" t="e">
        <f t="shared" si="67"/>
        <v>#DIV/0!</v>
      </c>
      <c r="T166" s="37" t="e">
        <f t="shared" si="68"/>
        <v>#DIV/0!</v>
      </c>
      <c r="U166" s="39" t="e">
        <f t="shared" si="69"/>
        <v>#DIV/0!</v>
      </c>
      <c r="V166" s="39" t="e">
        <f t="shared" si="85"/>
        <v>#DIV/0!</v>
      </c>
      <c r="W166" s="9" t="e">
        <f t="shared" si="86"/>
        <v>#DIV/0!</v>
      </c>
      <c r="AB166" s="129">
        <v>85.77186335340447</v>
      </c>
      <c r="AC166" s="9">
        <v>15.0625</v>
      </c>
      <c r="AD166" s="129">
        <f t="shared" si="87"/>
        <v>100.83936753981601</v>
      </c>
      <c r="AE166" s="36">
        <f t="shared" si="119"/>
        <v>1.5016817139809372E-2</v>
      </c>
      <c r="AF166" s="37">
        <f t="shared" si="88"/>
        <v>38702292.02616559</v>
      </c>
      <c r="AG166" s="36">
        <f t="shared" si="70"/>
        <v>1.9741752485415782</v>
      </c>
      <c r="AH166" s="37">
        <f t="shared" si="89"/>
        <v>-2.0342621164073761E-4</v>
      </c>
      <c r="AI166" s="37">
        <f t="shared" si="90"/>
        <v>-2.3376612524484364E-2</v>
      </c>
      <c r="AJ166" s="37">
        <f t="shared" si="91"/>
        <v>-1.3564561771091128</v>
      </c>
      <c r="AK166" s="39">
        <f t="shared" si="92"/>
        <v>2.0513370522872738E-2</v>
      </c>
      <c r="AL166" s="39">
        <f>AL165+(1000*$C$2*($B166-$B165))/(BerechnungenCLT!$W$47*2*AF166)</f>
        <v>6.6998252251133901E-3</v>
      </c>
      <c r="AM166" s="37">
        <f t="shared" si="71"/>
        <v>2.6055140990523558E-6</v>
      </c>
      <c r="AN166" s="173">
        <f t="shared" si="93"/>
        <v>3088.7906133025067</v>
      </c>
      <c r="AO166" s="173">
        <v>-258.02672154108649</v>
      </c>
      <c r="AV166" s="129">
        <v>111.4345839613633</v>
      </c>
      <c r="AW166" s="9">
        <v>9.875</v>
      </c>
      <c r="AX166" s="129">
        <f t="shared" si="94"/>
        <v>121.56827278439008</v>
      </c>
      <c r="AY166" s="36">
        <f t="shared" si="120"/>
        <v>1.2610363457000853E-2</v>
      </c>
      <c r="AZ166" s="37">
        <f t="shared" si="95"/>
        <v>50434984.434162781</v>
      </c>
      <c r="BA166" s="36">
        <f t="shared" si="72"/>
        <v>1.9924553036387032</v>
      </c>
      <c r="BB166" s="37">
        <f t="shared" si="96"/>
        <v>-1.5610316404427151E-4</v>
      </c>
      <c r="BC166" s="37">
        <f t="shared" si="97"/>
        <v>-2.1174195074650799E-2</v>
      </c>
      <c r="BD166" s="37">
        <f t="shared" si="98"/>
        <v>-1.2993692221317088</v>
      </c>
      <c r="BE166" s="39">
        <f t="shared" si="99"/>
        <v>1.8977192029040392E-2</v>
      </c>
      <c r="BF166" s="39">
        <f>BF165+(1000*$C$2*($B166-$B165))/(BerechnungenCLT!$W$47*2*AZ166)</f>
        <v>6.0630991472831923E-3</v>
      </c>
      <c r="BG166" s="37">
        <f t="shared" si="73"/>
        <v>2.4103957629467265E-6</v>
      </c>
      <c r="BH166" s="173">
        <f t="shared" si="100"/>
        <v>1981.2602770938872</v>
      </c>
      <c r="BI166">
        <v>-257.76147742090291</v>
      </c>
      <c r="BP166" s="129">
        <v>86.16311290262361</v>
      </c>
      <c r="BQ166" s="9">
        <v>15.0625</v>
      </c>
      <c r="BR166" s="129">
        <f t="shared" si="101"/>
        <v>101.22630870604539</v>
      </c>
      <c r="BS166" s="36">
        <f t="shared" si="121"/>
        <v>1.5075127232578648E-2</v>
      </c>
      <c r="BT166" s="37">
        <f t="shared" si="102"/>
        <v>39175040.56871824</v>
      </c>
      <c r="BU166" s="36">
        <f t="shared" si="74"/>
        <v>1.9744017373120251</v>
      </c>
      <c r="BV166" s="37">
        <f t="shared" si="103"/>
        <v>-2.0097134640833353E-4</v>
      </c>
      <c r="BW166" s="37">
        <f t="shared" si="104"/>
        <v>-2.3392970955496722E-2</v>
      </c>
      <c r="BX166" s="37">
        <f t="shared" si="105"/>
        <v>-1.3585290409034156</v>
      </c>
      <c r="BY166" s="39">
        <f t="shared" si="106"/>
        <v>2.0343587552599556E-2</v>
      </c>
      <c r="BZ166" s="39">
        <f>BZ165+(1000*$C$2*($B166-$B165))/(BerechnungenCLT!$W$47*2*BT166)</f>
        <v>6.7045545033429339E-3</v>
      </c>
      <c r="CA166" s="37">
        <f t="shared" si="75"/>
        <v>2.5839490460381518E-6</v>
      </c>
      <c r="CB166" s="173">
        <f t="shared" si="107"/>
        <v>3063.1896249380607</v>
      </c>
      <c r="CC166" s="9">
        <v>-258.10542431890781</v>
      </c>
      <c r="CJ166" s="9">
        <f t="shared" si="123"/>
        <v>115</v>
      </c>
      <c r="CK166" s="129">
        <v>85.401131633560055</v>
      </c>
      <c r="CL166" s="9">
        <v>10.09375</v>
      </c>
      <c r="CM166" s="129">
        <f t="shared" si="108"/>
        <v>95.494888634355135</v>
      </c>
      <c r="CN166" s="36">
        <f t="shared" si="122"/>
        <v>9.7517071741203554E-3</v>
      </c>
      <c r="CO166" s="173">
        <f t="shared" si="109"/>
        <v>3287.0476436324411</v>
      </c>
      <c r="CP166" s="9">
        <v>-631.42466453274528</v>
      </c>
      <c r="CQ166" s="129"/>
      <c r="CR166" s="36">
        <f t="shared" si="110"/>
        <v>0.83512968039905555</v>
      </c>
      <c r="CS166" s="17">
        <f t="shared" si="76"/>
        <v>0.6003588766842306</v>
      </c>
      <c r="CT166" s="9">
        <f t="shared" si="77"/>
        <v>10.087716256397407</v>
      </c>
      <c r="CU166" s="9">
        <f t="shared" si="111"/>
        <v>95.48885488656768</v>
      </c>
      <c r="CV166" s="9">
        <v>13.2</v>
      </c>
      <c r="CW166" s="9">
        <f t="shared" si="112"/>
        <v>98.601140788779375</v>
      </c>
      <c r="CX166">
        <f t="shared" si="113"/>
        <v>22</v>
      </c>
      <c r="CY166" s="9">
        <f t="shared" si="78"/>
        <v>626.20703211755279</v>
      </c>
      <c r="CZ166" s="17">
        <f t="shared" si="114"/>
        <v>0.58964880613705539</v>
      </c>
      <c r="DA166">
        <v>45</v>
      </c>
      <c r="DB166" s="9">
        <f t="shared" si="115"/>
        <v>10.105435472483377</v>
      </c>
      <c r="DC166" s="9">
        <f t="shared" si="116"/>
        <v>10.940565153064178</v>
      </c>
    </row>
    <row r="167" spans="2:107" x14ac:dyDescent="0.25">
      <c r="B167" s="9">
        <f t="shared" si="117"/>
        <v>116</v>
      </c>
      <c r="C167" s="9">
        <v>93.234436835811067</v>
      </c>
      <c r="D167" s="9"/>
      <c r="E167" s="9">
        <f t="shared" si="79"/>
        <v>93.234436835811067</v>
      </c>
      <c r="F167" s="36">
        <f t="shared" si="118"/>
        <v>0</v>
      </c>
      <c r="G167" s="37">
        <f t="shared" si="124"/>
        <v>0</v>
      </c>
      <c r="H167" s="36" t="e">
        <f t="shared" si="64"/>
        <v>#DIV/0!</v>
      </c>
      <c r="I167" s="37" t="e">
        <f t="shared" si="80"/>
        <v>#DIV/0!</v>
      </c>
      <c r="J167" s="37" t="e">
        <f t="shared" si="81"/>
        <v>#DIV/0!</v>
      </c>
      <c r="K167" s="37" t="e">
        <f t="shared" si="82"/>
        <v>#DIV/0!</v>
      </c>
      <c r="L167" s="39" t="e">
        <f t="shared" si="65"/>
        <v>#DIV/0!</v>
      </c>
      <c r="M167" s="39" t="e">
        <f>M166+(1000*$C$2*(B167-B166))/(BerechnungenCLT!$W$47*2*'Berechnung freier Bereich'!G167)</f>
        <v>#DIV/0!</v>
      </c>
      <c r="N167" s="17" t="e">
        <f t="shared" si="83"/>
        <v>#DIV/0!</v>
      </c>
      <c r="O167" s="173">
        <f t="shared" si="84"/>
        <v>3093.5086071124133</v>
      </c>
      <c r="P167" s="173"/>
      <c r="Q167" s="173"/>
      <c r="R167" s="37" t="e">
        <f t="shared" si="66"/>
        <v>#DIV/0!</v>
      </c>
      <c r="S167" s="37" t="e">
        <f t="shared" si="67"/>
        <v>#DIV/0!</v>
      </c>
      <c r="T167" s="37" t="e">
        <f t="shared" si="68"/>
        <v>#DIV/0!</v>
      </c>
      <c r="U167" s="39" t="e">
        <f t="shared" si="69"/>
        <v>#DIV/0!</v>
      </c>
      <c r="V167" s="39" t="e">
        <f t="shared" si="85"/>
        <v>#DIV/0!</v>
      </c>
      <c r="W167" s="9" t="e">
        <f t="shared" si="86"/>
        <v>#DIV/0!</v>
      </c>
      <c r="AB167" s="129">
        <v>85.797642543898903</v>
      </c>
      <c r="AC167" s="9">
        <v>15.0625</v>
      </c>
      <c r="AD167" s="129">
        <f t="shared" si="87"/>
        <v>100.8680054777045</v>
      </c>
      <c r="AE167" s="36">
        <f t="shared" si="119"/>
        <v>1.5024046109174237E-2</v>
      </c>
      <c r="AF167" s="37">
        <f t="shared" si="88"/>
        <v>38743457.740966313</v>
      </c>
      <c r="AG167" s="36">
        <f t="shared" si="70"/>
        <v>1.9741804576270767</v>
      </c>
      <c r="AH167" s="37">
        <f t="shared" si="89"/>
        <v>-2.032100671379061E-4</v>
      </c>
      <c r="AI167" s="37">
        <f t="shared" si="90"/>
        <v>-2.3579822591622269E-2</v>
      </c>
      <c r="AJ167" s="37">
        <f t="shared" si="91"/>
        <v>-1.3799343946671661</v>
      </c>
      <c r="AK167" s="39">
        <f t="shared" si="92"/>
        <v>2.0497394165191012E-2</v>
      </c>
      <c r="AL167" s="39">
        <f>AL166+(1000*$C$2*($B167-$B166))/(BerechnungenCLT!$W$47*2*AF167)</f>
        <v>6.7585739684015564E-3</v>
      </c>
      <c r="AM167" s="37">
        <f t="shared" si="71"/>
        <v>2.6034848554843707E-6</v>
      </c>
      <c r="AN167" s="173">
        <f t="shared" si="93"/>
        <v>3086.9899754542807</v>
      </c>
      <c r="AO167" s="173">
        <v>-257.91024558652964</v>
      </c>
      <c r="AV167" s="129">
        <v>111.66497259186528</v>
      </c>
      <c r="AW167" s="9">
        <v>9.8125</v>
      </c>
      <c r="AX167" s="129">
        <f t="shared" si="94"/>
        <v>121.72022003094554</v>
      </c>
      <c r="AY167" s="36">
        <f t="shared" si="120"/>
        <v>1.2533283243499732E-2</v>
      </c>
      <c r="AZ167" s="37">
        <f t="shared" si="95"/>
        <v>50289574.27862592</v>
      </c>
      <c r="BA167" s="36">
        <f t="shared" si="72"/>
        <v>1.992595581091898</v>
      </c>
      <c r="BB167" s="37">
        <f t="shared" si="96"/>
        <v>-1.5655452967400842E-4</v>
      </c>
      <c r="BC167" s="37">
        <f t="shared" si="97"/>
        <v>-2.1330749604324808E-2</v>
      </c>
      <c r="BD167" s="37">
        <f t="shared" si="98"/>
        <v>-1.3206216944711966</v>
      </c>
      <c r="BE167" s="39">
        <f t="shared" si="99"/>
        <v>1.9055851798761497E-2</v>
      </c>
      <c r="BF167" s="39">
        <f>BF166+(1000*$C$2*($B167-$B166))/(BerechnungenCLT!$W$47*2*AZ167)</f>
        <v>6.1083596110188603E-3</v>
      </c>
      <c r="BG167" s="37">
        <f t="shared" si="73"/>
        <v>2.4203867655861043E-6</v>
      </c>
      <c r="BH167" s="173">
        <f t="shared" si="100"/>
        <v>1974.7741209121587</v>
      </c>
      <c r="BI167">
        <v>-258.46791721898626</v>
      </c>
      <c r="BP167" s="129">
        <v>86.172724924783992</v>
      </c>
      <c r="BQ167" s="9">
        <v>15.0625</v>
      </c>
      <c r="BR167" s="129">
        <f t="shared" si="101"/>
        <v>101.23598438419963</v>
      </c>
      <c r="BS167" s="36">
        <f t="shared" si="121"/>
        <v>1.5076742604837766E-2</v>
      </c>
      <c r="BT167" s="37">
        <f t="shared" si="102"/>
        <v>39187254.435583957</v>
      </c>
      <c r="BU167" s="36">
        <f t="shared" si="74"/>
        <v>1.9744067411733623</v>
      </c>
      <c r="BV167" s="37">
        <f t="shared" si="103"/>
        <v>-2.0090870774420129E-4</v>
      </c>
      <c r="BW167" s="37">
        <f t="shared" si="104"/>
        <v>-2.3593879663240922E-2</v>
      </c>
      <c r="BX167" s="37">
        <f t="shared" si="105"/>
        <v>-1.3820224662127845</v>
      </c>
      <c r="BY167" s="39">
        <f t="shared" si="106"/>
        <v>2.0339190799841689E-2</v>
      </c>
      <c r="BZ167" s="39">
        <f>BZ166+(1000*$C$2*($B167-$B166))/(BerechnungenCLT!$W$47*2*BT167)</f>
        <v>6.7626379155570106E-3</v>
      </c>
      <c r="CA167" s="37">
        <f t="shared" si="75"/>
        <v>2.5833905906986015E-6</v>
      </c>
      <c r="CB167" s="173">
        <f t="shared" si="107"/>
        <v>3062.5591436395089</v>
      </c>
      <c r="CC167" s="9">
        <v>-258.05229974517488</v>
      </c>
      <c r="CJ167" s="9">
        <f t="shared" si="123"/>
        <v>116</v>
      </c>
      <c r="CK167" s="129">
        <v>85.402309408973395</v>
      </c>
      <c r="CL167" s="9">
        <v>10.09375</v>
      </c>
      <c r="CM167" s="129">
        <f t="shared" si="108"/>
        <v>95.496076026931277</v>
      </c>
      <c r="CN167" s="36">
        <f t="shared" si="122"/>
        <v>9.7518439665172808E-3</v>
      </c>
      <c r="CO167" s="173">
        <f t="shared" si="109"/>
        <v>3286.9616907476288</v>
      </c>
      <c r="CP167" s="9">
        <v>-631.40815343301631</v>
      </c>
      <c r="CQ167" s="129"/>
      <c r="CR167" s="36">
        <f t="shared" si="110"/>
        <v>0.83512368290907035</v>
      </c>
      <c r="CS167" s="17">
        <f t="shared" si="76"/>
        <v>0.60035456520251107</v>
      </c>
      <c r="CT167" s="9">
        <f t="shared" si="77"/>
        <v>10.087788701926687</v>
      </c>
      <c r="CU167" s="9">
        <f t="shared" si="111"/>
        <v>95.490114719043518</v>
      </c>
      <c r="CV167" s="9">
        <v>13.2</v>
      </c>
      <c r="CW167" s="9">
        <f t="shared" si="112"/>
        <v>98.602331140940606</v>
      </c>
      <c r="CX167">
        <f t="shared" si="113"/>
        <v>22</v>
      </c>
      <c r="CY167" s="9">
        <f t="shared" si="78"/>
        <v>626.19839615382784</v>
      </c>
      <c r="CZ167" s="17">
        <f t="shared" si="114"/>
        <v>0.58964067434447065</v>
      </c>
      <c r="DA167">
        <v>45</v>
      </c>
      <c r="DB167" s="9">
        <f t="shared" si="115"/>
        <v>10.105296109349956</v>
      </c>
      <c r="DC167" s="9">
        <f t="shared" si="116"/>
        <v>10.940419792690276</v>
      </c>
    </row>
    <row r="168" spans="2:107" x14ac:dyDescent="0.25">
      <c r="B168" s="9">
        <f t="shared" si="117"/>
        <v>117</v>
      </c>
      <c r="C168" s="9">
        <v>93.423667965070351</v>
      </c>
      <c r="D168" s="9"/>
      <c r="E168" s="9">
        <f t="shared" si="79"/>
        <v>93.423667965070351</v>
      </c>
      <c r="F168" s="36">
        <f t="shared" si="118"/>
        <v>0</v>
      </c>
      <c r="G168" s="37">
        <f t="shared" si="124"/>
        <v>0</v>
      </c>
      <c r="H168" s="36" t="e">
        <f t="shared" si="64"/>
        <v>#DIV/0!</v>
      </c>
      <c r="I168" s="37" t="e">
        <f t="shared" si="80"/>
        <v>#DIV/0!</v>
      </c>
      <c r="J168" s="37" t="e">
        <f t="shared" si="81"/>
        <v>#DIV/0!</v>
      </c>
      <c r="K168" s="37" t="e">
        <f t="shared" si="82"/>
        <v>#DIV/0!</v>
      </c>
      <c r="L168" s="39" t="e">
        <f t="shared" si="65"/>
        <v>#DIV/0!</v>
      </c>
      <c r="M168" s="39" t="e">
        <f>M167+(1000*$C$2*(B168-B167))/(BerechnungenCLT!$W$47*2*'Berechnung freier Bereich'!G168)</f>
        <v>#DIV/0!</v>
      </c>
      <c r="N168" s="17" t="e">
        <f t="shared" si="83"/>
        <v>#DIV/0!</v>
      </c>
      <c r="O168" s="173">
        <f t="shared" si="84"/>
        <v>3080.9893968664051</v>
      </c>
      <c r="P168" s="173"/>
      <c r="Q168" s="173"/>
      <c r="R168" s="37" t="e">
        <f t="shared" si="66"/>
        <v>#DIV/0!</v>
      </c>
      <c r="S168" s="37" t="e">
        <f t="shared" si="67"/>
        <v>#DIV/0!</v>
      </c>
      <c r="T168" s="37" t="e">
        <f t="shared" si="68"/>
        <v>#DIV/0!</v>
      </c>
      <c r="U168" s="39" t="e">
        <f t="shared" si="69"/>
        <v>#DIV/0!</v>
      </c>
      <c r="V168" s="39" t="e">
        <f t="shared" si="85"/>
        <v>#DIV/0!</v>
      </c>
      <c r="W168" s="9" t="e">
        <f t="shared" si="86"/>
        <v>#DIV/0!</v>
      </c>
      <c r="AB168" s="129">
        <v>85.829958383801909</v>
      </c>
      <c r="AC168" s="9">
        <v>15.0625</v>
      </c>
      <c r="AD168" s="129">
        <f t="shared" si="87"/>
        <v>100.90406531259632</v>
      </c>
      <c r="AE168" s="36">
        <f t="shared" si="119"/>
        <v>1.5033283276633868E-2</v>
      </c>
      <c r="AF168" s="37">
        <f t="shared" si="88"/>
        <v>38795625.13937854</v>
      </c>
      <c r="AG168" s="36">
        <f t="shared" si="70"/>
        <v>1.9741864825104483</v>
      </c>
      <c r="AH168" s="37">
        <f t="shared" si="89"/>
        <v>-2.0293681621088346E-4</v>
      </c>
      <c r="AI168" s="37">
        <f t="shared" si="90"/>
        <v>-2.3782759407833153E-2</v>
      </c>
      <c r="AJ168" s="37">
        <f t="shared" si="91"/>
        <v>-1.4036156856668938</v>
      </c>
      <c r="AK168" s="39">
        <f t="shared" si="92"/>
        <v>2.0477149757273341E-2</v>
      </c>
      <c r="AL168" s="39">
        <f>AL167+(1000*$C$2*($B168-$B167))/(BerechnungenCLT!$W$47*2*AF168)</f>
        <v>6.8172437138881315E-3</v>
      </c>
      <c r="AM168" s="37">
        <f t="shared" si="71"/>
        <v>2.6009135037799957E-6</v>
      </c>
      <c r="AN168" s="173">
        <f t="shared" si="93"/>
        <v>3084.7296870053206</v>
      </c>
      <c r="AO168" s="173">
        <v>-257.7669645838655</v>
      </c>
      <c r="AV168" s="129">
        <v>111.88877872001021</v>
      </c>
      <c r="AW168" s="9">
        <v>9.8125</v>
      </c>
      <c r="AX168" s="129">
        <f t="shared" si="94"/>
        <v>121.93049793606997</v>
      </c>
      <c r="AY168" s="36">
        <f t="shared" si="120"/>
        <v>1.2539700974338142E-2</v>
      </c>
      <c r="AZ168" s="37">
        <f t="shared" si="95"/>
        <v>50502069.231611691</v>
      </c>
      <c r="BA168" s="36">
        <f t="shared" si="72"/>
        <v>1.992642753891058</v>
      </c>
      <c r="BB168" s="37">
        <f t="shared" si="96"/>
        <v>-1.5589580325093416E-4</v>
      </c>
      <c r="BC168" s="37">
        <f t="shared" si="97"/>
        <v>-2.1486645407575743E-2</v>
      </c>
      <c r="BD168" s="37">
        <f t="shared" si="98"/>
        <v>-1.3420303919771468</v>
      </c>
      <c r="BE168" s="39">
        <f t="shared" si="99"/>
        <v>1.9008452916529996E-2</v>
      </c>
      <c r="BF168" s="39">
        <f>BF167+(1000*$C$2*($B168-$B167))/(BerechnungenCLT!$W$47*2*AZ168)</f>
        <v>6.1534296346347477E-3</v>
      </c>
      <c r="BG168" s="37">
        <f t="shared" si="73"/>
        <v>2.4143663772839581E-6</v>
      </c>
      <c r="BH168" s="173">
        <f t="shared" si="100"/>
        <v>1967.4486153543223</v>
      </c>
      <c r="BI168">
        <v>-257.40918810033992</v>
      </c>
      <c r="BP168" s="129">
        <v>86.182767017517293</v>
      </c>
      <c r="BQ168" s="9">
        <v>15.0625</v>
      </c>
      <c r="BR168" s="129">
        <f t="shared" si="101"/>
        <v>101.24609882300061</v>
      </c>
      <c r="BS168" s="36">
        <f t="shared" si="121"/>
        <v>1.5078436585430644E-2</v>
      </c>
      <c r="BT168" s="37">
        <f t="shared" si="102"/>
        <v>39200036.587179407</v>
      </c>
      <c r="BU168" s="36">
        <f t="shared" si="74"/>
        <v>1.9744119492386702</v>
      </c>
      <c r="BV168" s="37">
        <f t="shared" si="103"/>
        <v>-2.0084319643903911E-4</v>
      </c>
      <c r="BW168" s="37">
        <f t="shared" si="104"/>
        <v>-2.379472285967996E-2</v>
      </c>
      <c r="BX168" s="37">
        <f t="shared" si="105"/>
        <v>-1.405716767474245</v>
      </c>
      <c r="BY168" s="39">
        <f t="shared" si="106"/>
        <v>2.0334590114594278E-2</v>
      </c>
      <c r="BZ168" s="39">
        <f>BZ167+(1000*$C$2*($B168-$B167))/(BerechnungenCLT!$W$47*2*BT168)</f>
        <v>6.8207023882229456E-3</v>
      </c>
      <c r="CA168" s="37">
        <f t="shared" si="75"/>
        <v>2.5828062327909592E-6</v>
      </c>
      <c r="CB168" s="173">
        <f t="shared" si="107"/>
        <v>3061.9004697436408</v>
      </c>
      <c r="CC168" s="9">
        <v>-257.99679965337617</v>
      </c>
      <c r="CJ168" s="9">
        <f t="shared" si="123"/>
        <v>117</v>
      </c>
      <c r="CK168" s="129">
        <v>85.404123995707735</v>
      </c>
      <c r="CL168" s="9">
        <v>10.09375</v>
      </c>
      <c r="CM168" s="129">
        <f t="shared" si="108"/>
        <v>95.497905108770624</v>
      </c>
      <c r="CN168" s="36">
        <f t="shared" si="122"/>
        <v>9.752054393245814E-3</v>
      </c>
      <c r="CO168" s="173">
        <f t="shared" si="109"/>
        <v>3286.8292823002457</v>
      </c>
      <c r="CP168" s="9">
        <v>-631.38271846263126</v>
      </c>
      <c r="CQ168" s="129"/>
      <c r="CR168" s="36">
        <f t="shared" si="110"/>
        <v>0.83511444434117588</v>
      </c>
      <c r="CS168" s="17">
        <f t="shared" si="76"/>
        <v>0.60034792377139756</v>
      </c>
      <c r="CT168" s="9">
        <f t="shared" si="77"/>
        <v>10.087900299470542</v>
      </c>
      <c r="CU168" s="9">
        <f t="shared" si="111"/>
        <v>95.492055390209998</v>
      </c>
      <c r="CV168" s="9">
        <v>13.2</v>
      </c>
      <c r="CW168" s="9">
        <f t="shared" si="112"/>
        <v>98.604164683502674</v>
      </c>
      <c r="CX168">
        <f t="shared" si="113"/>
        <v>22</v>
      </c>
      <c r="CY168" s="9">
        <f t="shared" si="78"/>
        <v>626.1850912775576</v>
      </c>
      <c r="CZ168" s="17">
        <f t="shared" si="114"/>
        <v>0.58962814621238946</v>
      </c>
      <c r="DA168">
        <v>45</v>
      </c>
      <c r="DB168" s="9">
        <f t="shared" si="115"/>
        <v>10.105081401495012</v>
      </c>
      <c r="DC168" s="9">
        <f t="shared" si="116"/>
        <v>10.940195846643675</v>
      </c>
    </row>
    <row r="169" spans="2:107" x14ac:dyDescent="0.25">
      <c r="B169" s="9">
        <f t="shared" si="117"/>
        <v>118</v>
      </c>
      <c r="C169" s="9">
        <v>93.613577441780791</v>
      </c>
      <c r="D169" s="9"/>
      <c r="E169" s="9">
        <f t="shared" si="79"/>
        <v>93.613577441780791</v>
      </c>
      <c r="F169" s="36">
        <f t="shared" si="118"/>
        <v>0</v>
      </c>
      <c r="G169" s="37">
        <f t="shared" si="124"/>
        <v>0</v>
      </c>
      <c r="H169" s="36" t="e">
        <f t="shared" si="64"/>
        <v>#DIV/0!</v>
      </c>
      <c r="I169" s="37" t="e">
        <f t="shared" si="80"/>
        <v>#DIV/0!</v>
      </c>
      <c r="J169" s="37" t="e">
        <f t="shared" si="81"/>
        <v>#DIV/0!</v>
      </c>
      <c r="K169" s="37" t="e">
        <f t="shared" si="82"/>
        <v>#DIV/0!</v>
      </c>
      <c r="L169" s="39" t="e">
        <f t="shared" si="65"/>
        <v>#DIV/0!</v>
      </c>
      <c r="M169" s="39" t="e">
        <f>M168+(1000*$C$2*(B169-B168))/(BerechnungenCLT!$W$47*2*'Berechnung freier Bereich'!G169)</f>
        <v>#DIV/0!</v>
      </c>
      <c r="N169" s="17" t="e">
        <f t="shared" si="83"/>
        <v>#DIV/0!</v>
      </c>
      <c r="O169" s="173">
        <f t="shared" si="84"/>
        <v>3068.501558918198</v>
      </c>
      <c r="P169" s="173"/>
      <c r="Q169" s="173"/>
      <c r="R169" s="37" t="e">
        <f t="shared" si="66"/>
        <v>#DIV/0!</v>
      </c>
      <c r="S169" s="37" t="e">
        <f t="shared" si="67"/>
        <v>#DIV/0!</v>
      </c>
      <c r="T169" s="37" t="e">
        <f t="shared" si="68"/>
        <v>#DIV/0!</v>
      </c>
      <c r="U169" s="39" t="e">
        <f t="shared" si="69"/>
        <v>#DIV/0!</v>
      </c>
      <c r="V169" s="39" t="e">
        <f t="shared" si="85"/>
        <v>#DIV/0!</v>
      </c>
      <c r="W169" s="9" t="e">
        <f t="shared" si="86"/>
        <v>#DIV/0!</v>
      </c>
      <c r="AB169" s="129">
        <v>85.869223670875868</v>
      </c>
      <c r="AC169" s="9">
        <v>15.0625</v>
      </c>
      <c r="AD169" s="129">
        <f t="shared" si="87"/>
        <v>100.94808867282698</v>
      </c>
      <c r="AE169" s="36">
        <f t="shared" si="119"/>
        <v>1.5044735849308717E-2</v>
      </c>
      <c r="AF169" s="37">
        <f t="shared" si="88"/>
        <v>38859756.612177409</v>
      </c>
      <c r="AG169" s="36">
        <f t="shared" si="70"/>
        <v>1.9741931450982273</v>
      </c>
      <c r="AH169" s="37">
        <f t="shared" si="89"/>
        <v>-2.026019032303776E-4</v>
      </c>
      <c r="AI169" s="37">
        <f t="shared" si="90"/>
        <v>-2.3985361311063529E-2</v>
      </c>
      <c r="AJ169" s="37">
        <f t="shared" si="91"/>
        <v>-1.4274997460263421</v>
      </c>
      <c r="AK169" s="39">
        <f t="shared" si="92"/>
        <v>2.045227489258367E-2</v>
      </c>
      <c r="AL169" s="39">
        <f>AL168+(1000*$C$2*($B169-$B168))/(BerechnungenCLT!$W$47*2*AF169)</f>
        <v>6.875816634857139E-3</v>
      </c>
      <c r="AM169" s="37">
        <f t="shared" si="71"/>
        <v>2.597754012725676E-6</v>
      </c>
      <c r="AN169" s="173">
        <f t="shared" si="93"/>
        <v>3081.9797738649868</v>
      </c>
      <c r="AO169" s="173">
        <v>-257.59405422524645</v>
      </c>
      <c r="AV169" s="129">
        <v>112.1061850816546</v>
      </c>
      <c r="AW169" s="9">
        <v>9.75</v>
      </c>
      <c r="AX169" s="129">
        <f t="shared" si="94"/>
        <v>122.07124284583951</v>
      </c>
      <c r="AY169" s="36">
        <f t="shared" si="120"/>
        <v>1.2463030166556454E-2</v>
      </c>
      <c r="AZ169" s="37">
        <f t="shared" si="95"/>
        <v>50345482.661323413</v>
      </c>
      <c r="BA169" s="36">
        <f t="shared" si="72"/>
        <v>1.9927764416496605</v>
      </c>
      <c r="BB169" s="37">
        <f t="shared" si="96"/>
        <v>-1.5638067672642779E-4</v>
      </c>
      <c r="BC169" s="37">
        <f t="shared" si="97"/>
        <v>-2.1643026084302172E-2</v>
      </c>
      <c r="BD169" s="37">
        <f t="shared" si="98"/>
        <v>-1.3635952277230858</v>
      </c>
      <c r="BE169" s="39">
        <f t="shared" si="99"/>
        <v>1.9089583565068489E-2</v>
      </c>
      <c r="BF169" s="39">
        <f>BF168+(1000*$C$2*($B169-$B168))/(BerechnungenCLT!$W$47*2*AZ169)</f>
        <v>6.1986398368733793E-3</v>
      </c>
      <c r="BG169" s="37">
        <f t="shared" si="73"/>
        <v>2.4246712196011483E-6</v>
      </c>
      <c r="BH169" s="173">
        <f t="shared" si="100"/>
        <v>1961.4351802649228</v>
      </c>
      <c r="BI169">
        <v>-258.15669078784362</v>
      </c>
      <c r="BP169" s="129">
        <v>86.193276548941242</v>
      </c>
      <c r="BQ169" s="9">
        <v>15.0625</v>
      </c>
      <c r="BR169" s="129">
        <f t="shared" si="101"/>
        <v>101.25669017969685</v>
      </c>
      <c r="BS169" s="36">
        <f t="shared" si="121"/>
        <v>1.5080216044143363E-2</v>
      </c>
      <c r="BT169" s="37">
        <f t="shared" si="102"/>
        <v>39213436.679335423</v>
      </c>
      <c r="BU169" s="36">
        <f t="shared" si="74"/>
        <v>1.9744173790709889</v>
      </c>
      <c r="BV169" s="37">
        <f t="shared" si="103"/>
        <v>-2.0077456390975583E-4</v>
      </c>
      <c r="BW169" s="37">
        <f t="shared" si="104"/>
        <v>-2.3995497423589716E-2</v>
      </c>
      <c r="BX169" s="37">
        <f t="shared" si="105"/>
        <v>-1.4296118776158799</v>
      </c>
      <c r="BY169" s="39">
        <f t="shared" si="106"/>
        <v>2.0329767813773891E-2</v>
      </c>
      <c r="BZ169" s="39">
        <f>BZ168+(1000*$C$2*($B169-$B168))/(BerechnungenCLT!$W$47*2*BT169)</f>
        <v>6.8787470189838962E-3</v>
      </c>
      <c r="CA169" s="37">
        <f t="shared" si="75"/>
        <v>2.5821937262911921E-6</v>
      </c>
      <c r="CB169" s="173">
        <f t="shared" si="107"/>
        <v>3061.2111638565457</v>
      </c>
      <c r="CC169" s="9">
        <v>-257.93871849933151</v>
      </c>
      <c r="CJ169" s="9">
        <f t="shared" si="123"/>
        <v>118</v>
      </c>
      <c r="CK169" s="129">
        <v>85.406606902656534</v>
      </c>
      <c r="CL169" s="9">
        <v>10.09375</v>
      </c>
      <c r="CM169" s="129">
        <f t="shared" si="108"/>
        <v>95.500408026405893</v>
      </c>
      <c r="CN169" s="36">
        <f t="shared" si="122"/>
        <v>9.7523425024955181E-3</v>
      </c>
      <c r="CO169" s="173">
        <f t="shared" si="109"/>
        <v>3286.6481137764708</v>
      </c>
      <c r="CP169" s="9">
        <v>-631.34791693653528</v>
      </c>
      <c r="CQ169" s="129"/>
      <c r="CR169" s="36">
        <f t="shared" si="110"/>
        <v>0.83510180242860232</v>
      </c>
      <c r="CS169" s="17">
        <f t="shared" si="76"/>
        <v>0.60033883574038871</v>
      </c>
      <c r="CT169" s="9">
        <f t="shared" si="77"/>
        <v>10.088053011814434</v>
      </c>
      <c r="CU169" s="9">
        <f t="shared" si="111"/>
        <v>95.494711009365687</v>
      </c>
      <c r="CV169" s="9">
        <v>13.2</v>
      </c>
      <c r="CW169" s="9">
        <f t="shared" si="112"/>
        <v>98.606673759225345</v>
      </c>
      <c r="CX169">
        <f t="shared" si="113"/>
        <v>22</v>
      </c>
      <c r="CY169" s="9">
        <f t="shared" si="78"/>
        <v>626.16688707333083</v>
      </c>
      <c r="CZ169" s="17">
        <f t="shared" si="114"/>
        <v>0.58961100477714767</v>
      </c>
      <c r="DA169">
        <v>45</v>
      </c>
      <c r="DB169" s="9">
        <f t="shared" si="115"/>
        <v>10.104787630582667</v>
      </c>
      <c r="DC169" s="9">
        <f t="shared" si="116"/>
        <v>10.939889434338468</v>
      </c>
    </row>
    <row r="170" spans="2:107" x14ac:dyDescent="0.25">
      <c r="B170" s="9">
        <f t="shared" si="117"/>
        <v>119</v>
      </c>
      <c r="C170" s="9">
        <v>93.804157102815637</v>
      </c>
      <c r="D170" s="9"/>
      <c r="E170" s="9">
        <f t="shared" si="79"/>
        <v>93.804157102815637</v>
      </c>
      <c r="F170" s="36">
        <f t="shared" si="118"/>
        <v>0</v>
      </c>
      <c r="G170" s="37">
        <f t="shared" si="124"/>
        <v>0</v>
      </c>
      <c r="H170" s="36" t="e">
        <f t="shared" si="64"/>
        <v>#DIV/0!</v>
      </c>
      <c r="I170" s="37" t="e">
        <f t="shared" si="80"/>
        <v>#DIV/0!</v>
      </c>
      <c r="J170" s="37" t="e">
        <f t="shared" si="81"/>
        <v>#DIV/0!</v>
      </c>
      <c r="K170" s="37" t="e">
        <f t="shared" si="82"/>
        <v>#DIV/0!</v>
      </c>
      <c r="L170" s="39" t="e">
        <f t="shared" si="65"/>
        <v>#DIV/0!</v>
      </c>
      <c r="M170" s="39" t="e">
        <f>M169+(1000*$C$2*(B170-B169))/(BerechnungenCLT!$W$47*2*'Berechnung freier Bereich'!G170)</f>
        <v>#DIV/0!</v>
      </c>
      <c r="N170" s="17" t="e">
        <f t="shared" si="83"/>
        <v>#DIV/0!</v>
      </c>
      <c r="O170" s="173">
        <f t="shared" si="84"/>
        <v>3056.0458224337417</v>
      </c>
      <c r="P170" s="173"/>
      <c r="Q170" s="173"/>
      <c r="R170" s="37" t="e">
        <f t="shared" si="66"/>
        <v>#DIV/0!</v>
      </c>
      <c r="S170" s="37" t="e">
        <f t="shared" si="67"/>
        <v>#DIV/0!</v>
      </c>
      <c r="T170" s="37" t="e">
        <f t="shared" si="68"/>
        <v>#DIV/0!</v>
      </c>
      <c r="U170" s="39" t="e">
        <f t="shared" si="69"/>
        <v>#DIV/0!</v>
      </c>
      <c r="V170" s="39" t="e">
        <f t="shared" si="85"/>
        <v>#DIV/0!</v>
      </c>
      <c r="W170" s="9" t="e">
        <f t="shared" si="86"/>
        <v>#DIV/0!</v>
      </c>
      <c r="AB170" s="129">
        <v>85.91585120288309</v>
      </c>
      <c r="AC170" s="9">
        <v>15.0625</v>
      </c>
      <c r="AD170" s="129">
        <f t="shared" si="87"/>
        <v>101.00062452456622</v>
      </c>
      <c r="AE170" s="36">
        <f t="shared" si="119"/>
        <v>1.5058619731887142E-2</v>
      </c>
      <c r="AF170" s="37">
        <f t="shared" si="88"/>
        <v>38936850.79825265</v>
      </c>
      <c r="AG170" s="36">
        <f t="shared" si="70"/>
        <v>1.9742002443627638</v>
      </c>
      <c r="AH170" s="37">
        <f t="shared" si="89"/>
        <v>-2.0220075551281383E-4</v>
      </c>
      <c r="AI170" s="37">
        <f t="shared" si="90"/>
        <v>-2.4187562066576344E-2</v>
      </c>
      <c r="AJ170" s="37">
        <f t="shared" si="91"/>
        <v>-1.451586207715162</v>
      </c>
      <c r="AK170" s="39">
        <f t="shared" si="92"/>
        <v>2.0422402586133322E-2</v>
      </c>
      <c r="AL170" s="39">
        <f>AL169+(1000*$C$2*($B170-$B169))/(BerechnungenCLT!$W$47*2*AF170)</f>
        <v>6.934273582613738E-3</v>
      </c>
      <c r="AM170" s="37">
        <f t="shared" si="71"/>
        <v>2.5939597695738345E-6</v>
      </c>
      <c r="AN170" s="173">
        <f t="shared" si="93"/>
        <v>3078.7105224754168</v>
      </c>
      <c r="AO170" s="173">
        <v>-257.38868897921407</v>
      </c>
      <c r="AV170" s="129">
        <v>112.31737441265497</v>
      </c>
      <c r="AW170" s="9">
        <v>9.6875</v>
      </c>
      <c r="AX170" s="129">
        <f t="shared" si="94"/>
        <v>122.20663988950348</v>
      </c>
      <c r="AY170" s="36">
        <f t="shared" si="120"/>
        <v>1.2386543981059111E-2</v>
      </c>
      <c r="AZ170" s="37">
        <f t="shared" si="95"/>
        <v>50183090.973879866</v>
      </c>
      <c r="BA170" s="36">
        <f t="shared" si="72"/>
        <v>1.9929065697485686</v>
      </c>
      <c r="BB170" s="37">
        <f t="shared" si="96"/>
        <v>-1.5688672211909574E-4</v>
      </c>
      <c r="BC170" s="37">
        <f t="shared" si="97"/>
        <v>-2.1799912806421268E-2</v>
      </c>
      <c r="BD170" s="37">
        <f t="shared" si="98"/>
        <v>-1.3853166971684476</v>
      </c>
      <c r="BE170" s="39">
        <f t="shared" si="99"/>
        <v>1.9172599153452933E-2</v>
      </c>
      <c r="BF170" s="39">
        <f>BF169+(1000*$C$2*($B170-$B169))/(BerechnungenCLT!$W$47*2*AZ170)</f>
        <v>6.2439963386102821E-3</v>
      </c>
      <c r="BG170" s="37">
        <f t="shared" si="73"/>
        <v>2.4352154783194132E-6</v>
      </c>
      <c r="BH170" s="173">
        <f t="shared" si="100"/>
        <v>1955.6421326635841</v>
      </c>
      <c r="BI170">
        <v>-258.93253327261584</v>
      </c>
      <c r="BP170" s="129">
        <v>86.204290887173627</v>
      </c>
      <c r="BQ170" s="9">
        <v>15.0625</v>
      </c>
      <c r="BR170" s="129">
        <f t="shared" si="101"/>
        <v>101.26779667459729</v>
      </c>
      <c r="BS170" s="36">
        <f t="shared" si="121"/>
        <v>1.5082087919732968E-2</v>
      </c>
      <c r="BT170" s="37">
        <f t="shared" si="102"/>
        <v>39227504.63894859</v>
      </c>
      <c r="BU170" s="36">
        <f t="shared" si="74"/>
        <v>1.9744230480053273</v>
      </c>
      <c r="BV170" s="37">
        <f t="shared" si="103"/>
        <v>-2.0070256115346452E-4</v>
      </c>
      <c r="BW170" s="37">
        <f t="shared" si="104"/>
        <v>-2.4196199984743181E-2</v>
      </c>
      <c r="BX170" s="37">
        <f t="shared" si="105"/>
        <v>-1.4537077263200464</v>
      </c>
      <c r="BY170" s="39">
        <f t="shared" si="106"/>
        <v>2.0324706154959973E-2</v>
      </c>
      <c r="BZ170" s="39">
        <f>BZ169+(1000*$C$2*($B170-$B169))/(BerechnungenCLT!$W$47*2*BT170)</f>
        <v>6.9367708334954108E-3</v>
      </c>
      <c r="CA170" s="37">
        <f t="shared" si="75"/>
        <v>2.5815508176385385E-6</v>
      </c>
      <c r="CB170" s="173">
        <f t="shared" si="107"/>
        <v>3060.4887891595713</v>
      </c>
      <c r="CC170" s="9">
        <v>-257.87785095585264</v>
      </c>
      <c r="CJ170" s="9">
        <f t="shared" si="123"/>
        <v>119</v>
      </c>
      <c r="CK170" s="129">
        <v>85.409789638713292</v>
      </c>
      <c r="CL170" s="9">
        <v>10.09375</v>
      </c>
      <c r="CM170" s="129">
        <f t="shared" si="108"/>
        <v>95.503616956419691</v>
      </c>
      <c r="CN170" s="36">
        <f t="shared" si="122"/>
        <v>9.7527123734300683E-3</v>
      </c>
      <c r="CO170" s="173">
        <f t="shared" si="109"/>
        <v>3286.4158834897398</v>
      </c>
      <c r="CP170" s="9">
        <v>-631.30330671277488</v>
      </c>
      <c r="CQ170" s="129"/>
      <c r="CR170" s="36">
        <f t="shared" si="110"/>
        <v>0.83508559479949218</v>
      </c>
      <c r="CS170" s="17">
        <f t="shared" si="76"/>
        <v>0.60032718438343824</v>
      </c>
      <c r="CT170" s="9">
        <f t="shared" si="77"/>
        <v>10.08824880422503</v>
      </c>
      <c r="CU170" s="9">
        <f t="shared" si="111"/>
        <v>95.498115718505787</v>
      </c>
      <c r="CV170" s="9">
        <v>13.2</v>
      </c>
      <c r="CW170" s="9">
        <f t="shared" si="112"/>
        <v>98.609890750165874</v>
      </c>
      <c r="CX170">
        <f t="shared" si="113"/>
        <v>22</v>
      </c>
      <c r="CY170" s="9">
        <f t="shared" si="78"/>
        <v>626.14355340236102</v>
      </c>
      <c r="CZ170" s="17">
        <f t="shared" si="114"/>
        <v>0.58958903333555646</v>
      </c>
      <c r="DA170">
        <v>45</v>
      </c>
      <c r="DB170" s="9">
        <f t="shared" si="115"/>
        <v>10.104411082741093</v>
      </c>
      <c r="DC170" s="9">
        <f t="shared" si="116"/>
        <v>10.939496679548517</v>
      </c>
    </row>
    <row r="171" spans="2:107" x14ac:dyDescent="0.25">
      <c r="B171" s="9">
        <f t="shared" si="117"/>
        <v>120</v>
      </c>
      <c r="C171" s="9">
        <v>93.995398785048067</v>
      </c>
      <c r="D171" s="9"/>
      <c r="E171" s="9">
        <f t="shared" si="79"/>
        <v>93.995398785048067</v>
      </c>
      <c r="F171" s="36">
        <f t="shared" si="118"/>
        <v>0</v>
      </c>
      <c r="G171" s="37">
        <f t="shared" si="124"/>
        <v>0</v>
      </c>
      <c r="H171" s="36" t="e">
        <f t="shared" si="64"/>
        <v>#DIV/0!</v>
      </c>
      <c r="I171" s="37" t="e">
        <f t="shared" si="80"/>
        <v>#DIV/0!</v>
      </c>
      <c r="J171" s="37" t="e">
        <f t="shared" si="81"/>
        <v>#DIV/0!</v>
      </c>
      <c r="K171" s="37" t="e">
        <f t="shared" si="82"/>
        <v>#DIV/0!</v>
      </c>
      <c r="L171" s="39" t="e">
        <f t="shared" si="65"/>
        <v>#DIV/0!</v>
      </c>
      <c r="M171" s="39" t="e">
        <f>M170+(1000*$C$2*(B171-B170))/(BerechnungenCLT!$W$47*2*'Berechnung freier Bereich'!G171)</f>
        <v>#DIV/0!</v>
      </c>
      <c r="N171" s="17" t="e">
        <f t="shared" si="83"/>
        <v>#DIV/0!</v>
      </c>
      <c r="O171" s="173">
        <f t="shared" si="84"/>
        <v>3043.6228995755937</v>
      </c>
      <c r="P171" s="173"/>
      <c r="Q171" s="173"/>
      <c r="R171" s="37" t="e">
        <f t="shared" si="66"/>
        <v>#DIV/0!</v>
      </c>
      <c r="S171" s="37" t="e">
        <f t="shared" si="67"/>
        <v>#DIV/0!</v>
      </c>
      <c r="T171" s="37" t="e">
        <f t="shared" si="68"/>
        <v>#DIV/0!</v>
      </c>
      <c r="U171" s="39" t="e">
        <f t="shared" si="69"/>
        <v>#DIV/0!</v>
      </c>
      <c r="V171" s="39" t="e">
        <f t="shared" si="85"/>
        <v>#DIV/0!</v>
      </c>
      <c r="W171" s="9" t="e">
        <f t="shared" si="86"/>
        <v>#DIV/0!</v>
      </c>
      <c r="AB171" s="129">
        <v>85.970253777585924</v>
      </c>
      <c r="AC171" s="9">
        <v>15</v>
      </c>
      <c r="AD171" s="129">
        <f t="shared" si="87"/>
        <v>100.99960675819524</v>
      </c>
      <c r="AE171" s="36">
        <f t="shared" si="119"/>
        <v>1.5007580535775706E-2</v>
      </c>
      <c r="AF171" s="37">
        <f t="shared" si="88"/>
        <v>38825063.500927649</v>
      </c>
      <c r="AG171" s="36">
        <f t="shared" si="70"/>
        <v>1.9744021307992747</v>
      </c>
      <c r="AH171" s="37">
        <f t="shared" si="89"/>
        <v>-2.0278294325283669E-4</v>
      </c>
      <c r="AI171" s="37">
        <f t="shared" si="90"/>
        <v>-2.439034500982918E-2</v>
      </c>
      <c r="AJ171" s="37">
        <f t="shared" si="91"/>
        <v>-1.4758751612533647</v>
      </c>
      <c r="AK171" s="39">
        <f t="shared" si="92"/>
        <v>2.0480997525805927E-2</v>
      </c>
      <c r="AL171" s="39">
        <f>AL170+(1000*$C$2*($B171-$B170))/(BerechnungenCLT!$W$47*2*AF171)</f>
        <v>6.9928988428883425E-3</v>
      </c>
      <c r="AM171" s="37">
        <f t="shared" si="71"/>
        <v>2.6014022296649189E-6</v>
      </c>
      <c r="AN171" s="173">
        <f t="shared" si="93"/>
        <v>3076.9526679565211</v>
      </c>
      <c r="AO171" s="173">
        <v>-258.39171161095402</v>
      </c>
      <c r="AV171" s="129">
        <v>112.52252944886787</v>
      </c>
      <c r="AW171" s="9">
        <v>9.6875</v>
      </c>
      <c r="AX171" s="129">
        <f t="shared" si="94"/>
        <v>122.40055866626602</v>
      </c>
      <c r="AY171" s="36">
        <f t="shared" si="120"/>
        <v>1.2393523698898769E-2</v>
      </c>
      <c r="AZ171" s="37">
        <f t="shared" si="95"/>
        <v>50381890.810293481</v>
      </c>
      <c r="BA171" s="36">
        <f t="shared" si="72"/>
        <v>1.9929465982557966</v>
      </c>
      <c r="BB171" s="37">
        <f t="shared" si="96"/>
        <v>-1.5626766923737317E-4</v>
      </c>
      <c r="BC171" s="37">
        <f t="shared" si="97"/>
        <v>-2.195618047565864E-2</v>
      </c>
      <c r="BD171" s="37">
        <f t="shared" si="98"/>
        <v>-1.4071947438094876</v>
      </c>
      <c r="BE171" s="39">
        <f t="shared" si="99"/>
        <v>1.9127250016129749E-2</v>
      </c>
      <c r="BF171" s="39">
        <f>BF170+(1000*$C$2*($B171-$B170))/(BerechnungenCLT!$W$47*2*AZ171)</f>
        <v>6.2891738699873872E-3</v>
      </c>
      <c r="BG171" s="37">
        <f t="shared" si="73"/>
        <v>2.429455439200358E-6</v>
      </c>
      <c r="BH171" s="173">
        <f t="shared" si="100"/>
        <v>1949.0035116496533</v>
      </c>
      <c r="BI171">
        <v>-257.91974140352863</v>
      </c>
      <c r="BP171" s="129">
        <v>86.215847400332237</v>
      </c>
      <c r="BQ171" s="9">
        <v>15.0625</v>
      </c>
      <c r="BR171" s="129">
        <f t="shared" si="101"/>
        <v>101.27945659106405</v>
      </c>
      <c r="BS171" s="36">
        <f t="shared" si="121"/>
        <v>1.5084059220040183E-2</v>
      </c>
      <c r="BT171" s="37">
        <f t="shared" si="102"/>
        <v>39242290.669910595</v>
      </c>
      <c r="BU171" s="36">
        <f t="shared" si="74"/>
        <v>1.974428973146297</v>
      </c>
      <c r="BV171" s="37">
        <f t="shared" si="103"/>
        <v>-2.0062693880235535E-4</v>
      </c>
      <c r="BW171" s="37">
        <f t="shared" si="104"/>
        <v>-2.4396826923545535E-2</v>
      </c>
      <c r="BX171" s="37">
        <f t="shared" si="105"/>
        <v>-1.4780042397741908</v>
      </c>
      <c r="BY171" s="39">
        <f t="shared" si="106"/>
        <v>2.0319387339431214E-2</v>
      </c>
      <c r="BZ171" s="39">
        <f>BZ170+(1000*$C$2*($B171-$B170))/(BerechnungenCLT!$W$47*2*BT171)</f>
        <v>6.9947727853199295E-3</v>
      </c>
      <c r="CA171" s="37">
        <f t="shared" si="75"/>
        <v>2.5808752461211714E-6</v>
      </c>
      <c r="CB171" s="173">
        <f t="shared" si="107"/>
        <v>3059.7309117940458</v>
      </c>
      <c r="CC171" s="9">
        <v>-257.81399194516058</v>
      </c>
      <c r="CJ171" s="9">
        <f t="shared" si="123"/>
        <v>120</v>
      </c>
      <c r="CK171" s="129">
        <v>85.413703712771508</v>
      </c>
      <c r="CL171" s="9">
        <v>10.09375</v>
      </c>
      <c r="CM171" s="129">
        <f t="shared" si="108"/>
        <v>95.507564105440366</v>
      </c>
      <c r="CN171" s="36">
        <f t="shared" si="122"/>
        <v>9.7531681162561189E-3</v>
      </c>
      <c r="CO171" s="173">
        <f t="shared" si="109"/>
        <v>3286.1302931065079</v>
      </c>
      <c r="CP171" s="9">
        <v>-631.24844629349411</v>
      </c>
      <c r="CQ171" s="129"/>
      <c r="CR171" s="36">
        <f t="shared" si="110"/>
        <v>0.83506565898327167</v>
      </c>
      <c r="CS171" s="17">
        <f t="shared" si="76"/>
        <v>0.6003128529035342</v>
      </c>
      <c r="CT171" s="9">
        <f t="shared" si="77"/>
        <v>10.088489644537386</v>
      </c>
      <c r="CU171" s="9">
        <f t="shared" si="111"/>
        <v>95.502303692446631</v>
      </c>
      <c r="CV171" s="9">
        <v>13.2</v>
      </c>
      <c r="CW171" s="9">
        <f t="shared" si="112"/>
        <v>98.613848077673438</v>
      </c>
      <c r="CX171">
        <f t="shared" si="113"/>
        <v>22</v>
      </c>
      <c r="CY171" s="9">
        <f t="shared" si="78"/>
        <v>626.11486043937543</v>
      </c>
      <c r="CZ171" s="17">
        <f t="shared" si="114"/>
        <v>0.58956201547963782</v>
      </c>
      <c r="DA171">
        <v>45</v>
      </c>
      <c r="DB171" s="9">
        <f t="shared" si="115"/>
        <v>10.1039480491578</v>
      </c>
      <c r="DC171" s="9">
        <f t="shared" si="116"/>
        <v>10.939013711009103</v>
      </c>
    </row>
    <row r="172" spans="2:107" x14ac:dyDescent="0.25">
      <c r="B172" s="9">
        <f t="shared" si="117"/>
        <v>121</v>
      </c>
      <c r="C172" s="9">
        <v>94.187294325351274</v>
      </c>
      <c r="D172" s="9"/>
      <c r="E172" s="9">
        <f t="shared" si="79"/>
        <v>94.187294325351274</v>
      </c>
      <c r="F172" s="36">
        <f t="shared" si="118"/>
        <v>0</v>
      </c>
      <c r="G172" s="37">
        <f t="shared" si="124"/>
        <v>0</v>
      </c>
      <c r="H172" s="36" t="e">
        <f t="shared" si="64"/>
        <v>#DIV/0!</v>
      </c>
      <c r="I172" s="37" t="e">
        <f t="shared" si="80"/>
        <v>#DIV/0!</v>
      </c>
      <c r="J172" s="37" t="e">
        <f t="shared" si="81"/>
        <v>#DIV/0!</v>
      </c>
      <c r="K172" s="37" t="e">
        <f t="shared" si="82"/>
        <v>#DIV/0!</v>
      </c>
      <c r="L172" s="39" t="e">
        <f t="shared" si="65"/>
        <v>#DIV/0!</v>
      </c>
      <c r="M172" s="39" t="e">
        <f>M171+(1000*$C$2*(B172-B171))/(BerechnungenCLT!$W$47*2*'Berechnung freier Bereich'!G172)</f>
        <v>#DIV/0!</v>
      </c>
      <c r="N172" s="17" t="e">
        <f t="shared" si="83"/>
        <v>#DIV/0!</v>
      </c>
      <c r="O172" s="173">
        <f t="shared" si="84"/>
        <v>3031.2334856836433</v>
      </c>
      <c r="P172" s="173"/>
      <c r="Q172" s="173"/>
      <c r="R172" s="37" t="e">
        <f t="shared" si="66"/>
        <v>#DIV/0!</v>
      </c>
      <c r="S172" s="37" t="e">
        <f t="shared" si="67"/>
        <v>#DIV/0!</v>
      </c>
      <c r="T172" s="37" t="e">
        <f t="shared" si="68"/>
        <v>#DIV/0!</v>
      </c>
      <c r="U172" s="39" t="e">
        <f t="shared" si="69"/>
        <v>#DIV/0!</v>
      </c>
      <c r="V172" s="39" t="e">
        <f t="shared" si="85"/>
        <v>#DIV/0!</v>
      </c>
      <c r="W172" s="9" t="e">
        <f t="shared" si="86"/>
        <v>#DIV/0!</v>
      </c>
      <c r="AB172" s="129">
        <v>86.032844192746722</v>
      </c>
      <c r="AC172" s="9">
        <v>15</v>
      </c>
      <c r="AD172" s="129">
        <f t="shared" si="87"/>
        <v>101.0708073981925</v>
      </c>
      <c r="AE172" s="36">
        <f t="shared" si="119"/>
        <v>1.5026923496895873E-2</v>
      </c>
      <c r="AF172" s="37">
        <f t="shared" si="88"/>
        <v>38930689.109516732</v>
      </c>
      <c r="AG172" s="36">
        <f t="shared" si="70"/>
        <v>1.9744093595514229</v>
      </c>
      <c r="AH172" s="37">
        <f t="shared" si="89"/>
        <v>-2.0223275849416697E-4</v>
      </c>
      <c r="AI172" s="37">
        <f t="shared" si="90"/>
        <v>-2.4592577768323347E-2</v>
      </c>
      <c r="AJ172" s="37">
        <f t="shared" si="91"/>
        <v>-1.500366622642441</v>
      </c>
      <c r="AK172" s="39">
        <f t="shared" si="92"/>
        <v>2.0439828183369129E-2</v>
      </c>
      <c r="AL172" s="39">
        <f>AL171+(1000*$C$2*($B172-$B171))/(BerechnungenCLT!$W$47*2*AF172)</f>
        <v>7.0513650428191193E-3</v>
      </c>
      <c r="AM172" s="37">
        <f t="shared" si="71"/>
        <v>2.5961730888931378E-6</v>
      </c>
      <c r="AN172" s="173">
        <f t="shared" si="93"/>
        <v>3072.5538060860849</v>
      </c>
      <c r="AO172" s="173">
        <v>-258.11160358106434</v>
      </c>
      <c r="AV172" s="129">
        <v>112.7218329261498</v>
      </c>
      <c r="AW172" s="9">
        <v>9.625</v>
      </c>
      <c r="AX172" s="129">
        <f t="shared" si="94"/>
        <v>122.52561422385686</v>
      </c>
      <c r="AY172" s="36">
        <f t="shared" si="120"/>
        <v>1.2317351294362709E-2</v>
      </c>
      <c r="AZ172" s="37">
        <f t="shared" si="95"/>
        <v>50209033.884697348</v>
      </c>
      <c r="BA172" s="36">
        <f t="shared" si="72"/>
        <v>1.993071054667112</v>
      </c>
      <c r="BB172" s="37">
        <f t="shared" si="96"/>
        <v>-1.5680565905284099E-4</v>
      </c>
      <c r="BC172" s="37">
        <f t="shared" si="97"/>
        <v>-2.2112986134711479E-2</v>
      </c>
      <c r="BD172" s="37">
        <f t="shared" si="98"/>
        <v>-1.4292293271146728</v>
      </c>
      <c r="BE172" s="39">
        <f t="shared" si="99"/>
        <v>1.9212709689226025E-2</v>
      </c>
      <c r="BF172" s="39">
        <f>BF171+(1000*$C$2*($B172-$B171))/(BerechnungenCLT!$W$47*2*AZ172)</f>
        <v>6.3345069361074591E-3</v>
      </c>
      <c r="BG172" s="37">
        <f t="shared" si="73"/>
        <v>2.4403101343322219E-6</v>
      </c>
      <c r="BH172" s="173">
        <f t="shared" si="100"/>
        <v>1943.6326471994969</v>
      </c>
      <c r="BI172">
        <v>-258.73679152077534</v>
      </c>
      <c r="BP172" s="129">
        <v>86.227983456534901</v>
      </c>
      <c r="BQ172" s="9">
        <v>15.0625</v>
      </c>
      <c r="BR172" s="129">
        <f t="shared" si="101"/>
        <v>101.29170827550385</v>
      </c>
      <c r="BS172" s="36">
        <f t="shared" si="121"/>
        <v>1.5086137022112938E-2</v>
      </c>
      <c r="BT172" s="37">
        <f t="shared" si="102"/>
        <v>39257845.259522013</v>
      </c>
      <c r="BU172" s="36">
        <f t="shared" si="74"/>
        <v>1.974435171365607</v>
      </c>
      <c r="BV172" s="37">
        <f t="shared" si="103"/>
        <v>-2.0054744718284753E-4</v>
      </c>
      <c r="BW172" s="37">
        <f t="shared" si="104"/>
        <v>-2.4597374370728384E-2</v>
      </c>
      <c r="BX172" s="37">
        <f t="shared" si="105"/>
        <v>-1.5025013404213279</v>
      </c>
      <c r="BY172" s="39">
        <f t="shared" si="106"/>
        <v>2.0313793515442009E-2</v>
      </c>
      <c r="BZ172" s="39">
        <f>BZ171+(1000*$C$2*($B172-$B171))/(BerechnungenCLT!$W$47*2*BT172)</f>
        <v>7.0527517558383853E-3</v>
      </c>
      <c r="CA172" s="37">
        <f t="shared" si="75"/>
        <v>2.5801647442923652E-6</v>
      </c>
      <c r="CB172" s="173">
        <f t="shared" si="107"/>
        <v>3058.9351012751322</v>
      </c>
      <c r="CC172" s="9">
        <v>-257.74693667375681</v>
      </c>
      <c r="CJ172" s="9">
        <f t="shared" si="123"/>
        <v>121</v>
      </c>
      <c r="CK172" s="129">
        <v>85.418380633724638</v>
      </c>
      <c r="CL172" s="9">
        <v>10.09375</v>
      </c>
      <c r="CM172" s="129">
        <f t="shared" si="108"/>
        <v>95.512281710136946</v>
      </c>
      <c r="CN172" s="36">
        <f t="shared" si="122"/>
        <v>9.7537138722990861E-3</v>
      </c>
      <c r="CO172" s="173">
        <f t="shared" si="109"/>
        <v>3285.7890481959153</v>
      </c>
      <c r="CP172" s="9">
        <v>-631.1828949305218</v>
      </c>
      <c r="CQ172" s="129"/>
      <c r="CR172" s="36">
        <f t="shared" si="110"/>
        <v>0.83504183241734609</v>
      </c>
      <c r="CS172" s="17">
        <f t="shared" si="76"/>
        <v>0.60029572443751267</v>
      </c>
      <c r="CT172" s="9">
        <f t="shared" si="77"/>
        <v>10.088777503246103</v>
      </c>
      <c r="CU172" s="9">
        <f t="shared" si="111"/>
        <v>95.507309138958078</v>
      </c>
      <c r="CV172" s="9">
        <v>13.2</v>
      </c>
      <c r="CW172" s="9">
        <f t="shared" si="112"/>
        <v>98.618578202382707</v>
      </c>
      <c r="CX172">
        <f t="shared" si="113"/>
        <v>22</v>
      </c>
      <c r="CY172" s="9">
        <f t="shared" si="78"/>
        <v>626.08057871115579</v>
      </c>
      <c r="CZ172" s="17">
        <f t="shared" si="114"/>
        <v>0.58952973513291507</v>
      </c>
      <c r="DA172">
        <v>45</v>
      </c>
      <c r="DB172" s="9">
        <f t="shared" si="115"/>
        <v>10.103394826701582</v>
      </c>
      <c r="DC172" s="9">
        <f t="shared" si="116"/>
        <v>10.938436663045573</v>
      </c>
    </row>
    <row r="173" spans="2:107" x14ac:dyDescent="0.25">
      <c r="B173" s="9">
        <f t="shared" si="117"/>
        <v>122</v>
      </c>
      <c r="C173" s="9">
        <v>94.379835560598494</v>
      </c>
      <c r="D173" s="9"/>
      <c r="E173" s="9">
        <f t="shared" si="79"/>
        <v>94.379835560598494</v>
      </c>
      <c r="F173" s="36">
        <f t="shared" si="118"/>
        <v>0</v>
      </c>
      <c r="G173" s="37">
        <f t="shared" si="124"/>
        <v>0</v>
      </c>
      <c r="H173" s="36" t="e">
        <f t="shared" si="64"/>
        <v>#DIV/0!</v>
      </c>
      <c r="I173" s="37" t="e">
        <f t="shared" si="80"/>
        <v>#DIV/0!</v>
      </c>
      <c r="J173" s="37" t="e">
        <f t="shared" si="81"/>
        <v>#DIV/0!</v>
      </c>
      <c r="K173" s="37" t="e">
        <f t="shared" si="82"/>
        <v>#DIV/0!</v>
      </c>
      <c r="L173" s="39" t="e">
        <f t="shared" si="65"/>
        <v>#DIV/0!</v>
      </c>
      <c r="M173" s="39" t="e">
        <f>M172+(1000*$C$2*(B173-B172))/(BerechnungenCLT!$W$47*2*'Berechnung freier Bereich'!G173)</f>
        <v>#DIV/0!</v>
      </c>
      <c r="N173" s="17" t="e">
        <f t="shared" si="83"/>
        <v>#DIV/0!</v>
      </c>
      <c r="O173" s="173">
        <f t="shared" si="84"/>
        <v>3018.8782594574755</v>
      </c>
      <c r="P173" s="173"/>
      <c r="Q173" s="173"/>
      <c r="R173" s="37" t="e">
        <f t="shared" si="66"/>
        <v>#DIV/0!</v>
      </c>
      <c r="S173" s="37" t="e">
        <f t="shared" si="67"/>
        <v>#DIV/0!</v>
      </c>
      <c r="T173" s="37" t="e">
        <f t="shared" si="68"/>
        <v>#DIV/0!</v>
      </c>
      <c r="U173" s="39" t="e">
        <f t="shared" si="69"/>
        <v>#DIV/0!</v>
      </c>
      <c r="V173" s="39" t="e">
        <f t="shared" si="85"/>
        <v>#DIV/0!</v>
      </c>
      <c r="W173" s="9" t="e">
        <f t="shared" si="86"/>
        <v>#DIV/0!</v>
      </c>
      <c r="AB173" s="129">
        <v>86.104035246127864</v>
      </c>
      <c r="AC173" s="9">
        <v>15</v>
      </c>
      <c r="AD173" s="129">
        <f t="shared" si="87"/>
        <v>101.1522036072831</v>
      </c>
      <c r="AE173" s="36">
        <f t="shared" si="119"/>
        <v>1.5049384273402265E-2</v>
      </c>
      <c r="AF173" s="37">
        <f t="shared" si="88"/>
        <v>39052428.890123084</v>
      </c>
      <c r="AG173" s="36">
        <f t="shared" si="70"/>
        <v>1.9744162925939865</v>
      </c>
      <c r="AH173" s="37">
        <f t="shared" si="89"/>
        <v>-2.0160232980252868E-4</v>
      </c>
      <c r="AI173" s="37">
        <f t="shared" si="90"/>
        <v>-2.4794180098125874E-2</v>
      </c>
      <c r="AJ173" s="37">
        <f t="shared" si="91"/>
        <v>-1.5250600015756657</v>
      </c>
      <c r="AK173" s="39">
        <f t="shared" si="92"/>
        <v>2.0392519911888018E-2</v>
      </c>
      <c r="AL173" s="39">
        <f>AL172+(1000*$C$2*($B173-$B172))/(BerechnungenCLT!$W$47*2*AF173)</f>
        <v>7.1096489836035455E-3</v>
      </c>
      <c r="AM173" s="37">
        <f t="shared" si="71"/>
        <v>2.5901642095523009E-6</v>
      </c>
      <c r="AN173" s="173">
        <f t="shared" si="93"/>
        <v>3067.5484555468697</v>
      </c>
      <c r="AO173" s="173">
        <v>-257.79041606996947</v>
      </c>
      <c r="AV173" s="129">
        <v>112.9154675803573</v>
      </c>
      <c r="AW173" s="9">
        <v>9.625</v>
      </c>
      <c r="AX173" s="129">
        <f t="shared" si="94"/>
        <v>122.70934793035931</v>
      </c>
      <c r="AY173" s="36">
        <f t="shared" si="120"/>
        <v>1.2324650588327565E-2</v>
      </c>
      <c r="AZ173" s="37">
        <f t="shared" si="95"/>
        <v>50399641.123359039</v>
      </c>
      <c r="BA173" s="36">
        <f t="shared" si="72"/>
        <v>1.9931070811838176</v>
      </c>
      <c r="BB173" s="37">
        <f t="shared" si="96"/>
        <v>-1.5621263313018744E-4</v>
      </c>
      <c r="BC173" s="37">
        <f t="shared" si="97"/>
        <v>-2.2269198767841666E-2</v>
      </c>
      <c r="BD173" s="37">
        <f t="shared" si="98"/>
        <v>-1.4514204195659492</v>
      </c>
      <c r="BE173" s="39">
        <f t="shared" si="99"/>
        <v>1.9168750349889744E-2</v>
      </c>
      <c r="BF173" s="39">
        <f>BF172+(1000*$C$2*($B173-$B172))/(BerechnungenCLT!$W$47*2*AZ173)</f>
        <v>6.3796685563529054E-3</v>
      </c>
      <c r="BG173" s="37">
        <f t="shared" si="73"/>
        <v>2.4347266209696568E-6</v>
      </c>
      <c r="BH173" s="173">
        <f t="shared" si="100"/>
        <v>1937.4119261931044</v>
      </c>
      <c r="BI173">
        <v>-257.75634936584311</v>
      </c>
      <c r="BP173" s="129">
        <v>86.240736423899335</v>
      </c>
      <c r="BQ173" s="9">
        <v>15.0625</v>
      </c>
      <c r="BR173" s="129">
        <f t="shared" si="101"/>
        <v>101.30459013735815</v>
      </c>
      <c r="BS173" s="36">
        <f t="shared" si="121"/>
        <v>1.5088328472341884E-2</v>
      </c>
      <c r="BT173" s="37">
        <f t="shared" si="102"/>
        <v>39274219.185400166</v>
      </c>
      <c r="BU173" s="36">
        <f t="shared" si="74"/>
        <v>1.9744416592993803</v>
      </c>
      <c r="BV173" s="37">
        <f t="shared" si="103"/>
        <v>-2.004638363790344E-4</v>
      </c>
      <c r="BW173" s="37">
        <f t="shared" si="104"/>
        <v>-2.4797838207107417E-2</v>
      </c>
      <c r="BX173" s="37">
        <f t="shared" si="105"/>
        <v>-1.5271989467102458</v>
      </c>
      <c r="BY173" s="39">
        <f t="shared" si="106"/>
        <v>2.0307906781740506E-2</v>
      </c>
      <c r="BZ173" s="39">
        <f>BZ172+(1000*$C$2*($B173-$B172))/(BerechnungenCLT!$W$47*2*BT173)</f>
        <v>7.110706554180145E-3</v>
      </c>
      <c r="CA173" s="37">
        <f t="shared" si="75"/>
        <v>2.5794170384173344E-6</v>
      </c>
      <c r="CB173" s="173">
        <f t="shared" si="107"/>
        <v>3058.0989309347365</v>
      </c>
      <c r="CC173" s="9">
        <v>-257.67648066974272</v>
      </c>
      <c r="CJ173" s="9">
        <f t="shared" si="123"/>
        <v>122</v>
      </c>
      <c r="CK173" s="129">
        <v>85.423851910466198</v>
      </c>
      <c r="CL173" s="9">
        <v>10.09375</v>
      </c>
      <c r="CM173" s="129">
        <f t="shared" si="108"/>
        <v>95.517802037213585</v>
      </c>
      <c r="CN173" s="36">
        <f t="shared" si="122"/>
        <v>9.7543538140868486E-3</v>
      </c>
      <c r="CO173" s="173">
        <f t="shared" si="109"/>
        <v>3285.3898588031602</v>
      </c>
      <c r="CP173" s="9">
        <v>-631.10621273551521</v>
      </c>
      <c r="CQ173" s="129"/>
      <c r="CR173" s="36">
        <f t="shared" si="110"/>
        <v>0.83501395245411769</v>
      </c>
      <c r="CS173" s="17">
        <f t="shared" si="76"/>
        <v>0.60027568206110249</v>
      </c>
      <c r="CT173" s="9">
        <f t="shared" si="77"/>
        <v>10.0891143536005</v>
      </c>
      <c r="CU173" s="9">
        <f t="shared" si="111"/>
        <v>95.513166298904054</v>
      </c>
      <c r="CV173" s="9">
        <v>13.2</v>
      </c>
      <c r="CW173" s="9">
        <f t="shared" si="112"/>
        <v>98.62411362420643</v>
      </c>
      <c r="CX173">
        <f t="shared" si="113"/>
        <v>22</v>
      </c>
      <c r="CY173" s="9">
        <f t="shared" si="78"/>
        <v>626.04047913671559</v>
      </c>
      <c r="CZ173" s="17">
        <f t="shared" si="114"/>
        <v>0.58949197658824437</v>
      </c>
      <c r="DA173">
        <v>45</v>
      </c>
      <c r="DB173" s="9">
        <f t="shared" si="115"/>
        <v>10.102747718570891</v>
      </c>
      <c r="DC173" s="9">
        <f t="shared" si="116"/>
        <v>10.937761676228725</v>
      </c>
    </row>
    <row r="174" spans="2:107" x14ac:dyDescent="0.25">
      <c r="B174" s="9">
        <f t="shared" si="117"/>
        <v>123</v>
      </c>
      <c r="C174" s="9">
        <v>94.573014327662932</v>
      </c>
      <c r="D174" s="9"/>
      <c r="E174" s="9">
        <f t="shared" si="79"/>
        <v>94.573014327662932</v>
      </c>
      <c r="F174" s="36">
        <f t="shared" si="118"/>
        <v>0</v>
      </c>
      <c r="G174" s="37">
        <f t="shared" si="124"/>
        <v>0</v>
      </c>
      <c r="H174" s="36" t="e">
        <f t="shared" si="64"/>
        <v>#DIV/0!</v>
      </c>
      <c r="I174" s="37" t="e">
        <f t="shared" si="80"/>
        <v>#DIV/0!</v>
      </c>
      <c r="J174" s="37" t="e">
        <f t="shared" si="81"/>
        <v>#DIV/0!</v>
      </c>
      <c r="K174" s="37" t="e">
        <f t="shared" si="82"/>
        <v>#DIV/0!</v>
      </c>
      <c r="L174" s="39" t="e">
        <f t="shared" si="65"/>
        <v>#DIV/0!</v>
      </c>
      <c r="M174" s="39" t="e">
        <f>M173+(1000*$C$2*(B174-B173))/(BerechnungenCLT!$W$47*2*'Berechnung freier Bereich'!G174)</f>
        <v>#DIV/0!</v>
      </c>
      <c r="N174" s="17" t="e">
        <f t="shared" si="83"/>
        <v>#DIV/0!</v>
      </c>
      <c r="O174" s="173">
        <f t="shared" si="84"/>
        <v>3006.5578831402236</v>
      </c>
      <c r="P174" s="173"/>
      <c r="Q174" s="173"/>
      <c r="R174" s="37" t="e">
        <f t="shared" si="66"/>
        <v>#DIV/0!</v>
      </c>
      <c r="S174" s="37" t="e">
        <f t="shared" si="67"/>
        <v>#DIV/0!</v>
      </c>
      <c r="T174" s="37" t="e">
        <f t="shared" si="68"/>
        <v>#DIV/0!</v>
      </c>
      <c r="U174" s="39" t="e">
        <f t="shared" si="69"/>
        <v>#DIV/0!</v>
      </c>
      <c r="V174" s="39" t="e">
        <f t="shared" si="85"/>
        <v>#DIV/0!</v>
      </c>
      <c r="W174" s="9" t="e">
        <f t="shared" si="86"/>
        <v>#DIV/0!</v>
      </c>
      <c r="AB174" s="129">
        <v>86.184239735491644</v>
      </c>
      <c r="AC174" s="9">
        <v>15</v>
      </c>
      <c r="AD174" s="129">
        <f t="shared" si="87"/>
        <v>101.24437170596677</v>
      </c>
      <c r="AE174" s="36">
        <f t="shared" si="119"/>
        <v>1.5075213080018735E-2</v>
      </c>
      <c r="AF174" s="37">
        <f t="shared" si="88"/>
        <v>39191443.753243491</v>
      </c>
      <c r="AG174" s="36">
        <f t="shared" si="70"/>
        <v>1.9744226459426732</v>
      </c>
      <c r="AH174" s="37">
        <f t="shared" si="89"/>
        <v>-2.0088723187302375E-4</v>
      </c>
      <c r="AI174" s="37">
        <f t="shared" si="90"/>
        <v>-2.4995067329998899E-2</v>
      </c>
      <c r="AJ174" s="37">
        <f t="shared" si="91"/>
        <v>-1.549954625289728</v>
      </c>
      <c r="AK174" s="39">
        <f t="shared" si="92"/>
        <v>2.0338701574735153E-2</v>
      </c>
      <c r="AL174" s="39">
        <f>AL173+(1000*$C$2*($B174-$B173))/(BerechnungenCLT!$W$47*2*AF174)</f>
        <v>7.1677261870679255E-3</v>
      </c>
      <c r="AM174" s="37">
        <f t="shared" si="71"/>
        <v>2.5833284515727432E-6</v>
      </c>
      <c r="AN174" s="173">
        <f t="shared" si="93"/>
        <v>3061.908781656346</v>
      </c>
      <c r="AO174" s="173">
        <v>-257.42536623517702</v>
      </c>
      <c r="AV174" s="129">
        <v>113.1036161473469</v>
      </c>
      <c r="AW174" s="9">
        <v>9.5625</v>
      </c>
      <c r="AX174" s="129">
        <f t="shared" si="94"/>
        <v>122.82465052853546</v>
      </c>
      <c r="AY174" s="36">
        <f t="shared" si="120"/>
        <v>1.2248735321700333E-2</v>
      </c>
      <c r="AZ174" s="37">
        <f t="shared" si="95"/>
        <v>50216793.637896381</v>
      </c>
      <c r="BA174" s="36">
        <f t="shared" si="72"/>
        <v>1.9932263909571062</v>
      </c>
      <c r="BB174" s="37">
        <f t="shared" si="96"/>
        <v>-1.5678142864850183E-4</v>
      </c>
      <c r="BC174" s="37">
        <f t="shared" si="97"/>
        <v>-2.2425980196490166E-2</v>
      </c>
      <c r="BD174" s="37">
        <f t="shared" si="98"/>
        <v>-1.4737680090481151</v>
      </c>
      <c r="BE174" s="39">
        <f t="shared" si="99"/>
        <v>1.9256624183116754E-2</v>
      </c>
      <c r="BF174" s="39">
        <f>BF173+(1000*$C$2*($B174-$B173))/(BerechnungenCLT!$W$47*2*AZ174)</f>
        <v>6.4249946173780808E-3</v>
      </c>
      <c r="BG174" s="37">
        <f t="shared" si="73"/>
        <v>2.4458879516322832E-6</v>
      </c>
      <c r="BH174" s="173">
        <f t="shared" si="100"/>
        <v>1932.4313290858418</v>
      </c>
      <c r="BI174">
        <v>-258.61461778045992</v>
      </c>
      <c r="BP174" s="129">
        <v>86.254143670543385</v>
      </c>
      <c r="BQ174" s="9">
        <v>15.0625</v>
      </c>
      <c r="BR174" s="129">
        <f t="shared" si="101"/>
        <v>101.31814064909202</v>
      </c>
      <c r="BS174" s="36">
        <f t="shared" si="121"/>
        <v>1.5090640786608342E-2</v>
      </c>
      <c r="BT174" s="37">
        <f t="shared" si="102"/>
        <v>39291463.522889346</v>
      </c>
      <c r="BU174" s="36">
        <f t="shared" si="74"/>
        <v>1.9744484533453552</v>
      </c>
      <c r="BV174" s="37">
        <f t="shared" si="103"/>
        <v>-2.0037585630043841E-4</v>
      </c>
      <c r="BW174" s="37">
        <f t="shared" si="104"/>
        <v>-2.4998214063407857E-2</v>
      </c>
      <c r="BX174" s="37">
        <f t="shared" si="105"/>
        <v>-1.5520969728455034</v>
      </c>
      <c r="BY174" s="39">
        <f t="shared" si="106"/>
        <v>2.0301709191330071E-2</v>
      </c>
      <c r="BZ174" s="39">
        <f>BZ173+(1000*$C$2*($B174-$B173))/(BerechnungenCLT!$W$47*2*BT174)</f>
        <v>7.1686359171725406E-3</v>
      </c>
      <c r="CA174" s="37">
        <f t="shared" si="75"/>
        <v>2.5786298489510033E-6</v>
      </c>
      <c r="CB174" s="173">
        <f t="shared" si="107"/>
        <v>3057.2199783933029</v>
      </c>
      <c r="CC174" s="9">
        <v>-257.60241982257338</v>
      </c>
      <c r="CJ174" s="9">
        <f t="shared" si="123"/>
        <v>123</v>
      </c>
      <c r="CK174" s="129">
        <v>85.430149051889643</v>
      </c>
      <c r="CL174" s="9">
        <v>10.09375</v>
      </c>
      <c r="CM174" s="129">
        <f t="shared" si="108"/>
        <v>95.524157383402823</v>
      </c>
      <c r="CN174" s="36">
        <f t="shared" si="122"/>
        <v>9.7550921454411226E-3</v>
      </c>
      <c r="CO174" s="173">
        <f t="shared" si="109"/>
        <v>3284.9304400464375</v>
      </c>
      <c r="CP174" s="9">
        <v>-631.01796079462656</v>
      </c>
      <c r="CQ174" s="129"/>
      <c r="CR174" s="36">
        <f t="shared" si="110"/>
        <v>0.83498185636833677</v>
      </c>
      <c r="CS174" s="17">
        <f t="shared" si="76"/>
        <v>0.6002526087942105</v>
      </c>
      <c r="CT174" s="9">
        <f t="shared" si="77"/>
        <v>10.089502171703701</v>
      </c>
      <c r="CU174" s="9">
        <f t="shared" si="111"/>
        <v>95.51990944639094</v>
      </c>
      <c r="CV174" s="9">
        <v>13.2</v>
      </c>
      <c r="CW174" s="9">
        <f t="shared" si="112"/>
        <v>98.630486882326693</v>
      </c>
      <c r="CX174">
        <f t="shared" si="113"/>
        <v>22</v>
      </c>
      <c r="CY174" s="9">
        <f t="shared" si="78"/>
        <v>625.99433306910737</v>
      </c>
      <c r="CZ174" s="17">
        <f t="shared" si="114"/>
        <v>0.58944852454718211</v>
      </c>
      <c r="DA174">
        <v>45</v>
      </c>
      <c r="DB174" s="9">
        <f t="shared" si="115"/>
        <v>10.102003034968494</v>
      </c>
      <c r="DC174" s="9">
        <f t="shared" si="116"/>
        <v>10.936984898056815</v>
      </c>
    </row>
    <row r="175" spans="2:107" x14ac:dyDescent="0.25">
      <c r="B175" s="9">
        <f t="shared" si="117"/>
        <v>124</v>
      </c>
      <c r="C175" s="9">
        <v>94.766822463417768</v>
      </c>
      <c r="D175" s="9"/>
      <c r="E175" s="9">
        <f t="shared" si="79"/>
        <v>94.766822463417768</v>
      </c>
      <c r="F175" s="36">
        <f t="shared" si="118"/>
        <v>0</v>
      </c>
      <c r="G175" s="37">
        <f>(PI()/4)*(E175^4-C175^4)</f>
        <v>0</v>
      </c>
      <c r="H175" s="36" t="e">
        <f t="shared" si="64"/>
        <v>#DIV/0!</v>
      </c>
      <c r="I175" s="37" t="e">
        <f t="shared" si="80"/>
        <v>#DIV/0!</v>
      </c>
      <c r="J175" s="37" t="e">
        <f t="shared" si="81"/>
        <v>#DIV/0!</v>
      </c>
      <c r="K175" s="37" t="e">
        <f t="shared" si="82"/>
        <v>#DIV/0!</v>
      </c>
      <c r="L175" s="39" t="e">
        <f t="shared" si="65"/>
        <v>#DIV/0!</v>
      </c>
      <c r="M175" s="39" t="e">
        <f>M174+(1000*$C$2*(B175-B174))/(BerechnungenCLT!$W$47*2*'Berechnung freier Bereich'!G175)</f>
        <v>#DIV/0!</v>
      </c>
      <c r="N175" s="17" t="e">
        <f t="shared" si="83"/>
        <v>#DIV/0!</v>
      </c>
      <c r="O175" s="173">
        <f t="shared" si="84"/>
        <v>2994.2730027037846</v>
      </c>
      <c r="P175" s="173"/>
      <c r="Q175" s="173"/>
      <c r="R175" s="37" t="e">
        <f t="shared" si="66"/>
        <v>#DIV/0!</v>
      </c>
      <c r="S175" s="37" t="e">
        <f t="shared" si="67"/>
        <v>#DIV/0!</v>
      </c>
      <c r="T175" s="37" t="e">
        <f t="shared" si="68"/>
        <v>#DIV/0!</v>
      </c>
      <c r="U175" s="39" t="e">
        <f t="shared" si="69"/>
        <v>#DIV/0!</v>
      </c>
      <c r="V175" s="39" t="e">
        <f t="shared" si="85"/>
        <v>#DIV/0!</v>
      </c>
      <c r="W175" s="9" t="e">
        <f t="shared" si="86"/>
        <v>#DIV/0!</v>
      </c>
      <c r="AB175" s="129">
        <v>86.273870458600456</v>
      </c>
      <c r="AC175" s="9">
        <v>14.9375</v>
      </c>
      <c r="AD175" s="129">
        <f t="shared" si="87"/>
        <v>101.2850861133352</v>
      </c>
      <c r="AE175" s="36">
        <f t="shared" si="119"/>
        <v>1.5036697615698929E-2</v>
      </c>
      <c r="AF175" s="37">
        <f t="shared" si="88"/>
        <v>39143728.905820176</v>
      </c>
      <c r="AG175" s="36">
        <f t="shared" si="70"/>
        <v>1.9746219186454401</v>
      </c>
      <c r="AH175" s="37">
        <f t="shared" si="89"/>
        <v>-2.0113210643878563E-4</v>
      </c>
      <c r="AI175" s="37">
        <f t="shared" si="90"/>
        <v>-2.5196199436437684E-2</v>
      </c>
      <c r="AJ175" s="37">
        <f t="shared" si="91"/>
        <v>-1.5750502586729462</v>
      </c>
      <c r="AK175" s="39">
        <f t="shared" si="92"/>
        <v>2.0371682720808904E-2</v>
      </c>
      <c r="AL175" s="39">
        <f>AL174+(1000*$C$2*($B175-$B174))/(BerechnungenCLT!$W$47*2*AF175)</f>
        <v>7.2258741846283085E-3</v>
      </c>
      <c r="AM175" s="37">
        <f t="shared" si="71"/>
        <v>2.5875175652536104E-6</v>
      </c>
      <c r="AN175" s="173">
        <f t="shared" si="93"/>
        <v>3057.6544796824846</v>
      </c>
      <c r="AO175" s="173">
        <v>-258.26113350405706</v>
      </c>
      <c r="AV175" s="129">
        <v>113.2864613629751</v>
      </c>
      <c r="AW175" s="9">
        <v>9.5625</v>
      </c>
      <c r="AX175" s="129">
        <f t="shared" si="94"/>
        <v>122.99880801916967</v>
      </c>
      <c r="AY175" s="36">
        <f t="shared" si="120"/>
        <v>1.2256306597820539E-2</v>
      </c>
      <c r="AZ175" s="37">
        <f t="shared" si="95"/>
        <v>50399607.342358895</v>
      </c>
      <c r="BA175" s="36">
        <f t="shared" si="72"/>
        <v>1.9932588269431577</v>
      </c>
      <c r="BB175" s="37">
        <f t="shared" si="96"/>
        <v>-1.5621273783376075E-4</v>
      </c>
      <c r="BC175" s="37">
        <f t="shared" si="97"/>
        <v>-2.2582192934323928E-2</v>
      </c>
      <c r="BD175" s="37">
        <f t="shared" si="98"/>
        <v>-1.4962720956135223</v>
      </c>
      <c r="BE175" s="39">
        <f t="shared" si="99"/>
        <v>1.9213980550963621E-2</v>
      </c>
      <c r="BF175" s="39">
        <f>BF174+(1000*$C$2*($B175-$B174))/(BerechnungenCLT!$W$47*2*AZ175)</f>
        <v>6.470156267893698E-3</v>
      </c>
      <c r="BG175" s="37">
        <f t="shared" si="73"/>
        <v>2.4404715533526387E-6</v>
      </c>
      <c r="BH175" s="173">
        <f t="shared" si="100"/>
        <v>1926.5963310369928</v>
      </c>
      <c r="BI175">
        <v>-257.66588959915708</v>
      </c>
      <c r="BP175" s="129">
        <v>86.268242564584767</v>
      </c>
      <c r="BQ175" s="9">
        <v>15.0625</v>
      </c>
      <c r="BR175" s="129">
        <f t="shared" si="101"/>
        <v>101.33239834618119</v>
      </c>
      <c r="BS175" s="36">
        <f t="shared" si="121"/>
        <v>1.5093081250445733E-2</v>
      </c>
      <c r="BT175" s="37">
        <f t="shared" si="102"/>
        <v>39309629.652982607</v>
      </c>
      <c r="BU175" s="36">
        <f t="shared" si="74"/>
        <v>1.974455569659934</v>
      </c>
      <c r="BV175" s="37">
        <f t="shared" si="103"/>
        <v>-2.0028325675408714E-4</v>
      </c>
      <c r="BW175" s="37">
        <f t="shared" si="104"/>
        <v>-2.5198497320161942E-2</v>
      </c>
      <c r="BX175" s="37">
        <f t="shared" si="105"/>
        <v>-1.5771953285372884</v>
      </c>
      <c r="BY175" s="39">
        <f t="shared" si="106"/>
        <v>2.0295182755475642E-2</v>
      </c>
      <c r="BZ175" s="39">
        <f>BZ174+(1000*$C$2*($B175-$B174))/(BerechnungenCLT!$W$47*2*BT175)</f>
        <v>7.2265385093112392E-3</v>
      </c>
      <c r="CA175" s="37">
        <f t="shared" si="75"/>
        <v>2.577800891046874E-6</v>
      </c>
      <c r="CB175" s="173">
        <f t="shared" si="107"/>
        <v>3056.2958260604005</v>
      </c>
      <c r="CC175" s="9">
        <v>-257.52455042523763</v>
      </c>
      <c r="CJ175" s="9">
        <f t="shared" si="123"/>
        <v>124</v>
      </c>
      <c r="CK175" s="129">
        <v>85.437303566888502</v>
      </c>
      <c r="CL175" s="9">
        <v>10.09375</v>
      </c>
      <c r="CM175" s="129">
        <f t="shared" si="108"/>
        <v>95.531380075458117</v>
      </c>
      <c r="CN175" s="36">
        <f t="shared" si="122"/>
        <v>9.7559331015770294E-3</v>
      </c>
      <c r="CO175" s="173">
        <f t="shared" si="109"/>
        <v>3284.4085127371854</v>
      </c>
      <c r="CP175" s="9">
        <v>-630.91770128765143</v>
      </c>
      <c r="CQ175" s="129"/>
      <c r="CR175" s="36">
        <f t="shared" si="110"/>
        <v>0.83494538136478691</v>
      </c>
      <c r="CS175" s="17">
        <f t="shared" si="76"/>
        <v>0.60022638760644498</v>
      </c>
      <c r="CT175" s="9">
        <f t="shared" si="77"/>
        <v>10.089942936615687</v>
      </c>
      <c r="CU175" s="9">
        <f t="shared" si="111"/>
        <v>95.527572888924453</v>
      </c>
      <c r="CV175" s="9">
        <v>13.2</v>
      </c>
      <c r="CW175" s="9">
        <f t="shared" si="112"/>
        <v>98.637730555185115</v>
      </c>
      <c r="CX175">
        <f t="shared" si="113"/>
        <v>22</v>
      </c>
      <c r="CY175" s="9">
        <f t="shared" si="78"/>
        <v>625.94191233883896</v>
      </c>
      <c r="CZ175" s="17">
        <f t="shared" si="114"/>
        <v>0.58939916416086524</v>
      </c>
      <c r="DA175">
        <v>45</v>
      </c>
      <c r="DB175" s="9">
        <f t="shared" si="115"/>
        <v>10.101157093802108</v>
      </c>
      <c r="DC175" s="9">
        <f t="shared" si="116"/>
        <v>10.936102483663866</v>
      </c>
    </row>
    <row r="176" spans="2:107" x14ac:dyDescent="0.25">
      <c r="B176" s="9">
        <f t="shared" si="117"/>
        <v>125</v>
      </c>
      <c r="C176" s="9">
        <v>94.961251804736236</v>
      </c>
      <c r="D176" s="9"/>
      <c r="E176" s="9">
        <f t="shared" si="79"/>
        <v>94.961251804736236</v>
      </c>
      <c r="F176" s="36">
        <f t="shared" si="118"/>
        <v>0</v>
      </c>
      <c r="G176" s="37">
        <f t="shared" ref="G176:G205" si="125">(PI()/4)*(E176^4-C176^4)</f>
        <v>0</v>
      </c>
      <c r="H176" s="36" t="e">
        <f t="shared" si="64"/>
        <v>#DIV/0!</v>
      </c>
      <c r="I176" s="37" t="e">
        <f t="shared" si="80"/>
        <v>#DIV/0!</v>
      </c>
      <c r="J176" s="37" t="e">
        <f t="shared" si="81"/>
        <v>#DIV/0!</v>
      </c>
      <c r="K176" s="37" t="e">
        <f t="shared" si="82"/>
        <v>#DIV/0!</v>
      </c>
      <c r="L176" s="39" t="e">
        <f t="shared" si="65"/>
        <v>#DIV/0!</v>
      </c>
      <c r="M176" s="39" t="e">
        <f>M175+(1000*$C$2*(B176-B175))/(BerechnungenCLT!$W$47*2*'Berechnung freier Bereich'!G176)</f>
        <v>#DIV/0!</v>
      </c>
      <c r="N176" s="17" t="e">
        <f t="shared" si="83"/>
        <v>#DIV/0!</v>
      </c>
      <c r="O176" s="173">
        <f t="shared" si="84"/>
        <v>2982.0242480352708</v>
      </c>
      <c r="P176" s="173"/>
      <c r="Q176" s="173"/>
      <c r="R176" s="37" t="e">
        <f t="shared" si="66"/>
        <v>#DIV/0!</v>
      </c>
      <c r="S176" s="37" t="e">
        <f t="shared" si="67"/>
        <v>#DIV/0!</v>
      </c>
      <c r="T176" s="37" t="e">
        <f t="shared" si="68"/>
        <v>#DIV/0!</v>
      </c>
      <c r="U176" s="39" t="e">
        <f t="shared" si="69"/>
        <v>#DIV/0!</v>
      </c>
      <c r="V176" s="39" t="e">
        <f t="shared" si="85"/>
        <v>#DIV/0!</v>
      </c>
      <c r="W176" s="9" t="e">
        <f t="shared" si="86"/>
        <v>#DIV/0!</v>
      </c>
      <c r="AB176" s="129">
        <v>86.373340213216636</v>
      </c>
      <c r="AC176" s="9">
        <v>14.9375</v>
      </c>
      <c r="AD176" s="129">
        <f t="shared" si="87"/>
        <v>101.4004861937851</v>
      </c>
      <c r="AE176" s="36">
        <f t="shared" si="119"/>
        <v>1.5069899489398152E-2</v>
      </c>
      <c r="AF176" s="37">
        <f t="shared" si="88"/>
        <v>39320054.863720171</v>
      </c>
      <c r="AG176" s="36">
        <f t="shared" si="70"/>
        <v>1.9746261557804499</v>
      </c>
      <c r="AH176" s="37">
        <f t="shared" si="89"/>
        <v>-2.0023015420460942E-4</v>
      </c>
      <c r="AI176" s="37">
        <f t="shared" si="90"/>
        <v>-2.5396429590642294E-2</v>
      </c>
      <c r="AJ176" s="37">
        <f t="shared" si="91"/>
        <v>-1.6003465731864863</v>
      </c>
      <c r="AK176" s="39">
        <f t="shared" si="92"/>
        <v>2.030343498700396E-2</v>
      </c>
      <c r="AL176" s="39">
        <f>AL175+(1000*$C$2*($B176-$B175))/(BerechnungenCLT!$W$47*2*AF176)</f>
        <v>7.2837614246336647E-3</v>
      </c>
      <c r="AM176" s="37">
        <f t="shared" si="71"/>
        <v>2.5788490515903451E-6</v>
      </c>
      <c r="AN176" s="173">
        <f t="shared" si="93"/>
        <v>3050.6607274153953</v>
      </c>
      <c r="AO176" s="173">
        <v>-257.79788068983203</v>
      </c>
      <c r="AV176" s="129">
        <v>113.46418596309844</v>
      </c>
      <c r="AW176" s="9">
        <v>9.5</v>
      </c>
      <c r="AX176" s="129">
        <f t="shared" si="94"/>
        <v>123.10495545428634</v>
      </c>
      <c r="AY176" s="36">
        <f t="shared" si="120"/>
        <v>1.21805973430804E-2</v>
      </c>
      <c r="AZ176" s="37">
        <f t="shared" si="95"/>
        <v>50207260.70940692</v>
      </c>
      <c r="BA176" s="36">
        <f t="shared" si="72"/>
        <v>1.9933734670804479</v>
      </c>
      <c r="BB176" s="37">
        <f t="shared" si="96"/>
        <v>-1.568111969753666E-4</v>
      </c>
      <c r="BC176" s="37">
        <f t="shared" si="97"/>
        <v>-2.2739004131299295E-2</v>
      </c>
      <c r="BD176" s="37">
        <f t="shared" si="98"/>
        <v>-1.5189326941463339</v>
      </c>
      <c r="BE176" s="39">
        <f t="shared" si="99"/>
        <v>1.9304235418385825E-2</v>
      </c>
      <c r="BF176" s="39">
        <f>BF175+(1000*$C$2*($B176-$B175))/(BerechnungenCLT!$W$47*2*AZ176)</f>
        <v>6.5154909350465997E-3</v>
      </c>
      <c r="BG176" s="37">
        <f t="shared" si="73"/>
        <v>2.4519353120418536E-6</v>
      </c>
      <c r="BH176" s="173">
        <f t="shared" si="100"/>
        <v>1921.9754520259012</v>
      </c>
      <c r="BI176">
        <v>-258.56543672463704</v>
      </c>
      <c r="BP176" s="129">
        <v>86.28307047414134</v>
      </c>
      <c r="BQ176" s="9">
        <v>15.0625</v>
      </c>
      <c r="BR176" s="129">
        <f t="shared" si="101"/>
        <v>101.34740182709757</v>
      </c>
      <c r="BS176" s="36">
        <f t="shared" si="121"/>
        <v>1.509565721921491E-2</v>
      </c>
      <c r="BT176" s="37">
        <f t="shared" si="102"/>
        <v>39328769.270763747</v>
      </c>
      <c r="BU176" s="36">
        <f t="shared" si="74"/>
        <v>1.9744630241550847</v>
      </c>
      <c r="BV176" s="37">
        <f t="shared" si="103"/>
        <v>-2.0018578752091984E-4</v>
      </c>
      <c r="BW176" s="37">
        <f t="shared" si="104"/>
        <v>-2.5398683107682861E-2</v>
      </c>
      <c r="BX176" s="37">
        <f t="shared" si="105"/>
        <v>-1.6024939187512108</v>
      </c>
      <c r="BY176" s="39">
        <f t="shared" si="106"/>
        <v>2.0288309447956638E-2</v>
      </c>
      <c r="BZ176" s="39">
        <f>BZ175+(1000*$C$2*($B176-$B175))/(BerechnungenCLT!$W$47*2*BT176)</f>
        <v>7.2844129227526986E-3</v>
      </c>
      <c r="CA176" s="37">
        <f t="shared" si="75"/>
        <v>2.5769278750972075E-6</v>
      </c>
      <c r="CB176" s="173">
        <f t="shared" si="107"/>
        <v>3055.3240616638923</v>
      </c>
      <c r="CC176" s="9">
        <v>-257.4426692188452</v>
      </c>
      <c r="CJ176" s="9">
        <f t="shared" si="123"/>
        <v>125</v>
      </c>
      <c r="CK176" s="129">
        <v>85.445346964356219</v>
      </c>
      <c r="CL176" s="9">
        <v>10.09375</v>
      </c>
      <c r="CM176" s="129">
        <f t="shared" si="108"/>
        <v>95.539502470145081</v>
      </c>
      <c r="CN176" s="36">
        <f t="shared" si="122"/>
        <v>9.7568809492111115E-3</v>
      </c>
      <c r="CO176" s="173">
        <f t="shared" si="109"/>
        <v>3283.8218040234419</v>
      </c>
      <c r="CP176" s="9">
        <v>-630.80499761161195</v>
      </c>
      <c r="CQ176" s="129"/>
      <c r="CR176" s="36">
        <f t="shared" si="110"/>
        <v>0.83490436458631179</v>
      </c>
      <c r="CS176" s="17">
        <f t="shared" si="76"/>
        <v>0.6001969014228874</v>
      </c>
      <c r="CT176" s="9">
        <f t="shared" si="77"/>
        <v>10.090438630460174</v>
      </c>
      <c r="CU176" s="9">
        <f t="shared" si="111"/>
        <v>95.53619096757447</v>
      </c>
      <c r="CV176" s="9">
        <v>13.2</v>
      </c>
      <c r="CW176" s="9">
        <f t="shared" si="112"/>
        <v>98.645877260471423</v>
      </c>
      <c r="CX176">
        <f t="shared" si="113"/>
        <v>22</v>
      </c>
      <c r="CY176" s="9">
        <f t="shared" si="78"/>
        <v>625.88298929888992</v>
      </c>
      <c r="CZ176" s="17">
        <f t="shared" si="114"/>
        <v>0.58934368107240109</v>
      </c>
      <c r="DA176">
        <v>45</v>
      </c>
      <c r="DB176" s="9">
        <f t="shared" si="115"/>
        <v>10.100206221410858</v>
      </c>
      <c r="DC176" s="9">
        <f t="shared" si="116"/>
        <v>10.935110596554168</v>
      </c>
    </row>
    <row r="177" spans="2:107" x14ac:dyDescent="0.25">
      <c r="B177" s="9">
        <f t="shared" si="117"/>
        <v>126</v>
      </c>
      <c r="C177" s="9">
        <v>95.156294188491515</v>
      </c>
      <c r="D177" s="9"/>
      <c r="E177" s="9">
        <f t="shared" si="79"/>
        <v>95.156294188491515</v>
      </c>
      <c r="F177" s="36">
        <f t="shared" si="118"/>
        <v>0</v>
      </c>
      <c r="G177" s="37">
        <f t="shared" si="125"/>
        <v>0</v>
      </c>
      <c r="H177" s="36" t="e">
        <f t="shared" si="64"/>
        <v>#DIV/0!</v>
      </c>
      <c r="I177" s="37" t="e">
        <f t="shared" si="80"/>
        <v>#DIV/0!</v>
      </c>
      <c r="J177" s="37" t="e">
        <f t="shared" si="81"/>
        <v>#DIV/0!</v>
      </c>
      <c r="K177" s="37" t="e">
        <f t="shared" si="82"/>
        <v>#DIV/0!</v>
      </c>
      <c r="L177" s="39" t="e">
        <f t="shared" si="65"/>
        <v>#DIV/0!</v>
      </c>
      <c r="M177" s="39" t="e">
        <f>M176+(1000*$C$2*(B177-B176))/(BerechnungenCLT!$W$47*2*'Berechnung freier Bereich'!G177)</f>
        <v>#DIV/0!</v>
      </c>
      <c r="N177" s="17" t="e">
        <f t="shared" si="83"/>
        <v>#DIV/0!</v>
      </c>
      <c r="O177" s="173">
        <f t="shared" si="84"/>
        <v>2969.8122331245786</v>
      </c>
      <c r="P177" s="173"/>
      <c r="Q177" s="173"/>
      <c r="R177" s="37" t="e">
        <f t="shared" si="66"/>
        <v>#DIV/0!</v>
      </c>
      <c r="S177" s="37" t="e">
        <f t="shared" si="67"/>
        <v>#DIV/0!</v>
      </c>
      <c r="T177" s="37" t="e">
        <f t="shared" si="68"/>
        <v>#DIV/0!</v>
      </c>
      <c r="U177" s="39" t="e">
        <f t="shared" si="69"/>
        <v>#DIV/0!</v>
      </c>
      <c r="V177" s="39" t="e">
        <f t="shared" si="85"/>
        <v>#DIV/0!</v>
      </c>
      <c r="W177" s="9" t="e">
        <f t="shared" si="86"/>
        <v>#DIV/0!</v>
      </c>
      <c r="AB177" s="129">
        <v>86.483061797102508</v>
      </c>
      <c r="AC177" s="9">
        <v>14.9375</v>
      </c>
      <c r="AD177" s="129">
        <f t="shared" si="87"/>
        <v>101.52841582212911</v>
      </c>
      <c r="AE177" s="36">
        <f t="shared" si="119"/>
        <v>1.5107255285994872E-2</v>
      </c>
      <c r="AF177" s="37">
        <f t="shared" si="88"/>
        <v>39517334.42793639</v>
      </c>
      <c r="AG177" s="36">
        <f t="shared" si="70"/>
        <v>1.9746288639127569</v>
      </c>
      <c r="AH177" s="37">
        <f t="shared" si="89"/>
        <v>-1.9923055951695493E-4</v>
      </c>
      <c r="AI177" s="37">
        <f t="shared" si="90"/>
        <v>-2.5595660150159249E-2</v>
      </c>
      <c r="AJ177" s="37">
        <f t="shared" si="91"/>
        <v>-1.625842618056887</v>
      </c>
      <c r="AK177" s="39">
        <f t="shared" si="92"/>
        <v>2.022756309111284E-2</v>
      </c>
      <c r="AL177" s="39">
        <f>AL176+(1000*$C$2*($B177-$B176))/(BerechnungenCLT!$W$47*2*AF177)</f>
        <v>7.3413596783081549E-3</v>
      </c>
      <c r="AM177" s="37">
        <f t="shared" si="71"/>
        <v>2.5692121518792168E-6</v>
      </c>
      <c r="AN177" s="173">
        <f t="shared" si="93"/>
        <v>3042.9533786475276</v>
      </c>
      <c r="AO177" s="173">
        <v>-257.28239255661015</v>
      </c>
      <c r="AV177" s="129">
        <v>113.63697268357346</v>
      </c>
      <c r="AW177" s="9">
        <v>9.5</v>
      </c>
      <c r="AX177" s="129">
        <f t="shared" si="94"/>
        <v>123.27015355083266</v>
      </c>
      <c r="AY177" s="36">
        <f t="shared" si="120"/>
        <v>1.2188398165395263E-2</v>
      </c>
      <c r="AZ177" s="37">
        <f t="shared" si="95"/>
        <v>50382701.698446751</v>
      </c>
      <c r="BA177" s="36">
        <f t="shared" si="72"/>
        <v>1.9934026868056793</v>
      </c>
      <c r="BB177" s="37">
        <f t="shared" si="96"/>
        <v>-1.5626515417570613E-4</v>
      </c>
      <c r="BC177" s="37">
        <f t="shared" si="97"/>
        <v>-2.2895269285475001E-2</v>
      </c>
      <c r="BD177" s="37">
        <f t="shared" si="98"/>
        <v>-1.5417498308547211</v>
      </c>
      <c r="BE177" s="39">
        <f t="shared" si="99"/>
        <v>1.9262829549883835E-2</v>
      </c>
      <c r="BF177" s="39">
        <f>BF176+(1000*$C$2*($B177-$B176))/(BerechnungenCLT!$W$47*2*AZ177)</f>
        <v>6.5606677393105538E-3</v>
      </c>
      <c r="BG177" s="37">
        <f t="shared" si="73"/>
        <v>2.4466761288157152E-6</v>
      </c>
      <c r="BH177" s="173">
        <f t="shared" si="100"/>
        <v>1916.4953708211676</v>
      </c>
      <c r="BI177">
        <v>-257.64782926518387</v>
      </c>
      <c r="BP177" s="129">
        <v>86.298664767330834</v>
      </c>
      <c r="BQ177" s="9">
        <v>15.0625</v>
      </c>
      <c r="BR177" s="129">
        <f t="shared" si="101"/>
        <v>101.36318975329253</v>
      </c>
      <c r="BS177" s="36">
        <f t="shared" si="121"/>
        <v>1.5098376118294321E-2</v>
      </c>
      <c r="BT177" s="37">
        <f t="shared" si="102"/>
        <v>39348934.394378617</v>
      </c>
      <c r="BU177" s="36">
        <f t="shared" si="74"/>
        <v>1.974470832495139</v>
      </c>
      <c r="BV177" s="37">
        <f t="shared" si="103"/>
        <v>-2.0008319843652837E-4</v>
      </c>
      <c r="BW177" s="37">
        <f t="shared" si="104"/>
        <v>-2.5598766306119389E-2</v>
      </c>
      <c r="BX177" s="37">
        <f t="shared" si="105"/>
        <v>-1.627992643458112</v>
      </c>
      <c r="BY177" s="39">
        <f t="shared" si="106"/>
        <v>2.028107120956751E-2</v>
      </c>
      <c r="BZ177" s="39">
        <f>BZ176+(1000*$C$2*($B177-$B176))/(BerechnungenCLT!$W$47*2*BT177)</f>
        <v>7.3422576773299686E-3</v>
      </c>
      <c r="CA177" s="37">
        <f t="shared" si="75"/>
        <v>2.5760085073046668E-6</v>
      </c>
      <c r="CB177" s="173">
        <f t="shared" si="107"/>
        <v>3054.3022788075432</v>
      </c>
      <c r="CC177" s="9">
        <v>-257.35657343961151</v>
      </c>
      <c r="CJ177" s="9">
        <f t="shared" si="123"/>
        <v>126</v>
      </c>
      <c r="CK177" s="129">
        <v>85.454310753186306</v>
      </c>
      <c r="CL177" s="9">
        <v>10.09375</v>
      </c>
      <c r="CM177" s="129">
        <f t="shared" si="108"/>
        <v>95.548556954231842</v>
      </c>
      <c r="CN177" s="36">
        <f t="shared" si="122"/>
        <v>9.7579399866779618E-3</v>
      </c>
      <c r="CO177" s="173">
        <f t="shared" si="109"/>
        <v>3283.1680480560408</v>
      </c>
      <c r="CP177" s="9">
        <v>-630.67941450873172</v>
      </c>
      <c r="CQ177" s="129"/>
      <c r="CR177" s="36">
        <f t="shared" si="110"/>
        <v>0.83485864312218905</v>
      </c>
      <c r="CS177" s="17">
        <f t="shared" si="76"/>
        <v>0.60016403313011168</v>
      </c>
      <c r="CT177" s="9">
        <f t="shared" si="77"/>
        <v>10.090991238535356</v>
      </c>
      <c r="CU177" s="9">
        <f t="shared" si="111"/>
        <v>95.545798057148588</v>
      </c>
      <c r="CV177" s="9">
        <v>13.2</v>
      </c>
      <c r="CW177" s="9">
        <f t="shared" si="112"/>
        <v>98.654959655110872</v>
      </c>
      <c r="CX177">
        <f t="shared" si="113"/>
        <v>22</v>
      </c>
      <c r="CY177" s="9">
        <f t="shared" si="78"/>
        <v>625.81733687130645</v>
      </c>
      <c r="CZ177" s="17">
        <f t="shared" si="114"/>
        <v>0.58928186146074057</v>
      </c>
      <c r="DA177">
        <v>45</v>
      </c>
      <c r="DB177" s="9">
        <f t="shared" si="115"/>
        <v>10.099146753317193</v>
      </c>
      <c r="DC177" s="9">
        <f t="shared" si="116"/>
        <v>10.934005409362539</v>
      </c>
    </row>
    <row r="178" spans="2:107" x14ac:dyDescent="0.25">
      <c r="B178" s="9">
        <f t="shared" si="117"/>
        <v>127</v>
      </c>
      <c r="C178" s="9">
        <v>95.351941451556812</v>
      </c>
      <c r="D178" s="9"/>
      <c r="E178" s="9">
        <f t="shared" si="79"/>
        <v>95.351941451556812</v>
      </c>
      <c r="F178" s="36">
        <f t="shared" si="118"/>
        <v>0</v>
      </c>
      <c r="G178" s="37">
        <f t="shared" si="125"/>
        <v>0</v>
      </c>
      <c r="H178" s="36" t="e">
        <f t="shared" si="64"/>
        <v>#DIV/0!</v>
      </c>
      <c r="I178" s="37" t="e">
        <f t="shared" si="80"/>
        <v>#DIV/0!</v>
      </c>
      <c r="J178" s="37" t="e">
        <f t="shared" si="81"/>
        <v>#DIV/0!</v>
      </c>
      <c r="K178" s="37" t="e">
        <f t="shared" si="82"/>
        <v>#DIV/0!</v>
      </c>
      <c r="L178" s="39" t="e">
        <f t="shared" si="65"/>
        <v>#DIV/0!</v>
      </c>
      <c r="M178" s="39" t="e">
        <f>M177+(1000*$C$2*(B178-B177))/(BerechnungenCLT!$W$47*2*'Berechnung freier Bereich'!G178)</f>
        <v>#DIV/0!</v>
      </c>
      <c r="N178" s="17" t="e">
        <f t="shared" si="83"/>
        <v>#DIV/0!</v>
      </c>
      <c r="O178" s="173">
        <f t="shared" si="84"/>
        <v>2957.6375562529511</v>
      </c>
      <c r="P178" s="173"/>
      <c r="Q178" s="173"/>
      <c r="R178" s="37" t="e">
        <f t="shared" si="66"/>
        <v>#DIV/0!</v>
      </c>
      <c r="S178" s="37" t="e">
        <f t="shared" si="67"/>
        <v>#DIV/0!</v>
      </c>
      <c r="T178" s="37" t="e">
        <f t="shared" si="68"/>
        <v>#DIV/0!</v>
      </c>
      <c r="U178" s="39" t="e">
        <f t="shared" si="69"/>
        <v>#DIV/0!</v>
      </c>
      <c r="V178" s="39" t="e">
        <f t="shared" si="85"/>
        <v>#DIV/0!</v>
      </c>
      <c r="W178" s="9" t="e">
        <f t="shared" si="86"/>
        <v>#DIV/0!</v>
      </c>
      <c r="AB178" s="129">
        <v>86.603448008020436</v>
      </c>
      <c r="AC178" s="9">
        <v>14.8125</v>
      </c>
      <c r="AD178" s="129">
        <f t="shared" si="87"/>
        <v>101.54339959489056</v>
      </c>
      <c r="AE178" s="36">
        <f t="shared" si="119"/>
        <v>1.5012220348498447E-2</v>
      </c>
      <c r="AF178" s="37">
        <f t="shared" si="88"/>
        <v>39321462.857115999</v>
      </c>
      <c r="AG178" s="36">
        <f t="shared" si="70"/>
        <v>1.9750154232927952</v>
      </c>
      <c r="AH178" s="37">
        <f t="shared" si="89"/>
        <v>-2.0022298451370066E-4</v>
      </c>
      <c r="AI178" s="37">
        <f t="shared" si="90"/>
        <v>-2.5795883134672948E-2</v>
      </c>
      <c r="AJ178" s="37">
        <f t="shared" si="91"/>
        <v>-1.651538389699303</v>
      </c>
      <c r="AK178" s="39">
        <f t="shared" si="92"/>
        <v>2.033132252455629E-2</v>
      </c>
      <c r="AL178" s="39">
        <f>AL177+(1000*$C$2*($B178-$B177))/(BerechnungenCLT!$W$47*2*AF178)</f>
        <v>7.3992448455307168E-3</v>
      </c>
      <c r="AM178" s="37">
        <f t="shared" si="71"/>
        <v>2.5823911985134668E-6</v>
      </c>
      <c r="AN178" s="173">
        <f t="shared" si="93"/>
        <v>3038.5761980949333</v>
      </c>
      <c r="AO178" s="173">
        <v>-259.22371193683603</v>
      </c>
      <c r="AV178" s="129">
        <v>113.80500426025667</v>
      </c>
      <c r="AW178" s="9">
        <v>9.4375</v>
      </c>
      <c r="AX178" s="129">
        <f t="shared" si="94"/>
        <v>123.36775295706938</v>
      </c>
      <c r="AY178" s="36">
        <f t="shared" si="120"/>
        <v>1.2112850008286763E-2</v>
      </c>
      <c r="AZ178" s="37">
        <f t="shared" si="95"/>
        <v>50181367.004991576</v>
      </c>
      <c r="BA178" s="36">
        <f t="shared" si="72"/>
        <v>1.9935130905206766</v>
      </c>
      <c r="BB178" s="37">
        <f t="shared" si="96"/>
        <v>-1.5689211192499507E-4</v>
      </c>
      <c r="BC178" s="37">
        <f t="shared" si="97"/>
        <v>-2.3052161397399996E-2</v>
      </c>
      <c r="BD178" s="37">
        <f t="shared" si="98"/>
        <v>-1.5647235461961586</v>
      </c>
      <c r="BE178" s="39">
        <f t="shared" si="99"/>
        <v>1.9355427304875671E-2</v>
      </c>
      <c r="BF178" s="39">
        <f>BF177+(1000*$C$2*($B178-$B177))/(BerechnungenCLT!$W$47*2*AZ178)</f>
        <v>6.6060257992592497E-3</v>
      </c>
      <c r="BG178" s="37">
        <f t="shared" si="73"/>
        <v>2.4584374703223589E-6</v>
      </c>
      <c r="BH178" s="173">
        <f t="shared" si="100"/>
        <v>1912.2048656833656</v>
      </c>
      <c r="BI178">
        <v>-258.58876464192258</v>
      </c>
      <c r="BP178" s="129">
        <v>86.315062812271051</v>
      </c>
      <c r="BQ178" s="9">
        <v>15.0625</v>
      </c>
      <c r="BR178" s="129">
        <f t="shared" si="101"/>
        <v>101.37980084917839</v>
      </c>
      <c r="BS178" s="36">
        <f t="shared" si="121"/>
        <v>1.5101245443285571E-2</v>
      </c>
      <c r="BT178" s="37">
        <f t="shared" si="102"/>
        <v>39370177.37454503</v>
      </c>
      <c r="BU178" s="36">
        <f t="shared" si="74"/>
        <v>1.9744790100934759</v>
      </c>
      <c r="BV178" s="37">
        <f t="shared" si="103"/>
        <v>-1.9997523947623249E-4</v>
      </c>
      <c r="BW178" s="37">
        <f t="shared" si="104"/>
        <v>-2.5798741545595621E-2</v>
      </c>
      <c r="BX178" s="37">
        <f t="shared" si="105"/>
        <v>-1.6536913973839695</v>
      </c>
      <c r="BY178" s="39">
        <f t="shared" si="106"/>
        <v>2.0273449952867208E-2</v>
      </c>
      <c r="BZ178" s="39">
        <f>BZ177+(1000*$C$2*($B178-$B177))/(BerechnungenCLT!$W$47*2*BT178)</f>
        <v>7.4000712205930875E-3</v>
      </c>
      <c r="CA178" s="37">
        <f t="shared" si="75"/>
        <v>2.5750404902855725E-6</v>
      </c>
      <c r="CB178" s="173">
        <f t="shared" si="107"/>
        <v>3053.2280775567956</v>
      </c>
      <c r="CC178" s="9">
        <v>-257.26606086821499</v>
      </c>
      <c r="CJ178" s="9">
        <f t="shared" si="123"/>
        <v>127</v>
      </c>
      <c r="CK178" s="129">
        <v>85.464226442272235</v>
      </c>
      <c r="CL178" s="9">
        <v>10.09375</v>
      </c>
      <c r="CM178" s="129">
        <f t="shared" si="108"/>
        <v>95.558575944478008</v>
      </c>
      <c r="CN178" s="36">
        <f t="shared" si="122"/>
        <v>9.7591145440558656E-3</v>
      </c>
      <c r="CO178" s="173">
        <f t="shared" si="109"/>
        <v>3282.4449866773539</v>
      </c>
      <c r="CP178" s="9">
        <v>-630.54051819873791</v>
      </c>
      <c r="CQ178" s="129"/>
      <c r="CR178" s="36">
        <f t="shared" si="110"/>
        <v>0.83480805401685609</v>
      </c>
      <c r="CS178" s="17">
        <f t="shared" si="76"/>
        <v>0.60012766558245656</v>
      </c>
      <c r="CT178" s="9">
        <f t="shared" si="77"/>
        <v>10.091602749428455</v>
      </c>
      <c r="CU178" s="9">
        <f t="shared" si="111"/>
        <v>95.556428566373938</v>
      </c>
      <c r="CV178" s="9">
        <v>13.2</v>
      </c>
      <c r="CW178" s="9">
        <f t="shared" si="112"/>
        <v>98.665010435249684</v>
      </c>
      <c r="CX178">
        <f t="shared" si="113"/>
        <v>22</v>
      </c>
      <c r="CY178" s="9">
        <f t="shared" si="78"/>
        <v>625.74472859536081</v>
      </c>
      <c r="CZ178" s="17">
        <f t="shared" si="114"/>
        <v>0.58921349208602714</v>
      </c>
      <c r="DA178">
        <v>45</v>
      </c>
      <c r="DB178" s="9">
        <f t="shared" si="115"/>
        <v>10.097975035004072</v>
      </c>
      <c r="DC178" s="9">
        <f t="shared" si="116"/>
        <v>10.932783104640249</v>
      </c>
    </row>
    <row r="179" spans="2:107" x14ac:dyDescent="0.25">
      <c r="B179" s="9">
        <f t="shared" si="117"/>
        <v>128</v>
      </c>
      <c r="C179" s="9">
        <v>95.548185430805376</v>
      </c>
      <c r="D179" s="9"/>
      <c r="E179" s="9">
        <f t="shared" si="79"/>
        <v>95.548185430805376</v>
      </c>
      <c r="F179" s="36">
        <f t="shared" si="118"/>
        <v>0</v>
      </c>
      <c r="G179" s="37">
        <f t="shared" si="125"/>
        <v>0</v>
      </c>
      <c r="H179" s="36" t="e">
        <f t="shared" ref="H179:H242" si="126">((E179^2-C179^2)*(E179+C179)^5*(E179-C179))/(2*(E179^4-C179^4)^2)</f>
        <v>#DIV/0!</v>
      </c>
      <c r="I179" s="37" t="e">
        <f t="shared" si="80"/>
        <v>#DIV/0!</v>
      </c>
      <c r="J179" s="37" t="e">
        <f t="shared" si="81"/>
        <v>#DIV/0!</v>
      </c>
      <c r="K179" s="37" t="e">
        <f t="shared" si="82"/>
        <v>#DIV/0!</v>
      </c>
      <c r="L179" s="39" t="e">
        <f t="shared" ref="L179:L242" si="127">-I179*E179</f>
        <v>#DIV/0!</v>
      </c>
      <c r="M179" s="39" t="e">
        <f>M178+(1000*$C$2*(B179-B178))/(BerechnungenCLT!$W$47*2*'Berechnung freier Bereich'!G179)</f>
        <v>#DIV/0!</v>
      </c>
      <c r="N179" s="17" t="e">
        <f t="shared" si="83"/>
        <v>#DIV/0!</v>
      </c>
      <c r="O179" s="173">
        <f t="shared" si="84"/>
        <v>2945.5008001824158</v>
      </c>
      <c r="P179" s="173"/>
      <c r="Q179" s="173"/>
      <c r="R179" s="37" t="e">
        <f t="shared" ref="R179:R242" si="128">-$C$11*($C$34)/($C$14*$C$18*G179)</f>
        <v>#DIV/0!</v>
      </c>
      <c r="S179" s="37" t="e">
        <f t="shared" ref="S179:S242" si="129">(-$C$11*($C$34)/($C$14*$C$18*G179))*$B$52+S178</f>
        <v>#DIV/0!</v>
      </c>
      <c r="T179" s="37" t="e">
        <f t="shared" ref="T179:T242" si="130">(-$C$11*($C$34)/(2*$C$14*$C$18*G179))*$B$52^2+S178*$B$52+T178</f>
        <v>#DIV/0!</v>
      </c>
      <c r="U179" s="39" t="e">
        <f t="shared" ref="U179:U242" si="131">-R179*E179</f>
        <v>#DIV/0!</v>
      </c>
      <c r="V179" s="39" t="e">
        <f t="shared" si="85"/>
        <v>#DIV/0!</v>
      </c>
      <c r="W179" s="9" t="e">
        <f t="shared" si="86"/>
        <v>#DIV/0!</v>
      </c>
      <c r="AB179" s="129">
        <v>86.734911643732801</v>
      </c>
      <c r="AC179" s="9">
        <v>14.8125</v>
      </c>
      <c r="AD179" s="129">
        <f t="shared" si="87"/>
        <v>101.69799887693704</v>
      </c>
      <c r="AE179" s="36">
        <f t="shared" si="119"/>
        <v>1.5058328189558382E-2</v>
      </c>
      <c r="AF179" s="37">
        <f t="shared" si="88"/>
        <v>39562275.906593643</v>
      </c>
      <c r="AG179" s="36">
        <f t="shared" ref="AG179:AG242" si="132">((AD179^2-AB179^2)*(AD179+AB179)^5*(AD179-AB179))/(2*(AD179^4-AB179^4)^2)</f>
        <v>1.975014031862081</v>
      </c>
      <c r="AH179" s="37">
        <f t="shared" si="89"/>
        <v>-1.9900423998064857E-4</v>
      </c>
      <c r="AI179" s="37">
        <f t="shared" si="90"/>
        <v>-2.5994887374653598E-2</v>
      </c>
      <c r="AJ179" s="37">
        <f t="shared" si="91"/>
        <v>-1.6774337749539663</v>
      </c>
      <c r="AK179" s="39">
        <f t="shared" si="92"/>
        <v>2.0238332974057707E-2</v>
      </c>
      <c r="AL179" s="39">
        <f>AL178+(1000*$C$2*($B179-$B178))/(BerechnungenCLT!$W$47*2*AF179)</f>
        <v>7.4567776694333121E-3</v>
      </c>
      <c r="AM179" s="37">
        <f t="shared" ref="AM179:AM242" si="133">AD179/AF179</f>
        <v>2.5705800929412037E-6</v>
      </c>
      <c r="AN179" s="173">
        <f t="shared" si="93"/>
        <v>3029.3573819181142</v>
      </c>
      <c r="AO179" s="173">
        <v>-258.58980324566181</v>
      </c>
      <c r="AV179" s="129">
        <v>113.96846342900457</v>
      </c>
      <c r="AW179" s="9">
        <v>9.4375</v>
      </c>
      <c r="AX179" s="129">
        <f t="shared" si="94"/>
        <v>123.52461657024726</v>
      </c>
      <c r="AY179" s="36">
        <f t="shared" si="120"/>
        <v>1.2120843805496285E-2</v>
      </c>
      <c r="AZ179" s="37">
        <f t="shared" si="95"/>
        <v>50349880.991509035</v>
      </c>
      <c r="BA179" s="36">
        <f t="shared" ref="BA179:BA242" si="134">((AX179^2-AV179^2)*(AX179+AV179)^5*(AX179-AV179))/(2*(AX179^4-AV179^4)^2)</f>
        <v>1.9935394343798922</v>
      </c>
      <c r="BB179" s="37">
        <f t="shared" si="96"/>
        <v>-1.5636701604168838E-4</v>
      </c>
      <c r="BC179" s="37">
        <f t="shared" si="97"/>
        <v>-2.3208528413441686E-2</v>
      </c>
      <c r="BD179" s="37">
        <f t="shared" si="98"/>
        <v>-1.5878538911015794</v>
      </c>
      <c r="BE179" s="39">
        <f t="shared" si="99"/>
        <v>1.9315175700783258E-2</v>
      </c>
      <c r="BF179" s="39">
        <f>BF178+(1000*$C$2*($B179-$B178))/(BerechnungenCLT!$W$47*2*AZ179)</f>
        <v>6.6512320521460002E-3</v>
      </c>
      <c r="BG179" s="37">
        <f t="shared" ref="BG179:BG242" si="135">AX179/AZ179</f>
        <v>2.4533248964596034E-6</v>
      </c>
      <c r="BH179" s="173">
        <f t="shared" si="100"/>
        <v>1907.0501074311019</v>
      </c>
      <c r="BI179">
        <v>-257.70172564713505</v>
      </c>
      <c r="BP179" s="129">
        <v>86.33230197707978</v>
      </c>
      <c r="BQ179" s="9">
        <v>15</v>
      </c>
      <c r="BR179" s="129">
        <f t="shared" si="101"/>
        <v>101.33476364515714</v>
      </c>
      <c r="BS179" s="36">
        <f t="shared" si="121"/>
        <v>1.5036590872472303E-2</v>
      </c>
      <c r="BT179" s="37">
        <f t="shared" si="102"/>
        <v>39188010.850344166</v>
      </c>
      <c r="BU179" s="36">
        <f t="shared" ref="BU179:BU242" si="136">((BR179^2-BP179^2)*(BR179+BP179)^5*(BR179-BP179))/(2*(BR179^4-BP179^4)^2)</f>
        <v>1.9746801462834522</v>
      </c>
      <c r="BV179" s="37">
        <f t="shared" si="103"/>
        <v>-2.0090482976446478E-4</v>
      </c>
      <c r="BW179" s="37">
        <f t="shared" si="104"/>
        <v>-2.5999646375360085E-2</v>
      </c>
      <c r="BX179" s="37">
        <f t="shared" si="105"/>
        <v>-1.6795905913444473</v>
      </c>
      <c r="BY179" s="39">
        <f t="shared" si="106"/>
        <v>2.0358643439352571E-2</v>
      </c>
      <c r="BZ179" s="39">
        <f>BZ178+(1000*$C$2*($B179-$B178))/(BerechnungenCLT!$W$47*2*BT179)</f>
        <v>7.4581535116696185E-3</v>
      </c>
      <c r="CA179" s="37">
        <f t="shared" ref="CA179:CA242" si="137">BR179/BT179</f>
        <v>2.5858613756168025E-6</v>
      </c>
      <c r="CB179" s="173">
        <f t="shared" si="107"/>
        <v>3054.1326586506921</v>
      </c>
      <c r="CC179" s="9">
        <v>-258.41454069108016</v>
      </c>
      <c r="CJ179" s="9">
        <f t="shared" si="123"/>
        <v>128</v>
      </c>
      <c r="CK179" s="129">
        <v>85.475125540507506</v>
      </c>
      <c r="CL179" s="9">
        <v>10.09375</v>
      </c>
      <c r="CM179" s="129">
        <f t="shared" si="108"/>
        <v>95.569591887622394</v>
      </c>
      <c r="CN179" s="36">
        <f t="shared" si="122"/>
        <v>9.7604089833016848E-3</v>
      </c>
      <c r="CO179" s="173">
        <f t="shared" si="109"/>
        <v>3281.6503701322904</v>
      </c>
      <c r="CP179" s="9">
        <v>-630.3878765154418</v>
      </c>
      <c r="CQ179" s="129"/>
      <c r="CR179" s="36">
        <f t="shared" si="110"/>
        <v>0.83475243427899692</v>
      </c>
      <c r="CS179" s="17">
        <f t="shared" ref="CS179:CS242" si="138">$CJ$7*CR179/$CR$51</f>
        <v>0.60008768160855852</v>
      </c>
      <c r="CT179" s="9">
        <f t="shared" ref="CT179:CT242" si="139">CL179*$CJ$7/CS179</f>
        <v>10.09227515513397</v>
      </c>
      <c r="CU179" s="9">
        <f t="shared" si="111"/>
        <v>95.568116938087556</v>
      </c>
      <c r="CV179" s="9">
        <v>13.2</v>
      </c>
      <c r="CW179" s="9">
        <f t="shared" si="112"/>
        <v>98.67606233623917</v>
      </c>
      <c r="CX179">
        <f t="shared" si="113"/>
        <v>22</v>
      </c>
      <c r="CY179" s="9">
        <f t="shared" ref="CY179:CY242" si="140">$CJ$4*$CJ$6/(PI()*CK179*2*COS($CJ$3*PI()/180))</f>
        <v>625.66493867725262</v>
      </c>
      <c r="CZ179" s="17">
        <f t="shared" si="114"/>
        <v>0.58913836033639611</v>
      </c>
      <c r="DA179">
        <v>45</v>
      </c>
      <c r="DB179" s="9">
        <f t="shared" si="115"/>
        <v>10.096687422717014</v>
      </c>
      <c r="DC179" s="9">
        <f t="shared" si="116"/>
        <v>10.931439875666138</v>
      </c>
    </row>
    <row r="180" spans="2:107" x14ac:dyDescent="0.25">
      <c r="B180" s="9">
        <f t="shared" si="117"/>
        <v>129</v>
      </c>
      <c r="C180" s="9">
        <v>95.745017963110357</v>
      </c>
      <c r="D180" s="9"/>
      <c r="E180" s="9">
        <f t="shared" ref="E180:E243" si="141">$C180+D180*SQRT((C181-C180)^2/(B181-B180)^2+1)</f>
        <v>95.745017963110357</v>
      </c>
      <c r="F180" s="36">
        <f t="shared" si="118"/>
        <v>0</v>
      </c>
      <c r="G180" s="37">
        <f t="shared" si="125"/>
        <v>0</v>
      </c>
      <c r="H180" s="36" t="e">
        <f t="shared" si="126"/>
        <v>#DIV/0!</v>
      </c>
      <c r="I180" s="37" t="e">
        <f t="shared" ref="I180:I243" si="142">-($C$11*($C$34))/($C$9*$C$18*G180)</f>
        <v>#DIV/0!</v>
      </c>
      <c r="J180" s="37" t="e">
        <f t="shared" ref="J180:J243" si="143">(-($C$11*($C$34))/($C$9*$C$18*G180))*$B$52+J179</f>
        <v>#DIV/0!</v>
      </c>
      <c r="K180" s="37" t="e">
        <f t="shared" ref="K180:K243" si="144">(-$C$11*($C$34)/(2*$C$9*$C$18*G180))*$B$52^2+J179*$B$52+K179</f>
        <v>#DIV/0!</v>
      </c>
      <c r="L180" s="39" t="e">
        <f t="shared" si="127"/>
        <v>#DIV/0!</v>
      </c>
      <c r="M180" s="39" t="e">
        <f>M179+(1000*$C$2*(B180-B179))/(BerechnungenCLT!$W$47*2*'Berechnung freier Bereich'!G180)</f>
        <v>#DIV/0!</v>
      </c>
      <c r="N180" s="17" t="e">
        <f t="shared" ref="N180:N243" si="145">-($C$11*($C$34))/G180*E180*D180</f>
        <v>#DIV/0!</v>
      </c>
      <c r="O180" s="173">
        <f t="shared" ref="O180:O243" si="146">$C$2*1000/(2*PI()*((C180+E180)/2)^2)</f>
        <v>2933.4025323459978</v>
      </c>
      <c r="P180" s="173"/>
      <c r="Q180" s="173"/>
      <c r="R180" s="37" t="e">
        <f t="shared" si="128"/>
        <v>#DIV/0!</v>
      </c>
      <c r="S180" s="37" t="e">
        <f t="shared" si="129"/>
        <v>#DIV/0!</v>
      </c>
      <c r="T180" s="37" t="e">
        <f t="shared" si="130"/>
        <v>#DIV/0!</v>
      </c>
      <c r="U180" s="39" t="e">
        <f t="shared" si="131"/>
        <v>#DIV/0!</v>
      </c>
      <c r="V180" s="39" t="e">
        <f t="shared" ref="V180:V243" si="147">(1000*$C$2*($B180-B179))/($C$16*2*$G180)+V179</f>
        <v>#DIV/0!</v>
      </c>
      <c r="W180" s="9" t="e">
        <f t="shared" ref="W180:W243" si="148">$C$14*U180</f>
        <v>#DIV/0!</v>
      </c>
      <c r="AB180" s="129">
        <v>86.87786550200191</v>
      </c>
      <c r="AC180" s="9">
        <v>14.8125</v>
      </c>
      <c r="AD180" s="129">
        <f t="shared" ref="AD180:AD243" si="149">$AB180+AC180*SQRT((AB181-AB180)^2/($B181-$B180)^2+1)</f>
        <v>101.86692000980649</v>
      </c>
      <c r="AE180" s="36">
        <f t="shared" si="119"/>
        <v>1.5109427012875353E-2</v>
      </c>
      <c r="AF180" s="37">
        <f t="shared" ref="AF180:AF243" si="150">(PI()/4)*(AD180^4-AB180^4)</f>
        <v>39828078.328362621</v>
      </c>
      <c r="AG180" s="36">
        <f t="shared" si="132"/>
        <v>1.975010062024128</v>
      </c>
      <c r="AH180" s="37">
        <f t="shared" ref="AH180:AH243" si="151">-($C$11*($C$34))/($C$9*$C$18*AF180)</f>
        <v>-1.976761365132141E-4</v>
      </c>
      <c r="AI180" s="37">
        <f t="shared" ref="AI180:AI243" si="152">(-($C$11*($C$34))/($C$9*$C$18*AF180))*$B$52+AI179</f>
        <v>-2.6192563511166812E-2</v>
      </c>
      <c r="AJ180" s="37">
        <f t="shared" ref="AJ180:AJ243" si="153">(-$C$11*($C$34)/(2*$C$9*$C$18*AF180))*$B$52^2+AI179*$B$52+AJ179</f>
        <v>-1.7035275003968764</v>
      </c>
      <c r="AK180" s="39">
        <f t="shared" ref="AK180:AK243" si="154">-AH180*AD180</f>
        <v>2.0136659186039168E-2</v>
      </c>
      <c r="AL180" s="39">
        <f>AL179+(1000*$C$2*($B180-$B179))/(BerechnungenCLT!$W$47*2*AF180)</f>
        <v>7.513926533964369E-3</v>
      </c>
      <c r="AM180" s="37">
        <f t="shared" si="133"/>
        <v>2.5576659554087594E-6</v>
      </c>
      <c r="AN180" s="173">
        <f t="shared" ref="AN180:AN243" si="155">$C$2*1000/(2*PI()*((AB180+AD180)/2)^2)</f>
        <v>3019.3544539598197</v>
      </c>
      <c r="AO180" s="173">
        <v>-257.89545490095827</v>
      </c>
      <c r="AV180" s="129">
        <v>114.12753292567372</v>
      </c>
      <c r="AW180" s="9">
        <v>9.375</v>
      </c>
      <c r="AX180" s="129">
        <f t="shared" ref="AX180:AX243" si="156">AV180+AW180*SQRT((AV181-AV180)^2/($B181-$B180)^2+1)</f>
        <v>123.6142844368549</v>
      </c>
      <c r="AY180" s="36">
        <f t="shared" si="120"/>
        <v>1.2045418609824598E-2</v>
      </c>
      <c r="AZ180" s="37">
        <f t="shared" ref="AZ180:AZ243" si="157">(PI()/4)*(AX180^4-AV180^4)</f>
        <v>50140091.380504422</v>
      </c>
      <c r="BA180" s="36">
        <f t="shared" si="134"/>
        <v>1.9936459948975087</v>
      </c>
      <c r="BB180" s="37">
        <f t="shared" ref="BB180:BB243" si="158">-($C$11*($C$34))/($C$9*$C$18*AZ180)</f>
        <v>-1.5702126645420541E-4</v>
      </c>
      <c r="BC180" s="37">
        <f t="shared" ref="BC180:BC243" si="159">(-($C$11*($C$34))/($C$9*$C$18*AZ180))*$B$52+BC179</f>
        <v>-2.3365549679895892E-2</v>
      </c>
      <c r="BD180" s="37">
        <f t="shared" ref="BD180:BD243" si="160">(-$C$11*($C$34)/(2*$C$9*$C$18*AZ180))*$B$52^2+BC179*$B$52+BD179</f>
        <v>-1.6111409301482482</v>
      </c>
      <c r="BE180" s="39">
        <f t="shared" ref="BE180:BE243" si="161">-BB180*AX180</f>
        <v>1.9410071494105331E-2</v>
      </c>
      <c r="BF180" s="39">
        <f>BF179+(1000*$C$2*($B180-$B179))/(BerechnungenCLT!$W$47*2*AZ180)</f>
        <v>6.6966274511221762E-3</v>
      </c>
      <c r="BG180" s="37">
        <f t="shared" si="135"/>
        <v>2.4653781242392965E-6</v>
      </c>
      <c r="BH180" s="173">
        <f t="shared" ref="BH180:BH243" si="162">$C$2*1000/(2*PI()*((AV180+AX180)/2)^2)</f>
        <v>1903.0616928234094</v>
      </c>
      <c r="BI180">
        <v>-258.6842074563703</v>
      </c>
      <c r="BP180" s="129">
        <v>86.350419629874821</v>
      </c>
      <c r="BQ180" s="9">
        <v>15</v>
      </c>
      <c r="BR180" s="129">
        <f t="shared" ref="BR180:BR243" si="163">BP180+BQ180*SQRT((BP181-BP180)^2/($B181-$B180)^2+1)</f>
        <v>101.35313644229674</v>
      </c>
      <c r="BS180" s="36">
        <f t="shared" si="121"/>
        <v>1.5039770399012756E-2</v>
      </c>
      <c r="BT180" s="37">
        <f t="shared" ref="BT180:BT243" si="164">(PI()/4)*(BR180^4-BP180^4)</f>
        <v>39211453.253156811</v>
      </c>
      <c r="BU180" s="36">
        <f t="shared" si="136"/>
        <v>1.9746890435877722</v>
      </c>
      <c r="BV180" s="37">
        <f t="shared" ref="BV180:BV243" si="165">-($C$11*($C$34))/($C$9*$C$18*BT180)</f>
        <v>-2.0078471965490218E-4</v>
      </c>
      <c r="BW180" s="37">
        <f t="shared" ref="BW180:BW243" si="166">(-($C$11*($C$34))/($C$9*$C$18*BT180))*$B$52+BW179</f>
        <v>-2.6200431095014985E-2</v>
      </c>
      <c r="BX180" s="37">
        <f t="shared" ref="BX180:BX243" si="167">(-$C$11*($C$34)/(2*$C$9*$C$18*BT180))*$B$52^2+BW179*$B$52+BX179</f>
        <v>-1.7056906300796348</v>
      </c>
      <c r="BY180" s="39">
        <f t="shared" ref="BY180:BY243" si="168">-BV180*BR180</f>
        <v>2.0350161086711602E-2</v>
      </c>
      <c r="BZ180" s="39">
        <f>BZ179+(1000*$C$2*($B180-$B179))/(BerechnungenCLT!$W$47*2*BT180)</f>
        <v>7.5162010784921175E-3</v>
      </c>
      <c r="CA180" s="37">
        <f t="shared" si="137"/>
        <v>2.584783986146626E-6</v>
      </c>
      <c r="CB180" s="173">
        <f t="shared" ref="CB180:CB243" si="169">$C$2*1000/(2*PI()*((BP180+BR180)/2)^2)</f>
        <v>3052.9452987058025</v>
      </c>
      <c r="CC180" s="9">
        <v>-258.3140764647066</v>
      </c>
      <c r="CJ180" s="9">
        <f t="shared" si="123"/>
        <v>129</v>
      </c>
      <c r="CK180" s="129">
        <v>85.487039556785604</v>
      </c>
      <c r="CL180" s="9">
        <v>10.09375</v>
      </c>
      <c r="CM180" s="129">
        <f t="shared" ref="CM180:CM243" si="170">CK180+CL180*SQRT((CK181-CK180)^2/($B181-$B180)^2+1)</f>
        <v>95.581637260369334</v>
      </c>
      <c r="CN180" s="36">
        <f t="shared" si="122"/>
        <v>9.7618276983952763E-3</v>
      </c>
      <c r="CO180" s="173">
        <f t="shared" ref="CO180:CO243" si="171">$C$2*1000/(2*PI()*((CK180+CM180)/2)^2)</f>
        <v>3280.7819578012045</v>
      </c>
      <c r="CP180" s="9">
        <v>-630.22105904752516</v>
      </c>
      <c r="CQ180" s="129"/>
      <c r="CR180" s="36">
        <f t="shared" ref="CR180:CR243" si="172">(($CJ$5*$CJ$4)/(PI()*CM180*2*COS($CJ$3*PI()/180)))-(($CJ$5*$CJ$4)/(2*PI()*CM180*2*COS($CJ$3*PI()/180)))^2</f>
        <v>0.83469162089099491</v>
      </c>
      <c r="CS180" s="17">
        <f t="shared" si="138"/>
        <v>0.60004396401814686</v>
      </c>
      <c r="CT180" s="9">
        <f t="shared" si="139"/>
        <v>10.093010451175612</v>
      </c>
      <c r="CU180" s="9">
        <f t="shared" ref="CU180:CU243" si="173">CK180+CT180*SQRT((CK181-CK180)^2/($B181-$B180)^2+1)</f>
        <v>95.5808976494354</v>
      </c>
      <c r="CV180" s="9">
        <v>13.2</v>
      </c>
      <c r="CW180" s="9">
        <f t="shared" ref="CW180:CW243" si="174">CK180+CV180*SQRT((CK181-CK180)^2/($B181-$B180)^2+1)</f>
        <v>98.688148132617698</v>
      </c>
      <c r="CX180">
        <f t="shared" ref="CX180:CX243" si="175">CV180/$CJ$8</f>
        <v>22</v>
      </c>
      <c r="CY180" s="9">
        <f t="shared" si="140"/>
        <v>625.57774204133352</v>
      </c>
      <c r="CZ180" s="17">
        <f t="shared" ref="CZ180:CZ243" si="176">CX180*CY180/(CV180/1000)/($CJ$9*10^6)</f>
        <v>0.58905625427620867</v>
      </c>
      <c r="DA180">
        <v>45</v>
      </c>
      <c r="DB180" s="9">
        <f t="shared" ref="DB180:DB243" si="177">$CL$51*$CK$51/CK180*COS($DA$51)/COS(DA180)</f>
        <v>10.095280284290736</v>
      </c>
      <c r="DC180" s="9">
        <f t="shared" ref="DC180:DC243" si="178">CR180+DB180*SQRT((CR181-CR180)^2/($B181-$B180)^2+1)</f>
        <v>10.929971927524823</v>
      </c>
    </row>
    <row r="181" spans="2:107" x14ac:dyDescent="0.25">
      <c r="B181" s="9">
        <f t="shared" ref="B181:B244" si="179">IF(ROW()=ROW($B$51)+$B$47,$C$34,ROUND((C$34/$B$47)*(ROW()-ROW($B$51)),0))</f>
        <v>130</v>
      </c>
      <c r="C181" s="9">
        <v>95.94243088534499</v>
      </c>
      <c r="D181" s="9"/>
      <c r="E181" s="9">
        <f t="shared" si="141"/>
        <v>95.94243088534499</v>
      </c>
      <c r="F181" s="36">
        <f t="shared" ref="F181:F244" si="180">($B181-$B180)*PI()*(E181^2-C181^2)*$C$10/1000/1000</f>
        <v>0</v>
      </c>
      <c r="G181" s="37">
        <f t="shared" si="125"/>
        <v>0</v>
      </c>
      <c r="H181" s="36" t="e">
        <f t="shared" si="126"/>
        <v>#DIV/0!</v>
      </c>
      <c r="I181" s="37" t="e">
        <f t="shared" si="142"/>
        <v>#DIV/0!</v>
      </c>
      <c r="J181" s="37" t="e">
        <f t="shared" si="143"/>
        <v>#DIV/0!</v>
      </c>
      <c r="K181" s="37" t="e">
        <f t="shared" si="144"/>
        <v>#DIV/0!</v>
      </c>
      <c r="L181" s="39" t="e">
        <f t="shared" si="127"/>
        <v>#DIV/0!</v>
      </c>
      <c r="M181" s="39" t="e">
        <f>M180+(1000*$C$2*(B181-B180))/(BerechnungenCLT!$W$47*2*'Berechnung freier Bereich'!G181)</f>
        <v>#DIV/0!</v>
      </c>
      <c r="N181" s="17" t="e">
        <f t="shared" si="145"/>
        <v>#DIV/0!</v>
      </c>
      <c r="O181" s="173">
        <f t="shared" si="146"/>
        <v>2921.3433050385734</v>
      </c>
      <c r="P181" s="173"/>
      <c r="Q181" s="173"/>
      <c r="R181" s="37" t="e">
        <f t="shared" si="128"/>
        <v>#DIV/0!</v>
      </c>
      <c r="S181" s="37" t="e">
        <f t="shared" si="129"/>
        <v>#DIV/0!</v>
      </c>
      <c r="T181" s="37" t="e">
        <f t="shared" si="130"/>
        <v>#DIV/0!</v>
      </c>
      <c r="U181" s="39" t="e">
        <f t="shared" si="131"/>
        <v>#DIV/0!</v>
      </c>
      <c r="V181" s="39" t="e">
        <f t="shared" si="147"/>
        <v>#DIV/0!</v>
      </c>
      <c r="W181" s="9" t="e">
        <f t="shared" si="148"/>
        <v>#DIV/0!</v>
      </c>
      <c r="AB181" s="129">
        <v>87.03272238059013</v>
      </c>
      <c r="AC181" s="9">
        <v>14.75</v>
      </c>
      <c r="AD181" s="129">
        <f t="shared" si="149"/>
        <v>101.98740914446871</v>
      </c>
      <c r="AE181" s="36">
        <f t="shared" ref="AE181:AE244" si="181">($B181-$B180)*PI()*(AD181^2-AB181^2)*$C$10/1000/1000</f>
        <v>1.509677477490225E-2</v>
      </c>
      <c r="AF181" s="37">
        <f t="shared" si="150"/>
        <v>39909048.7381735</v>
      </c>
      <c r="AG181" s="36">
        <f t="shared" si="132"/>
        <v>1.9751952048374952</v>
      </c>
      <c r="AH181" s="37">
        <f t="shared" si="151"/>
        <v>-1.972750766461069E-4</v>
      </c>
      <c r="AI181" s="37">
        <f t="shared" si="152"/>
        <v>-2.6389838587812919E-2</v>
      </c>
      <c r="AJ181" s="37">
        <f t="shared" si="153"/>
        <v>-1.7298187014463662</v>
      </c>
      <c r="AK181" s="39">
        <f t="shared" si="154"/>
        <v>2.011957395591293E-2</v>
      </c>
      <c r="AL181" s="39">
        <f>AL180+(1000*$C$2*($B181-$B180))/(BerechnungenCLT!$W$47*2*AF181)</f>
        <v>7.5709594506808923E-3</v>
      </c>
      <c r="AM181" s="37">
        <f t="shared" si="133"/>
        <v>2.5554958679562937E-6</v>
      </c>
      <c r="AN181" s="173">
        <f t="shared" si="155"/>
        <v>3010.5642613213536</v>
      </c>
      <c r="AO181" s="173">
        <v>-258.40006373631758</v>
      </c>
      <c r="AV181" s="129">
        <v>114.28239548612065</v>
      </c>
      <c r="AW181" s="9">
        <v>9.375</v>
      </c>
      <c r="AX181" s="129">
        <f t="shared" si="156"/>
        <v>123.76344664269978</v>
      </c>
      <c r="AY181" s="36">
        <f t="shared" ref="AY181:AY244" si="182">($B181-$B180)*PI()*(AX181^2-AV181^2)*$C$10/1000/1000</f>
        <v>1.2053575267853871E-2</v>
      </c>
      <c r="AZ181" s="37">
        <f t="shared" si="157"/>
        <v>50302151.615570784</v>
      </c>
      <c r="BA181" s="36">
        <f t="shared" si="134"/>
        <v>1.9936697723503249</v>
      </c>
      <c r="BB181" s="37">
        <f t="shared" si="158"/>
        <v>-1.5651538544246535E-4</v>
      </c>
      <c r="BC181" s="37">
        <f t="shared" si="159"/>
        <v>-2.3522065065338358E-2</v>
      </c>
      <c r="BD181" s="37">
        <f t="shared" si="160"/>
        <v>-1.6345847375208653</v>
      </c>
      <c r="BE181" s="39">
        <f t="shared" si="161"/>
        <v>1.9370883554970152E-2</v>
      </c>
      <c r="BF181" s="39">
        <f>BF180+(1000*$C$2*($B181-$B180))/(BerechnungenCLT!$W$47*2*AZ181)</f>
        <v>6.7418765981231837E-3</v>
      </c>
      <c r="BG181" s="37">
        <f t="shared" si="135"/>
        <v>2.4604006522136404E-6</v>
      </c>
      <c r="BH181" s="173">
        <f t="shared" si="162"/>
        <v>1898.203734285986</v>
      </c>
      <c r="BI181">
        <v>-257.82722429306449</v>
      </c>
      <c r="BP181" s="129">
        <v>86.369453138773906</v>
      </c>
      <c r="BQ181" s="9">
        <v>15</v>
      </c>
      <c r="BR181" s="129">
        <f t="shared" si="163"/>
        <v>101.37244886088524</v>
      </c>
      <c r="BS181" s="36">
        <f t="shared" ref="BS181:BS244" si="183">($B181-$B180)*PI()*(BR181^2-BP181^2)*$C$10/1000/1000</f>
        <v>1.5043122526802384E-2</v>
      </c>
      <c r="BT181" s="37">
        <f t="shared" si="164"/>
        <v>39236126.602319725</v>
      </c>
      <c r="BU181" s="36">
        <f t="shared" si="136"/>
        <v>1.9746983518898571</v>
      </c>
      <c r="BV181" s="37">
        <f t="shared" si="165"/>
        <v>-2.0065845766312009E-4</v>
      </c>
      <c r="BW181" s="37">
        <f t="shared" si="166"/>
        <v>-2.6401089552678104E-2</v>
      </c>
      <c r="BX181" s="37">
        <f t="shared" si="167"/>
        <v>-1.7319913904034814</v>
      </c>
      <c r="BY181" s="39">
        <f t="shared" si="168"/>
        <v>2.0341239237958747E-2</v>
      </c>
      <c r="BZ181" s="39">
        <f>BZ180+(1000*$C$2*($B181-$B180))/(BerechnungenCLT!$W$47*2*BT181)</f>
        <v>7.5742121425298545E-3</v>
      </c>
      <c r="CA181" s="37">
        <f t="shared" si="137"/>
        <v>2.58365077389907E-6</v>
      </c>
      <c r="CB181" s="173">
        <f t="shared" si="169"/>
        <v>3051.6983094898578</v>
      </c>
      <c r="CC181" s="9">
        <v>-258.20856692026285</v>
      </c>
      <c r="CJ181" s="9">
        <f t="shared" si="123"/>
        <v>130</v>
      </c>
      <c r="CK181" s="129">
        <v>85.5</v>
      </c>
      <c r="CL181" s="9">
        <v>10.09375</v>
      </c>
      <c r="CM181" s="129">
        <f t="shared" si="170"/>
        <v>95.594816169671233</v>
      </c>
      <c r="CN181" s="36">
        <f t="shared" ref="CN181:CN244" si="184">($B181-$B180)*PI()*(CM181^2-CK181^2)*$C$10/1000/1000</f>
        <v>9.7634482256641914E-3</v>
      </c>
      <c r="CO181" s="173">
        <f t="shared" si="171"/>
        <v>3279.8349254257027</v>
      </c>
      <c r="CP181" s="9">
        <v>-630.0391390801766</v>
      </c>
      <c r="CQ181" s="129"/>
      <c r="CR181" s="36">
        <f t="shared" si="172"/>
        <v>0.83462508937002389</v>
      </c>
      <c r="CS181" s="17">
        <f t="shared" si="138"/>
        <v>0.59999613577047262</v>
      </c>
      <c r="CT181" s="9">
        <f t="shared" si="139"/>
        <v>10.093815008029996</v>
      </c>
      <c r="CU181" s="9">
        <f t="shared" si="173"/>
        <v>95.594881184567811</v>
      </c>
      <c r="CV181" s="9">
        <v>13.2</v>
      </c>
      <c r="CW181" s="9">
        <f t="shared" si="174"/>
        <v>98.70139427265984</v>
      </c>
      <c r="CX181">
        <f t="shared" si="175"/>
        <v>22</v>
      </c>
      <c r="CY181" s="9">
        <f t="shared" si="140"/>
        <v>625.48291438283161</v>
      </c>
      <c r="CZ181" s="17">
        <f t="shared" si="176"/>
        <v>0.58896696269569837</v>
      </c>
      <c r="DA181">
        <v>45</v>
      </c>
      <c r="DB181" s="9">
        <f t="shared" si="177"/>
        <v>10.09375</v>
      </c>
      <c r="DC181" s="9">
        <f t="shared" si="178"/>
        <v>10.928375089391494</v>
      </c>
    </row>
    <row r="182" spans="2:107" x14ac:dyDescent="0.25">
      <c r="B182" s="9">
        <f t="shared" si="179"/>
        <v>131</v>
      </c>
      <c r="C182" s="9">
        <v>96.140416034382469</v>
      </c>
      <c r="D182" s="9"/>
      <c r="E182" s="9">
        <f t="shared" si="141"/>
        <v>96.140416034382469</v>
      </c>
      <c r="F182" s="36">
        <f t="shared" si="180"/>
        <v>0</v>
      </c>
      <c r="G182" s="37">
        <f t="shared" si="125"/>
        <v>0</v>
      </c>
      <c r="H182" s="36" t="e">
        <f t="shared" si="126"/>
        <v>#DIV/0!</v>
      </c>
      <c r="I182" s="37" t="e">
        <f t="shared" si="142"/>
        <v>#DIV/0!</v>
      </c>
      <c r="J182" s="37" t="e">
        <f t="shared" si="143"/>
        <v>#DIV/0!</v>
      </c>
      <c r="K182" s="37" t="e">
        <f t="shared" si="144"/>
        <v>#DIV/0!</v>
      </c>
      <c r="L182" s="39" t="e">
        <f t="shared" si="127"/>
        <v>#DIV/0!</v>
      </c>
      <c r="M182" s="39" t="e">
        <f>M181+(1000*$C$2*(B182-B181))/(BerechnungenCLT!$W$47*2*'Berechnung freier Bereich'!G182)</f>
        <v>#DIV/0!</v>
      </c>
      <c r="N182" s="17" t="e">
        <f t="shared" si="145"/>
        <v>#DIV/0!</v>
      </c>
      <c r="O182" s="173">
        <f t="shared" si="146"/>
        <v>2909.3236556082816</v>
      </c>
      <c r="P182" s="173"/>
      <c r="Q182" s="173"/>
      <c r="R182" s="37" t="e">
        <f t="shared" si="128"/>
        <v>#DIV/0!</v>
      </c>
      <c r="S182" s="37" t="e">
        <f t="shared" si="129"/>
        <v>#DIV/0!</v>
      </c>
      <c r="T182" s="37" t="e">
        <f t="shared" si="130"/>
        <v>#DIV/0!</v>
      </c>
      <c r="U182" s="39" t="e">
        <f t="shared" si="131"/>
        <v>#DIV/0!</v>
      </c>
      <c r="V182" s="39" t="e">
        <f t="shared" si="147"/>
        <v>#DIV/0!</v>
      </c>
      <c r="W182" s="9" t="e">
        <f t="shared" si="148"/>
        <v>#DIV/0!</v>
      </c>
      <c r="AB182" s="129">
        <v>87.199895077259796</v>
      </c>
      <c r="AC182" s="9">
        <v>14.75</v>
      </c>
      <c r="AD182" s="129">
        <f t="shared" si="149"/>
        <v>102.18668251380619</v>
      </c>
      <c r="AE182" s="36">
        <f t="shared" si="181"/>
        <v>1.5158510804439571E-2</v>
      </c>
      <c r="AF182" s="37">
        <f t="shared" si="150"/>
        <v>40227878.412069559</v>
      </c>
      <c r="AG182" s="36">
        <f t="shared" si="132"/>
        <v>1.9751850074775203</v>
      </c>
      <c r="AH182" s="37">
        <f t="shared" si="151"/>
        <v>-1.9571155525652183E-4</v>
      </c>
      <c r="AI182" s="37">
        <f t="shared" si="152"/>
        <v>-2.6585550143069441E-2</v>
      </c>
      <c r="AJ182" s="37">
        <f t="shared" si="153"/>
        <v>-1.7563063958118073</v>
      </c>
      <c r="AK182" s="39">
        <f t="shared" si="154"/>
        <v>1.9999114561281433E-2</v>
      </c>
      <c r="AL182" s="39">
        <f>AL181+(1000*$C$2*($B182-$B181))/(BerechnungenCLT!$W$47*2*AF182)</f>
        <v>7.6275403478787175E-3</v>
      </c>
      <c r="AM182" s="37">
        <f t="shared" si="133"/>
        <v>2.5401956689604377E-6</v>
      </c>
      <c r="AN182" s="173">
        <f t="shared" si="155"/>
        <v>2998.9251880742363</v>
      </c>
      <c r="AO182" s="173">
        <v>-257.57370723501066</v>
      </c>
      <c r="AV182" s="129">
        <v>114.43323384620184</v>
      </c>
      <c r="AW182" s="9">
        <v>9.3125</v>
      </c>
      <c r="AX182" s="129">
        <f t="shared" si="156"/>
        <v>123.84580878496408</v>
      </c>
      <c r="AY182" s="36">
        <f t="shared" si="182"/>
        <v>1.1978242122434552E-2</v>
      </c>
      <c r="AZ182" s="37">
        <f t="shared" si="157"/>
        <v>50084464.127315752</v>
      </c>
      <c r="BA182" s="36">
        <f t="shared" si="134"/>
        <v>1.993772846302603</v>
      </c>
      <c r="BB182" s="37">
        <f t="shared" si="158"/>
        <v>-1.5719566508055091E-4</v>
      </c>
      <c r="BC182" s="37">
        <f t="shared" si="159"/>
        <v>-2.367926073041891E-2</v>
      </c>
      <c r="BD182" s="37">
        <f t="shared" si="160"/>
        <v>-1.658185400418744</v>
      </c>
      <c r="BE182" s="39">
        <f t="shared" si="161"/>
        <v>1.9468024279391163E-2</v>
      </c>
      <c r="BF182" s="39">
        <f>BF181+(1000*$C$2*($B182-$B181))/(BerechnungenCLT!$W$47*2*AZ182)</f>
        <v>6.7873224163540417E-3</v>
      </c>
      <c r="BG182" s="37">
        <f t="shared" si="135"/>
        <v>2.4727390208298015E-6</v>
      </c>
      <c r="BH182" s="173">
        <f t="shared" si="162"/>
        <v>1894.4900593795237</v>
      </c>
      <c r="BI182">
        <v>-258.85145900223188</v>
      </c>
      <c r="BP182" s="129">
        <v>86.389439871894879</v>
      </c>
      <c r="BQ182" s="9">
        <v>15</v>
      </c>
      <c r="BR182" s="129">
        <f t="shared" si="163"/>
        <v>101.39273987027134</v>
      </c>
      <c r="BS182" s="36">
        <f t="shared" si="183"/>
        <v>1.5046655001377727E-2</v>
      </c>
      <c r="BT182" s="37">
        <f t="shared" si="164"/>
        <v>39262084.419579044</v>
      </c>
      <c r="BU182" s="36">
        <f t="shared" si="136"/>
        <v>1.9747080854608132</v>
      </c>
      <c r="BV182" s="37">
        <f t="shared" si="165"/>
        <v>-2.0052579390742405E-4</v>
      </c>
      <c r="BW182" s="37">
        <f t="shared" si="166"/>
        <v>-2.6601615346585526E-2</v>
      </c>
      <c r="BX182" s="37">
        <f t="shared" si="167"/>
        <v>-1.7584927428531132</v>
      </c>
      <c r="BY182" s="39">
        <f t="shared" si="168"/>
        <v>2.0331859658935088E-2</v>
      </c>
      <c r="BZ182" s="39">
        <f>BZ181+(1000*$C$2*($B182-$B181))/(BerechnungenCLT!$W$47*2*BT182)</f>
        <v>7.6321848530104238E-3</v>
      </c>
      <c r="CA182" s="37">
        <f t="shared" si="137"/>
        <v>2.5824594228550245E-6</v>
      </c>
      <c r="CB182" s="173">
        <f t="shared" si="169"/>
        <v>3050.3893212067246</v>
      </c>
      <c r="CC182" s="9">
        <v>-258.09781154590218</v>
      </c>
      <c r="CJ182" s="9">
        <f t="shared" ref="CJ182:CJ245" si="185">IF(ROW()=ROW($B$51)+$B$47,$C$34,ROUND((CK$34/$B$47)*(ROW()-ROW($B$51)),0))</f>
        <v>131</v>
      </c>
      <c r="CK182" s="129">
        <v>85.514534943767075</v>
      </c>
      <c r="CL182" s="9">
        <v>10.078125</v>
      </c>
      <c r="CM182" s="129">
        <f t="shared" si="170"/>
        <v>95.594407566193581</v>
      </c>
      <c r="CN182" s="36">
        <f t="shared" si="184"/>
        <v>9.7497556811314123E-3</v>
      </c>
      <c r="CO182" s="173">
        <f t="shared" si="171"/>
        <v>3279.3232968260627</v>
      </c>
      <c r="CP182" s="9">
        <v>-630.91751039433689</v>
      </c>
      <c r="CQ182" s="129"/>
      <c r="CR182" s="36">
        <f t="shared" si="172"/>
        <v>0.83462715206187621</v>
      </c>
      <c r="CS182" s="17">
        <f t="shared" si="138"/>
        <v>0.59999761860049594</v>
      </c>
      <c r="CT182" s="9">
        <f t="shared" si="139"/>
        <v>10.078165000228555</v>
      </c>
      <c r="CU182" s="9">
        <f t="shared" si="173"/>
        <v>95.59444757335848</v>
      </c>
      <c r="CV182" s="9">
        <v>13.2</v>
      </c>
      <c r="CW182" s="9">
        <f t="shared" si="174"/>
        <v>98.716823922721986</v>
      </c>
      <c r="CX182">
        <f t="shared" si="175"/>
        <v>22</v>
      </c>
      <c r="CY182" s="9">
        <f t="shared" si="140"/>
        <v>625.37660077200735</v>
      </c>
      <c r="CZ182" s="17">
        <f t="shared" si="176"/>
        <v>0.58886685571752106</v>
      </c>
      <c r="DA182">
        <v>45</v>
      </c>
      <c r="DB182" s="9">
        <f t="shared" si="177"/>
        <v>10.092034360796145</v>
      </c>
      <c r="DC182" s="9">
        <f t="shared" si="178"/>
        <v>10.926661565374413</v>
      </c>
    </row>
    <row r="183" spans="2:107" x14ac:dyDescent="0.25">
      <c r="B183" s="9">
        <f t="shared" si="179"/>
        <v>132</v>
      </c>
      <c r="C183" s="9">
        <v>96.338965247096013</v>
      </c>
      <c r="D183" s="9"/>
      <c r="E183" s="9">
        <f t="shared" si="141"/>
        <v>96.338965247096013</v>
      </c>
      <c r="F183" s="36">
        <f t="shared" si="180"/>
        <v>0</v>
      </c>
      <c r="G183" s="37">
        <f t="shared" si="125"/>
        <v>0</v>
      </c>
      <c r="H183" s="36" t="e">
        <f t="shared" si="126"/>
        <v>#DIV/0!</v>
      </c>
      <c r="I183" s="37" t="e">
        <f t="shared" si="142"/>
        <v>#DIV/0!</v>
      </c>
      <c r="J183" s="37" t="e">
        <f t="shared" si="143"/>
        <v>#DIV/0!</v>
      </c>
      <c r="K183" s="37" t="e">
        <f t="shared" si="144"/>
        <v>#DIV/0!</v>
      </c>
      <c r="L183" s="39" t="e">
        <f t="shared" si="127"/>
        <v>#DIV/0!</v>
      </c>
      <c r="M183" s="39" t="e">
        <f>M182+(1000*$C$2*(B183-B182))/(BerechnungenCLT!$W$47*2*'Berechnung freier Bereich'!G183)</f>
        <v>#DIV/0!</v>
      </c>
      <c r="N183" s="17" t="e">
        <f t="shared" si="145"/>
        <v>#DIV/0!</v>
      </c>
      <c r="O183" s="173">
        <f t="shared" si="146"/>
        <v>2897.344106648377</v>
      </c>
      <c r="P183" s="173"/>
      <c r="Q183" s="173"/>
      <c r="R183" s="37" t="e">
        <f t="shared" si="128"/>
        <v>#DIV/0!</v>
      </c>
      <c r="S183" s="37" t="e">
        <f t="shared" si="129"/>
        <v>#DIV/0!</v>
      </c>
      <c r="T183" s="37" t="e">
        <f t="shared" si="130"/>
        <v>#DIV/0!</v>
      </c>
      <c r="U183" s="39" t="e">
        <f t="shared" si="131"/>
        <v>#DIV/0!</v>
      </c>
      <c r="V183" s="39" t="e">
        <f t="shared" si="147"/>
        <v>#DIV/0!</v>
      </c>
      <c r="W183" s="9" t="e">
        <f t="shared" si="148"/>
        <v>#DIV/0!</v>
      </c>
      <c r="AB183" s="129">
        <v>87.379796389773261</v>
      </c>
      <c r="AC183" s="9">
        <v>14.625</v>
      </c>
      <c r="AD183" s="129">
        <f t="shared" si="149"/>
        <v>102.27480779714148</v>
      </c>
      <c r="AE183" s="36">
        <f t="shared" si="181"/>
        <v>1.5087004665095277E-2</v>
      </c>
      <c r="AF183" s="37">
        <f t="shared" si="150"/>
        <v>40147773.24831818</v>
      </c>
      <c r="AG183" s="36">
        <f t="shared" si="132"/>
        <v>1.9755538149321712</v>
      </c>
      <c r="AH183" s="37">
        <f t="shared" si="151"/>
        <v>-1.9610205029306827E-4</v>
      </c>
      <c r="AI183" s="37">
        <f t="shared" si="152"/>
        <v>-2.678165219336251E-2</v>
      </c>
      <c r="AJ183" s="37">
        <f t="shared" si="153"/>
        <v>-1.7829899969800231</v>
      </c>
      <c r="AK183" s="39">
        <f t="shared" si="154"/>
        <v>2.0056299502348929E-2</v>
      </c>
      <c r="AL183" s="39">
        <f>AL182+(1000*$C$2*($B183-$B182))/(BerechnungenCLT!$W$47*2*AF183)</f>
        <v>7.6842341385614989E-3</v>
      </c>
      <c r="AM183" s="37">
        <f t="shared" si="133"/>
        <v>2.5474590375052955E-6</v>
      </c>
      <c r="AN183" s="173">
        <f t="shared" si="155"/>
        <v>2990.4548032990401</v>
      </c>
      <c r="AO183" s="173">
        <v>-259.21921716670431</v>
      </c>
      <c r="AV183" s="129">
        <v>114.58023074177385</v>
      </c>
      <c r="AW183" s="9">
        <v>9.3125</v>
      </c>
      <c r="AX183" s="129">
        <f t="shared" si="156"/>
        <v>123.98791086020736</v>
      </c>
      <c r="AY183" s="36">
        <f t="shared" si="182"/>
        <v>1.1986538471148805E-2</v>
      </c>
      <c r="AZ183" s="37">
        <f t="shared" si="157"/>
        <v>50240573.56816642</v>
      </c>
      <c r="BA183" s="36">
        <f t="shared" si="134"/>
        <v>1.9937943384845096</v>
      </c>
      <c r="BB183" s="37">
        <f t="shared" si="158"/>
        <v>-1.5670722066925095E-4</v>
      </c>
      <c r="BC183" s="37">
        <f t="shared" si="159"/>
        <v>-2.3835967951088159E-2</v>
      </c>
      <c r="BD183" s="37">
        <f t="shared" si="160"/>
        <v>-1.6819430147594976</v>
      </c>
      <c r="BE183" s="39">
        <f t="shared" si="161"/>
        <v>1.9429800907489931E-2</v>
      </c>
      <c r="BF183" s="39">
        <f>BF182+(1000*$C$2*($B183-$B182))/(BerechnungenCLT!$W$47*2*AZ183)</f>
        <v>6.8326270235920875E-3</v>
      </c>
      <c r="BG183" s="37">
        <f t="shared" si="135"/>
        <v>2.4678840637036227E-6</v>
      </c>
      <c r="BH183" s="173">
        <f t="shared" si="162"/>
        <v>1889.9013219913129</v>
      </c>
      <c r="BI183">
        <v>-258.02405740759139</v>
      </c>
      <c r="BP183" s="129">
        <v>86.410417197355486</v>
      </c>
      <c r="BQ183" s="9">
        <v>15</v>
      </c>
      <c r="BR183" s="129">
        <f t="shared" si="163"/>
        <v>101.41404850237213</v>
      </c>
      <c r="BS183" s="36">
        <f t="shared" si="183"/>
        <v>1.5050375639444198E-2</v>
      </c>
      <c r="BT183" s="37">
        <f t="shared" si="164"/>
        <v>39289380.613133319</v>
      </c>
      <c r="BU183" s="36">
        <f t="shared" si="136"/>
        <v>1.9747182583045046</v>
      </c>
      <c r="BV183" s="37">
        <f t="shared" si="165"/>
        <v>-2.0038647914099857E-4</v>
      </c>
      <c r="BW183" s="37">
        <f t="shared" si="166"/>
        <v>-2.6802001825726524E-2</v>
      </c>
      <c r="BX183" s="37">
        <f t="shared" si="167"/>
        <v>-1.7851945514392693</v>
      </c>
      <c r="BY183" s="39">
        <f t="shared" si="168"/>
        <v>2.0322004114824811E-2</v>
      </c>
      <c r="BZ183" s="39">
        <f>BZ182+(1000*$C$2*($B183-$B182))/(BerechnungenCLT!$W$47*2*BT183)</f>
        <v>7.6901172871032914E-3</v>
      </c>
      <c r="CA183" s="37">
        <f t="shared" si="137"/>
        <v>2.5812076169119424E-6</v>
      </c>
      <c r="CB183" s="173">
        <f t="shared" si="169"/>
        <v>3049.0159738854295</v>
      </c>
      <c r="CC183" s="9">
        <v>-257.98161066109896</v>
      </c>
      <c r="CJ183" s="9">
        <f t="shared" si="185"/>
        <v>132</v>
      </c>
      <c r="CK183" s="129">
        <v>85.533158720594784</v>
      </c>
      <c r="CL183" s="9">
        <v>10.078125</v>
      </c>
      <c r="CM183" s="129">
        <f t="shared" si="170"/>
        <v>95.614617510897347</v>
      </c>
      <c r="CN183" s="36">
        <f t="shared" si="184"/>
        <v>9.753380791833386E-3</v>
      </c>
      <c r="CO183" s="173">
        <f t="shared" si="171"/>
        <v>3277.9174316240487</v>
      </c>
      <c r="CP183" s="9">
        <v>-630.64703234355648</v>
      </c>
      <c r="CQ183" s="129"/>
      <c r="CR183" s="36">
        <f t="shared" si="172"/>
        <v>0.83452513493729152</v>
      </c>
      <c r="CS183" s="17">
        <f t="shared" si="138"/>
        <v>0.59992428042589174</v>
      </c>
      <c r="CT183" s="9">
        <f t="shared" si="139"/>
        <v>10.079397012748455</v>
      </c>
      <c r="CU183" s="9">
        <f t="shared" si="173"/>
        <v>95.615889944420871</v>
      </c>
      <c r="CV183" s="9">
        <v>13.2</v>
      </c>
      <c r="CW183" s="9">
        <f t="shared" si="174"/>
        <v>98.737525210591073</v>
      </c>
      <c r="CX183">
        <f t="shared" si="175"/>
        <v>22</v>
      </c>
      <c r="CY183" s="9">
        <f t="shared" si="140"/>
        <v>625.24043282941921</v>
      </c>
      <c r="CZ183" s="17">
        <f t="shared" si="176"/>
        <v>0.58873863731583731</v>
      </c>
      <c r="DA183">
        <v>45</v>
      </c>
      <c r="DB183" s="9">
        <f t="shared" si="177"/>
        <v>10.089836946384187</v>
      </c>
      <c r="DC183" s="9">
        <f t="shared" si="178"/>
        <v>10.924362188347301</v>
      </c>
    </row>
    <row r="184" spans="2:107" x14ac:dyDescent="0.25">
      <c r="B184" s="9">
        <f t="shared" si="179"/>
        <v>133</v>
      </c>
      <c r="C184" s="9">
        <v>96.538070360358802</v>
      </c>
      <c r="D184" s="9"/>
      <c r="E184" s="9">
        <f t="shared" si="141"/>
        <v>96.538070360358802</v>
      </c>
      <c r="F184" s="36">
        <f t="shared" si="180"/>
        <v>0</v>
      </c>
      <c r="G184" s="37">
        <f t="shared" si="125"/>
        <v>0</v>
      </c>
      <c r="H184" s="36" t="e">
        <f t="shared" si="126"/>
        <v>#DIV/0!</v>
      </c>
      <c r="I184" s="37" t="e">
        <f t="shared" si="142"/>
        <v>#DIV/0!</v>
      </c>
      <c r="J184" s="37" t="e">
        <f t="shared" si="143"/>
        <v>#DIV/0!</v>
      </c>
      <c r="K184" s="37" t="e">
        <f t="shared" si="144"/>
        <v>#DIV/0!</v>
      </c>
      <c r="L184" s="39" t="e">
        <f t="shared" si="127"/>
        <v>#DIV/0!</v>
      </c>
      <c r="M184" s="39" t="e">
        <f>M183+(1000*$C$2*(B184-B183))/(BerechnungenCLT!$W$47*2*'Berechnung freier Bereich'!G184)</f>
        <v>#DIV/0!</v>
      </c>
      <c r="N184" s="17" t="e">
        <f t="shared" si="145"/>
        <v>#DIV/0!</v>
      </c>
      <c r="O184" s="173">
        <f t="shared" si="146"/>
        <v>2885.4051661894305</v>
      </c>
      <c r="P184" s="173"/>
      <c r="Q184" s="173"/>
      <c r="R184" s="37" t="e">
        <f t="shared" si="128"/>
        <v>#DIV/0!</v>
      </c>
      <c r="S184" s="37" t="e">
        <f t="shared" si="129"/>
        <v>#DIV/0!</v>
      </c>
      <c r="T184" s="37" t="e">
        <f t="shared" si="130"/>
        <v>#DIV/0!</v>
      </c>
      <c r="U184" s="39" t="e">
        <f t="shared" si="131"/>
        <v>#DIV/0!</v>
      </c>
      <c r="V184" s="39" t="e">
        <f t="shared" si="147"/>
        <v>#DIV/0!</v>
      </c>
      <c r="W184" s="9" t="e">
        <f t="shared" si="148"/>
        <v>#DIV/0!</v>
      </c>
      <c r="AB184" s="129">
        <v>87.57283911589289</v>
      </c>
      <c r="AC184" s="9">
        <v>14.625</v>
      </c>
      <c r="AD184" s="129">
        <f t="shared" si="149"/>
        <v>102.50669219083771</v>
      </c>
      <c r="AE184" s="36">
        <f t="shared" si="181"/>
        <v>1.516023805011554E-2</v>
      </c>
      <c r="AF184" s="37">
        <f t="shared" si="150"/>
        <v>40523815.915220596</v>
      </c>
      <c r="AG184" s="36">
        <f t="shared" si="132"/>
        <v>1.9755360649072733</v>
      </c>
      <c r="AH184" s="37">
        <f t="shared" si="151"/>
        <v>-1.9428231204009837E-4</v>
      </c>
      <c r="AI184" s="37">
        <f t="shared" si="152"/>
        <v>-2.6975934505402609E-2</v>
      </c>
      <c r="AJ184" s="37">
        <f t="shared" si="153"/>
        <v>-1.8098687903294057</v>
      </c>
      <c r="AK184" s="39">
        <f t="shared" si="154"/>
        <v>1.9915237158418649E-2</v>
      </c>
      <c r="AL184" s="39">
        <f>AL183+(1000*$C$2*($B184-$B183))/(BerechnungenCLT!$W$47*2*AF184)</f>
        <v>7.7404018365315472E-3</v>
      </c>
      <c r="AM184" s="37">
        <f t="shared" si="133"/>
        <v>2.529541946525736E-6</v>
      </c>
      <c r="AN184" s="173">
        <f t="shared" si="155"/>
        <v>2977.0992886883109</v>
      </c>
      <c r="AO184" s="173">
        <v>-258.2460174951147</v>
      </c>
      <c r="AV184" s="129">
        <v>114.72356890869321</v>
      </c>
      <c r="AW184" s="9">
        <v>9.25</v>
      </c>
      <c r="AX184" s="129">
        <f t="shared" si="156"/>
        <v>124.06360234877783</v>
      </c>
      <c r="AY184" s="36">
        <f t="shared" si="182"/>
        <v>1.191127402698516E-2</v>
      </c>
      <c r="AZ184" s="37">
        <f t="shared" si="157"/>
        <v>50015570.472224966</v>
      </c>
      <c r="BA184" s="36">
        <f t="shared" si="134"/>
        <v>1.9938942489519214</v>
      </c>
      <c r="BB184" s="37">
        <f t="shared" si="158"/>
        <v>-1.5741219333024548E-4</v>
      </c>
      <c r="BC184" s="37">
        <f t="shared" si="159"/>
        <v>-2.3993380144418406E-2</v>
      </c>
      <c r="BD184" s="37">
        <f t="shared" si="160"/>
        <v>-1.705857688807251</v>
      </c>
      <c r="BE184" s="39">
        <f t="shared" si="161"/>
        <v>1.9529123758172513E-2</v>
      </c>
      <c r="BF184" s="39">
        <f>BF183+(1000*$C$2*($B184-$B183))/(BerechnungenCLT!$W$47*2*AZ184)</f>
        <v>6.8781354408995327E-3</v>
      </c>
      <c r="BG184" s="37">
        <f t="shared" si="135"/>
        <v>2.4804995959742934E-6</v>
      </c>
      <c r="BH184" s="173">
        <f t="shared" si="162"/>
        <v>1886.4358545109612</v>
      </c>
      <c r="BI184">
        <v>-259.09029954356691</v>
      </c>
      <c r="BP184" s="129">
        <v>86.432422483273513</v>
      </c>
      <c r="BQ184" s="9">
        <v>15</v>
      </c>
      <c r="BR184" s="129">
        <f t="shared" si="163"/>
        <v>101.4364138516377</v>
      </c>
      <c r="BS184" s="36">
        <f t="shared" si="183"/>
        <v>1.5054292329187457E-2</v>
      </c>
      <c r="BT184" s="37">
        <f t="shared" si="164"/>
        <v>39318069.490515932</v>
      </c>
      <c r="BU184" s="36">
        <f t="shared" si="136"/>
        <v>1.9747288841537016</v>
      </c>
      <c r="BV184" s="37">
        <f t="shared" si="165"/>
        <v>-2.0024026486334699E-4</v>
      </c>
      <c r="BW184" s="37">
        <f t="shared" si="166"/>
        <v>-2.7002242090589872E-2</v>
      </c>
      <c r="BX184" s="37">
        <f t="shared" si="167"/>
        <v>-1.8120966733974275</v>
      </c>
      <c r="BY184" s="39">
        <f t="shared" si="168"/>
        <v>2.0311654376440013E-2</v>
      </c>
      <c r="BZ184" s="39">
        <f>BZ183+(1000*$C$2*($B184-$B183))/(BerechnungenCLT!$W$47*2*BT184)</f>
        <v>7.7480074501355576E-3</v>
      </c>
      <c r="CA184" s="37">
        <f t="shared" si="137"/>
        <v>2.5798930406821112E-6</v>
      </c>
      <c r="CB184" s="173">
        <f t="shared" si="169"/>
        <v>3047.5759181300273</v>
      </c>
      <c r="CC184" s="9">
        <v>-257.85976548009546</v>
      </c>
      <c r="CJ184" s="9">
        <f t="shared" si="185"/>
        <v>133</v>
      </c>
      <c r="CK184" s="129">
        <v>85.558882227713923</v>
      </c>
      <c r="CL184" s="9">
        <v>10.078125</v>
      </c>
      <c r="CM184" s="129">
        <f t="shared" si="170"/>
        <v>95.643475737456527</v>
      </c>
      <c r="CN184" s="36">
        <f t="shared" si="184"/>
        <v>9.759353209192705E-3</v>
      </c>
      <c r="CO184" s="173">
        <f t="shared" si="171"/>
        <v>3275.9429819314391</v>
      </c>
      <c r="CP184" s="9">
        <v>-630.26716284863164</v>
      </c>
      <c r="CQ184" s="129"/>
      <c r="CR184" s="36">
        <f t="shared" si="172"/>
        <v>0.83437948268125783</v>
      </c>
      <c r="CS184" s="17">
        <f t="shared" si="138"/>
        <v>0.59981957378347284</v>
      </c>
      <c r="CT184" s="9">
        <f t="shared" si="139"/>
        <v>10.081156508211658</v>
      </c>
      <c r="CU184" s="9">
        <f t="shared" si="173"/>
        <v>95.646509191401179</v>
      </c>
      <c r="CV184" s="9">
        <v>13.2</v>
      </c>
      <c r="CW184" s="9">
        <f t="shared" si="174"/>
        <v>98.767354471172141</v>
      </c>
      <c r="CX184">
        <f t="shared" si="175"/>
        <v>22</v>
      </c>
      <c r="CY184" s="9">
        <f t="shared" si="140"/>
        <v>625.05245261852485</v>
      </c>
      <c r="CZ184" s="17">
        <f t="shared" si="176"/>
        <v>0.58856163146753759</v>
      </c>
      <c r="DA184">
        <v>45</v>
      </c>
      <c r="DB184" s="9">
        <f t="shared" si="177"/>
        <v>10.086803409879694</v>
      </c>
      <c r="DC184" s="9">
        <f t="shared" si="178"/>
        <v>10.921182905788299</v>
      </c>
    </row>
    <row r="185" spans="2:107" x14ac:dyDescent="0.25">
      <c r="B185" s="9">
        <f t="shared" si="179"/>
        <v>134</v>
      </c>
      <c r="C185" s="9">
        <v>96.737723211044084</v>
      </c>
      <c r="D185" s="9"/>
      <c r="E185" s="9">
        <f t="shared" si="141"/>
        <v>96.737723211044084</v>
      </c>
      <c r="F185" s="36">
        <f t="shared" si="180"/>
        <v>0</v>
      </c>
      <c r="G185" s="37">
        <f t="shared" si="125"/>
        <v>0</v>
      </c>
      <c r="H185" s="36" t="e">
        <f t="shared" si="126"/>
        <v>#DIV/0!</v>
      </c>
      <c r="I185" s="37" t="e">
        <f t="shared" si="142"/>
        <v>#DIV/0!</v>
      </c>
      <c r="J185" s="37" t="e">
        <f t="shared" si="143"/>
        <v>#DIV/0!</v>
      </c>
      <c r="K185" s="37" t="e">
        <f t="shared" si="144"/>
        <v>#DIV/0!</v>
      </c>
      <c r="L185" s="39" t="e">
        <f t="shared" si="127"/>
        <v>#DIV/0!</v>
      </c>
      <c r="M185" s="39" t="e">
        <f>M184+(1000*$C$2*(B185-B184))/(BerechnungenCLT!$W$47*2*'Berechnung freier Bereich'!G185)</f>
        <v>#DIV/0!</v>
      </c>
      <c r="N185" s="17" t="e">
        <f t="shared" si="145"/>
        <v>#DIV/0!</v>
      </c>
      <c r="O185" s="173">
        <f t="shared" si="146"/>
        <v>2873.507327891758</v>
      </c>
      <c r="P185" s="173"/>
      <c r="Q185" s="173"/>
      <c r="R185" s="37" t="e">
        <f t="shared" si="128"/>
        <v>#DIV/0!</v>
      </c>
      <c r="S185" s="37" t="e">
        <f t="shared" si="129"/>
        <v>#DIV/0!</v>
      </c>
      <c r="T185" s="37" t="e">
        <f t="shared" si="130"/>
        <v>#DIV/0!</v>
      </c>
      <c r="U185" s="39" t="e">
        <f t="shared" si="131"/>
        <v>#DIV/0!</v>
      </c>
      <c r="V185" s="39" t="e">
        <f t="shared" si="147"/>
        <v>#DIV/0!</v>
      </c>
      <c r="W185" s="9" t="e">
        <f t="shared" si="148"/>
        <v>#DIV/0!</v>
      </c>
      <c r="AB185" s="129">
        <v>87.779436053381033</v>
      </c>
      <c r="AC185" s="9">
        <v>14.5625</v>
      </c>
      <c r="AD185" s="129">
        <f t="shared" si="149"/>
        <v>102.69195123948023</v>
      </c>
      <c r="AE185" s="36">
        <f t="shared" si="181"/>
        <v>1.5169785432299241E-2</v>
      </c>
      <c r="AF185" s="37">
        <f t="shared" si="150"/>
        <v>40714959.53871499</v>
      </c>
      <c r="AG185" s="36">
        <f t="shared" si="132"/>
        <v>1.9757046396665796</v>
      </c>
      <c r="AH185" s="37">
        <f t="shared" si="151"/>
        <v>-1.9337021915028719E-4</v>
      </c>
      <c r="AI185" s="37">
        <f t="shared" si="152"/>
        <v>-2.7169304724552895E-2</v>
      </c>
      <c r="AJ185" s="37">
        <f t="shared" si="153"/>
        <v>-1.8369414099443835</v>
      </c>
      <c r="AK185" s="39">
        <f t="shared" si="154"/>
        <v>1.98575651161489E-2</v>
      </c>
      <c r="AL185" s="39">
        <f>AL184+(1000*$C$2*($B185-$B184))/(BerechnungenCLT!$W$47*2*AF185)</f>
        <v>7.7963058452474492E-3</v>
      </c>
      <c r="AM185" s="37">
        <f t="shared" si="133"/>
        <v>2.5222167086235867E-6</v>
      </c>
      <c r="AN185" s="173">
        <f t="shared" si="155"/>
        <v>2964.8623414020294</v>
      </c>
      <c r="AO185" s="173">
        <v>-258.47690420010395</v>
      </c>
      <c r="AV185" s="129">
        <v>114.86343108281639</v>
      </c>
      <c r="AW185" s="9">
        <v>9.25</v>
      </c>
      <c r="AX185" s="129">
        <f t="shared" si="156"/>
        <v>124.19929376943253</v>
      </c>
      <c r="AY185" s="36">
        <f t="shared" si="182"/>
        <v>1.1919694229711697E-2</v>
      </c>
      <c r="AZ185" s="37">
        <f t="shared" si="157"/>
        <v>50166263.503450982</v>
      </c>
      <c r="BA185" s="36">
        <f t="shared" si="134"/>
        <v>1.9939137109969951</v>
      </c>
      <c r="BB185" s="37">
        <f t="shared" si="158"/>
        <v>-1.5693934725983326E-4</v>
      </c>
      <c r="BC185" s="37">
        <f t="shared" si="159"/>
        <v>-2.415031949167824E-2</v>
      </c>
      <c r="BD185" s="37">
        <f t="shared" si="160"/>
        <v>-1.7299295386252993</v>
      </c>
      <c r="BE185" s="39">
        <f t="shared" si="161"/>
        <v>1.9491756094307016E-2</v>
      </c>
      <c r="BF185" s="39">
        <f>BF184+(1000*$C$2*($B185-$B184))/(BerechnungenCLT!$W$47*2*AZ185)</f>
        <v>6.9235071567492366E-3</v>
      </c>
      <c r="BG185" s="37">
        <f t="shared" si="135"/>
        <v>2.4757533269522602E-6</v>
      </c>
      <c r="BH185" s="173">
        <f t="shared" si="162"/>
        <v>1882.0895926529004</v>
      </c>
      <c r="BI185">
        <v>-258.29204248247146</v>
      </c>
      <c r="BP185" s="129">
        <v>86.455493097766777</v>
      </c>
      <c r="BQ185" s="9">
        <v>15</v>
      </c>
      <c r="BR185" s="129">
        <f t="shared" si="163"/>
        <v>101.45987507501209</v>
      </c>
      <c r="BS185" s="36">
        <f t="shared" si="183"/>
        <v>1.5058413030605051E-2</v>
      </c>
      <c r="BT185" s="37">
        <f t="shared" si="164"/>
        <v>39348205.772082247</v>
      </c>
      <c r="BU185" s="36">
        <f t="shared" si="136"/>
        <v>1.9747399764661546</v>
      </c>
      <c r="BV185" s="37">
        <f t="shared" si="165"/>
        <v>-2.0008690343594702E-4</v>
      </c>
      <c r="BW185" s="37">
        <f t="shared" si="166"/>
        <v>-2.7202328994025818E-2</v>
      </c>
      <c r="BX185" s="37">
        <f t="shared" si="167"/>
        <v>-1.8391989589397353</v>
      </c>
      <c r="BY185" s="39">
        <f t="shared" si="168"/>
        <v>2.0300792226757191E-2</v>
      </c>
      <c r="BZ185" s="39">
        <f>BZ184+(1000*$C$2*($B185-$B184))/(BerechnungenCLT!$W$47*2*BT185)</f>
        <v>7.805853275841157E-3</v>
      </c>
      <c r="CA185" s="37">
        <f t="shared" si="137"/>
        <v>2.5785133803228811E-6</v>
      </c>
      <c r="CB185" s="173">
        <f t="shared" si="169"/>
        <v>3046.0668158954236</v>
      </c>
      <c r="CC185" s="9">
        <v>-257.7320781775461</v>
      </c>
      <c r="CJ185" s="9">
        <f t="shared" si="185"/>
        <v>134</v>
      </c>
      <c r="CK185" s="129">
        <v>85.594716362355342</v>
      </c>
      <c r="CL185" s="9">
        <v>10.046875</v>
      </c>
      <c r="CM185" s="129">
        <f t="shared" si="170"/>
        <v>95.653623611949669</v>
      </c>
      <c r="CN185" s="36">
        <f t="shared" si="184"/>
        <v>9.7369655927558654E-3</v>
      </c>
      <c r="CO185" s="173">
        <f t="shared" si="171"/>
        <v>3274.2810044209054</v>
      </c>
      <c r="CP185" s="9">
        <v>-631.90681165323599</v>
      </c>
      <c r="CQ185" s="129"/>
      <c r="CR185" s="36">
        <f t="shared" si="172"/>
        <v>0.83432827034207224</v>
      </c>
      <c r="CS185" s="17">
        <f t="shared" si="138"/>
        <v>0.59978275820482985</v>
      </c>
      <c r="CT185" s="9">
        <f t="shared" si="139"/>
        <v>10.050513986167896</v>
      </c>
      <c r="CU185" s="9">
        <f t="shared" si="173"/>
        <v>95.657266956208005</v>
      </c>
      <c r="CV185" s="9">
        <v>13.2</v>
      </c>
      <c r="CW185" s="9">
        <f t="shared" si="174"/>
        <v>98.8105248296295</v>
      </c>
      <c r="CX185">
        <f t="shared" si="175"/>
        <v>22</v>
      </c>
      <c r="CY185" s="9">
        <f t="shared" si="140"/>
        <v>624.79077509102115</v>
      </c>
      <c r="CZ185" s="17">
        <f t="shared" si="176"/>
        <v>0.5883152307825058</v>
      </c>
      <c r="DA185">
        <v>45</v>
      </c>
      <c r="DB185" s="9">
        <f t="shared" si="177"/>
        <v>10.082580580634476</v>
      </c>
      <c r="DC185" s="9">
        <f t="shared" si="178"/>
        <v>10.916909285443614</v>
      </c>
    </row>
    <row r="186" spans="2:107" x14ac:dyDescent="0.25">
      <c r="B186" s="9">
        <f t="shared" si="179"/>
        <v>135</v>
      </c>
      <c r="C186" s="9">
        <v>96.937915636025025</v>
      </c>
      <c r="D186" s="9"/>
      <c r="E186" s="9">
        <f t="shared" si="141"/>
        <v>96.937915636025025</v>
      </c>
      <c r="F186" s="36">
        <f t="shared" si="180"/>
        <v>0</v>
      </c>
      <c r="G186" s="37">
        <f t="shared" si="125"/>
        <v>0</v>
      </c>
      <c r="H186" s="36" t="e">
        <f t="shared" si="126"/>
        <v>#DIV/0!</v>
      </c>
      <c r="I186" s="37" t="e">
        <f t="shared" si="142"/>
        <v>#DIV/0!</v>
      </c>
      <c r="J186" s="37" t="e">
        <f t="shared" si="143"/>
        <v>#DIV/0!</v>
      </c>
      <c r="K186" s="37" t="e">
        <f t="shared" si="144"/>
        <v>#DIV/0!</v>
      </c>
      <c r="L186" s="39" t="e">
        <f t="shared" si="127"/>
        <v>#DIV/0!</v>
      </c>
      <c r="M186" s="39" t="e">
        <f>M185+(1000*$C$2*(B186-B185))/(BerechnungenCLT!$W$47*2*'Berechnung freier Bereich'!G186)</f>
        <v>#DIV/0!</v>
      </c>
      <c r="N186" s="17" t="e">
        <f t="shared" si="145"/>
        <v>#DIV/0!</v>
      </c>
      <c r="O186" s="173">
        <f t="shared" si="146"/>
        <v>2861.6510712380282</v>
      </c>
      <c r="P186" s="173"/>
      <c r="Q186" s="173"/>
      <c r="R186" s="37" t="e">
        <f t="shared" si="128"/>
        <v>#DIV/0!</v>
      </c>
      <c r="S186" s="37" t="e">
        <f t="shared" si="129"/>
        <v>#DIV/0!</v>
      </c>
      <c r="T186" s="37" t="e">
        <f t="shared" si="130"/>
        <v>#DIV/0!</v>
      </c>
      <c r="U186" s="39" t="e">
        <f t="shared" si="131"/>
        <v>#DIV/0!</v>
      </c>
      <c r="V186" s="39" t="e">
        <f t="shared" si="147"/>
        <v>#DIV/0!</v>
      </c>
      <c r="W186" s="9" t="e">
        <f t="shared" si="148"/>
        <v>#DIV/0!</v>
      </c>
      <c r="AB186" s="129">
        <v>88</v>
      </c>
      <c r="AC186" s="9">
        <v>14.5625</v>
      </c>
      <c r="AD186" s="129">
        <f t="shared" si="149"/>
        <v>102.95857892318631</v>
      </c>
      <c r="AE186" s="36">
        <f t="shared" si="181"/>
        <v>1.5255565304043182E-2</v>
      </c>
      <c r="AF186" s="37">
        <f t="shared" si="150"/>
        <v>41155182.999860391</v>
      </c>
      <c r="AG186" s="36">
        <f t="shared" si="132"/>
        <v>1.9756791269374054</v>
      </c>
      <c r="AH186" s="37">
        <f t="shared" si="151"/>
        <v>-1.9130180149419093E-4</v>
      </c>
      <c r="AI186" s="37">
        <f t="shared" si="152"/>
        <v>-2.7360606526047087E-2</v>
      </c>
      <c r="AJ186" s="37">
        <f t="shared" si="153"/>
        <v>-1.8642063655696834</v>
      </c>
      <c r="AK186" s="39">
        <f t="shared" si="154"/>
        <v>1.9696161627287379E-2</v>
      </c>
      <c r="AL186" s="39">
        <f>AL185+(1000*$C$2*($B186-$B185))/(BerechnungenCLT!$W$47*2*AF186)</f>
        <v>7.8516118671627857E-3</v>
      </c>
      <c r="AM186" s="37">
        <f t="shared" si="133"/>
        <v>2.5017159788485346E-6</v>
      </c>
      <c r="AN186" s="173">
        <f t="shared" si="155"/>
        <v>2949.7531642261479</v>
      </c>
      <c r="AO186" s="173">
        <v>-257.33050869306078</v>
      </c>
      <c r="AV186" s="129">
        <v>115</v>
      </c>
      <c r="AW186" s="9">
        <v>9.25</v>
      </c>
      <c r="AX186" s="129">
        <f t="shared" si="156"/>
        <v>124.33198816175174</v>
      </c>
      <c r="AY186" s="36">
        <f t="shared" si="182"/>
        <v>1.1928167302474138E-2</v>
      </c>
      <c r="AZ186" s="37">
        <f t="shared" si="157"/>
        <v>50314839.743808381</v>
      </c>
      <c r="BA186" s="36">
        <f t="shared" si="134"/>
        <v>1.9939323949642387</v>
      </c>
      <c r="BB186" s="37">
        <f t="shared" si="158"/>
        <v>-1.5647591622638989E-4</v>
      </c>
      <c r="BC186" s="37">
        <f t="shared" si="159"/>
        <v>-2.4306795407904629E-2</v>
      </c>
      <c r="BD186" s="37">
        <f t="shared" si="160"/>
        <v>-1.7541580960750907</v>
      </c>
      <c r="BE186" s="39">
        <f t="shared" si="161"/>
        <v>1.9454961763858764E-2</v>
      </c>
      <c r="BF186" s="39">
        <f>BF185+(1000*$C$2*($B186-$B185))/(BerechnungenCLT!$W$47*2*AZ186)</f>
        <v>6.9687448930614154E-3</v>
      </c>
      <c r="BG186" s="37">
        <f t="shared" si="135"/>
        <v>2.4710798801073739E-6</v>
      </c>
      <c r="BH186" s="173">
        <f t="shared" si="162"/>
        <v>1877.8570402201517</v>
      </c>
      <c r="BI186">
        <v>-257.51674789596325</v>
      </c>
      <c r="BP186" s="129">
        <v>86.479666408953037</v>
      </c>
      <c r="BQ186" s="9">
        <v>15</v>
      </c>
      <c r="BR186" s="129">
        <f t="shared" si="163"/>
        <v>101.48447139189041</v>
      </c>
      <c r="BS186" s="36">
        <f t="shared" si="183"/>
        <v>1.5062745775858704E-2</v>
      </c>
      <c r="BT186" s="37">
        <f t="shared" si="164"/>
        <v>39379844.605112098</v>
      </c>
      <c r="BU186" s="36">
        <f t="shared" si="136"/>
        <v>1.9747515484206077</v>
      </c>
      <c r="BV186" s="37">
        <f t="shared" si="165"/>
        <v>-1.9992614820207671E-4</v>
      </c>
      <c r="BW186" s="37">
        <f t="shared" si="166"/>
        <v>-2.7402255142227893E-2</v>
      </c>
      <c r="BX186" s="37">
        <f t="shared" si="167"/>
        <v>-1.8665012510078622</v>
      </c>
      <c r="BY186" s="39">
        <f t="shared" si="168"/>
        <v>2.0289399467704496E-2</v>
      </c>
      <c r="BZ186" s="39">
        <f>BZ185+(1000*$C$2*($B186-$B185))/(BerechnungenCLT!$W$47*2*BT186)</f>
        <v>7.8636526266447019E-3</v>
      </c>
      <c r="CA186" s="37">
        <f t="shared" si="137"/>
        <v>2.5770663243987557E-6</v>
      </c>
      <c r="CB186" s="173">
        <f t="shared" si="169"/>
        <v>3044.4863412887357</v>
      </c>
      <c r="CC186" s="9">
        <v>-257.5983519563211</v>
      </c>
      <c r="CJ186" s="9">
        <f t="shared" si="185"/>
        <v>135</v>
      </c>
      <c r="CK186" s="129">
        <v>85.64367202174985</v>
      </c>
      <c r="CL186" s="9">
        <v>10.046875</v>
      </c>
      <c r="CM186" s="129">
        <f t="shared" si="170"/>
        <v>95.711806113412166</v>
      </c>
      <c r="CN186" s="36">
        <f t="shared" si="184"/>
        <v>9.7516580456307924E-3</v>
      </c>
      <c r="CO186" s="173">
        <f t="shared" si="171"/>
        <v>3270.4134970421992</v>
      </c>
      <c r="CP186" s="9">
        <v>-631.16041748198927</v>
      </c>
      <c r="CQ186" s="129"/>
      <c r="CR186" s="36">
        <f t="shared" si="172"/>
        <v>0.83403470310702199</v>
      </c>
      <c r="CS186" s="17">
        <f t="shared" si="138"/>
        <v>0.59957171829138578</v>
      </c>
      <c r="CT186" s="9">
        <f t="shared" si="139"/>
        <v>10.054051610670523</v>
      </c>
      <c r="CU186" s="9">
        <f t="shared" si="173"/>
        <v>95.718997909722418</v>
      </c>
      <c r="CV186" s="9">
        <v>13.2</v>
      </c>
      <c r="CW186" s="9">
        <f t="shared" si="174"/>
        <v>98.871603095834345</v>
      </c>
      <c r="CX186">
        <f t="shared" si="175"/>
        <v>22</v>
      </c>
      <c r="CY186" s="9">
        <f t="shared" si="140"/>
        <v>624.43363201604382</v>
      </c>
      <c r="CZ186" s="17">
        <f t="shared" si="176"/>
        <v>0.58797893786821454</v>
      </c>
      <c r="DA186">
        <v>45</v>
      </c>
      <c r="DB186" s="9">
        <f t="shared" si="177"/>
        <v>10.076817173145386</v>
      </c>
      <c r="DC186" s="9">
        <f t="shared" si="178"/>
        <v>10.910852684417215</v>
      </c>
    </row>
    <row r="187" spans="2:107" x14ac:dyDescent="0.25">
      <c r="B187" s="9">
        <f t="shared" si="179"/>
        <v>136</v>
      </c>
      <c r="C187" s="9">
        <v>97.138639472174859</v>
      </c>
      <c r="D187" s="9"/>
      <c r="E187" s="9">
        <f t="shared" si="141"/>
        <v>97.138639472174859</v>
      </c>
      <c r="F187" s="36">
        <f t="shared" si="180"/>
        <v>0</v>
      </c>
      <c r="G187" s="37">
        <f t="shared" si="125"/>
        <v>0</v>
      </c>
      <c r="H187" s="36" t="e">
        <f t="shared" si="126"/>
        <v>#DIV/0!</v>
      </c>
      <c r="I187" s="37" t="e">
        <f t="shared" si="142"/>
        <v>#DIV/0!</v>
      </c>
      <c r="J187" s="37" t="e">
        <f t="shared" si="143"/>
        <v>#DIV/0!</v>
      </c>
      <c r="K187" s="37" t="e">
        <f t="shared" si="144"/>
        <v>#DIV/0!</v>
      </c>
      <c r="L187" s="39" t="e">
        <f t="shared" si="127"/>
        <v>#DIV/0!</v>
      </c>
      <c r="M187" s="39" t="e">
        <f>M186+(1000*$C$2*(B187-B186))/(BerechnungenCLT!$W$47*2*'Berechnung freier Bereich'!G187)</f>
        <v>#DIV/0!</v>
      </c>
      <c r="N187" s="17" t="e">
        <f t="shared" si="145"/>
        <v>#DIV/0!</v>
      </c>
      <c r="O187" s="173">
        <f t="shared" si="146"/>
        <v>2849.8368617258993</v>
      </c>
      <c r="P187" s="173"/>
      <c r="Q187" s="173"/>
      <c r="R187" s="37" t="e">
        <f t="shared" si="128"/>
        <v>#DIV/0!</v>
      </c>
      <c r="S187" s="37" t="e">
        <f t="shared" si="129"/>
        <v>#DIV/0!</v>
      </c>
      <c r="T187" s="37" t="e">
        <f t="shared" si="130"/>
        <v>#DIV/0!</v>
      </c>
      <c r="U187" s="39" t="e">
        <f t="shared" si="131"/>
        <v>#DIV/0!</v>
      </c>
      <c r="V187" s="39" t="e">
        <f t="shared" si="147"/>
        <v>#DIV/0!</v>
      </c>
      <c r="W187" s="9" t="e">
        <f t="shared" si="148"/>
        <v>#DIV/0!</v>
      </c>
      <c r="AB187" s="129">
        <v>88.234812407247546</v>
      </c>
      <c r="AC187" s="9">
        <v>14.4375</v>
      </c>
      <c r="AD187" s="129">
        <f t="shared" si="149"/>
        <v>103.11251337033258</v>
      </c>
      <c r="AE187" s="36">
        <f t="shared" si="181"/>
        <v>1.5203970433120304E-2</v>
      </c>
      <c r="AF187" s="37">
        <f t="shared" si="150"/>
        <v>41179445.332079478</v>
      </c>
      <c r="AG187" s="36">
        <f t="shared" si="132"/>
        <v>1.9760358276629924</v>
      </c>
      <c r="AH187" s="37">
        <f t="shared" si="151"/>
        <v>-1.9118908924601629E-4</v>
      </c>
      <c r="AI187" s="37">
        <f t="shared" si="152"/>
        <v>-2.7551795615293102E-2</v>
      </c>
      <c r="AJ187" s="37">
        <f t="shared" si="153"/>
        <v>-1.8916625666403535</v>
      </c>
      <c r="AK187" s="39">
        <f t="shared" si="154"/>
        <v>1.9713987521141563E-2</v>
      </c>
      <c r="AL187" s="39">
        <f>AL186+(1000*$C$2*($B187-$B186))/(BerechnungenCLT!$W$47*2*AF187)</f>
        <v>7.9068853035717691E-3</v>
      </c>
      <c r="AM187" s="37">
        <f t="shared" si="133"/>
        <v>2.5039801420056089E-6</v>
      </c>
      <c r="AN187" s="173">
        <f t="shared" si="155"/>
        <v>2937.7797288298016</v>
      </c>
      <c r="AO187" s="173">
        <v>-258.63692510600015</v>
      </c>
      <c r="AV187" s="129">
        <v>115.13343812516855</v>
      </c>
      <c r="AW187" s="9">
        <v>9.1875</v>
      </c>
      <c r="AX187" s="129">
        <f t="shared" si="156"/>
        <v>124.3987083111401</v>
      </c>
      <c r="AY187" s="36">
        <f t="shared" si="182"/>
        <v>1.1852792694130579E-2</v>
      </c>
      <c r="AZ187" s="37">
        <f t="shared" si="157"/>
        <v>50079351.552427791</v>
      </c>
      <c r="BA187" s="36">
        <f t="shared" si="134"/>
        <v>1.9940286198409021</v>
      </c>
      <c r="BB187" s="37">
        <f t="shared" si="158"/>
        <v>-1.5721171310403509E-4</v>
      </c>
      <c r="BC187" s="37">
        <f t="shared" si="159"/>
        <v>-2.4464007121008664E-2</v>
      </c>
      <c r="BD187" s="37">
        <f t="shared" si="160"/>
        <v>-1.7785434973395473</v>
      </c>
      <c r="BE187" s="39">
        <f t="shared" si="161"/>
        <v>1.9556934041523501E-2</v>
      </c>
      <c r="BF187" s="39">
        <f>BF186+(1000*$C$2*($B187-$B186))/(BerechnungenCLT!$W$47*2*AZ187)</f>
        <v>7.014195350832161E-3</v>
      </c>
      <c r="BG187" s="37">
        <f t="shared" si="135"/>
        <v>2.4840319304236154E-6</v>
      </c>
      <c r="BH187" s="173">
        <f t="shared" si="162"/>
        <v>1874.7199950375057</v>
      </c>
      <c r="BI187">
        <v>-258.65369000823534</v>
      </c>
      <c r="BP187" s="129">
        <v>86.504979784950052</v>
      </c>
      <c r="BQ187" s="9">
        <v>15</v>
      </c>
      <c r="BR187" s="129">
        <f t="shared" si="163"/>
        <v>101.51024208407182</v>
      </c>
      <c r="BS187" s="36">
        <f t="shared" si="183"/>
        <v>1.5067298669647958E-2</v>
      </c>
      <c r="BT187" s="37">
        <f t="shared" si="164"/>
        <v>39413041.578538142</v>
      </c>
      <c r="BU187" s="36">
        <f t="shared" si="136"/>
        <v>1.9747636129127675</v>
      </c>
      <c r="BV187" s="37">
        <f t="shared" si="165"/>
        <v>-1.9975775361076334E-4</v>
      </c>
      <c r="BW187" s="37">
        <f t="shared" si="166"/>
        <v>-2.7602012895838655E-2</v>
      </c>
      <c r="BX187" s="37">
        <f t="shared" si="167"/>
        <v>-1.8940033850268956</v>
      </c>
      <c r="BY187" s="39">
        <f t="shared" si="168"/>
        <v>2.0277457927198959E-2</v>
      </c>
      <c r="BZ187" s="39">
        <f>BZ186+(1000*$C$2*($B187-$B186))/(BerechnungenCLT!$W$47*2*BT187)</f>
        <v>7.9214032939811541E-3</v>
      </c>
      <c r="CA187" s="37">
        <f t="shared" si="137"/>
        <v>2.5755495647752265E-6</v>
      </c>
      <c r="CB187" s="173">
        <f t="shared" si="169"/>
        <v>3042.8321813956545</v>
      </c>
      <c r="CC187" s="9">
        <v>-257.45839111742657</v>
      </c>
      <c r="CJ187" s="9">
        <f t="shared" si="185"/>
        <v>136</v>
      </c>
      <c r="CK187" s="129">
        <v>85.70876010312827</v>
      </c>
      <c r="CL187" s="9">
        <v>10.046875</v>
      </c>
      <c r="CM187" s="129">
        <f t="shared" si="170"/>
        <v>95.791213040556258</v>
      </c>
      <c r="CN187" s="36">
        <f t="shared" si="184"/>
        <v>9.7733074860431712E-3</v>
      </c>
      <c r="CO187" s="173">
        <f t="shared" si="171"/>
        <v>3265.2083136769893</v>
      </c>
      <c r="CP187" s="9">
        <v>-630.15586386550399</v>
      </c>
      <c r="CQ187" s="129"/>
      <c r="CR187" s="36">
        <f t="shared" si="172"/>
        <v>0.83363420240299302</v>
      </c>
      <c r="CS187" s="17">
        <f t="shared" si="138"/>
        <v>0.59928380593666353</v>
      </c>
      <c r="CT187" s="9">
        <f t="shared" si="139"/>
        <v>10.058881852444205</v>
      </c>
      <c r="CU187" s="9">
        <f t="shared" si="173"/>
        <v>95.803262411599036</v>
      </c>
      <c r="CV187" s="9">
        <v>13.2</v>
      </c>
      <c r="CW187" s="9">
        <f t="shared" si="174"/>
        <v>98.955503869130084</v>
      </c>
      <c r="CX187">
        <f t="shared" si="175"/>
        <v>22</v>
      </c>
      <c r="CY187" s="9">
        <f t="shared" si="140"/>
        <v>623.95943093079677</v>
      </c>
      <c r="CZ187" s="17">
        <f t="shared" si="176"/>
        <v>0.58753242083879165</v>
      </c>
      <c r="DA187">
        <v>45</v>
      </c>
      <c r="DB187" s="9">
        <f t="shared" si="177"/>
        <v>10.069164738371953</v>
      </c>
      <c r="DC187" s="9">
        <f t="shared" si="178"/>
        <v>10.902799640002478</v>
      </c>
    </row>
    <row r="188" spans="2:107" x14ac:dyDescent="0.25">
      <c r="B188" s="9">
        <f t="shared" si="179"/>
        <v>137</v>
      </c>
      <c r="C188" s="9">
        <v>97.339886556366778</v>
      </c>
      <c r="D188" s="9"/>
      <c r="E188" s="9">
        <f t="shared" si="141"/>
        <v>97.339886556366778</v>
      </c>
      <c r="F188" s="36">
        <f t="shared" si="180"/>
        <v>0</v>
      </c>
      <c r="G188" s="37">
        <f t="shared" si="125"/>
        <v>0</v>
      </c>
      <c r="H188" s="36" t="e">
        <f t="shared" si="126"/>
        <v>#DIV/0!</v>
      </c>
      <c r="I188" s="37" t="e">
        <f t="shared" si="142"/>
        <v>#DIV/0!</v>
      </c>
      <c r="J188" s="37" t="e">
        <f t="shared" si="143"/>
        <v>#DIV/0!</v>
      </c>
      <c r="K188" s="37" t="e">
        <f t="shared" si="144"/>
        <v>#DIV/0!</v>
      </c>
      <c r="L188" s="39" t="e">
        <f t="shared" si="127"/>
        <v>#DIV/0!</v>
      </c>
      <c r="M188" s="39" t="e">
        <f>M187+(1000*$C$2*(B188-B187))/(BerechnungenCLT!$W$47*2*'Berechnung freier Bereich'!G188)</f>
        <v>#DIV/0!</v>
      </c>
      <c r="N188" s="17" t="e">
        <f t="shared" si="145"/>
        <v>#DIV/0!</v>
      </c>
      <c r="O188" s="173">
        <f t="shared" si="146"/>
        <v>2838.0651510606499</v>
      </c>
      <c r="P188" s="173"/>
      <c r="Q188" s="173"/>
      <c r="R188" s="37" t="e">
        <f t="shared" si="128"/>
        <v>#DIV/0!</v>
      </c>
      <c r="S188" s="37" t="e">
        <f t="shared" si="129"/>
        <v>#DIV/0!</v>
      </c>
      <c r="T188" s="37" t="e">
        <f t="shared" si="130"/>
        <v>#DIV/0!</v>
      </c>
      <c r="U188" s="39" t="e">
        <f t="shared" si="131"/>
        <v>#DIV/0!</v>
      </c>
      <c r="V188" s="39" t="e">
        <f t="shared" si="147"/>
        <v>#DIV/0!</v>
      </c>
      <c r="W188" s="9" t="e">
        <f t="shared" si="148"/>
        <v>#DIV/0!</v>
      </c>
      <c r="AB188" s="129">
        <v>88.483629341562931</v>
      </c>
      <c r="AC188" s="9">
        <v>14.4375</v>
      </c>
      <c r="AD188" s="129">
        <f t="shared" si="149"/>
        <v>103.41006337844766</v>
      </c>
      <c r="AE188" s="36">
        <f t="shared" si="181"/>
        <v>1.5297327354148162E-2</v>
      </c>
      <c r="AF188" s="37">
        <f t="shared" si="150"/>
        <v>41669455.999843106</v>
      </c>
      <c r="AG188" s="36">
        <f t="shared" si="132"/>
        <v>1.9760159218191282</v>
      </c>
      <c r="AH188" s="37">
        <f t="shared" si="151"/>
        <v>-1.8894080711603329E-4</v>
      </c>
      <c r="AI188" s="37">
        <f t="shared" si="152"/>
        <v>-2.7740736422409134E-2</v>
      </c>
      <c r="AJ188" s="37">
        <f t="shared" si="153"/>
        <v>-1.9193088326592047</v>
      </c>
      <c r="AK188" s="39">
        <f t="shared" si="154"/>
        <v>1.9538380838644058E-2</v>
      </c>
      <c r="AL188" s="39">
        <f>AL187+(1000*$C$2*($B188-$B187))/(BerechnungenCLT!$W$47*2*AF188)</f>
        <v>7.9615087537298051E-3</v>
      </c>
      <c r="AM188" s="37">
        <f t="shared" si="133"/>
        <v>2.4816753878149267E-6</v>
      </c>
      <c r="AN188" s="173">
        <f t="shared" si="155"/>
        <v>2921.0744307395612</v>
      </c>
      <c r="AO188" s="173">
        <v>-257.2687825457221</v>
      </c>
      <c r="AV188" s="129">
        <v>115.26382683951881</v>
      </c>
      <c r="AW188" s="9">
        <v>9.1875</v>
      </c>
      <c r="AX188" s="129">
        <f t="shared" si="156"/>
        <v>124.52558726275852</v>
      </c>
      <c r="AY188" s="36">
        <f t="shared" si="182"/>
        <v>1.1861028334744771E-2</v>
      </c>
      <c r="AZ188" s="37">
        <f t="shared" si="157"/>
        <v>50221637.66081664</v>
      </c>
      <c r="BA188" s="36">
        <f t="shared" si="134"/>
        <v>1.9940459010059657</v>
      </c>
      <c r="BB188" s="37">
        <f t="shared" si="158"/>
        <v>-1.567663066240276E-4</v>
      </c>
      <c r="BC188" s="37">
        <f t="shared" si="159"/>
        <v>-2.4620773427632692E-2</v>
      </c>
      <c r="BD188" s="37">
        <f t="shared" si="160"/>
        <v>-1.803085887613868</v>
      </c>
      <c r="BE188" s="39">
        <f t="shared" si="161"/>
        <v>1.9521416395370708E-2</v>
      </c>
      <c r="BF188" s="39">
        <f>BF187+(1000*$C$2*($B188-$B187))/(BerechnungenCLT!$W$47*2*AZ188)</f>
        <v>7.0595170400270116E-3</v>
      </c>
      <c r="BG188" s="37">
        <f t="shared" si="135"/>
        <v>2.4795206421536999E-6</v>
      </c>
      <c r="BH188" s="173">
        <f t="shared" si="162"/>
        <v>1870.6994163205279</v>
      </c>
      <c r="BI188">
        <v>-257.93031562751787</v>
      </c>
      <c r="BP188" s="129">
        <v>86.531470593875653</v>
      </c>
      <c r="BQ188" s="9">
        <v>15</v>
      </c>
      <c r="BR188" s="129">
        <f t="shared" si="163"/>
        <v>101.53722649570818</v>
      </c>
      <c r="BS188" s="36">
        <f t="shared" si="183"/>
        <v>1.5072079889605603E-2</v>
      </c>
      <c r="BT188" s="37">
        <f t="shared" si="164"/>
        <v>39447852.738311045</v>
      </c>
      <c r="BU188" s="36">
        <f t="shared" si="136"/>
        <v>1.974776182551232</v>
      </c>
      <c r="BV188" s="37">
        <f t="shared" si="165"/>
        <v>-1.9958147534479662E-4</v>
      </c>
      <c r="BW188" s="37">
        <f t="shared" si="166"/>
        <v>-2.7801594371183451E-2</v>
      </c>
      <c r="BX188" s="37">
        <f t="shared" si="167"/>
        <v>-1.9217051886604066</v>
      </c>
      <c r="BY188" s="39">
        <f t="shared" si="168"/>
        <v>2.0264949466432213E-2</v>
      </c>
      <c r="BZ188" s="39">
        <f>BZ187+(1000*$C$2*($B188-$B187))/(BerechnungenCLT!$W$47*2*BT188)</f>
        <v>7.9791029986525167E-3</v>
      </c>
      <c r="CA188" s="37">
        <f t="shared" si="137"/>
        <v>2.5739607975441728E-6</v>
      </c>
      <c r="CB188" s="173">
        <f t="shared" si="169"/>
        <v>3041.1020371313452</v>
      </c>
      <c r="CC188" s="9">
        <v>-257.31200113199986</v>
      </c>
      <c r="CJ188" s="9">
        <f t="shared" si="185"/>
        <v>137</v>
      </c>
      <c r="CK188" s="129">
        <v>85.792991503721453</v>
      </c>
      <c r="CL188" s="9">
        <v>10.015625</v>
      </c>
      <c r="CM188" s="129">
        <f t="shared" si="170"/>
        <v>95.865134954777602</v>
      </c>
      <c r="CN188" s="36">
        <f t="shared" si="184"/>
        <v>9.7718215483329433E-3</v>
      </c>
      <c r="CO188" s="173">
        <f t="shared" si="171"/>
        <v>3259.5253449544534</v>
      </c>
      <c r="CP188" s="9">
        <v>-631.02184487622026</v>
      </c>
      <c r="CQ188" s="129"/>
      <c r="CR188" s="36">
        <f t="shared" si="172"/>
        <v>0.83326152973524614</v>
      </c>
      <c r="CS188" s="17">
        <f t="shared" si="138"/>
        <v>0.59901589862905524</v>
      </c>
      <c r="CT188" s="9">
        <f t="shared" si="139"/>
        <v>10.032079304995786</v>
      </c>
      <c r="CU188" s="9">
        <f t="shared" si="173"/>
        <v>95.881682111875136</v>
      </c>
      <c r="CV188" s="9">
        <v>13.2</v>
      </c>
      <c r="CW188" s="9">
        <f t="shared" si="174"/>
        <v>99.067479471665649</v>
      </c>
      <c r="CX188">
        <f t="shared" si="175"/>
        <v>22</v>
      </c>
      <c r="CY188" s="9">
        <f t="shared" si="140"/>
        <v>623.34682871400219</v>
      </c>
      <c r="CZ188" s="17">
        <f t="shared" si="176"/>
        <v>0.58695558259322234</v>
      </c>
      <c r="DA188">
        <v>45</v>
      </c>
      <c r="DB188" s="9">
        <f t="shared" si="177"/>
        <v>10.059278851030214</v>
      </c>
      <c r="DC188" s="9">
        <f t="shared" si="178"/>
        <v>10.892541779031228</v>
      </c>
    </row>
    <row r="189" spans="2:107" x14ac:dyDescent="0.25">
      <c r="B189" s="9">
        <f t="shared" si="179"/>
        <v>138</v>
      </c>
      <c r="C189" s="9">
        <v>97.541648725473976</v>
      </c>
      <c r="D189" s="9"/>
      <c r="E189" s="9">
        <f t="shared" si="141"/>
        <v>97.541648725473976</v>
      </c>
      <c r="F189" s="36">
        <f t="shared" si="180"/>
        <v>0</v>
      </c>
      <c r="G189" s="37">
        <f t="shared" si="125"/>
        <v>0</v>
      </c>
      <c r="H189" s="36" t="e">
        <f t="shared" si="126"/>
        <v>#DIV/0!</v>
      </c>
      <c r="I189" s="37" t="e">
        <f t="shared" si="142"/>
        <v>#DIV/0!</v>
      </c>
      <c r="J189" s="37" t="e">
        <f t="shared" si="143"/>
        <v>#DIV/0!</v>
      </c>
      <c r="K189" s="37" t="e">
        <f t="shared" si="144"/>
        <v>#DIV/0!</v>
      </c>
      <c r="L189" s="39" t="e">
        <f t="shared" si="127"/>
        <v>#DIV/0!</v>
      </c>
      <c r="M189" s="39" t="e">
        <f>M188+(1000*$C$2*(B189-B188))/(BerechnungenCLT!$W$47*2*'Berechnung freier Bereich'!G189)</f>
        <v>#DIV/0!</v>
      </c>
      <c r="N189" s="17" t="e">
        <f t="shared" si="145"/>
        <v>#DIV/0!</v>
      </c>
      <c r="O189" s="173">
        <f t="shared" si="146"/>
        <v>2826.336377347674</v>
      </c>
      <c r="P189" s="173"/>
      <c r="Q189" s="173"/>
      <c r="R189" s="37" t="e">
        <f t="shared" si="128"/>
        <v>#DIV/0!</v>
      </c>
      <c r="S189" s="37" t="e">
        <f t="shared" si="129"/>
        <v>#DIV/0!</v>
      </c>
      <c r="T189" s="37" t="e">
        <f t="shared" si="130"/>
        <v>#DIV/0!</v>
      </c>
      <c r="U189" s="39" t="e">
        <f t="shared" si="131"/>
        <v>#DIV/0!</v>
      </c>
      <c r="V189" s="39" t="e">
        <f t="shared" si="147"/>
        <v>#DIV/0!</v>
      </c>
      <c r="W189" s="9" t="e">
        <f t="shared" si="148"/>
        <v>#DIV/0!</v>
      </c>
      <c r="AB189" s="129">
        <v>88.746075523120766</v>
      </c>
      <c r="AC189" s="9">
        <v>14.3125</v>
      </c>
      <c r="AD189" s="129">
        <f t="shared" si="149"/>
        <v>103.59256479850444</v>
      </c>
      <c r="AE189" s="36">
        <f t="shared" si="181"/>
        <v>1.5250676350397029E-2</v>
      </c>
      <c r="AF189" s="37">
        <f t="shared" si="150"/>
        <v>41731424.622023284</v>
      </c>
      <c r="AG189" s="36">
        <f t="shared" si="132"/>
        <v>1.976378554823027</v>
      </c>
      <c r="AH189" s="37">
        <f t="shared" si="151"/>
        <v>-1.8866024153274354E-4</v>
      </c>
      <c r="AI189" s="37">
        <f t="shared" si="152"/>
        <v>-2.7929396663941876E-2</v>
      </c>
      <c r="AJ189" s="37">
        <f t="shared" si="153"/>
        <v>-1.9471438992023802</v>
      </c>
      <c r="AK189" s="39">
        <f t="shared" si="154"/>
        <v>1.9543798295882233E-2</v>
      </c>
      <c r="AL189" s="39">
        <f>AL188+(1000*$C$2*($B189-$B188))/(BerechnungenCLT!$W$47*2*AF189)</f>
        <v>8.0160510913934637E-3</v>
      </c>
      <c r="AM189" s="37">
        <f t="shared" si="133"/>
        <v>2.4823634883491286E-6</v>
      </c>
      <c r="AN189" s="173">
        <f t="shared" si="155"/>
        <v>2907.5750975111223</v>
      </c>
      <c r="AO189" s="173">
        <v>-258.38930747471915</v>
      </c>
      <c r="AV189" s="129">
        <v>115.39122725331552</v>
      </c>
      <c r="AW189" s="9">
        <v>9.125</v>
      </c>
      <c r="AX189" s="129">
        <f t="shared" si="156"/>
        <v>124.58664501994436</v>
      </c>
      <c r="AY189" s="36">
        <f t="shared" si="182"/>
        <v>1.1785322122677683E-2</v>
      </c>
      <c r="AZ189" s="37">
        <f t="shared" si="157"/>
        <v>49978375.054831915</v>
      </c>
      <c r="BA189" s="36">
        <f t="shared" si="134"/>
        <v>1.9941399022251958</v>
      </c>
      <c r="BB189" s="37">
        <f t="shared" si="158"/>
        <v>-1.5752934424256005E-4</v>
      </c>
      <c r="BC189" s="37">
        <f t="shared" si="159"/>
        <v>-2.4778302771875253E-2</v>
      </c>
      <c r="BD189" s="37">
        <f t="shared" si="160"/>
        <v>-1.8277854257136219</v>
      </c>
      <c r="BE189" s="39">
        <f t="shared" si="161"/>
        <v>1.9626052491372444E-2</v>
      </c>
      <c r="BF189" s="39">
        <f>BF188+(1000*$C$2*($B189-$B188))/(BerechnungenCLT!$W$47*2*AZ189)</f>
        <v>7.1050593260741819E-3</v>
      </c>
      <c r="BG189" s="37">
        <f t="shared" si="135"/>
        <v>2.4928110384393002E-6</v>
      </c>
      <c r="BH189" s="173">
        <f t="shared" si="162"/>
        <v>1867.7623942000341</v>
      </c>
      <c r="BI189">
        <v>-259.13345892331375</v>
      </c>
      <c r="BP189" s="129">
        <v>86.559176203847613</v>
      </c>
      <c r="BQ189" s="9">
        <v>14.9375</v>
      </c>
      <c r="BR189" s="129">
        <f t="shared" si="163"/>
        <v>101.50293783395887</v>
      </c>
      <c r="BS189" s="36">
        <f t="shared" si="183"/>
        <v>1.5009286214133659E-2</v>
      </c>
      <c r="BT189" s="37">
        <f t="shared" si="164"/>
        <v>39278722.341710985</v>
      </c>
      <c r="BU189" s="36">
        <f t="shared" si="136"/>
        <v>1.9749804792644905</v>
      </c>
      <c r="BV189" s="37">
        <f t="shared" si="165"/>
        <v>-2.0044085396168316E-4</v>
      </c>
      <c r="BW189" s="37">
        <f t="shared" si="166"/>
        <v>-2.8002035225145133E-2</v>
      </c>
      <c r="BX189" s="37">
        <f t="shared" si="167"/>
        <v>-1.9496070034585709</v>
      </c>
      <c r="BY189" s="39">
        <f t="shared" si="168"/>
        <v>2.0345335539058353E-2</v>
      </c>
      <c r="BZ189" s="39">
        <f>BZ188+(1000*$C$2*($B189-$B188))/(BerechnungenCLT!$W$47*2*BT189)</f>
        <v>8.0370511526967961E-3</v>
      </c>
      <c r="CA189" s="37">
        <f t="shared" si="137"/>
        <v>2.5841710672490624E-6</v>
      </c>
      <c r="CB189" s="173">
        <f t="shared" si="169"/>
        <v>3041.3149463891737</v>
      </c>
      <c r="CC189" s="9">
        <v>-258.40671031571014</v>
      </c>
      <c r="CJ189" s="9">
        <f t="shared" si="185"/>
        <v>138</v>
      </c>
      <c r="CK189" s="129">
        <v>85.899377120760192</v>
      </c>
      <c r="CL189" s="9">
        <v>9.984375</v>
      </c>
      <c r="CM189" s="129">
        <f t="shared" si="170"/>
        <v>95.969774324566643</v>
      </c>
      <c r="CN189" s="36">
        <f t="shared" si="184"/>
        <v>9.7814769356472289E-3</v>
      </c>
      <c r="CO189" s="173">
        <f t="shared" si="171"/>
        <v>3251.9655995857124</v>
      </c>
      <c r="CP189" s="9">
        <v>-631.52877841096915</v>
      </c>
      <c r="CQ189" s="129"/>
      <c r="CR189" s="36">
        <f t="shared" si="172"/>
        <v>0.83273426776004211</v>
      </c>
      <c r="CS189" s="17">
        <f t="shared" si="138"/>
        <v>0.59863686000238292</v>
      </c>
      <c r="CT189" s="9">
        <f t="shared" si="139"/>
        <v>10.007110153518033</v>
      </c>
      <c r="CU189" s="9">
        <f t="shared" si="173"/>
        <v>95.992705356946345</v>
      </c>
      <c r="CV189" s="9">
        <v>13.2</v>
      </c>
      <c r="CW189" s="9">
        <f t="shared" si="174"/>
        <v>99.21310412823388</v>
      </c>
      <c r="CX189">
        <f t="shared" si="175"/>
        <v>22</v>
      </c>
      <c r="CY189" s="9">
        <f t="shared" si="140"/>
        <v>622.57481919280792</v>
      </c>
      <c r="CZ189" s="17">
        <f t="shared" si="176"/>
        <v>0.58622864330772873</v>
      </c>
      <c r="DA189">
        <v>45</v>
      </c>
      <c r="DB189" s="9">
        <f t="shared" si="177"/>
        <v>10.046820523351922</v>
      </c>
      <c r="DC189" s="9">
        <f t="shared" si="178"/>
        <v>10.87955730330167</v>
      </c>
    </row>
    <row r="190" spans="2:107" x14ac:dyDescent="0.25">
      <c r="B190" s="9">
        <f t="shared" si="179"/>
        <v>139</v>
      </c>
      <c r="C190" s="9">
        <v>97.743917816369688</v>
      </c>
      <c r="D190" s="9"/>
      <c r="E190" s="9">
        <f t="shared" si="141"/>
        <v>97.743917816369688</v>
      </c>
      <c r="F190" s="36">
        <f t="shared" si="180"/>
        <v>0</v>
      </c>
      <c r="G190" s="37">
        <f t="shared" si="125"/>
        <v>0</v>
      </c>
      <c r="H190" s="36" t="e">
        <f t="shared" si="126"/>
        <v>#DIV/0!</v>
      </c>
      <c r="I190" s="37" t="e">
        <f t="shared" si="142"/>
        <v>#DIV/0!</v>
      </c>
      <c r="J190" s="37" t="e">
        <f t="shared" si="143"/>
        <v>#DIV/0!</v>
      </c>
      <c r="K190" s="37" t="e">
        <f t="shared" si="144"/>
        <v>#DIV/0!</v>
      </c>
      <c r="L190" s="39" t="e">
        <f t="shared" si="127"/>
        <v>#DIV/0!</v>
      </c>
      <c r="M190" s="39" t="e">
        <f>M189+(1000*$C$2*(B190-B189))/(BerechnungenCLT!$W$47*2*'Berechnung freier Bereich'!G190)</f>
        <v>#DIV/0!</v>
      </c>
      <c r="N190" s="17" t="e">
        <f t="shared" si="145"/>
        <v>#DIV/0!</v>
      </c>
      <c r="O190" s="173">
        <f t="shared" si="146"/>
        <v>2814.6509652847876</v>
      </c>
      <c r="P190" s="173"/>
      <c r="Q190" s="173"/>
      <c r="R190" s="37" t="e">
        <f t="shared" si="128"/>
        <v>#DIV/0!</v>
      </c>
      <c r="S190" s="37" t="e">
        <f t="shared" si="129"/>
        <v>#DIV/0!</v>
      </c>
      <c r="T190" s="37" t="e">
        <f t="shared" si="130"/>
        <v>#DIV/0!</v>
      </c>
      <c r="U190" s="39" t="e">
        <f t="shared" si="131"/>
        <v>#DIV/0!</v>
      </c>
      <c r="V190" s="39" t="e">
        <f t="shared" si="147"/>
        <v>#DIV/0!</v>
      </c>
      <c r="W190" s="9" t="e">
        <f t="shared" si="148"/>
        <v>#DIV/0!</v>
      </c>
      <c r="AB190" s="129">
        <v>89.021775672095686</v>
      </c>
      <c r="AC190" s="9">
        <v>14.25</v>
      </c>
      <c r="AD190" s="129">
        <f t="shared" si="149"/>
        <v>103.85326538407779</v>
      </c>
      <c r="AE190" s="36">
        <f t="shared" si="181"/>
        <v>1.5277757082608442E-2</v>
      </c>
      <c r="AF190" s="37">
        <f t="shared" si="150"/>
        <v>42037146.901112758</v>
      </c>
      <c r="AG190" s="36">
        <f t="shared" si="132"/>
        <v>1.9765556255630359</v>
      </c>
      <c r="AH190" s="37">
        <f t="shared" si="151"/>
        <v>-1.8728817793502503E-4</v>
      </c>
      <c r="AI190" s="37">
        <f t="shared" si="152"/>
        <v>-2.8116684841876901E-2</v>
      </c>
      <c r="AJ190" s="37">
        <f t="shared" si="153"/>
        <v>-1.9751669399552896</v>
      </c>
      <c r="AK190" s="39">
        <f t="shared" si="154"/>
        <v>1.9450488846386536E-2</v>
      </c>
      <c r="AL190" s="39">
        <f>AL189+(1000*$C$2*($B190-$B189))/(BerechnungenCLT!$W$47*2*AF190)</f>
        <v>8.0701967606577035E-3</v>
      </c>
      <c r="AM190" s="37">
        <f t="shared" si="133"/>
        <v>2.4705117506756557E-6</v>
      </c>
      <c r="AN190" s="173">
        <f t="shared" si="155"/>
        <v>2891.4251935240814</v>
      </c>
      <c r="AO190" s="173">
        <v>-258.12776143383849</v>
      </c>
      <c r="AV190" s="129">
        <v>115.51570047682358</v>
      </c>
      <c r="AW190" s="9">
        <v>9.125</v>
      </c>
      <c r="AX190" s="129">
        <f t="shared" si="156"/>
        <v>124.70792446350008</v>
      </c>
      <c r="AY190" s="36">
        <f t="shared" si="182"/>
        <v>1.1793293540104815E-2</v>
      </c>
      <c r="AZ190" s="37">
        <f t="shared" si="157"/>
        <v>50114462.291989364</v>
      </c>
      <c r="BA190" s="36">
        <f t="shared" si="134"/>
        <v>1.994155912524457</v>
      </c>
      <c r="BB190" s="37">
        <f t="shared" si="158"/>
        <v>-1.5710156886098879E-4</v>
      </c>
      <c r="BC190" s="37">
        <f t="shared" si="159"/>
        <v>-2.4935404340736243E-2</v>
      </c>
      <c r="BD190" s="37">
        <f t="shared" si="160"/>
        <v>-1.8526422792699277</v>
      </c>
      <c r="BE190" s="39">
        <f t="shared" si="161"/>
        <v>1.9591810582613545E-2</v>
      </c>
      <c r="BF190" s="39">
        <f>BF189+(1000*$C$2*($B190-$B189))/(BerechnungenCLT!$W$47*2*AZ190)</f>
        <v>7.1504779407578671E-3</v>
      </c>
      <c r="BG190" s="37">
        <f t="shared" si="135"/>
        <v>2.4884617884732693E-6</v>
      </c>
      <c r="BH190" s="173">
        <f t="shared" si="162"/>
        <v>1863.9428464447037</v>
      </c>
      <c r="BI190">
        <v>-258.46025827015961</v>
      </c>
      <c r="BP190" s="129">
        <v>86.58813398298372</v>
      </c>
      <c r="BQ190" s="9">
        <v>14.9375</v>
      </c>
      <c r="BR190" s="129">
        <f t="shared" si="163"/>
        <v>101.53246558128234</v>
      </c>
      <c r="BS190" s="36">
        <f t="shared" si="183"/>
        <v>1.5014526604590005E-2</v>
      </c>
      <c r="BT190" s="37">
        <f t="shared" si="164"/>
        <v>39316744.626476184</v>
      </c>
      <c r="BU190" s="36">
        <f t="shared" si="136"/>
        <v>1.97499399805114</v>
      </c>
      <c r="BV190" s="37">
        <f t="shared" si="165"/>
        <v>-2.002470123987482E-4</v>
      </c>
      <c r="BW190" s="37">
        <f t="shared" si="166"/>
        <v>-2.8202282237543883E-2</v>
      </c>
      <c r="BX190" s="37">
        <f t="shared" si="167"/>
        <v>-1.9777091621899154</v>
      </c>
      <c r="BY190" s="39">
        <f t="shared" si="168"/>
        <v>2.0331572894130519E-2</v>
      </c>
      <c r="BZ190" s="39">
        <f>BZ189+(1000*$C$2*($B190-$B189))/(BerechnungenCLT!$W$47*2*BT190)</f>
        <v>8.0949432664652182E-3</v>
      </c>
      <c r="CA190" s="37">
        <f t="shared" si="137"/>
        <v>2.5824229993067544E-6</v>
      </c>
      <c r="CB190" s="173">
        <f t="shared" si="169"/>
        <v>3039.424188477602</v>
      </c>
      <c r="CC190" s="9">
        <v>-258.24606120815463</v>
      </c>
      <c r="CJ190" s="9">
        <f t="shared" si="185"/>
        <v>139</v>
      </c>
      <c r="CK190" s="129">
        <v>86.03092785147534</v>
      </c>
      <c r="CL190" s="9">
        <v>9.953125</v>
      </c>
      <c r="CM190" s="129">
        <f t="shared" si="170"/>
        <v>96.110218423241477</v>
      </c>
      <c r="CN190" s="36">
        <f t="shared" si="184"/>
        <v>9.8047567816967138E-3</v>
      </c>
      <c r="CO190" s="173">
        <f t="shared" si="171"/>
        <v>3242.2604076190282</v>
      </c>
      <c r="CP190" s="9">
        <v>-631.62094326904753</v>
      </c>
      <c r="CQ190" s="129"/>
      <c r="CR190" s="36">
        <f t="shared" si="172"/>
        <v>0.83202709272807074</v>
      </c>
      <c r="CS190" s="17">
        <f t="shared" si="138"/>
        <v>0.59812848529390572</v>
      </c>
      <c r="CT190" s="9">
        <f t="shared" si="139"/>
        <v>9.9842678401540539</v>
      </c>
      <c r="CU190" s="9">
        <f t="shared" si="173"/>
        <v>96.141756029284068</v>
      </c>
      <c r="CV190" s="9">
        <v>13.2</v>
      </c>
      <c r="CW190" s="9">
        <f t="shared" si="174"/>
        <v>99.398250732210073</v>
      </c>
      <c r="CX190">
        <f t="shared" si="175"/>
        <v>22</v>
      </c>
      <c r="CY190" s="9">
        <f t="shared" si="140"/>
        <v>621.62283396569217</v>
      </c>
      <c r="CZ190" s="17">
        <f t="shared" si="176"/>
        <v>0.58533223537259149</v>
      </c>
      <c r="DA190">
        <v>45</v>
      </c>
      <c r="DB190" s="9">
        <f t="shared" si="177"/>
        <v>10.031457832117292</v>
      </c>
      <c r="DC190" s="9">
        <f t="shared" si="178"/>
        <v>10.863489106644337</v>
      </c>
    </row>
    <row r="191" spans="2:107" x14ac:dyDescent="0.25">
      <c r="B191" s="9">
        <f t="shared" si="179"/>
        <v>140</v>
      </c>
      <c r="C191" s="9">
        <v>97.946685665927092</v>
      </c>
      <c r="D191" s="9"/>
      <c r="E191" s="9">
        <f t="shared" si="141"/>
        <v>97.946685665927092</v>
      </c>
      <c r="F191" s="36">
        <f t="shared" si="180"/>
        <v>0</v>
      </c>
      <c r="G191" s="37">
        <f t="shared" si="125"/>
        <v>0</v>
      </c>
      <c r="H191" s="36" t="e">
        <f t="shared" si="126"/>
        <v>#DIV/0!</v>
      </c>
      <c r="I191" s="37" t="e">
        <f t="shared" si="142"/>
        <v>#DIV/0!</v>
      </c>
      <c r="J191" s="37" t="e">
        <f t="shared" si="143"/>
        <v>#DIV/0!</v>
      </c>
      <c r="K191" s="37" t="e">
        <f t="shared" si="144"/>
        <v>#DIV/0!</v>
      </c>
      <c r="L191" s="39" t="e">
        <f t="shared" si="127"/>
        <v>#DIV/0!</v>
      </c>
      <c r="M191" s="39" t="e">
        <f>M190+(1000*$C$2*(B191-B190))/(BerechnungenCLT!$W$47*2*'Berechnung freier Bereich'!G191)</f>
        <v>#DIV/0!</v>
      </c>
      <c r="N191" s="17" t="e">
        <f t="shared" si="145"/>
        <v>#DIV/0!</v>
      </c>
      <c r="O191" s="173">
        <f t="shared" si="146"/>
        <v>2803.0093263542553</v>
      </c>
      <c r="P191" s="173"/>
      <c r="Q191" s="173"/>
      <c r="R191" s="37" t="e">
        <f t="shared" si="128"/>
        <v>#DIV/0!</v>
      </c>
      <c r="S191" s="37" t="e">
        <f t="shared" si="129"/>
        <v>#DIV/0!</v>
      </c>
      <c r="T191" s="37" t="e">
        <f t="shared" si="130"/>
        <v>#DIV/0!</v>
      </c>
      <c r="U191" s="39" t="e">
        <f t="shared" si="131"/>
        <v>#DIV/0!</v>
      </c>
      <c r="V191" s="39" t="e">
        <f t="shared" si="147"/>
        <v>#DIV/0!</v>
      </c>
      <c r="W191" s="9" t="e">
        <f t="shared" si="148"/>
        <v>#DIV/0!</v>
      </c>
      <c r="AB191" s="129">
        <v>89.310354508662328</v>
      </c>
      <c r="AC191" s="9">
        <v>14.125</v>
      </c>
      <c r="AD191" s="129">
        <f t="shared" si="149"/>
        <v>104.06168732051128</v>
      </c>
      <c r="AE191" s="36">
        <f t="shared" si="181"/>
        <v>1.523434331725163E-2</v>
      </c>
      <c r="AF191" s="37">
        <f t="shared" si="150"/>
        <v>42130070.552662931</v>
      </c>
      <c r="AG191" s="36">
        <f t="shared" si="132"/>
        <v>1.9769241880789792</v>
      </c>
      <c r="AH191" s="37">
        <f t="shared" si="151"/>
        <v>-1.8687508815953686E-4</v>
      </c>
      <c r="AI191" s="37">
        <f t="shared" si="152"/>
        <v>-2.8303559930036439E-2</v>
      </c>
      <c r="AJ191" s="37">
        <f t="shared" si="153"/>
        <v>-2.0033770623412464</v>
      </c>
      <c r="AK191" s="39">
        <f t="shared" si="154"/>
        <v>1.9446536992050706E-2</v>
      </c>
      <c r="AL191" s="39">
        <f>AL190+(1000*$C$2*($B191-$B190))/(BerechnungenCLT!$W$47*2*AF191)</f>
        <v>8.1242230042186947E-3</v>
      </c>
      <c r="AM191" s="37">
        <f t="shared" si="133"/>
        <v>2.470009804290105E-6</v>
      </c>
      <c r="AN191" s="173">
        <f t="shared" si="155"/>
        <v>2876.5813327787182</v>
      </c>
      <c r="AO191" s="173">
        <v>-259.09668450715822</v>
      </c>
      <c r="AV191" s="129">
        <v>115.63730762030768</v>
      </c>
      <c r="AW191" s="9">
        <v>9.125</v>
      </c>
      <c r="AX191" s="129">
        <f t="shared" si="156"/>
        <v>124.82647691941619</v>
      </c>
      <c r="AY191" s="36">
        <f t="shared" si="182"/>
        <v>1.180116071788874E-2</v>
      </c>
      <c r="AZ191" s="37">
        <f t="shared" si="157"/>
        <v>50248016.882093094</v>
      </c>
      <c r="BA191" s="36">
        <f t="shared" si="134"/>
        <v>1.9941714218186066</v>
      </c>
      <c r="BB191" s="37">
        <f t="shared" si="158"/>
        <v>-1.5668400739417279E-4</v>
      </c>
      <c r="BC191" s="37">
        <f t="shared" si="159"/>
        <v>-2.5092088348130415E-2</v>
      </c>
      <c r="BD191" s="37">
        <f t="shared" si="160"/>
        <v>-1.8776560256143611</v>
      </c>
      <c r="BE191" s="39">
        <f t="shared" si="161"/>
        <v>1.9558312632630345E-2</v>
      </c>
      <c r="BF191" s="39">
        <f>BF190+(1000*$C$2*($B191-$B190))/(BerechnungenCLT!$W$47*2*AZ191)</f>
        <v>7.1957758369566539E-3</v>
      </c>
      <c r="BG191" s="37">
        <f t="shared" si="135"/>
        <v>2.484207032733677E-6</v>
      </c>
      <c r="BH191" s="173">
        <f t="shared" si="162"/>
        <v>1860.2215357332962</v>
      </c>
      <c r="BI191">
        <v>-257.81363714370076</v>
      </c>
      <c r="BP191" s="129">
        <v>86.618381299401705</v>
      </c>
      <c r="BQ191" s="9">
        <v>14.9375</v>
      </c>
      <c r="BR191" s="129">
        <f t="shared" si="163"/>
        <v>101.56332527659667</v>
      </c>
      <c r="BS191" s="36">
        <f t="shared" si="183"/>
        <v>1.5020019212248296E-2</v>
      </c>
      <c r="BT191" s="37">
        <f t="shared" si="164"/>
        <v>39356543.3358742</v>
      </c>
      <c r="BU191" s="36">
        <f t="shared" si="136"/>
        <v>1.9750080541538062</v>
      </c>
      <c r="BV191" s="37">
        <f t="shared" si="165"/>
        <v>-2.0004451563509026E-4</v>
      </c>
      <c r="BW191" s="37">
        <f t="shared" si="166"/>
        <v>-2.8402326753178973E-2</v>
      </c>
      <c r="BX191" s="37">
        <f t="shared" si="167"/>
        <v>-2.0060114666852771</v>
      </c>
      <c r="BY191" s="39">
        <f t="shared" si="168"/>
        <v>2.03171862112459E-2</v>
      </c>
      <c r="BZ191" s="39">
        <f>BZ190+(1000*$C$2*($B191-$B190))/(BerechnungenCLT!$W$47*2*BT191)</f>
        <v>8.1527768377088906E-3</v>
      </c>
      <c r="CA191" s="37">
        <f t="shared" si="137"/>
        <v>2.5805956689295897E-6</v>
      </c>
      <c r="CB191" s="173">
        <f t="shared" si="169"/>
        <v>3037.4505643941561</v>
      </c>
      <c r="CC191" s="9">
        <v>-258.07837133854463</v>
      </c>
      <c r="CJ191" s="9">
        <f t="shared" si="185"/>
        <v>140</v>
      </c>
      <c r="CK191" s="129">
        <v>86.19065459309769</v>
      </c>
      <c r="CL191" s="9">
        <v>9.921875</v>
      </c>
      <c r="CM191" s="129">
        <f t="shared" si="170"/>
        <v>96.291727709817877</v>
      </c>
      <c r="CN191" s="36">
        <f t="shared" si="184"/>
        <v>9.8443546445625054E-3</v>
      </c>
      <c r="CO191" s="173">
        <f t="shared" si="171"/>
        <v>3230.1459053138451</v>
      </c>
      <c r="CP191" s="9">
        <v>-631.24285549168314</v>
      </c>
      <c r="CQ191" s="129"/>
      <c r="CR191" s="36">
        <f t="shared" si="172"/>
        <v>0.83111400061181895</v>
      </c>
      <c r="CS191" s="17">
        <f t="shared" si="138"/>
        <v>0.59747208070179481</v>
      </c>
      <c r="CT191" s="9">
        <f t="shared" si="139"/>
        <v>9.9638547009718312</v>
      </c>
      <c r="CU191" s="9">
        <f t="shared" si="173"/>
        <v>96.334465602497886</v>
      </c>
      <c r="CV191" s="9">
        <v>13.2</v>
      </c>
      <c r="CW191" s="9">
        <f t="shared" si="174"/>
        <v>99.629058638775192</v>
      </c>
      <c r="CX191">
        <f t="shared" si="175"/>
        <v>22</v>
      </c>
      <c r="CY191" s="9">
        <f t="shared" si="140"/>
        <v>620.47085536364841</v>
      </c>
      <c r="CZ191" s="17">
        <f t="shared" si="176"/>
        <v>0.58424750975861428</v>
      </c>
      <c r="DA191">
        <v>45</v>
      </c>
      <c r="DB191" s="9">
        <f t="shared" si="177"/>
        <v>10.012867741569652</v>
      </c>
      <c r="DC191" s="9">
        <f t="shared" si="178"/>
        <v>10.843988310890889</v>
      </c>
    </row>
    <row r="192" spans="2:107" x14ac:dyDescent="0.25">
      <c r="B192" s="9">
        <f t="shared" si="179"/>
        <v>141</v>
      </c>
      <c r="C192" s="9">
        <v>98.149944111019394</v>
      </c>
      <c r="D192" s="9"/>
      <c r="E192" s="9">
        <f t="shared" si="141"/>
        <v>98.149944111019394</v>
      </c>
      <c r="F192" s="36">
        <f t="shared" si="180"/>
        <v>0</v>
      </c>
      <c r="G192" s="37">
        <f t="shared" si="125"/>
        <v>0</v>
      </c>
      <c r="H192" s="36" t="e">
        <f t="shared" si="126"/>
        <v>#DIV/0!</v>
      </c>
      <c r="I192" s="37" t="e">
        <f t="shared" si="142"/>
        <v>#DIV/0!</v>
      </c>
      <c r="J192" s="37" t="e">
        <f t="shared" si="143"/>
        <v>#DIV/0!</v>
      </c>
      <c r="K192" s="37" t="e">
        <f t="shared" si="144"/>
        <v>#DIV/0!</v>
      </c>
      <c r="L192" s="39" t="e">
        <f t="shared" si="127"/>
        <v>#DIV/0!</v>
      </c>
      <c r="M192" s="39" t="e">
        <f>M191+(1000*$C$2*(B192-B191))/(BerechnungenCLT!$W$47*2*'Berechnung freier Bereich'!G192)</f>
        <v>#DIV/0!</v>
      </c>
      <c r="N192" s="17" t="e">
        <f t="shared" si="145"/>
        <v>#DIV/0!</v>
      </c>
      <c r="O192" s="173">
        <f t="shared" si="146"/>
        <v>2791.411859014454</v>
      </c>
      <c r="P192" s="173"/>
      <c r="Q192" s="173"/>
      <c r="R192" s="37" t="e">
        <f t="shared" si="128"/>
        <v>#DIV/0!</v>
      </c>
      <c r="S192" s="37" t="e">
        <f t="shared" si="129"/>
        <v>#DIV/0!</v>
      </c>
      <c r="T192" s="37" t="e">
        <f t="shared" si="130"/>
        <v>#DIV/0!</v>
      </c>
      <c r="U192" s="39" t="e">
        <f t="shared" si="131"/>
        <v>#DIV/0!</v>
      </c>
      <c r="V192" s="39" t="e">
        <f t="shared" si="147"/>
        <v>#DIV/0!</v>
      </c>
      <c r="W192" s="9" t="e">
        <f t="shared" si="148"/>
        <v>#DIV/0!</v>
      </c>
      <c r="AB192" s="129">
        <v>89.611436752995303</v>
      </c>
      <c r="AC192" s="9">
        <v>14.125</v>
      </c>
      <c r="AD192" s="129">
        <f t="shared" si="149"/>
        <v>104.41306689684657</v>
      </c>
      <c r="AE192" s="36">
        <f t="shared" si="181"/>
        <v>1.5337865435818792E-2</v>
      </c>
      <c r="AF192" s="37">
        <f t="shared" si="150"/>
        <v>42703094.293647811</v>
      </c>
      <c r="AG192" s="36">
        <f t="shared" si="132"/>
        <v>1.976922566893806</v>
      </c>
      <c r="AH192" s="37">
        <f t="shared" si="151"/>
        <v>-1.8436745109282467E-4</v>
      </c>
      <c r="AI192" s="37">
        <f t="shared" si="152"/>
        <v>-2.8487927381129263E-2</v>
      </c>
      <c r="AJ192" s="37">
        <f t="shared" si="153"/>
        <v>-2.0317728059968294</v>
      </c>
      <c r="AK192" s="39">
        <f t="shared" si="154"/>
        <v>1.9250371004556191E-2</v>
      </c>
      <c r="AL192" s="39">
        <f>AL191+(1000*$C$2*($B192-$B191))/(BerechnungenCLT!$W$47*2*AF192)</f>
        <v>8.1775242811066903E-3</v>
      </c>
      <c r="AM192" s="37">
        <f t="shared" si="133"/>
        <v>2.445093701614458E-6</v>
      </c>
      <c r="AN192" s="173">
        <f t="shared" si="155"/>
        <v>2857.2672386806084</v>
      </c>
      <c r="AO192" s="173">
        <v>-257.35540472887408</v>
      </c>
      <c r="AV192" s="129">
        <v>115.75610979403267</v>
      </c>
      <c r="AW192" s="9">
        <v>9.0625</v>
      </c>
      <c r="AX192" s="129">
        <f t="shared" si="156"/>
        <v>124.87943946064379</v>
      </c>
      <c r="AY192" s="36">
        <f t="shared" si="182"/>
        <v>1.1724975626270777E-2</v>
      </c>
      <c r="AZ192" s="37">
        <f t="shared" si="157"/>
        <v>49993832.784240372</v>
      </c>
      <c r="BA192" s="36">
        <f t="shared" si="134"/>
        <v>1.9942626474622176</v>
      </c>
      <c r="BB192" s="37">
        <f t="shared" si="158"/>
        <v>-1.574806373152936E-4</v>
      </c>
      <c r="BC192" s="37">
        <f t="shared" si="159"/>
        <v>-2.5249568985445708E-2</v>
      </c>
      <c r="BD192" s="37">
        <f t="shared" si="160"/>
        <v>-1.9028268542811491</v>
      </c>
      <c r="BE192" s="39">
        <f t="shared" si="161"/>
        <v>1.966609371383881E-2</v>
      </c>
      <c r="BF192" s="39">
        <f>BF191+(1000*$C$2*($B192-$B191))/(BerechnungenCLT!$W$47*2*AZ192)</f>
        <v>7.2413040416602834E-3</v>
      </c>
      <c r="BG192" s="37">
        <f t="shared" si="135"/>
        <v>2.4978968905942679E-6</v>
      </c>
      <c r="BH192" s="173">
        <f t="shared" si="162"/>
        <v>1857.5668457956804</v>
      </c>
      <c r="BI192">
        <v>-259.10211491823065</v>
      </c>
      <c r="BP192" s="129">
        <v>86.649955521219425</v>
      </c>
      <c r="BQ192" s="9">
        <v>14.9375</v>
      </c>
      <c r="BR192" s="129">
        <f t="shared" si="163"/>
        <v>101.59555650358334</v>
      </c>
      <c r="BS192" s="36">
        <f t="shared" si="183"/>
        <v>1.5025772474098826E-2</v>
      </c>
      <c r="BT192" s="37">
        <f t="shared" si="164"/>
        <v>39398176.221776746</v>
      </c>
      <c r="BU192" s="36">
        <f t="shared" si="136"/>
        <v>1.9750226589087452</v>
      </c>
      <c r="BV192" s="37">
        <f t="shared" si="165"/>
        <v>-1.9983312436540343E-4</v>
      </c>
      <c r="BW192" s="37">
        <f t="shared" si="166"/>
        <v>-2.8602159877544376E-2</v>
      </c>
      <c r="BX192" s="37">
        <f t="shared" si="167"/>
        <v>-2.0345137100006387</v>
      </c>
      <c r="BY192" s="39">
        <f t="shared" si="168"/>
        <v>2.0302157477752939E-2</v>
      </c>
      <c r="BZ192" s="39">
        <f>BZ191+(1000*$C$2*($B192-$B191))/(BerechnungenCLT!$W$47*2*BT192)</f>
        <v>8.2105492949949167E-3</v>
      </c>
      <c r="CA192" s="37">
        <f t="shared" si="137"/>
        <v>2.5786867882333075E-6</v>
      </c>
      <c r="CB192" s="173">
        <f t="shared" si="169"/>
        <v>3035.3918374759633</v>
      </c>
      <c r="CC192" s="9">
        <v>-257.90345066779986</v>
      </c>
      <c r="CJ192" s="9">
        <f t="shared" si="185"/>
        <v>141</v>
      </c>
      <c r="CK192" s="129">
        <v>86.381568242858094</v>
      </c>
      <c r="CL192" s="9">
        <v>9.890625</v>
      </c>
      <c r="CM192" s="129">
        <f t="shared" si="170"/>
        <v>96.519700906560729</v>
      </c>
      <c r="CN192" s="36">
        <f t="shared" si="184"/>
        <v>9.9031528693197882E-3</v>
      </c>
      <c r="CO192" s="173">
        <f t="shared" si="171"/>
        <v>3215.3672630515175</v>
      </c>
      <c r="CP192" s="9">
        <v>-630.34010094889766</v>
      </c>
      <c r="CQ192" s="129"/>
      <c r="CR192" s="36">
        <f t="shared" si="172"/>
        <v>0.82996855135602199</v>
      </c>
      <c r="CS192" s="17">
        <f t="shared" si="138"/>
        <v>0.59664863897214571</v>
      </c>
      <c r="CT192" s="9">
        <f t="shared" si="139"/>
        <v>9.9461804022937592</v>
      </c>
      <c r="CU192" s="9">
        <f t="shared" si="173"/>
        <v>96.576646553437399</v>
      </c>
      <c r="CV192" s="9">
        <v>13.2</v>
      </c>
      <c r="CW192" s="9">
        <f t="shared" si="174"/>
        <v>99.911891267022369</v>
      </c>
      <c r="CX192">
        <f t="shared" si="175"/>
        <v>22</v>
      </c>
      <c r="CY192" s="9">
        <f t="shared" si="140"/>
        <v>619.09954018638291</v>
      </c>
      <c r="CZ192" s="17">
        <f t="shared" si="176"/>
        <v>0.58295625252955074</v>
      </c>
      <c r="DA192">
        <v>45</v>
      </c>
      <c r="DB192" s="9">
        <f t="shared" si="177"/>
        <v>9.9907381002121696</v>
      </c>
      <c r="DC192" s="9">
        <f t="shared" si="178"/>
        <v>10.820714362518247</v>
      </c>
    </row>
    <row r="193" spans="2:107" x14ac:dyDescent="0.25">
      <c r="B193" s="9">
        <f t="shared" si="179"/>
        <v>142</v>
      </c>
      <c r="C193" s="9">
        <v>98.353684988519817</v>
      </c>
      <c r="D193" s="9"/>
      <c r="E193" s="9">
        <f t="shared" si="141"/>
        <v>98.353684988519817</v>
      </c>
      <c r="F193" s="36">
        <f t="shared" si="180"/>
        <v>0</v>
      </c>
      <c r="G193" s="37">
        <f t="shared" si="125"/>
        <v>0</v>
      </c>
      <c r="H193" s="36" t="e">
        <f t="shared" si="126"/>
        <v>#DIV/0!</v>
      </c>
      <c r="I193" s="37" t="e">
        <f t="shared" si="142"/>
        <v>#DIV/0!</v>
      </c>
      <c r="J193" s="37" t="e">
        <f t="shared" si="143"/>
        <v>#DIV/0!</v>
      </c>
      <c r="K193" s="37" t="e">
        <f t="shared" si="144"/>
        <v>#DIV/0!</v>
      </c>
      <c r="L193" s="39" t="e">
        <f t="shared" si="127"/>
        <v>#DIV/0!</v>
      </c>
      <c r="M193" s="39" t="e">
        <f>M192+(1000*$C$2*(B193-B192))/(BerechnungenCLT!$W$47*2*'Berechnung freier Bereich'!G193)</f>
        <v>#DIV/0!</v>
      </c>
      <c r="N193" s="17" t="e">
        <f t="shared" si="145"/>
        <v>#DIV/0!</v>
      </c>
      <c r="O193" s="173">
        <f t="shared" si="146"/>
        <v>2779.8589488911007</v>
      </c>
      <c r="P193" s="173"/>
      <c r="Q193" s="173"/>
      <c r="R193" s="37" t="e">
        <f t="shared" si="128"/>
        <v>#DIV/0!</v>
      </c>
      <c r="S193" s="37" t="e">
        <f t="shared" si="129"/>
        <v>#DIV/0!</v>
      </c>
      <c r="T193" s="37" t="e">
        <f t="shared" si="130"/>
        <v>#DIV/0!</v>
      </c>
      <c r="U193" s="39" t="e">
        <f t="shared" si="131"/>
        <v>#DIV/0!</v>
      </c>
      <c r="V193" s="39" t="e">
        <f t="shared" si="147"/>
        <v>#DIV/0!</v>
      </c>
      <c r="W193" s="9" t="e">
        <f t="shared" si="148"/>
        <v>#DIV/0!</v>
      </c>
      <c r="AB193" s="129">
        <v>89.924647125269246</v>
      </c>
      <c r="AC193" s="9">
        <v>14</v>
      </c>
      <c r="AD193" s="129">
        <f t="shared" si="149"/>
        <v>104.64530657186909</v>
      </c>
      <c r="AE193" s="36">
        <f t="shared" si="181"/>
        <v>1.5296843915637121E-2</v>
      </c>
      <c r="AF193" s="37">
        <f t="shared" si="150"/>
        <v>42824599.601234347</v>
      </c>
      <c r="AG193" s="36">
        <f t="shared" si="132"/>
        <v>1.9772989214977883</v>
      </c>
      <c r="AH193" s="37">
        <f t="shared" si="151"/>
        <v>-1.8384434932275384E-4</v>
      </c>
      <c r="AI193" s="37">
        <f t="shared" si="152"/>
        <v>-2.8671771730452017E-2</v>
      </c>
      <c r="AJ193" s="37">
        <f t="shared" si="153"/>
        <v>-2.0603526555526201</v>
      </c>
      <c r="AK193" s="39">
        <f t="shared" si="154"/>
        <v>1.9238448296385369E-2</v>
      </c>
      <c r="AL193" s="39">
        <f>AL192+(1000*$C$2*($B193-$B192))/(BerechnungenCLT!$W$47*2*AF193)</f>
        <v>8.2306743274378723E-3</v>
      </c>
      <c r="AM193" s="37">
        <f t="shared" si="133"/>
        <v>2.4435793339875816E-6</v>
      </c>
      <c r="AN193" s="173">
        <f t="shared" si="155"/>
        <v>2841.2697837214032</v>
      </c>
      <c r="AO193" s="173">
        <v>-258.17621712169563</v>
      </c>
      <c r="AV193" s="129">
        <v>115.8721681082633</v>
      </c>
      <c r="AW193" s="9">
        <v>9.0625</v>
      </c>
      <c r="AX193" s="129">
        <f t="shared" si="156"/>
        <v>124.99272690419116</v>
      </c>
      <c r="AY193" s="36">
        <f t="shared" si="182"/>
        <v>1.1732586088969288E-2</v>
      </c>
      <c r="AZ193" s="37">
        <f t="shared" si="157"/>
        <v>50121506.183505177</v>
      </c>
      <c r="BA193" s="36">
        <f t="shared" si="134"/>
        <v>1.9942770151341498</v>
      </c>
      <c r="BB193" s="37">
        <f t="shared" si="158"/>
        <v>-1.570794903862524E-4</v>
      </c>
      <c r="BC193" s="37">
        <f t="shared" si="159"/>
        <v>-2.5406648475831961E-2</v>
      </c>
      <c r="BD193" s="37">
        <f t="shared" si="160"/>
        <v>-1.9281549630117878</v>
      </c>
      <c r="BE193" s="39">
        <f t="shared" si="161"/>
        <v>1.9633793844098368E-2</v>
      </c>
      <c r="BF193" s="39">
        <f>BF192+(1000*$C$2*($B193-$B192))/(BerechnungenCLT!$W$47*2*AZ193)</f>
        <v>7.2867162733794687E-3</v>
      </c>
      <c r="BG193" s="37">
        <f t="shared" si="135"/>
        <v>2.493794309503928E-6</v>
      </c>
      <c r="BH193" s="173">
        <f t="shared" si="162"/>
        <v>1854.0310690239201</v>
      </c>
      <c r="BI193">
        <v>-258.50138906990793</v>
      </c>
      <c r="BP193" s="129">
        <v>86.682894016554627</v>
      </c>
      <c r="BQ193" s="9">
        <v>14.9375</v>
      </c>
      <c r="BR193" s="129">
        <f t="shared" si="163"/>
        <v>101.62919890768563</v>
      </c>
      <c r="BS193" s="36">
        <f t="shared" si="183"/>
        <v>1.5031794902037279E-2</v>
      </c>
      <c r="BT193" s="37">
        <f t="shared" si="164"/>
        <v>39441701.577039734</v>
      </c>
      <c r="BU193" s="36">
        <f t="shared" si="136"/>
        <v>1.9750378233465604</v>
      </c>
      <c r="BV193" s="37">
        <f t="shared" si="165"/>
        <v>-1.9961260122914047E-4</v>
      </c>
      <c r="BW193" s="37">
        <f t="shared" si="166"/>
        <v>-2.8801772478773517E-2</v>
      </c>
      <c r="BX193" s="37">
        <f t="shared" si="167"/>
        <v>-2.0632156761787979</v>
      </c>
      <c r="BY193" s="39">
        <f t="shared" si="168"/>
        <v>2.0286468754796852E-2</v>
      </c>
      <c r="BZ193" s="39">
        <f>BZ192+(1000*$C$2*($B193-$B192))/(BerechnungenCLT!$W$47*2*BT193)</f>
        <v>8.2682579982686355E-3</v>
      </c>
      <c r="CA193" s="37">
        <f t="shared" si="137"/>
        <v>2.5766940787069699E-6</v>
      </c>
      <c r="CB193" s="173">
        <f t="shared" si="169"/>
        <v>3033.2457895214243</v>
      </c>
      <c r="CC193" s="9">
        <v>-257.72111072541054</v>
      </c>
      <c r="CJ193" s="9">
        <f t="shared" si="185"/>
        <v>142</v>
      </c>
      <c r="CK193" s="129">
        <v>86.606679697987389</v>
      </c>
      <c r="CL193" s="9">
        <v>9.828125</v>
      </c>
      <c r="CM193" s="129">
        <f t="shared" si="170"/>
        <v>96.767325322978309</v>
      </c>
      <c r="CN193" s="36">
        <f t="shared" si="184"/>
        <v>9.9507970585676758E-3</v>
      </c>
      <c r="CO193" s="173">
        <f t="shared" si="171"/>
        <v>3198.8102799634157</v>
      </c>
      <c r="CP193" s="9">
        <v>-631.08215345155281</v>
      </c>
      <c r="CQ193" s="129"/>
      <c r="CR193" s="36">
        <f t="shared" si="172"/>
        <v>0.82872612619037533</v>
      </c>
      <c r="CS193" s="17">
        <f t="shared" si="138"/>
        <v>0.59575548310148452</v>
      </c>
      <c r="CT193" s="9">
        <f t="shared" si="139"/>
        <v>9.8981464162126578</v>
      </c>
      <c r="CU193" s="9">
        <f t="shared" si="173"/>
        <v>96.839715814175435</v>
      </c>
      <c r="CV193" s="9">
        <v>13.2</v>
      </c>
      <c r="CW193" s="9">
        <f t="shared" si="174"/>
        <v>100.25328291578123</v>
      </c>
      <c r="CX193">
        <f t="shared" si="175"/>
        <v>22</v>
      </c>
      <c r="CY193" s="9">
        <f t="shared" si="140"/>
        <v>617.49035254811724</v>
      </c>
      <c r="CZ193" s="17">
        <f t="shared" si="176"/>
        <v>0.58144100993231385</v>
      </c>
      <c r="DA193">
        <v>45</v>
      </c>
      <c r="DB193" s="9">
        <f t="shared" si="177"/>
        <v>9.9647697846111427</v>
      </c>
      <c r="DC193" s="9">
        <f t="shared" si="178"/>
        <v>10.793507497217657</v>
      </c>
    </row>
    <row r="194" spans="2:107" x14ac:dyDescent="0.25">
      <c r="B194" s="9">
        <f t="shared" si="179"/>
        <v>143</v>
      </c>
      <c r="C194" s="9">
        <v>98.557900135301566</v>
      </c>
      <c r="D194" s="9"/>
      <c r="E194" s="9">
        <f t="shared" si="141"/>
        <v>98.557900135301566</v>
      </c>
      <c r="F194" s="36">
        <f t="shared" si="180"/>
        <v>0</v>
      </c>
      <c r="G194" s="37">
        <f t="shared" si="125"/>
        <v>0</v>
      </c>
      <c r="H194" s="36" t="e">
        <f t="shared" si="126"/>
        <v>#DIV/0!</v>
      </c>
      <c r="I194" s="37" t="e">
        <f t="shared" si="142"/>
        <v>#DIV/0!</v>
      </c>
      <c r="J194" s="37" t="e">
        <f t="shared" si="143"/>
        <v>#DIV/0!</v>
      </c>
      <c r="K194" s="37" t="e">
        <f t="shared" si="144"/>
        <v>#DIV/0!</v>
      </c>
      <c r="L194" s="39" t="e">
        <f t="shared" si="127"/>
        <v>#DIV/0!</v>
      </c>
      <c r="M194" s="39" t="e">
        <f>M193+(1000*$C$2*(B194-B193))/(BerechnungenCLT!$W$47*2*'Berechnung freier Bereich'!G194)</f>
        <v>#DIV/0!</v>
      </c>
      <c r="N194" s="17" t="e">
        <f t="shared" si="145"/>
        <v>#DIV/0!</v>
      </c>
      <c r="O194" s="173">
        <f t="shared" si="146"/>
        <v>2768.3509689679913</v>
      </c>
      <c r="P194" s="173"/>
      <c r="Q194" s="173"/>
      <c r="R194" s="37" t="e">
        <f t="shared" si="128"/>
        <v>#DIV/0!</v>
      </c>
      <c r="S194" s="37" t="e">
        <f t="shared" si="129"/>
        <v>#DIV/0!</v>
      </c>
      <c r="T194" s="37" t="e">
        <f t="shared" si="130"/>
        <v>#DIV/0!</v>
      </c>
      <c r="U194" s="39" t="e">
        <f t="shared" si="131"/>
        <v>#DIV/0!</v>
      </c>
      <c r="V194" s="39" t="e">
        <f t="shared" si="147"/>
        <v>#DIV/0!</v>
      </c>
      <c r="W194" s="9" t="e">
        <f t="shared" si="148"/>
        <v>#DIV/0!</v>
      </c>
      <c r="AB194" s="129">
        <v>90.249610345658823</v>
      </c>
      <c r="AC194" s="9">
        <v>13.875</v>
      </c>
      <c r="AD194" s="129">
        <f t="shared" si="149"/>
        <v>104.88839374319816</v>
      </c>
      <c r="AE194" s="36">
        <f t="shared" si="181"/>
        <v>1.5256174147919578E-2</v>
      </c>
      <c r="AF194" s="37">
        <f t="shared" si="150"/>
        <v>42956377.236718468</v>
      </c>
      <c r="AG194" s="36">
        <f t="shared" si="132"/>
        <v>1.9776780489487218</v>
      </c>
      <c r="AH194" s="37">
        <f t="shared" si="151"/>
        <v>-1.8328036848430082E-4</v>
      </c>
      <c r="AI194" s="37">
        <f t="shared" si="152"/>
        <v>-2.8855052098936317E-2</v>
      </c>
      <c r="AJ194" s="37">
        <f t="shared" si="153"/>
        <v>-2.0891160674673142</v>
      </c>
      <c r="AK194" s="39">
        <f t="shared" si="154"/>
        <v>1.9223983454979793E-2</v>
      </c>
      <c r="AL194" s="39">
        <f>AL193+(1000*$C$2*($B194-$B193))/(BerechnungenCLT!$W$47*2*AF194)</f>
        <v>8.2836613249301638E-3</v>
      </c>
      <c r="AM194" s="37">
        <f t="shared" si="133"/>
        <v>2.4417420762740935E-6</v>
      </c>
      <c r="AN194" s="173">
        <f t="shared" si="155"/>
        <v>2824.7518814123273</v>
      </c>
      <c r="AO194" s="173">
        <v>-258.94467432164197</v>
      </c>
      <c r="AV194" s="129">
        <v>115.98554367326439</v>
      </c>
      <c r="AW194" s="9">
        <v>9.0625</v>
      </c>
      <c r="AX194" s="129">
        <f t="shared" si="156"/>
        <v>125.10345653228147</v>
      </c>
      <c r="AY194" s="36">
        <f t="shared" si="182"/>
        <v>1.1740095435123247E-2</v>
      </c>
      <c r="AZ194" s="37">
        <f t="shared" si="157"/>
        <v>50246781.78265655</v>
      </c>
      <c r="BA194" s="36">
        <f t="shared" si="134"/>
        <v>1.9942909338602692</v>
      </c>
      <c r="BB194" s="37">
        <f t="shared" si="158"/>
        <v>-1.5668785879166297E-4</v>
      </c>
      <c r="BC194" s="37">
        <f t="shared" si="159"/>
        <v>-2.5563336334623623E-2</v>
      </c>
      <c r="BD194" s="37">
        <f t="shared" si="160"/>
        <v>-1.9536399554170156</v>
      </c>
      <c r="BE194" s="39">
        <f t="shared" si="161"/>
        <v>1.9602192731479066E-2</v>
      </c>
      <c r="BF194" s="39">
        <f>BF193+(1000*$C$2*($B194-$B193))/(BerechnungenCLT!$W$47*2*AZ194)</f>
        <v>7.332015283030781E-3</v>
      </c>
      <c r="BG194" s="37">
        <f t="shared" si="135"/>
        <v>2.4897804813334901E-6</v>
      </c>
      <c r="BH194" s="173">
        <f t="shared" si="162"/>
        <v>1850.5858278349676</v>
      </c>
      <c r="BI194">
        <v>-257.92489263009656</v>
      </c>
      <c r="BP194" s="129">
        <v>86.717234153525112</v>
      </c>
      <c r="BQ194" s="9">
        <v>14.9375</v>
      </c>
      <c r="BR194" s="129">
        <f t="shared" si="163"/>
        <v>101.66429219602539</v>
      </c>
      <c r="BS194" s="36">
        <f t="shared" si="183"/>
        <v>1.5038095083401622E-2</v>
      </c>
      <c r="BT194" s="37">
        <f t="shared" si="164"/>
        <v>39487178.254845612</v>
      </c>
      <c r="BU194" s="36">
        <f t="shared" si="136"/>
        <v>1.9750535581880981</v>
      </c>
      <c r="BV194" s="37">
        <f t="shared" si="165"/>
        <v>-1.9938271096214024E-4</v>
      </c>
      <c r="BW194" s="37">
        <f t="shared" si="166"/>
        <v>-2.9001155189735658E-2</v>
      </c>
      <c r="BX194" s="37">
        <f t="shared" si="167"/>
        <v>-2.0921171400130523</v>
      </c>
      <c r="BY194" s="39">
        <f t="shared" si="168"/>
        <v>2.02701021860907E-2</v>
      </c>
      <c r="BZ194" s="39">
        <f>BZ193+(1000*$C$2*($B194-$B193))/(BerechnungenCLT!$W$47*2*BT194)</f>
        <v>8.3259002394596889E-3</v>
      </c>
      <c r="CA194" s="37">
        <f t="shared" si="137"/>
        <v>2.574615272327032E-6</v>
      </c>
      <c r="CB194" s="173">
        <f t="shared" si="169"/>
        <v>3031.0102217763229</v>
      </c>
      <c r="CC194" s="9">
        <v>-257.53116469322288</v>
      </c>
      <c r="CJ194" s="9">
        <f t="shared" si="185"/>
        <v>143</v>
      </c>
      <c r="CK194" s="129">
        <v>86.868999855716353</v>
      </c>
      <c r="CL194" s="9">
        <v>9.765625</v>
      </c>
      <c r="CM194" s="129">
        <f t="shared" si="170"/>
        <v>97.071766232372113</v>
      </c>
      <c r="CN194" s="36">
        <f t="shared" si="184"/>
        <v>1.0022930692688645E-2</v>
      </c>
      <c r="CO194" s="173">
        <f t="shared" si="171"/>
        <v>3179.1282039920502</v>
      </c>
      <c r="CP194" s="9">
        <v>-631.21321967385825</v>
      </c>
      <c r="CQ194" s="129"/>
      <c r="CR194" s="36">
        <f t="shared" si="172"/>
        <v>0.82720117462338272</v>
      </c>
      <c r="CS194" s="17">
        <f t="shared" si="138"/>
        <v>0.59465922436317686</v>
      </c>
      <c r="CT194" s="9">
        <f t="shared" si="139"/>
        <v>9.8533323960034931</v>
      </c>
      <c r="CU194" s="9">
        <f t="shared" si="173"/>
        <v>97.163399698835192</v>
      </c>
      <c r="CV194" s="9">
        <v>13.2</v>
      </c>
      <c r="CW194" s="9">
        <f t="shared" si="174"/>
        <v>100.65987511171441</v>
      </c>
      <c r="CX194">
        <f t="shared" si="175"/>
        <v>22</v>
      </c>
      <c r="CY194" s="9">
        <f t="shared" si="140"/>
        <v>615.62570385933782</v>
      </c>
      <c r="CZ194" s="17">
        <f t="shared" si="176"/>
        <v>0.57968522020653279</v>
      </c>
      <c r="DA194">
        <v>45</v>
      </c>
      <c r="DB194" s="9">
        <f t="shared" si="177"/>
        <v>9.9346789583558195</v>
      </c>
      <c r="DC194" s="9">
        <f t="shared" si="178"/>
        <v>10.761896811034536</v>
      </c>
    </row>
    <row r="195" spans="2:107" x14ac:dyDescent="0.25">
      <c r="B195" s="9">
        <f t="shared" si="179"/>
        <v>144</v>
      </c>
      <c r="C195" s="9">
        <v>98.762581388237834</v>
      </c>
      <c r="D195" s="9"/>
      <c r="E195" s="9">
        <f t="shared" si="141"/>
        <v>98.762581388237834</v>
      </c>
      <c r="F195" s="36">
        <f t="shared" si="180"/>
        <v>0</v>
      </c>
      <c r="G195" s="37">
        <f t="shared" si="125"/>
        <v>0</v>
      </c>
      <c r="H195" s="36" t="e">
        <f t="shared" si="126"/>
        <v>#DIV/0!</v>
      </c>
      <c r="I195" s="37" t="e">
        <f t="shared" si="142"/>
        <v>#DIV/0!</v>
      </c>
      <c r="J195" s="37" t="e">
        <f t="shared" si="143"/>
        <v>#DIV/0!</v>
      </c>
      <c r="K195" s="37" t="e">
        <f t="shared" si="144"/>
        <v>#DIV/0!</v>
      </c>
      <c r="L195" s="39" t="e">
        <f t="shared" si="127"/>
        <v>#DIV/0!</v>
      </c>
      <c r="M195" s="39" t="e">
        <f>M194+(1000*$C$2*(B195-B194))/(BerechnungenCLT!$W$47*2*'Berechnung freier Bereich'!G195)</f>
        <v>#DIV/0!</v>
      </c>
      <c r="N195" s="17" t="e">
        <f t="shared" si="145"/>
        <v>#DIV/0!</v>
      </c>
      <c r="O195" s="173">
        <f t="shared" si="146"/>
        <v>2756.8882797771457</v>
      </c>
      <c r="P195" s="173"/>
      <c r="Q195" s="173"/>
      <c r="R195" s="37" t="e">
        <f t="shared" si="128"/>
        <v>#DIV/0!</v>
      </c>
      <c r="S195" s="37" t="e">
        <f t="shared" si="129"/>
        <v>#DIV/0!</v>
      </c>
      <c r="T195" s="37" t="e">
        <f t="shared" si="130"/>
        <v>#DIV/0!</v>
      </c>
      <c r="U195" s="39" t="e">
        <f t="shared" si="131"/>
        <v>#DIV/0!</v>
      </c>
      <c r="V195" s="39" t="e">
        <f t="shared" si="147"/>
        <v>#DIV/0!</v>
      </c>
      <c r="W195" s="9" t="e">
        <f t="shared" si="148"/>
        <v>#DIV/0!</v>
      </c>
      <c r="AB195" s="129">
        <v>90.585951134338629</v>
      </c>
      <c r="AC195" s="9">
        <v>13.8125</v>
      </c>
      <c r="AD195" s="129">
        <f t="shared" si="149"/>
        <v>105.20795009751679</v>
      </c>
      <c r="AE195" s="36">
        <f t="shared" si="181"/>
        <v>1.5289902031395948E-2</v>
      </c>
      <c r="AF195" s="37">
        <f t="shared" si="150"/>
        <v>43339063.855868459</v>
      </c>
      <c r="AG195" s="36">
        <f t="shared" si="132"/>
        <v>1.9778765053164453</v>
      </c>
      <c r="AH195" s="37">
        <f t="shared" si="151"/>
        <v>-1.8166199147447246E-4</v>
      </c>
      <c r="AI195" s="37">
        <f t="shared" si="152"/>
        <v>-2.9036714090410788E-2</v>
      </c>
      <c r="AJ195" s="37">
        <f t="shared" si="153"/>
        <v>-2.1180619505619878</v>
      </c>
      <c r="AK195" s="39">
        <f t="shared" si="154"/>
        <v>1.9112285733661818E-2</v>
      </c>
      <c r="AL195" s="39">
        <f>AL194+(1000*$C$2*($B195-$B194))/(BerechnungenCLT!$W$47*2*AF195)</f>
        <v>8.3361804439515061E-3</v>
      </c>
      <c r="AM195" s="37">
        <f t="shared" si="133"/>
        <v>2.427554744777229E-6</v>
      </c>
      <c r="AN195" s="173">
        <f t="shared" si="155"/>
        <v>2805.8581019314584</v>
      </c>
      <c r="AO195" s="173">
        <v>-258.31505926274883</v>
      </c>
      <c r="AV195" s="129">
        <v>116.09629759930073</v>
      </c>
      <c r="AW195" s="9">
        <v>9.0625</v>
      </c>
      <c r="AX195" s="129">
        <f t="shared" si="156"/>
        <v>125.2116852335628</v>
      </c>
      <c r="AY195" s="36">
        <f t="shared" si="182"/>
        <v>1.1747504639358626E-2</v>
      </c>
      <c r="AZ195" s="37">
        <f t="shared" si="157"/>
        <v>50369700.380915716</v>
      </c>
      <c r="BA195" s="36">
        <f t="shared" si="134"/>
        <v>1.994304418132774</v>
      </c>
      <c r="BB195" s="37">
        <f t="shared" si="158"/>
        <v>-1.5630548899749603E-4</v>
      </c>
      <c r="BC195" s="37">
        <f t="shared" si="159"/>
        <v>-2.5719641823621121E-2</v>
      </c>
      <c r="BD195" s="37">
        <f t="shared" si="160"/>
        <v>-1.979281444496138</v>
      </c>
      <c r="BE195" s="39">
        <f t="shared" si="161"/>
        <v>1.9571273688632589E-2</v>
      </c>
      <c r="BF195" s="39">
        <f>BF194+(1000*$C$2*($B195-$B194))/(BerechnungenCLT!$W$47*2*AZ195)</f>
        <v>7.3772037482332129E-3</v>
      </c>
      <c r="BG195" s="37">
        <f t="shared" si="135"/>
        <v>2.4858532865326223E-6</v>
      </c>
      <c r="BH195" s="173">
        <f t="shared" si="162"/>
        <v>1847.2286055406294</v>
      </c>
      <c r="BI195">
        <v>-257.37180812461207</v>
      </c>
      <c r="BP195" s="129">
        <v>86.753013300248654</v>
      </c>
      <c r="BQ195" s="9">
        <v>14.9375</v>
      </c>
      <c r="BR195" s="129">
        <f t="shared" si="163"/>
        <v>101.70087613731312</v>
      </c>
      <c r="BS195" s="36">
        <f t="shared" si="183"/>
        <v>1.5044681681535029E-2</v>
      </c>
      <c r="BT195" s="37">
        <f t="shared" si="164"/>
        <v>39534665.688765146</v>
      </c>
      <c r="BU195" s="36">
        <f t="shared" si="136"/>
        <v>1.9750698738403356</v>
      </c>
      <c r="BV195" s="37">
        <f t="shared" si="165"/>
        <v>-1.99143220551723E-4</v>
      </c>
      <c r="BW195" s="37">
        <f t="shared" si="166"/>
        <v>-2.920029841028738E-2</v>
      </c>
      <c r="BX195" s="37">
        <f t="shared" si="167"/>
        <v>-2.1212178668130637</v>
      </c>
      <c r="BY195" s="39">
        <f t="shared" si="168"/>
        <v>2.0253040006916408E-2</v>
      </c>
      <c r="BZ195" s="39">
        <f>BZ194+(1000*$C$2*($B195-$B194))/(BerechnungenCLT!$W$47*2*BT195)</f>
        <v>8.3834732431329381E-3</v>
      </c>
      <c r="CA195" s="37">
        <f t="shared" si="137"/>
        <v>2.5724481127006015E-6</v>
      </c>
      <c r="CB195" s="173">
        <f t="shared" si="169"/>
        <v>3028.6829559398302</v>
      </c>
      <c r="CC195" s="9">
        <v>-257.3334274909144</v>
      </c>
      <c r="CJ195" s="9">
        <f t="shared" si="185"/>
        <v>144</v>
      </c>
      <c r="CK195" s="129">
        <v>87.17153961327584</v>
      </c>
      <c r="CL195" s="9">
        <v>9.703125</v>
      </c>
      <c r="CM195" s="129">
        <f t="shared" si="170"/>
        <v>97.438331161800804</v>
      </c>
      <c r="CN195" s="36">
        <f t="shared" si="184"/>
        <v>1.0122515647914585E-2</v>
      </c>
      <c r="CO195" s="173">
        <f t="shared" si="171"/>
        <v>3156.1249410648443</v>
      </c>
      <c r="CP195" s="9">
        <v>-630.68230802054063</v>
      </c>
      <c r="CQ195" s="129"/>
      <c r="CR195" s="36">
        <f t="shared" si="172"/>
        <v>0.82536881393161543</v>
      </c>
      <c r="CS195" s="17">
        <f t="shared" si="138"/>
        <v>0.59334197503961772</v>
      </c>
      <c r="CT195" s="9">
        <f t="shared" si="139"/>
        <v>9.8120059677410651</v>
      </c>
      <c r="CU195" s="9">
        <f t="shared" si="173"/>
        <v>97.553537159806524</v>
      </c>
      <c r="CV195" s="9">
        <v>13.2</v>
      </c>
      <c r="CW195" s="9">
        <f t="shared" si="174"/>
        <v>101.13834396141415</v>
      </c>
      <c r="CX195">
        <f t="shared" si="175"/>
        <v>22</v>
      </c>
      <c r="CY195" s="9">
        <f t="shared" si="140"/>
        <v>613.48909766861016</v>
      </c>
      <c r="CZ195" s="17">
        <f t="shared" si="176"/>
        <v>0.57767334997044273</v>
      </c>
      <c r="DA195">
        <v>45</v>
      </c>
      <c r="DB195" s="9">
        <f t="shared" si="177"/>
        <v>9.9001994094476977</v>
      </c>
      <c r="DC195" s="9">
        <f t="shared" si="178"/>
        <v>10.72558795181283</v>
      </c>
    </row>
    <row r="196" spans="2:107" x14ac:dyDescent="0.25">
      <c r="B196" s="9">
        <f t="shared" si="179"/>
        <v>145</v>
      </c>
      <c r="C196" s="9">
        <v>98.967720584201842</v>
      </c>
      <c r="D196" s="9"/>
      <c r="E196" s="9">
        <f t="shared" si="141"/>
        <v>98.967720584201842</v>
      </c>
      <c r="F196" s="36">
        <f t="shared" si="180"/>
        <v>0</v>
      </c>
      <c r="G196" s="37">
        <f t="shared" si="125"/>
        <v>0</v>
      </c>
      <c r="H196" s="36" t="e">
        <f t="shared" si="126"/>
        <v>#DIV/0!</v>
      </c>
      <c r="I196" s="37" t="e">
        <f t="shared" si="142"/>
        <v>#DIV/0!</v>
      </c>
      <c r="J196" s="37" t="e">
        <f t="shared" si="143"/>
        <v>#DIV/0!</v>
      </c>
      <c r="K196" s="37" t="e">
        <f t="shared" si="144"/>
        <v>#DIV/0!</v>
      </c>
      <c r="L196" s="39" t="e">
        <f t="shared" si="127"/>
        <v>#DIV/0!</v>
      </c>
      <c r="M196" s="39" t="e">
        <f>M195+(1000*$C$2*(B196-B195))/(BerechnungenCLT!$W$47*2*'Berechnung freier Bereich'!G196)</f>
        <v>#DIV/0!</v>
      </c>
      <c r="N196" s="17" t="e">
        <f t="shared" si="145"/>
        <v>#DIV/0!</v>
      </c>
      <c r="O196" s="173">
        <f t="shared" si="146"/>
        <v>2745.4712295883219</v>
      </c>
      <c r="P196" s="173"/>
      <c r="Q196" s="173"/>
      <c r="R196" s="37" t="e">
        <f t="shared" si="128"/>
        <v>#DIV/0!</v>
      </c>
      <c r="S196" s="37" t="e">
        <f t="shared" si="129"/>
        <v>#DIV/0!</v>
      </c>
      <c r="T196" s="37" t="e">
        <f t="shared" si="130"/>
        <v>#DIV/0!</v>
      </c>
      <c r="U196" s="39" t="e">
        <f t="shared" si="131"/>
        <v>#DIV/0!</v>
      </c>
      <c r="V196" s="39" t="e">
        <f t="shared" si="147"/>
        <v>#DIV/0!</v>
      </c>
      <c r="W196" s="9" t="e">
        <f t="shared" si="148"/>
        <v>#DIV/0!</v>
      </c>
      <c r="AB196" s="129">
        <v>90.9332942114833</v>
      </c>
      <c r="AC196" s="9">
        <v>13.6875</v>
      </c>
      <c r="AD196" s="129">
        <f t="shared" si="149"/>
        <v>105.47134321101495</v>
      </c>
      <c r="AE196" s="36">
        <f t="shared" si="181"/>
        <v>1.5249537080319507E-2</v>
      </c>
      <c r="AF196" s="37">
        <f t="shared" si="150"/>
        <v>43490487.227807254</v>
      </c>
      <c r="AG196" s="36">
        <f t="shared" si="132"/>
        <v>1.978262438442093</v>
      </c>
      <c r="AH196" s="37">
        <f t="shared" si="151"/>
        <v>-1.8102948829836195E-4</v>
      </c>
      <c r="AI196" s="37">
        <f t="shared" si="152"/>
        <v>-2.9217743578709151E-2</v>
      </c>
      <c r="AJ196" s="37">
        <f t="shared" si="153"/>
        <v>-2.1471891793965479</v>
      </c>
      <c r="AK196" s="39">
        <f t="shared" si="154"/>
        <v>1.909342329163095E-2</v>
      </c>
      <c r="AL196" s="39">
        <f>AL195+(1000*$C$2*($B196-$B195))/(BerechnungenCLT!$W$47*2*AF196)</f>
        <v>8.3885167040857588E-3</v>
      </c>
      <c r="AM196" s="37">
        <f t="shared" si="133"/>
        <v>2.4251589240319651E-6</v>
      </c>
      <c r="AN196" s="173">
        <f t="shared" si="155"/>
        <v>2788.4351453142758</v>
      </c>
      <c r="AO196" s="173">
        <v>-258.97767241597194</v>
      </c>
      <c r="AV196" s="129">
        <v>116.20449099663711</v>
      </c>
      <c r="AW196" s="9">
        <v>9</v>
      </c>
      <c r="AX196" s="129">
        <f t="shared" si="156"/>
        <v>125.25462185708621</v>
      </c>
      <c r="AY196" s="36">
        <f t="shared" si="182"/>
        <v>1.1670709356388248E-2</v>
      </c>
      <c r="AZ196" s="37">
        <f t="shared" si="157"/>
        <v>50102018.917730398</v>
      </c>
      <c r="BA196" s="36">
        <f t="shared" si="134"/>
        <v>1.9943925153312232</v>
      </c>
      <c r="BB196" s="37">
        <f t="shared" si="158"/>
        <v>-1.571405867221496E-4</v>
      </c>
      <c r="BC196" s="37">
        <f t="shared" si="159"/>
        <v>-2.5876782410343271E-2</v>
      </c>
      <c r="BD196" s="37">
        <f t="shared" si="160"/>
        <v>-2.0050796566131202</v>
      </c>
      <c r="BE196" s="39">
        <f t="shared" si="161"/>
        <v>1.9682584768283509E-2</v>
      </c>
      <c r="BF196" s="39">
        <f>BF195+(1000*$C$2*($B196-$B195))/(BerechnungenCLT!$W$47*2*AZ196)</f>
        <v>7.4226336431174374E-3</v>
      </c>
      <c r="BG196" s="37">
        <f t="shared" si="135"/>
        <v>2.499991508580912E-6</v>
      </c>
      <c r="BH196" s="173">
        <f t="shared" si="162"/>
        <v>1844.9169567718891</v>
      </c>
      <c r="BI196">
        <v>-258.75949728906306</v>
      </c>
      <c r="BP196" s="129">
        <v>86.790268824843025</v>
      </c>
      <c r="BQ196" s="9">
        <v>14.875</v>
      </c>
      <c r="BR196" s="129">
        <f t="shared" si="163"/>
        <v>101.67644360887739</v>
      </c>
      <c r="BS196" s="36">
        <f t="shared" si="183"/>
        <v>1.4983613531529928E-2</v>
      </c>
      <c r="BT196" s="37">
        <f t="shared" si="164"/>
        <v>39377487.113626398</v>
      </c>
      <c r="BU196" s="36">
        <f t="shared" si="136"/>
        <v>1.9752766419471179</v>
      </c>
      <c r="BV196" s="37">
        <f t="shared" si="165"/>
        <v>-1.9993811758424666E-4</v>
      </c>
      <c r="BW196" s="37">
        <f t="shared" si="166"/>
        <v>-2.9400236527871628E-2</v>
      </c>
      <c r="BX196" s="37">
        <f t="shared" si="167"/>
        <v>-2.1505181342821431</v>
      </c>
      <c r="BY196" s="39">
        <f t="shared" si="168"/>
        <v>2.0328996737819752E-2</v>
      </c>
      <c r="BZ196" s="39">
        <f>BZ195+(1000*$C$2*($B196-$B195))/(BerechnungenCLT!$W$47*2*BT196)</f>
        <v>8.4412760543268565E-3</v>
      </c>
      <c r="CA196" s="37">
        <f t="shared" si="137"/>
        <v>2.5820957877653073E-6</v>
      </c>
      <c r="CB196" s="173">
        <f t="shared" si="169"/>
        <v>3028.2708357493789</v>
      </c>
      <c r="CC196" s="9">
        <v>-258.37949727378555</v>
      </c>
      <c r="CJ196" s="9">
        <f t="shared" si="185"/>
        <v>145</v>
      </c>
      <c r="CK196" s="129">
        <v>87.517309867896699</v>
      </c>
      <c r="CL196" s="9">
        <v>9.609375</v>
      </c>
      <c r="CM196" s="129">
        <f t="shared" si="170"/>
        <v>97.838660481431489</v>
      </c>
      <c r="CN196" s="36">
        <f t="shared" si="184"/>
        <v>1.0217435493695809E-2</v>
      </c>
      <c r="CO196" s="173">
        <f t="shared" si="171"/>
        <v>3130.7678489445766</v>
      </c>
      <c r="CP196" s="9">
        <v>-631.71881303498321</v>
      </c>
      <c r="CQ196" s="129"/>
      <c r="CR196" s="36">
        <f t="shared" si="172"/>
        <v>0.82337245078354582</v>
      </c>
      <c r="CS196" s="17">
        <f t="shared" si="138"/>
        <v>0.59190682746294898</v>
      </c>
      <c r="CT196" s="9">
        <f t="shared" si="139"/>
        <v>9.7407644792894459</v>
      </c>
      <c r="CU196" s="9">
        <f t="shared" si="173"/>
        <v>97.979784839953879</v>
      </c>
      <c r="CV196" s="9">
        <v>13.2</v>
      </c>
      <c r="CW196" s="9">
        <f t="shared" si="174"/>
        <v>101.69532124726936</v>
      </c>
      <c r="CX196">
        <f t="shared" si="175"/>
        <v>22</v>
      </c>
      <c r="CY196" s="9">
        <f t="shared" si="140"/>
        <v>611.06527680587806</v>
      </c>
      <c r="CZ196" s="17">
        <f t="shared" si="176"/>
        <v>0.57539103277389647</v>
      </c>
      <c r="DA196">
        <v>45</v>
      </c>
      <c r="DB196" s="9">
        <f t="shared" si="177"/>
        <v>9.8610849248300916</v>
      </c>
      <c r="DC196" s="9">
        <f t="shared" si="178"/>
        <v>10.684486482372545</v>
      </c>
    </row>
    <row r="197" spans="2:107" x14ac:dyDescent="0.25">
      <c r="B197" s="9">
        <f t="shared" si="179"/>
        <v>146</v>
      </c>
      <c r="C197" s="9">
        <v>99.173309560066784</v>
      </c>
      <c r="D197" s="9"/>
      <c r="E197" s="9">
        <f t="shared" si="141"/>
        <v>99.173309560066784</v>
      </c>
      <c r="F197" s="36">
        <f t="shared" si="180"/>
        <v>0</v>
      </c>
      <c r="G197" s="37">
        <f t="shared" si="125"/>
        <v>0</v>
      </c>
      <c r="H197" s="36" t="e">
        <f t="shared" si="126"/>
        <v>#DIV/0!</v>
      </c>
      <c r="I197" s="37" t="e">
        <f t="shared" si="142"/>
        <v>#DIV/0!</v>
      </c>
      <c r="J197" s="37" t="e">
        <f t="shared" si="143"/>
        <v>#DIV/0!</v>
      </c>
      <c r="K197" s="37" t="e">
        <f t="shared" si="144"/>
        <v>#DIV/0!</v>
      </c>
      <c r="L197" s="39" t="e">
        <f t="shared" si="127"/>
        <v>#DIV/0!</v>
      </c>
      <c r="M197" s="39" t="e">
        <f>M196+(1000*$C$2*(B197-B196))/(BerechnungenCLT!$W$47*2*'Berechnung freier Bereich'!G197)</f>
        <v>#DIV/0!</v>
      </c>
      <c r="N197" s="17" t="e">
        <f t="shared" si="145"/>
        <v>#DIV/0!</v>
      </c>
      <c r="O197" s="173">
        <f t="shared" si="146"/>
        <v>2734.1001545978238</v>
      </c>
      <c r="P197" s="173"/>
      <c r="Q197" s="173"/>
      <c r="R197" s="37" t="e">
        <f t="shared" si="128"/>
        <v>#DIV/0!</v>
      </c>
      <c r="S197" s="37" t="e">
        <f t="shared" si="129"/>
        <v>#DIV/0!</v>
      </c>
      <c r="T197" s="37" t="e">
        <f t="shared" si="130"/>
        <v>#DIV/0!</v>
      </c>
      <c r="U197" s="39" t="e">
        <f t="shared" si="131"/>
        <v>#DIV/0!</v>
      </c>
      <c r="V197" s="39" t="e">
        <f t="shared" si="147"/>
        <v>#DIV/0!</v>
      </c>
      <c r="W197" s="9" t="e">
        <f t="shared" si="148"/>
        <v>#DIV/0!</v>
      </c>
      <c r="AB197" s="129">
        <v>91.291264297267446</v>
      </c>
      <c r="AC197" s="9">
        <v>13.625</v>
      </c>
      <c r="AD197" s="129">
        <f t="shared" si="149"/>
        <v>105.810600955501</v>
      </c>
      <c r="AE197" s="36">
        <f t="shared" si="181"/>
        <v>1.5283974469649965E-2</v>
      </c>
      <c r="AF197" s="37">
        <f t="shared" si="150"/>
        <v>43896424.761510246</v>
      </c>
      <c r="AG197" s="36">
        <f t="shared" si="132"/>
        <v>1.9784697915604224</v>
      </c>
      <c r="AH197" s="37">
        <f t="shared" si="151"/>
        <v>-1.793553960594927E-4</v>
      </c>
      <c r="AI197" s="37">
        <f t="shared" si="152"/>
        <v>-2.9397098974768644E-2</v>
      </c>
      <c r="AJ197" s="37">
        <f t="shared" si="153"/>
        <v>-2.1764966006732869</v>
      </c>
      <c r="AK197" s="39">
        <f t="shared" si="154"/>
        <v>1.8977702241666818E-2</v>
      </c>
      <c r="AL197" s="39">
        <f>AL196+(1000*$C$2*($B197-$B196))/(BerechnungenCLT!$W$47*2*AF197)</f>
        <v>8.440368978280894E-3</v>
      </c>
      <c r="AM197" s="37">
        <f t="shared" si="133"/>
        <v>2.4104605678109585E-6</v>
      </c>
      <c r="AN197" s="173">
        <f t="shared" si="155"/>
        <v>2768.7424252717174</v>
      </c>
      <c r="AO197" s="173">
        <v>-258.23493271965555</v>
      </c>
      <c r="AV197" s="129">
        <v>116.31018497553829</v>
      </c>
      <c r="AW197" s="9">
        <v>9</v>
      </c>
      <c r="AX197" s="129">
        <f t="shared" si="156"/>
        <v>125.35803557203822</v>
      </c>
      <c r="AY197" s="36">
        <f t="shared" si="182"/>
        <v>1.1677873299529592E-2</v>
      </c>
      <c r="AZ197" s="37">
        <f t="shared" si="157"/>
        <v>50219485.484531641</v>
      </c>
      <c r="BA197" s="36">
        <f t="shared" si="134"/>
        <v>1.9944050092736552</v>
      </c>
      <c r="BB197" s="37">
        <f t="shared" si="158"/>
        <v>-1.5677302490726264E-4</v>
      </c>
      <c r="BC197" s="37">
        <f t="shared" si="159"/>
        <v>-2.6033555435250533E-2</v>
      </c>
      <c r="BD197" s="37">
        <f t="shared" si="160"/>
        <v>-2.031034825535917</v>
      </c>
      <c r="BE197" s="39">
        <f t="shared" si="161"/>
        <v>1.9652758433060663E-2</v>
      </c>
      <c r="BF197" s="39">
        <f>BF196+(1000*$C$2*($B197-$B196))/(BerechnungenCLT!$W$47*2*AZ197)</f>
        <v>7.4679572745915395E-3</v>
      </c>
      <c r="BG197" s="37">
        <f t="shared" si="135"/>
        <v>2.4962031044832265E-6</v>
      </c>
      <c r="BH197" s="173">
        <f t="shared" si="162"/>
        <v>1841.7256441111563</v>
      </c>
      <c r="BI197">
        <v>-258.24684178845678</v>
      </c>
      <c r="BP197" s="129">
        <v>86.829038095426029</v>
      </c>
      <c r="BQ197" s="9">
        <v>14.875</v>
      </c>
      <c r="BR197" s="129">
        <f t="shared" si="163"/>
        <v>101.71612457739396</v>
      </c>
      <c r="BS197" s="36">
        <f t="shared" si="183"/>
        <v>1.499076858529837E-2</v>
      </c>
      <c r="BT197" s="37">
        <f t="shared" si="164"/>
        <v>39428922.031045265</v>
      </c>
      <c r="BU197" s="36">
        <f t="shared" si="136"/>
        <v>1.9752940227611238</v>
      </c>
      <c r="BV197" s="37">
        <f t="shared" si="165"/>
        <v>-1.9967729887460168E-4</v>
      </c>
      <c r="BW197" s="37">
        <f t="shared" si="166"/>
        <v>-2.9599913826746229E-2</v>
      </c>
      <c r="BX197" s="37">
        <f t="shared" si="167"/>
        <v>-2.180018209459452</v>
      </c>
      <c r="BY197" s="39">
        <f t="shared" si="168"/>
        <v>2.0310401007606511E-2</v>
      </c>
      <c r="BZ197" s="39">
        <f>BZ196+(1000*$C$2*($B197-$B196))/(BerechnungenCLT!$W$47*2*BT197)</f>
        <v>8.4990034619168431E-3</v>
      </c>
      <c r="CA197" s="37">
        <f t="shared" si="137"/>
        <v>2.5797338435300217E-6</v>
      </c>
      <c r="CB197" s="173">
        <f t="shared" si="169"/>
        <v>3025.7513423425116</v>
      </c>
      <c r="CC197" s="9">
        <v>-258.16452791497994</v>
      </c>
      <c r="CJ197" s="9">
        <f t="shared" si="185"/>
        <v>146</v>
      </c>
      <c r="CK197" s="129">
        <v>87.909321516809712</v>
      </c>
      <c r="CL197" s="9">
        <v>9.53125</v>
      </c>
      <c r="CM197" s="129">
        <f t="shared" si="170"/>
        <v>98.327260583538916</v>
      </c>
      <c r="CN197" s="36">
        <f t="shared" si="184"/>
        <v>1.0362047999461235E-2</v>
      </c>
      <c r="CO197" s="173">
        <f t="shared" si="171"/>
        <v>3101.2304426059864</v>
      </c>
      <c r="CP197" s="9">
        <v>-630.88799687137646</v>
      </c>
      <c r="CQ197" s="129"/>
      <c r="CR197" s="36">
        <f t="shared" si="172"/>
        <v>0.82094276622782003</v>
      </c>
      <c r="CS197" s="17">
        <f t="shared" si="138"/>
        <v>0.5901601733506493</v>
      </c>
      <c r="CT197" s="9">
        <f t="shared" si="139"/>
        <v>9.6901659214508697</v>
      </c>
      <c r="CU197" s="9">
        <f t="shared" si="173"/>
        <v>98.500960401129291</v>
      </c>
      <c r="CV197" s="9">
        <v>13.2</v>
      </c>
      <c r="CW197" s="9">
        <f t="shared" si="174"/>
        <v>102.33731319479796</v>
      </c>
      <c r="CX197">
        <f t="shared" si="175"/>
        <v>22</v>
      </c>
      <c r="CY197" s="9">
        <f t="shared" si="140"/>
        <v>608.34037001987406</v>
      </c>
      <c r="CZ197" s="17">
        <f t="shared" si="176"/>
        <v>0.57282520717502261</v>
      </c>
      <c r="DA197">
        <v>45</v>
      </c>
      <c r="DB197" s="9">
        <f t="shared" si="177"/>
        <v>9.8171116567539105</v>
      </c>
      <c r="DC197" s="9">
        <f t="shared" si="178"/>
        <v>10.638090576065999</v>
      </c>
    </row>
    <row r="198" spans="2:107" x14ac:dyDescent="0.25">
      <c r="B198" s="9">
        <f t="shared" si="179"/>
        <v>147</v>
      </c>
      <c r="C198" s="9">
        <v>99.379340152705851</v>
      </c>
      <c r="D198" s="9"/>
      <c r="E198" s="9">
        <f t="shared" si="141"/>
        <v>99.379340152705851</v>
      </c>
      <c r="F198" s="36">
        <f t="shared" si="180"/>
        <v>0</v>
      </c>
      <c r="G198" s="37">
        <f t="shared" si="125"/>
        <v>0</v>
      </c>
      <c r="H198" s="36" t="e">
        <f t="shared" si="126"/>
        <v>#DIV/0!</v>
      </c>
      <c r="I198" s="37" t="e">
        <f t="shared" si="142"/>
        <v>#DIV/0!</v>
      </c>
      <c r="J198" s="37" t="e">
        <f t="shared" si="143"/>
        <v>#DIV/0!</v>
      </c>
      <c r="K198" s="37" t="e">
        <f t="shared" si="144"/>
        <v>#DIV/0!</v>
      </c>
      <c r="L198" s="39" t="e">
        <f t="shared" si="127"/>
        <v>#DIV/0!</v>
      </c>
      <c r="M198" s="39" t="e">
        <f>M197+(1000*$C$2*(B198-B197))/(BerechnungenCLT!$W$47*2*'Berechnung freier Bereich'!G198)</f>
        <v>#DIV/0!</v>
      </c>
      <c r="N198" s="17" t="e">
        <f t="shared" si="145"/>
        <v>#DIV/0!</v>
      </c>
      <c r="O198" s="173">
        <f t="shared" si="146"/>
        <v>2722.775379116536</v>
      </c>
      <c r="P198" s="173"/>
      <c r="Q198" s="173"/>
      <c r="R198" s="37" t="e">
        <f t="shared" si="128"/>
        <v>#DIV/0!</v>
      </c>
      <c r="S198" s="37" t="e">
        <f t="shared" si="129"/>
        <v>#DIV/0!</v>
      </c>
      <c r="T198" s="37" t="e">
        <f t="shared" si="130"/>
        <v>#DIV/0!</v>
      </c>
      <c r="U198" s="39" t="e">
        <f t="shared" si="131"/>
        <v>#DIV/0!</v>
      </c>
      <c r="V198" s="39" t="e">
        <f t="shared" si="147"/>
        <v>#DIV/0!</v>
      </c>
      <c r="W198" s="9" t="e">
        <f t="shared" si="148"/>
        <v>#DIV/0!</v>
      </c>
      <c r="AB198" s="129">
        <v>91.659486111865746</v>
      </c>
      <c r="AC198" s="9">
        <v>13.5</v>
      </c>
      <c r="AD198" s="129">
        <f t="shared" si="149"/>
        <v>106.09223185254318</v>
      </c>
      <c r="AE198" s="36">
        <f t="shared" si="181"/>
        <v>1.5242914723593251E-2</v>
      </c>
      <c r="AF198" s="37">
        <f t="shared" si="150"/>
        <v>44063283.254109249</v>
      </c>
      <c r="AG198" s="36">
        <f t="shared" si="132"/>
        <v>1.9788622821690349</v>
      </c>
      <c r="AH198" s="37">
        <f t="shared" si="151"/>
        <v>-1.786762144639362E-4</v>
      </c>
      <c r="AI198" s="37">
        <f t="shared" si="152"/>
        <v>-2.957577518923258E-2</v>
      </c>
      <c r="AJ198" s="37">
        <f t="shared" si="153"/>
        <v>-2.2059830377552876</v>
      </c>
      <c r="AK198" s="39">
        <f t="shared" si="154"/>
        <v>1.8956158371442648E-2</v>
      </c>
      <c r="AL198" s="39">
        <f>AL197+(1000*$C$2*($B198-$B197))/(BerechnungenCLT!$W$47*2*AF198)</f>
        <v>8.4920248986941251E-3</v>
      </c>
      <c r="AM198" s="37">
        <f t="shared" si="133"/>
        <v>2.4077241643732767E-6</v>
      </c>
      <c r="AN198" s="173">
        <f t="shared" si="155"/>
        <v>2750.5750141525041</v>
      </c>
      <c r="AO198" s="173">
        <v>-258.80951848142234</v>
      </c>
      <c r="AV198" s="129">
        <v>116.41344064626912</v>
      </c>
      <c r="AW198" s="9">
        <v>9</v>
      </c>
      <c r="AX198" s="129">
        <f t="shared" si="156"/>
        <v>125.45911882806641</v>
      </c>
      <c r="AY198" s="36">
        <f t="shared" si="182"/>
        <v>1.1684941088111869E-2</v>
      </c>
      <c r="AZ198" s="37">
        <f t="shared" si="157"/>
        <v>50334738.996752828</v>
      </c>
      <c r="BA198" s="36">
        <f t="shared" si="134"/>
        <v>1.9944171152842454</v>
      </c>
      <c r="BB198" s="37">
        <f t="shared" si="158"/>
        <v>-1.5641405529497822E-4</v>
      </c>
      <c r="BC198" s="37">
        <f t="shared" si="159"/>
        <v>-2.6189969490545511E-2</v>
      </c>
      <c r="BD198" s="37">
        <f t="shared" si="160"/>
        <v>-2.0571465879988149</v>
      </c>
      <c r="BE198" s="39">
        <f t="shared" si="161"/>
        <v>1.9623569549632423E-2</v>
      </c>
      <c r="BF198" s="39">
        <f>BF197+(1000*$C$2*($B198-$B197))/(BerechnungenCLT!$W$47*2*AZ198)</f>
        <v>7.5131771266914336E-3</v>
      </c>
      <c r="BG198" s="37">
        <f t="shared" si="135"/>
        <v>2.4924956665844629E-6</v>
      </c>
      <c r="BH198" s="173">
        <f t="shared" si="162"/>
        <v>1838.6151029732075</v>
      </c>
      <c r="BI198">
        <v>-257.75541100136564</v>
      </c>
      <c r="BP198" s="129">
        <v>86.869358480115437</v>
      </c>
      <c r="BQ198" s="9">
        <v>14.875</v>
      </c>
      <c r="BR198" s="129">
        <f t="shared" si="163"/>
        <v>101.75741562576549</v>
      </c>
      <c r="BS198" s="36">
        <f t="shared" si="183"/>
        <v>1.4998235159410128E-2</v>
      </c>
      <c r="BT198" s="37">
        <f t="shared" si="164"/>
        <v>39482538.82419996</v>
      </c>
      <c r="BU198" s="36">
        <f t="shared" si="136"/>
        <v>1.9753120092697194</v>
      </c>
      <c r="BV198" s="37">
        <f t="shared" si="165"/>
        <v>-1.9940613960393985E-4</v>
      </c>
      <c r="BW198" s="37">
        <f t="shared" si="166"/>
        <v>-2.9799319966350168E-2</v>
      </c>
      <c r="BX198" s="37">
        <f t="shared" si="167"/>
        <v>-2.209717826356</v>
      </c>
      <c r="BY198" s="39">
        <f t="shared" si="168"/>
        <v>2.0291053426007524E-2</v>
      </c>
      <c r="BZ198" s="39">
        <f>BZ197+(1000*$C$2*($B198-$B197))/(BerechnungenCLT!$W$47*2*BT198)</f>
        <v>8.5566524764104299E-3</v>
      </c>
      <c r="CA198" s="37">
        <f t="shared" si="137"/>
        <v>2.5772764025852236E-6</v>
      </c>
      <c r="CB198" s="173">
        <f t="shared" si="169"/>
        <v>3023.1336600484915</v>
      </c>
      <c r="CC198" s="9">
        <v>-257.9411808394255</v>
      </c>
      <c r="CJ198" s="9">
        <f t="shared" si="185"/>
        <v>147</v>
      </c>
      <c r="CK198" s="129">
        <v>88.350585457245728</v>
      </c>
      <c r="CL198" s="9">
        <v>9.4375</v>
      </c>
      <c r="CM198" s="129">
        <f t="shared" si="170"/>
        <v>98.874853801441489</v>
      </c>
      <c r="CN198" s="36">
        <f t="shared" si="184"/>
        <v>1.0523387565214022E-2</v>
      </c>
      <c r="CO198" s="173">
        <f t="shared" si="171"/>
        <v>3068.5577950978777</v>
      </c>
      <c r="CP198" s="9">
        <v>-630.44242382083542</v>
      </c>
      <c r="CQ198" s="129"/>
      <c r="CR198" s="36">
        <f t="shared" si="172"/>
        <v>0.81822885142954205</v>
      </c>
      <c r="CS198" s="17">
        <f t="shared" si="138"/>
        <v>0.58820919151159845</v>
      </c>
      <c r="CT198" s="9">
        <f t="shared" si="139"/>
        <v>9.6266771783153011</v>
      </c>
      <c r="CU198" s="9">
        <f t="shared" si="173"/>
        <v>99.085815538044201</v>
      </c>
      <c r="CV198" s="9">
        <v>13.2</v>
      </c>
      <c r="CW198" s="9">
        <f t="shared" si="174"/>
        <v>103.07062171084934</v>
      </c>
      <c r="CX198">
        <f t="shared" si="175"/>
        <v>22</v>
      </c>
      <c r="CY198" s="9">
        <f t="shared" si="140"/>
        <v>605.30203510209162</v>
      </c>
      <c r="CZ198" s="17">
        <f t="shared" si="176"/>
        <v>0.56996425150856089</v>
      </c>
      <c r="DA198">
        <v>45</v>
      </c>
      <c r="DB198" s="9">
        <f t="shared" si="177"/>
        <v>9.7680804324452062</v>
      </c>
      <c r="DC198" s="9">
        <f t="shared" si="178"/>
        <v>10.586351007189361</v>
      </c>
    </row>
    <row r="199" spans="2:107" x14ac:dyDescent="0.25">
      <c r="B199" s="9">
        <f t="shared" si="179"/>
        <v>148</v>
      </c>
      <c r="C199" s="9">
        <v>99.585804198992278</v>
      </c>
      <c r="D199" s="9"/>
      <c r="E199" s="9">
        <f t="shared" si="141"/>
        <v>99.585804198992278</v>
      </c>
      <c r="F199" s="36">
        <f t="shared" si="180"/>
        <v>0</v>
      </c>
      <c r="G199" s="37">
        <f t="shared" si="125"/>
        <v>0</v>
      </c>
      <c r="H199" s="36" t="e">
        <f t="shared" si="126"/>
        <v>#DIV/0!</v>
      </c>
      <c r="I199" s="37" t="e">
        <f t="shared" si="142"/>
        <v>#DIV/0!</v>
      </c>
      <c r="J199" s="37" t="e">
        <f t="shared" si="143"/>
        <v>#DIV/0!</v>
      </c>
      <c r="K199" s="37" t="e">
        <f t="shared" si="144"/>
        <v>#DIV/0!</v>
      </c>
      <c r="L199" s="39" t="e">
        <f t="shared" si="127"/>
        <v>#DIV/0!</v>
      </c>
      <c r="M199" s="39" t="e">
        <f>M198+(1000*$C$2*(B199-B198))/(BerechnungenCLT!$W$47*2*'Berechnung freier Bereich'!G199)</f>
        <v>#DIV/0!</v>
      </c>
      <c r="N199" s="17" t="e">
        <f t="shared" si="145"/>
        <v>#DIV/0!</v>
      </c>
      <c r="O199" s="173">
        <f t="shared" si="146"/>
        <v>2711.4972157571337</v>
      </c>
      <c r="P199" s="173"/>
      <c r="Q199" s="173"/>
      <c r="R199" s="37" t="e">
        <f t="shared" si="128"/>
        <v>#DIV/0!</v>
      </c>
      <c r="S199" s="37" t="e">
        <f t="shared" si="129"/>
        <v>#DIV/0!</v>
      </c>
      <c r="T199" s="37" t="e">
        <f t="shared" si="130"/>
        <v>#DIV/0!</v>
      </c>
      <c r="U199" s="39" t="e">
        <f t="shared" si="131"/>
        <v>#DIV/0!</v>
      </c>
      <c r="V199" s="39" t="e">
        <f t="shared" si="147"/>
        <v>#DIV/0!</v>
      </c>
      <c r="W199" s="9" t="e">
        <f t="shared" si="148"/>
        <v>#DIV/0!</v>
      </c>
      <c r="AB199" s="129">
        <v>92.037584375452781</v>
      </c>
      <c r="AC199" s="9">
        <v>13.4375</v>
      </c>
      <c r="AD199" s="129">
        <f t="shared" si="149"/>
        <v>106.44915947985677</v>
      </c>
      <c r="AE199" s="36">
        <f t="shared" si="181"/>
        <v>1.5277129171228981E-2</v>
      </c>
      <c r="AF199" s="37">
        <f t="shared" si="150"/>
        <v>44488663.762263216</v>
      </c>
      <c r="AG199" s="36">
        <f t="shared" si="132"/>
        <v>1.9790783410118782</v>
      </c>
      <c r="AH199" s="37">
        <f t="shared" si="151"/>
        <v>-1.7696779320611081E-4</v>
      </c>
      <c r="AI199" s="37">
        <f t="shared" si="152"/>
        <v>-2.9752742982438692E-2</v>
      </c>
      <c r="AJ199" s="37">
        <f t="shared" si="153"/>
        <v>-2.2356472968411234</v>
      </c>
      <c r="AK199" s="39">
        <f t="shared" si="154"/>
        <v>1.8838072841795603E-2</v>
      </c>
      <c r="AL199" s="39">
        <f>AL198+(1000*$C$2*($B199-$B198))/(BerechnungenCLT!$W$47*2*AF199)</f>
        <v>8.5431869085284291E-3</v>
      </c>
      <c r="AM199" s="37">
        <f t="shared" si="133"/>
        <v>2.3927254828037909E-6</v>
      </c>
      <c r="AN199" s="173">
        <f t="shared" si="155"/>
        <v>2730.24115807526</v>
      </c>
      <c r="AO199" s="173">
        <v>-257.97194493293239</v>
      </c>
      <c r="AV199" s="129">
        <v>116.51431911909434</v>
      </c>
      <c r="AW199" s="9">
        <v>9</v>
      </c>
      <c r="AX199" s="129">
        <f t="shared" si="156"/>
        <v>125.55792890974944</v>
      </c>
      <c r="AY199" s="36">
        <f t="shared" si="182"/>
        <v>1.1691914013611108E-2</v>
      </c>
      <c r="AZ199" s="37">
        <f t="shared" si="157"/>
        <v>50447823.665768869</v>
      </c>
      <c r="BA199" s="36">
        <f t="shared" si="134"/>
        <v>1.9944288463735991</v>
      </c>
      <c r="BB199" s="37">
        <f t="shared" si="158"/>
        <v>-1.5606343498299652E-4</v>
      </c>
      <c r="BC199" s="37">
        <f t="shared" si="159"/>
        <v>-2.6346032925528506E-2</v>
      </c>
      <c r="BD199" s="37">
        <f t="shared" si="160"/>
        <v>-2.0834145892068521</v>
      </c>
      <c r="BE199" s="39">
        <f t="shared" si="161"/>
        <v>1.9595001675006381E-2</v>
      </c>
      <c r="BF199" s="39">
        <f>BF198+(1000*$C$2*($B199-$B198))/(BerechnungenCLT!$W$47*2*AZ199)</f>
        <v>7.5582956132291268E-3</v>
      </c>
      <c r="BG199" s="37">
        <f t="shared" si="135"/>
        <v>2.488867106371254E-6</v>
      </c>
      <c r="BH199" s="173">
        <f t="shared" si="162"/>
        <v>1835.5829589614532</v>
      </c>
      <c r="BI199">
        <v>-257.28444233073151</v>
      </c>
      <c r="BP199" s="129">
        <v>86.911267347029053</v>
      </c>
      <c r="BQ199" s="9">
        <v>14.875</v>
      </c>
      <c r="BR199" s="129">
        <f t="shared" si="163"/>
        <v>101.80035675694806</v>
      </c>
      <c r="BS199" s="36">
        <f t="shared" si="183"/>
        <v>1.5006022188075478E-2</v>
      </c>
      <c r="BT199" s="37">
        <f t="shared" si="164"/>
        <v>39538399.153368331</v>
      </c>
      <c r="BU199" s="36">
        <f t="shared" si="136"/>
        <v>1.9753306105174442</v>
      </c>
      <c r="BV199" s="37">
        <f t="shared" si="165"/>
        <v>-1.9912441619492516E-4</v>
      </c>
      <c r="BW199" s="37">
        <f t="shared" si="166"/>
        <v>-2.9998444382545092E-2</v>
      </c>
      <c r="BX199" s="37">
        <f t="shared" si="167"/>
        <v>-2.2396167085304475</v>
      </c>
      <c r="BY199" s="39">
        <f t="shared" si="168"/>
        <v>2.0270936607662389E-2</v>
      </c>
      <c r="BZ199" s="39">
        <f>BZ198+(1000*$C$2*($B199-$B198))/(BerechnungenCLT!$W$47*2*BT199)</f>
        <v>8.6142200436781606E-3</v>
      </c>
      <c r="CA199" s="37">
        <f t="shared" si="137"/>
        <v>2.5747212567222905E-6</v>
      </c>
      <c r="CB199" s="173">
        <f t="shared" si="169"/>
        <v>3020.4157011643879</v>
      </c>
      <c r="CC199" s="9">
        <v>-257.70927791918621</v>
      </c>
      <c r="CJ199" s="9">
        <f t="shared" si="185"/>
        <v>148</v>
      </c>
      <c r="CK199" s="129">
        <v>88.844112586435557</v>
      </c>
      <c r="CL199" s="9">
        <v>9.3125</v>
      </c>
      <c r="CM199" s="129">
        <f t="shared" si="170"/>
        <v>99.46682534771665</v>
      </c>
      <c r="CN199" s="36">
        <f t="shared" si="184"/>
        <v>1.0683407124702917E-2</v>
      </c>
      <c r="CO199" s="173">
        <f t="shared" si="171"/>
        <v>3033.2829979767985</v>
      </c>
      <c r="CP199" s="9">
        <v>-631.56016905062893</v>
      </c>
      <c r="CQ199" s="129"/>
      <c r="CR199" s="36">
        <f t="shared" si="172"/>
        <v>0.81530604368503101</v>
      </c>
      <c r="CS199" s="17">
        <f t="shared" si="138"/>
        <v>0.58610804049823706</v>
      </c>
      <c r="CT199" s="9">
        <f t="shared" si="139"/>
        <v>9.533225299639625</v>
      </c>
      <c r="CU199" s="9">
        <f t="shared" si="173"/>
        <v>99.718605369968401</v>
      </c>
      <c r="CV199" s="9">
        <v>13.2</v>
      </c>
      <c r="CW199" s="9">
        <f t="shared" si="174"/>
        <v>103.90127322524474</v>
      </c>
      <c r="CX199">
        <f t="shared" si="175"/>
        <v>22</v>
      </c>
      <c r="CY199" s="9">
        <f t="shared" si="140"/>
        <v>601.9395953525127</v>
      </c>
      <c r="CZ199" s="17">
        <f t="shared" si="176"/>
        <v>0.56679811238466349</v>
      </c>
      <c r="DA199">
        <v>45</v>
      </c>
      <c r="DB199" s="9">
        <f t="shared" si="177"/>
        <v>9.7138189563251096</v>
      </c>
      <c r="DC199" s="9">
        <f t="shared" si="178"/>
        <v>10.529178344150678</v>
      </c>
    </row>
    <row r="200" spans="2:107" x14ac:dyDescent="0.25">
      <c r="B200" s="9">
        <f t="shared" si="179"/>
        <v>149</v>
      </c>
      <c r="C200" s="9">
        <v>99.792693535799259</v>
      </c>
      <c r="D200" s="9"/>
      <c r="E200" s="9">
        <f t="shared" si="141"/>
        <v>99.792693535799259</v>
      </c>
      <c r="F200" s="36">
        <f t="shared" si="180"/>
        <v>0</v>
      </c>
      <c r="G200" s="37">
        <f t="shared" si="125"/>
        <v>0</v>
      </c>
      <c r="H200" s="36" t="e">
        <f t="shared" si="126"/>
        <v>#DIV/0!</v>
      </c>
      <c r="I200" s="37" t="e">
        <f t="shared" si="142"/>
        <v>#DIV/0!</v>
      </c>
      <c r="J200" s="37" t="e">
        <f t="shared" si="143"/>
        <v>#DIV/0!</v>
      </c>
      <c r="K200" s="37" t="e">
        <f t="shared" si="144"/>
        <v>#DIV/0!</v>
      </c>
      <c r="L200" s="39" t="e">
        <f t="shared" si="127"/>
        <v>#DIV/0!</v>
      </c>
      <c r="M200" s="39" t="e">
        <f>M199+(1000*$C$2*(B200-B199))/(BerechnungenCLT!$W$47*2*'Berechnung freier Bereich'!G200)</f>
        <v>#DIV/0!</v>
      </c>
      <c r="N200" s="17" t="e">
        <f t="shared" si="145"/>
        <v>#DIV/0!</v>
      </c>
      <c r="O200" s="173">
        <f t="shared" si="146"/>
        <v>2700.2659656204114</v>
      </c>
      <c r="P200" s="173"/>
      <c r="Q200" s="173"/>
      <c r="R200" s="37" t="e">
        <f t="shared" si="128"/>
        <v>#DIV/0!</v>
      </c>
      <c r="S200" s="37" t="e">
        <f t="shared" si="129"/>
        <v>#DIV/0!</v>
      </c>
      <c r="T200" s="37" t="e">
        <f t="shared" si="130"/>
        <v>#DIV/0!</v>
      </c>
      <c r="U200" s="39" t="e">
        <f t="shared" si="131"/>
        <v>#DIV/0!</v>
      </c>
      <c r="V200" s="39" t="e">
        <f t="shared" si="147"/>
        <v>#DIV/0!</v>
      </c>
      <c r="W200" s="9" t="e">
        <f t="shared" si="148"/>
        <v>#DIV/0!</v>
      </c>
      <c r="AB200" s="129">
        <v>92.425183808203187</v>
      </c>
      <c r="AC200" s="9">
        <v>13.3125</v>
      </c>
      <c r="AD200" s="129">
        <f t="shared" si="149"/>
        <v>106.74705184298156</v>
      </c>
      <c r="AE200" s="36">
        <f t="shared" si="181"/>
        <v>1.523446684599588E-2</v>
      </c>
      <c r="AF200" s="37">
        <f t="shared" si="150"/>
        <v>44666891.50221739</v>
      </c>
      <c r="AG200" s="36">
        <f t="shared" si="132"/>
        <v>1.9794768744587985</v>
      </c>
      <c r="AH200" s="37">
        <f t="shared" si="151"/>
        <v>-1.7626166460017826E-4</v>
      </c>
      <c r="AI200" s="37">
        <f t="shared" si="152"/>
        <v>-2.9929004647038869E-2</v>
      </c>
      <c r="AJ200" s="37">
        <f t="shared" si="153"/>
        <v>-2.2654881706558623</v>
      </c>
      <c r="AK200" s="39">
        <f t="shared" si="154"/>
        <v>1.8815413049005456E-2</v>
      </c>
      <c r="AL200" s="39">
        <f>AL199+(1000*$C$2*($B200-$B199))/(BerechnungenCLT!$W$47*2*AF200)</f>
        <v>8.5941447741055971E-3</v>
      </c>
      <c r="AM200" s="37">
        <f t="shared" si="133"/>
        <v>2.3898473400075837E-6</v>
      </c>
      <c r="AN200" s="173">
        <f t="shared" si="155"/>
        <v>2711.4801371455278</v>
      </c>
      <c r="AO200" s="173">
        <v>-258.47582041245971</v>
      </c>
      <c r="AV200" s="129">
        <v>116.61288150427876</v>
      </c>
      <c r="AW200" s="9">
        <v>8.9375</v>
      </c>
      <c r="AX200" s="129">
        <f t="shared" si="156"/>
        <v>125.59173401644465</v>
      </c>
      <c r="AY200" s="36">
        <f t="shared" si="182"/>
        <v>1.161454087781701E-2</v>
      </c>
      <c r="AZ200" s="37">
        <f t="shared" si="157"/>
        <v>50167724.524614811</v>
      </c>
      <c r="BA200" s="36">
        <f t="shared" si="134"/>
        <v>1.9945141707284664</v>
      </c>
      <c r="BB200" s="37">
        <f t="shared" si="158"/>
        <v>-1.5693477675738458E-4</v>
      </c>
      <c r="BC200" s="37">
        <f t="shared" si="159"/>
        <v>-2.6502967702285891E-2</v>
      </c>
      <c r="BD200" s="37">
        <f t="shared" si="160"/>
        <v>-2.1098390895207593</v>
      </c>
      <c r="BE200" s="39">
        <f t="shared" si="161"/>
        <v>1.9709710740443562E-2</v>
      </c>
      <c r="BF200" s="39">
        <f>BF199+(1000*$C$2*($B200-$B199))/(BerechnungenCLT!$W$47*2*AZ200)</f>
        <v>7.6036660077305387E-3</v>
      </c>
      <c r="BG200" s="37">
        <f t="shared" si="135"/>
        <v>2.5034369249660311E-6</v>
      </c>
      <c r="BH200" s="173">
        <f t="shared" si="162"/>
        <v>1833.5771745664056</v>
      </c>
      <c r="BI200">
        <v>-258.76302411228056</v>
      </c>
      <c r="BP200" s="129">
        <v>86.95480206428465</v>
      </c>
      <c r="BQ200" s="9">
        <v>14.875</v>
      </c>
      <c r="BR200" s="129">
        <f t="shared" si="163"/>
        <v>101.84498803467366</v>
      </c>
      <c r="BS200" s="36">
        <f t="shared" si="183"/>
        <v>1.501413868435481E-2</v>
      </c>
      <c r="BT200" s="37">
        <f t="shared" si="164"/>
        <v>39596565.367249362</v>
      </c>
      <c r="BU200" s="36">
        <f t="shared" si="136"/>
        <v>1.9753498352174226</v>
      </c>
      <c r="BV200" s="37">
        <f t="shared" si="165"/>
        <v>-1.9883190816363745E-4</v>
      </c>
      <c r="BW200" s="37">
        <f t="shared" si="166"/>
        <v>-3.019727629070873E-2</v>
      </c>
      <c r="BX200" s="37">
        <f t="shared" si="167"/>
        <v>-2.2697145688670743</v>
      </c>
      <c r="BY200" s="39">
        <f t="shared" si="168"/>
        <v>2.0250033307836989E-2</v>
      </c>
      <c r="BZ200" s="39">
        <f>BZ199+(1000*$C$2*($B200-$B199))/(BerechnungenCLT!$W$47*2*BT200)</f>
        <v>8.671703045847903E-3</v>
      </c>
      <c r="CA200" s="37">
        <f t="shared" si="137"/>
        <v>2.572066215594307E-6</v>
      </c>
      <c r="CB200" s="173">
        <f t="shared" si="169"/>
        <v>3017.5954037762272</v>
      </c>
      <c r="CC200" s="9">
        <v>-257.46864322670336</v>
      </c>
      <c r="CJ200" s="9">
        <f t="shared" si="185"/>
        <v>149</v>
      </c>
      <c r="CK200" s="129">
        <v>89.39291380161005</v>
      </c>
      <c r="CL200" s="9">
        <v>9.1875</v>
      </c>
      <c r="CM200" s="129">
        <f t="shared" si="170"/>
        <v>100.14092885673016</v>
      </c>
      <c r="CN200" s="36">
        <f t="shared" si="184"/>
        <v>1.0879622533588724E-2</v>
      </c>
      <c r="CO200" s="173">
        <f t="shared" si="171"/>
        <v>2994.2667551462082</v>
      </c>
      <c r="CP200" s="9">
        <v>-631.91872358361707</v>
      </c>
      <c r="CQ200" s="129"/>
      <c r="CR200" s="36">
        <f t="shared" si="172"/>
        <v>0.8119919563217215</v>
      </c>
      <c r="CS200" s="17">
        <f t="shared" si="138"/>
        <v>0.58372560599331191</v>
      </c>
      <c r="CT200" s="9">
        <f t="shared" si="139"/>
        <v>9.443649453443987</v>
      </c>
      <c r="CU200" s="9">
        <f t="shared" si="173"/>
        <v>100.44058580170721</v>
      </c>
      <c r="CV200" s="9">
        <v>13.2</v>
      </c>
      <c r="CW200" s="9">
        <f t="shared" si="174"/>
        <v>104.83495992161934</v>
      </c>
      <c r="CX200">
        <f t="shared" si="175"/>
        <v>22</v>
      </c>
      <c r="CY200" s="9">
        <f t="shared" si="140"/>
        <v>598.24416618097632</v>
      </c>
      <c r="CZ200" s="17">
        <f t="shared" si="176"/>
        <v>0.56331842389922437</v>
      </c>
      <c r="DA200">
        <v>45</v>
      </c>
      <c r="DB200" s="9">
        <f t="shared" si="177"/>
        <v>9.654183853043353</v>
      </c>
      <c r="DC200" s="9">
        <f t="shared" si="178"/>
        <v>10.466241388191655</v>
      </c>
    </row>
    <row r="201" spans="2:107" x14ac:dyDescent="0.25">
      <c r="B201" s="9">
        <f t="shared" si="179"/>
        <v>150</v>
      </c>
      <c r="C201" s="9">
        <v>100</v>
      </c>
      <c r="D201" s="9"/>
      <c r="E201" s="9">
        <f t="shared" si="141"/>
        <v>100</v>
      </c>
      <c r="F201" s="36">
        <f t="shared" si="180"/>
        <v>0</v>
      </c>
      <c r="G201" s="37">
        <f t="shared" si="125"/>
        <v>0</v>
      </c>
      <c r="H201" s="36" t="e">
        <f t="shared" si="126"/>
        <v>#DIV/0!</v>
      </c>
      <c r="I201" s="37" t="e">
        <f t="shared" si="142"/>
        <v>#DIV/0!</v>
      </c>
      <c r="J201" s="37" t="e">
        <f t="shared" si="143"/>
        <v>#DIV/0!</v>
      </c>
      <c r="K201" s="37" t="e">
        <f t="shared" si="144"/>
        <v>#DIV/0!</v>
      </c>
      <c r="L201" s="39" t="e">
        <f t="shared" si="127"/>
        <v>#DIV/0!</v>
      </c>
      <c r="M201" s="39" t="e">
        <f>M200+(1000*$C$2*(B201-B200))/(BerechnungenCLT!$W$47*2*'Berechnung freier Bereich'!G201)</f>
        <v>#DIV/0!</v>
      </c>
      <c r="N201" s="17" t="e">
        <f t="shared" si="145"/>
        <v>#DIV/0!</v>
      </c>
      <c r="O201" s="173">
        <f t="shared" si="146"/>
        <v>2689.0819184806637</v>
      </c>
      <c r="P201" s="173"/>
      <c r="Q201" s="173"/>
      <c r="R201" s="37" t="e">
        <f t="shared" si="128"/>
        <v>#DIV/0!</v>
      </c>
      <c r="S201" s="37" t="e">
        <f t="shared" si="129"/>
        <v>#DIV/0!</v>
      </c>
      <c r="T201" s="37" t="e">
        <f t="shared" si="130"/>
        <v>#DIV/0!</v>
      </c>
      <c r="U201" s="39" t="e">
        <f t="shared" si="131"/>
        <v>#DIV/0!</v>
      </c>
      <c r="V201" s="39" t="e">
        <f t="shared" si="147"/>
        <v>#DIV/0!</v>
      </c>
      <c r="W201" s="9" t="e">
        <f t="shared" si="148"/>
        <v>#DIV/0!</v>
      </c>
      <c r="AB201" s="129">
        <v>92.821909130291615</v>
      </c>
      <c r="AC201" s="9">
        <v>13.1875</v>
      </c>
      <c r="AD201" s="129">
        <f t="shared" si="149"/>
        <v>107.0522588163017</v>
      </c>
      <c r="AE201" s="36">
        <f t="shared" si="181"/>
        <v>1.5190463837634931E-2</v>
      </c>
      <c r="AF201" s="37">
        <f t="shared" si="150"/>
        <v>44847818.189494558</v>
      </c>
      <c r="AG201" s="36">
        <f t="shared" si="132"/>
        <v>1.9798773393662732</v>
      </c>
      <c r="AH201" s="37">
        <f t="shared" si="151"/>
        <v>-1.7555058342928775E-4</v>
      </c>
      <c r="AI201" s="37">
        <f t="shared" si="152"/>
        <v>-3.0104555230468157E-2</v>
      </c>
      <c r="AJ201" s="37">
        <f t="shared" si="153"/>
        <v>-2.2955049505946157</v>
      </c>
      <c r="AK201" s="39">
        <f t="shared" si="154"/>
        <v>1.8793086492624875E-2</v>
      </c>
      <c r="AL201" s="39">
        <f>AL200+(1000*$C$2*($B201-$B200))/(BerechnungenCLT!$W$47*2*AF201)</f>
        <v>8.6448970636217263E-3</v>
      </c>
      <c r="AM201" s="37">
        <f t="shared" si="133"/>
        <v>2.3870115233694539E-6</v>
      </c>
      <c r="AN201" s="173">
        <f t="shared" si="155"/>
        <v>2692.4688415173009</v>
      </c>
      <c r="AO201" s="173">
        <v>-258.95768388709774</v>
      </c>
      <c r="AV201" s="129">
        <v>116.7091889120872</v>
      </c>
      <c r="AW201" s="9">
        <v>8.9375</v>
      </c>
      <c r="AX201" s="129">
        <f t="shared" si="156"/>
        <v>125.68618297260903</v>
      </c>
      <c r="AY201" s="36">
        <f t="shared" si="182"/>
        <v>1.1621282416487201E-2</v>
      </c>
      <c r="AZ201" s="37">
        <f t="shared" si="157"/>
        <v>50275806.334651388</v>
      </c>
      <c r="BA201" s="36">
        <f t="shared" si="134"/>
        <v>1.9945250463603033</v>
      </c>
      <c r="BB201" s="37">
        <f t="shared" si="158"/>
        <v>-1.5659740186543914E-4</v>
      </c>
      <c r="BC201" s="37">
        <f t="shared" si="159"/>
        <v>-2.665956510415133E-2</v>
      </c>
      <c r="BD201" s="37">
        <f t="shared" si="160"/>
        <v>-2.1364203559239781</v>
      </c>
      <c r="BE201" s="39">
        <f t="shared" si="161"/>
        <v>1.9682129703894772E-2</v>
      </c>
      <c r="BF201" s="39">
        <f>BF200+(1000*$C$2*($B201-$B200))/(BerechnungenCLT!$W$47*2*AZ201)</f>
        <v>7.6489388659671488E-3</v>
      </c>
      <c r="BG201" s="37">
        <f t="shared" si="135"/>
        <v>2.4999337083925166E-6</v>
      </c>
      <c r="BH201" s="173">
        <f t="shared" si="162"/>
        <v>1830.6923926880531</v>
      </c>
      <c r="BI201">
        <v>-258.32732591853454</v>
      </c>
      <c r="BP201" s="129">
        <v>87</v>
      </c>
      <c r="BQ201" s="9">
        <v>14.8125</v>
      </c>
      <c r="BR201" s="129">
        <f t="shared" si="163"/>
        <v>101.82877974216039</v>
      </c>
      <c r="BS201" s="36">
        <f t="shared" si="183"/>
        <v>1.4954517151481449E-2</v>
      </c>
      <c r="BT201" s="37">
        <f t="shared" si="164"/>
        <v>39449357.331499308</v>
      </c>
      <c r="BU201" s="36">
        <f t="shared" si="136"/>
        <v>1.9755583010641584</v>
      </c>
      <c r="BV201" s="37">
        <f t="shared" si="165"/>
        <v>-1.9957386333414244E-4</v>
      </c>
      <c r="BW201" s="37">
        <f t="shared" si="166"/>
        <v>-3.0396850154042872E-2</v>
      </c>
      <c r="BX201" s="37">
        <f t="shared" si="167"/>
        <v>-2.3000116320894501</v>
      </c>
      <c r="BY201" s="39">
        <f t="shared" si="168"/>
        <v>2.0322362971744411E-2</v>
      </c>
      <c r="BZ201" s="39">
        <f>BZ200+(1000*$C$2*($B201-$B200))/(BerechnungenCLT!$W$47*2*BT201)</f>
        <v>8.7294005498602806E-3</v>
      </c>
      <c r="CA201" s="37">
        <f t="shared" si="137"/>
        <v>2.5812531972695205E-6</v>
      </c>
      <c r="CB201" s="173">
        <f t="shared" si="169"/>
        <v>3016.6689316657389</v>
      </c>
      <c r="CC201" s="9">
        <v>-258.47562639691188</v>
      </c>
      <c r="CJ201" s="9">
        <f t="shared" si="185"/>
        <v>150</v>
      </c>
      <c r="CK201" s="129">
        <v>90</v>
      </c>
      <c r="CL201" s="9">
        <v>9.0625</v>
      </c>
      <c r="CM201" s="129">
        <f t="shared" si="170"/>
        <v>100.89437353154301</v>
      </c>
      <c r="CN201" s="36">
        <f t="shared" si="184"/>
        <v>1.1106933811998993E-2</v>
      </c>
      <c r="CO201" s="173">
        <f t="shared" si="171"/>
        <v>2951.7377371957004</v>
      </c>
      <c r="CP201" s="9">
        <v>-631.53559758107349</v>
      </c>
      <c r="CQ201" s="129"/>
      <c r="CR201" s="36">
        <f t="shared" si="172"/>
        <v>0.80830608836021689</v>
      </c>
      <c r="CS201" s="17">
        <f t="shared" si="138"/>
        <v>0.58107590547264787</v>
      </c>
      <c r="CT201" s="9">
        <f t="shared" si="139"/>
        <v>9.3576414867471236</v>
      </c>
      <c r="CU201" s="9">
        <f t="shared" si="173"/>
        <v>101.2491742599599</v>
      </c>
      <c r="CV201" s="9">
        <v>13.2</v>
      </c>
      <c r="CW201" s="9">
        <f t="shared" si="174"/>
        <v>105.8682185507716</v>
      </c>
      <c r="CX201">
        <f t="shared" si="175"/>
        <v>22</v>
      </c>
      <c r="CY201" s="9">
        <f t="shared" si="140"/>
        <v>594.20876866368997</v>
      </c>
      <c r="CZ201" s="17">
        <f t="shared" si="176"/>
        <v>0.55951861456091334</v>
      </c>
      <c r="DA201">
        <v>45</v>
      </c>
      <c r="DB201" s="9">
        <f t="shared" si="177"/>
        <v>9.5890625000000007</v>
      </c>
      <c r="DC201" s="9">
        <f t="shared" si="178"/>
        <v>10.397442752241844</v>
      </c>
    </row>
    <row r="202" spans="2:107" x14ac:dyDescent="0.25">
      <c r="B202" s="9">
        <f t="shared" si="179"/>
        <v>151</v>
      </c>
      <c r="C202" s="9">
        <v>100.20771769442342</v>
      </c>
      <c r="D202" s="9"/>
      <c r="E202" s="9">
        <f t="shared" si="141"/>
        <v>100.20771769442342</v>
      </c>
      <c r="F202" s="36">
        <f t="shared" si="180"/>
        <v>0</v>
      </c>
      <c r="G202" s="37">
        <f t="shared" si="125"/>
        <v>0</v>
      </c>
      <c r="H202" s="36" t="e">
        <f t="shared" si="126"/>
        <v>#DIV/0!</v>
      </c>
      <c r="I202" s="37" t="e">
        <f t="shared" si="142"/>
        <v>#DIV/0!</v>
      </c>
      <c r="J202" s="37" t="e">
        <f t="shared" si="143"/>
        <v>#DIV/0!</v>
      </c>
      <c r="K202" s="37" t="e">
        <f t="shared" si="144"/>
        <v>#DIV/0!</v>
      </c>
      <c r="L202" s="39" t="e">
        <f t="shared" si="127"/>
        <v>#DIV/0!</v>
      </c>
      <c r="M202" s="39" t="e">
        <f>M201+(1000*$C$2*(B202-B201))/(BerechnungenCLT!$W$47*2*'Berechnung freier Bereich'!G202)</f>
        <v>#DIV/0!</v>
      </c>
      <c r="N202" s="17" t="e">
        <f t="shared" si="145"/>
        <v>#DIV/0!</v>
      </c>
      <c r="O202" s="173">
        <f t="shared" si="146"/>
        <v>2677.9452318595422</v>
      </c>
      <c r="P202" s="173"/>
      <c r="Q202" s="173"/>
      <c r="R202" s="37" t="e">
        <f t="shared" si="128"/>
        <v>#DIV/0!</v>
      </c>
      <c r="S202" s="37" t="e">
        <f t="shared" si="129"/>
        <v>#DIV/0!</v>
      </c>
      <c r="T202" s="37" t="e">
        <f t="shared" si="130"/>
        <v>#DIV/0!</v>
      </c>
      <c r="U202" s="39" t="e">
        <f t="shared" si="131"/>
        <v>#DIV/0!</v>
      </c>
      <c r="V202" s="39" t="e">
        <f t="shared" si="147"/>
        <v>#DIV/0!</v>
      </c>
      <c r="W202" s="9" t="e">
        <f t="shared" si="148"/>
        <v>#DIV/0!</v>
      </c>
      <c r="AB202" s="129">
        <v>93.22738506189269</v>
      </c>
      <c r="AC202" s="9">
        <v>13.125</v>
      </c>
      <c r="AD202" s="129">
        <f t="shared" si="149"/>
        <v>107.43196363318413</v>
      </c>
      <c r="AE202" s="36">
        <f t="shared" si="181"/>
        <v>1.5222519733578096E-2</v>
      </c>
      <c r="AF202" s="37">
        <f t="shared" si="150"/>
        <v>45293649.647426628</v>
      </c>
      <c r="AG202" s="36">
        <f t="shared" si="132"/>
        <v>1.9801050462373317</v>
      </c>
      <c r="AH202" s="37">
        <f t="shared" si="151"/>
        <v>-1.7382261553179349E-4</v>
      </c>
      <c r="AI202" s="37">
        <f t="shared" si="152"/>
        <v>-3.0278377845999949E-2</v>
      </c>
      <c r="AJ202" s="37">
        <f t="shared" si="153"/>
        <v>-2.3256964171328498</v>
      </c>
      <c r="AK202" s="39">
        <f t="shared" si="154"/>
        <v>1.8674104910436584E-2</v>
      </c>
      <c r="AL202" s="39">
        <f>AL201+(1000*$C$2*($B202-$B201))/(BerechnungenCLT!$W$47*2*AF202)</f>
        <v>8.695149791556828E-3</v>
      </c>
      <c r="AM202" s="37">
        <f t="shared" si="133"/>
        <v>2.3718990293220477E-6</v>
      </c>
      <c r="AN202" s="173">
        <f t="shared" si="155"/>
        <v>2671.4387871186996</v>
      </c>
      <c r="AO202" s="173">
        <v>-258.01085282389545</v>
      </c>
      <c r="AV202" s="129">
        <v>116.80330245278441</v>
      </c>
      <c r="AW202" s="9">
        <v>8.9375</v>
      </c>
      <c r="AX202" s="129">
        <f t="shared" si="156"/>
        <v>125.77853052278017</v>
      </c>
      <c r="AY202" s="36">
        <f t="shared" si="182"/>
        <v>1.1627934069479467E-2</v>
      </c>
      <c r="AZ202" s="37">
        <f t="shared" si="157"/>
        <v>50381872.183635205</v>
      </c>
      <c r="BA202" s="36">
        <f t="shared" si="134"/>
        <v>1.994535588728269</v>
      </c>
      <c r="BB202" s="37">
        <f t="shared" si="158"/>
        <v>-1.5626772701101969E-4</v>
      </c>
      <c r="BC202" s="37">
        <f t="shared" si="159"/>
        <v>-2.6815832831162349E-2</v>
      </c>
      <c r="BD202" s="37">
        <f t="shared" si="160"/>
        <v>-2.1631580548916349</v>
      </c>
      <c r="BE202" s="39">
        <f t="shared" si="161"/>
        <v>1.9655125071581021E-2</v>
      </c>
      <c r="BF202" s="39">
        <f>BF201+(1000*$C$2*($B202-$B201))/(BerechnungenCLT!$W$47*2*AZ202)</f>
        <v>7.6941164140468176E-3</v>
      </c>
      <c r="BG202" s="37">
        <f t="shared" si="135"/>
        <v>2.4965037040373212E-6</v>
      </c>
      <c r="BH202" s="173">
        <f t="shared" si="162"/>
        <v>1827.8791423671328</v>
      </c>
      <c r="BI202">
        <v>-257.91002417235524</v>
      </c>
      <c r="BP202" s="129">
        <v>87.046896871607117</v>
      </c>
      <c r="BQ202" s="9">
        <v>14.8125</v>
      </c>
      <c r="BR202" s="129">
        <f t="shared" si="163"/>
        <v>101.87689774504392</v>
      </c>
      <c r="BS202" s="36">
        <f t="shared" si="183"/>
        <v>1.4963274071394601E-2</v>
      </c>
      <c r="BT202" s="37">
        <f t="shared" si="164"/>
        <v>39511987.51357203</v>
      </c>
      <c r="BU202" s="36">
        <f t="shared" si="136"/>
        <v>1.9755786694123185</v>
      </c>
      <c r="BV202" s="37">
        <f t="shared" si="165"/>
        <v>-1.992575201637747E-4</v>
      </c>
      <c r="BW202" s="37">
        <f t="shared" si="166"/>
        <v>-3.0596107674206646E-2</v>
      </c>
      <c r="BX202" s="37">
        <f t="shared" si="167"/>
        <v>-2.3305081110035748</v>
      </c>
      <c r="BY202" s="39">
        <f t="shared" si="168"/>
        <v>2.0299738006655903E-2</v>
      </c>
      <c r="BZ202" s="39">
        <f>BZ201+(1000*$C$2*($B202-$B201))/(BerechnungenCLT!$W$47*2*BT202)</f>
        <v>8.7870065979523456E-3</v>
      </c>
      <c r="CA202" s="37">
        <f t="shared" si="137"/>
        <v>2.5783794781280003E-6</v>
      </c>
      <c r="CB202" s="173">
        <f t="shared" si="169"/>
        <v>3013.6353662652573</v>
      </c>
      <c r="CC202" s="9">
        <v>-258.21570303943804</v>
      </c>
      <c r="CJ202" s="9">
        <f t="shared" si="185"/>
        <v>151</v>
      </c>
      <c r="CK202" s="129">
        <v>90.667184543924037</v>
      </c>
      <c r="CL202" s="9">
        <v>8.9375</v>
      </c>
      <c r="CM202" s="129">
        <f t="shared" si="170"/>
        <v>101.70280530813852</v>
      </c>
      <c r="CN202" s="36">
        <f t="shared" si="184"/>
        <v>1.1337906829684687E-2</v>
      </c>
      <c r="CO202" s="173">
        <f t="shared" si="171"/>
        <v>2906.6275101366214</v>
      </c>
      <c r="CP202" s="9">
        <v>-630.58177127917281</v>
      </c>
      <c r="CQ202" s="129"/>
      <c r="CR202" s="36">
        <f t="shared" si="172"/>
        <v>0.80437308797508145</v>
      </c>
      <c r="CS202" s="17">
        <f t="shared" si="138"/>
        <v>0.57824854614314791</v>
      </c>
      <c r="CT202" s="9">
        <f t="shared" si="139"/>
        <v>9.273693873970398</v>
      </c>
      <c r="CU202" s="9">
        <f t="shared" si="173"/>
        <v>102.11792229794435</v>
      </c>
      <c r="CV202" s="9">
        <v>13.2</v>
      </c>
      <c r="CW202" s="9">
        <f t="shared" si="174"/>
        <v>106.9659475187639</v>
      </c>
      <c r="CX202">
        <f t="shared" si="175"/>
        <v>22</v>
      </c>
      <c r="CY202" s="9">
        <f t="shared" si="140"/>
        <v>589.83621746657536</v>
      </c>
      <c r="CZ202" s="17">
        <f t="shared" si="176"/>
        <v>0.55540133471428943</v>
      </c>
      <c r="DA202">
        <v>45</v>
      </c>
      <c r="DB202" s="9">
        <f t="shared" si="177"/>
        <v>9.5185003189539774</v>
      </c>
      <c r="DC202" s="9">
        <f t="shared" si="178"/>
        <v>10.322946534554914</v>
      </c>
    </row>
    <row r="203" spans="2:107" x14ac:dyDescent="0.25">
      <c r="B203" s="9">
        <f t="shared" si="179"/>
        <v>152</v>
      </c>
      <c r="C203" s="9">
        <v>100.41584978572135</v>
      </c>
      <c r="D203" s="9"/>
      <c r="E203" s="9">
        <f t="shared" si="141"/>
        <v>100.41584978572135</v>
      </c>
      <c r="F203" s="36">
        <f t="shared" si="180"/>
        <v>0</v>
      </c>
      <c r="G203" s="37">
        <f t="shared" si="125"/>
        <v>0</v>
      </c>
      <c r="H203" s="36" t="e">
        <f t="shared" si="126"/>
        <v>#DIV/0!</v>
      </c>
      <c r="I203" s="37" t="e">
        <f t="shared" si="142"/>
        <v>#DIV/0!</v>
      </c>
      <c r="J203" s="37" t="e">
        <f t="shared" si="143"/>
        <v>#DIV/0!</v>
      </c>
      <c r="K203" s="37" t="e">
        <f t="shared" si="144"/>
        <v>#DIV/0!</v>
      </c>
      <c r="L203" s="39" t="e">
        <f t="shared" si="127"/>
        <v>#DIV/0!</v>
      </c>
      <c r="M203" s="39" t="e">
        <f>M202+(1000*$C$2*(B203-B202))/(BerechnungenCLT!$W$47*2*'Berechnung freier Bereich'!G203)</f>
        <v>#DIV/0!</v>
      </c>
      <c r="N203" s="17" t="e">
        <f t="shared" si="145"/>
        <v>#DIV/0!</v>
      </c>
      <c r="O203" s="173">
        <f t="shared" si="146"/>
        <v>2666.8555738896926</v>
      </c>
      <c r="P203" s="173"/>
      <c r="Q203" s="173"/>
      <c r="R203" s="37" t="e">
        <f t="shared" si="128"/>
        <v>#DIV/0!</v>
      </c>
      <c r="S203" s="37" t="e">
        <f t="shared" si="129"/>
        <v>#DIV/0!</v>
      </c>
      <c r="T203" s="37" t="e">
        <f t="shared" si="130"/>
        <v>#DIV/0!</v>
      </c>
      <c r="U203" s="39" t="e">
        <f t="shared" si="131"/>
        <v>#DIV/0!</v>
      </c>
      <c r="V203" s="39" t="e">
        <f t="shared" si="147"/>
        <v>#DIV/0!</v>
      </c>
      <c r="W203" s="9" t="e">
        <f t="shared" si="148"/>
        <v>#DIV/0!</v>
      </c>
      <c r="AB203" s="129">
        <v>93.641236323181062</v>
      </c>
      <c r="AC203" s="9">
        <v>13</v>
      </c>
      <c r="AD203" s="129">
        <f t="shared" si="149"/>
        <v>107.75063005053676</v>
      </c>
      <c r="AE203" s="36">
        <f t="shared" si="181"/>
        <v>1.5175711911983435E-2</v>
      </c>
      <c r="AF203" s="37">
        <f t="shared" si="150"/>
        <v>45480000.457744345</v>
      </c>
      <c r="AG203" s="36">
        <f t="shared" si="132"/>
        <v>1.9805103301571325</v>
      </c>
      <c r="AH203" s="37">
        <f t="shared" si="151"/>
        <v>-1.731103907092368E-4</v>
      </c>
      <c r="AI203" s="37">
        <f t="shared" si="152"/>
        <v>-3.0451488236709186E-2</v>
      </c>
      <c r="AJ203" s="37">
        <f t="shared" si="153"/>
        <v>-2.3560613501742043</v>
      </c>
      <c r="AK203" s="39">
        <f t="shared" si="154"/>
        <v>1.865275366721485E-2</v>
      </c>
      <c r="AL203" s="39">
        <f>AL202+(1000*$C$2*($B203-$B202))/(BerechnungenCLT!$W$47*2*AF203)</f>
        <v>8.7451966127971813E-3</v>
      </c>
      <c r="AM203" s="37">
        <f t="shared" si="133"/>
        <v>2.3691870924814153E-6</v>
      </c>
      <c r="AN203" s="173">
        <f t="shared" si="155"/>
        <v>2652.0406125505219</v>
      </c>
      <c r="AO203" s="173">
        <v>-258.44681476760263</v>
      </c>
      <c r="AV203" s="129">
        <v>116.89528323663522</v>
      </c>
      <c r="AW203" s="9">
        <v>8.9375</v>
      </c>
      <c r="AX203" s="129">
        <f t="shared" si="156"/>
        <v>125.86883435128918</v>
      </c>
      <c r="AY203" s="36">
        <f t="shared" si="182"/>
        <v>1.1634497485969262E-2</v>
      </c>
      <c r="AZ203" s="37">
        <f t="shared" si="157"/>
        <v>50485969.665019445</v>
      </c>
      <c r="BA203" s="36">
        <f t="shared" si="134"/>
        <v>1.9945458095437574</v>
      </c>
      <c r="BB203" s="37">
        <f t="shared" si="158"/>
        <v>-1.5594551715922481E-4</v>
      </c>
      <c r="BC203" s="37">
        <f t="shared" si="159"/>
        <v>-2.6971778348321575E-2</v>
      </c>
      <c r="BD203" s="37">
        <f t="shared" si="160"/>
        <v>-2.1900518604813768</v>
      </c>
      <c r="BE203" s="39">
        <f t="shared" si="161"/>
        <v>1.9628680467140593E-2</v>
      </c>
      <c r="BF203" s="39">
        <f>BF202+(1000*$C$2*($B203-$B202))/(BerechnungenCLT!$W$47*2*AZ203)</f>
        <v>7.7392008101279932E-3</v>
      </c>
      <c r="BG203" s="37">
        <f t="shared" si="135"/>
        <v>2.4931448318501996E-6</v>
      </c>
      <c r="BH203" s="173">
        <f t="shared" si="162"/>
        <v>1825.1351689066616</v>
      </c>
      <c r="BI203">
        <v>-257.51039811374631</v>
      </c>
      <c r="BP203" s="129">
        <v>87.095521793794745</v>
      </c>
      <c r="BQ203" s="9">
        <v>14.8125</v>
      </c>
      <c r="BR203" s="129">
        <f t="shared" si="163"/>
        <v>101.92680833830821</v>
      </c>
      <c r="BS203" s="36">
        <f t="shared" si="183"/>
        <v>1.4972376251611753E-2</v>
      </c>
      <c r="BT203" s="37">
        <f t="shared" si="164"/>
        <v>39577063.810741544</v>
      </c>
      <c r="BU203" s="36">
        <f t="shared" si="136"/>
        <v>1.9755996992485663</v>
      </c>
      <c r="BV203" s="37">
        <f t="shared" si="165"/>
        <v>-1.9892988237696349E-4</v>
      </c>
      <c r="BW203" s="37">
        <f t="shared" si="166"/>
        <v>-3.079503755658361E-2</v>
      </c>
      <c r="BX203" s="37">
        <f t="shared" si="167"/>
        <v>-2.36120368361897</v>
      </c>
      <c r="BY203" s="39">
        <f t="shared" si="168"/>
        <v>2.0276287993798953E-2</v>
      </c>
      <c r="BZ203" s="39">
        <f>BZ202+(1000*$C$2*($B203-$B202))/(BerechnungenCLT!$W$47*2*BT203)</f>
        <v>8.844517924810863E-3</v>
      </c>
      <c r="CA203" s="37">
        <f t="shared" si="137"/>
        <v>2.5754009652086525E-6</v>
      </c>
      <c r="CB203" s="173">
        <f t="shared" si="169"/>
        <v>3010.4942271693835</v>
      </c>
      <c r="CC203" s="9">
        <v>-257.94656250270788</v>
      </c>
      <c r="CJ203" s="9">
        <f t="shared" si="185"/>
        <v>152</v>
      </c>
      <c r="CK203" s="129">
        <v>91.391490656051857</v>
      </c>
      <c r="CL203" s="9">
        <v>8.78125</v>
      </c>
      <c r="CM203" s="129">
        <f t="shared" si="170"/>
        <v>102.5132923499807</v>
      </c>
      <c r="CN203" s="36">
        <f t="shared" si="184"/>
        <v>1.1517612503083698E-2</v>
      </c>
      <c r="CO203" s="173">
        <f t="shared" si="171"/>
        <v>2860.7965943739455</v>
      </c>
      <c r="CP203" s="9">
        <v>-631.68232591279718</v>
      </c>
      <c r="CQ203" s="129"/>
      <c r="CR203" s="36">
        <f t="shared" si="172"/>
        <v>0.80045321219508203</v>
      </c>
      <c r="CS203" s="17">
        <f t="shared" si="138"/>
        <v>0.57543062184317861</v>
      </c>
      <c r="CT203" s="9">
        <f t="shared" si="139"/>
        <v>9.1561863411500646</v>
      </c>
      <c r="CU203" s="9">
        <f t="shared" si="173"/>
        <v>102.9881641090262</v>
      </c>
      <c r="CV203" s="9">
        <v>13.2</v>
      </c>
      <c r="CW203" s="9">
        <f t="shared" si="174"/>
        <v>108.10981462585806</v>
      </c>
      <c r="CX203">
        <f t="shared" si="175"/>
        <v>22</v>
      </c>
      <c r="CY203" s="9">
        <f t="shared" si="140"/>
        <v>585.16158119137526</v>
      </c>
      <c r="CZ203" s="17">
        <f t="shared" si="176"/>
        <v>0.55099960564159622</v>
      </c>
      <c r="DA203">
        <v>45</v>
      </c>
      <c r="DB203" s="9">
        <f t="shared" si="177"/>
        <v>9.4430632305574704</v>
      </c>
      <c r="DC203" s="9">
        <f t="shared" si="178"/>
        <v>10.243601471709061</v>
      </c>
    </row>
    <row r="204" spans="2:107" x14ac:dyDescent="0.25">
      <c r="B204" s="9">
        <f t="shared" si="179"/>
        <v>153</v>
      </c>
      <c r="C204" s="9">
        <v>100.62440170650129</v>
      </c>
      <c r="D204" s="9"/>
      <c r="E204" s="9">
        <f t="shared" si="141"/>
        <v>100.62440170650129</v>
      </c>
      <c r="F204" s="36">
        <f t="shared" si="180"/>
        <v>0</v>
      </c>
      <c r="G204" s="37">
        <f t="shared" si="125"/>
        <v>0</v>
      </c>
      <c r="H204" s="36" t="e">
        <f t="shared" si="126"/>
        <v>#DIV/0!</v>
      </c>
      <c r="I204" s="37" t="e">
        <f t="shared" si="142"/>
        <v>#DIV/0!</v>
      </c>
      <c r="J204" s="37" t="e">
        <f t="shared" si="143"/>
        <v>#DIV/0!</v>
      </c>
      <c r="K204" s="37" t="e">
        <f t="shared" si="144"/>
        <v>#DIV/0!</v>
      </c>
      <c r="L204" s="39" t="e">
        <f t="shared" si="127"/>
        <v>#DIV/0!</v>
      </c>
      <c r="M204" s="39" t="e">
        <f>M203+(1000*$C$2*(B204-B203))/(BerechnungenCLT!$W$47*2*'Berechnung freier Bereich'!G204)</f>
        <v>#DIV/0!</v>
      </c>
      <c r="N204" s="17" t="e">
        <f t="shared" si="145"/>
        <v>#DIV/0!</v>
      </c>
      <c r="O204" s="173">
        <f t="shared" si="146"/>
        <v>2655.8124972210976</v>
      </c>
      <c r="P204" s="173"/>
      <c r="Q204" s="173"/>
      <c r="R204" s="37" t="e">
        <f t="shared" si="128"/>
        <v>#DIV/0!</v>
      </c>
      <c r="S204" s="37" t="e">
        <f t="shared" si="129"/>
        <v>#DIV/0!</v>
      </c>
      <c r="T204" s="37" t="e">
        <f t="shared" si="130"/>
        <v>#DIV/0!</v>
      </c>
      <c r="U204" s="39" t="e">
        <f t="shared" si="131"/>
        <v>#DIV/0!</v>
      </c>
      <c r="V204" s="39" t="e">
        <f t="shared" si="147"/>
        <v>#DIV/0!</v>
      </c>
      <c r="W204" s="9" t="e">
        <f t="shared" si="148"/>
        <v>#DIV/0!</v>
      </c>
      <c r="AB204" s="129">
        <v>94.063087634331325</v>
      </c>
      <c r="AC204" s="9">
        <v>12.875</v>
      </c>
      <c r="AD204" s="129">
        <f t="shared" si="149"/>
        <v>108.07526253747422</v>
      </c>
      <c r="AE204" s="36">
        <f t="shared" si="181"/>
        <v>1.5127008831035611E-2</v>
      </c>
      <c r="AF204" s="37">
        <f t="shared" si="150"/>
        <v>45666052.324922614</v>
      </c>
      <c r="AG204" s="36">
        <f t="shared" si="132"/>
        <v>1.9809167615037746</v>
      </c>
      <c r="AH204" s="37">
        <f t="shared" si="151"/>
        <v>-1.7240510724855467E-4</v>
      </c>
      <c r="AI204" s="37">
        <f t="shared" si="152"/>
        <v>-3.062389334395774E-2</v>
      </c>
      <c r="AJ204" s="37">
        <f t="shared" si="153"/>
        <v>-2.3865990409645379</v>
      </c>
      <c r="AK204" s="39">
        <f t="shared" si="154"/>
        <v>1.8632727228688944E-2</v>
      </c>
      <c r="AL204" s="39">
        <f>AL203+(1000*$C$2*($B204-$B203))/(BerechnungenCLT!$W$47*2*AF204)</f>
        <v>8.7950395341148558E-3</v>
      </c>
      <c r="AM204" s="37">
        <f t="shared" si="133"/>
        <v>2.3666434262479762E-6</v>
      </c>
      <c r="AN204" s="173">
        <f t="shared" si="155"/>
        <v>2632.489153009818</v>
      </c>
      <c r="AO204" s="173">
        <v>-258.87289135852842</v>
      </c>
      <c r="AV204" s="129">
        <v>116.98519237390437</v>
      </c>
      <c r="AW204" s="9">
        <v>8.875</v>
      </c>
      <c r="AX204" s="129">
        <f t="shared" si="156"/>
        <v>125.8944112588685</v>
      </c>
      <c r="AY204" s="36">
        <f t="shared" si="182"/>
        <v>1.1556583685101459E-2</v>
      </c>
      <c r="AZ204" s="37">
        <f t="shared" si="157"/>
        <v>50194556.304955892</v>
      </c>
      <c r="BA204" s="36">
        <f t="shared" si="134"/>
        <v>1.9946286765725305</v>
      </c>
      <c r="BB204" s="37">
        <f t="shared" si="158"/>
        <v>-1.5685088639620184E-4</v>
      </c>
      <c r="BC204" s="37">
        <f t="shared" si="159"/>
        <v>-2.7128629234717778E-2</v>
      </c>
      <c r="BD204" s="37">
        <f t="shared" si="160"/>
        <v>-2.2171020642728965</v>
      </c>
      <c r="BE204" s="39">
        <f t="shared" si="161"/>
        <v>1.9746649998281497E-2</v>
      </c>
      <c r="BF204" s="39">
        <f>BF203+(1000*$C$2*($B204-$B203))/(BerechnungenCLT!$W$47*2*AZ204)</f>
        <v>7.7845469516316925E-3</v>
      </c>
      <c r="BG204" s="37">
        <f t="shared" si="135"/>
        <v>2.5081287798222552E-6</v>
      </c>
      <c r="BH204" s="173">
        <f t="shared" si="162"/>
        <v>1823.3999261952436</v>
      </c>
      <c r="BI204">
        <v>-259.07186391094257</v>
      </c>
      <c r="BP204" s="129">
        <v>87.145902230565895</v>
      </c>
      <c r="BQ204" s="9">
        <v>14.8125</v>
      </c>
      <c r="BR204" s="129">
        <f t="shared" si="163"/>
        <v>101.97854110875032</v>
      </c>
      <c r="BS204" s="36">
        <f t="shared" si="183"/>
        <v>1.4981830530073513E-2</v>
      </c>
      <c r="BT204" s="37">
        <f t="shared" si="164"/>
        <v>39644636.003881536</v>
      </c>
      <c r="BU204" s="36">
        <f t="shared" si="136"/>
        <v>1.9756213951700534</v>
      </c>
      <c r="BV204" s="37">
        <f t="shared" si="165"/>
        <v>-1.9859081687433215E-4</v>
      </c>
      <c r="BW204" s="37">
        <f t="shared" si="166"/>
        <v>-3.099362837345794E-2</v>
      </c>
      <c r="BX204" s="37">
        <f t="shared" si="167"/>
        <v>-2.3920980165839909</v>
      </c>
      <c r="BY204" s="39">
        <f t="shared" si="168"/>
        <v>2.025200178243939E-2</v>
      </c>
      <c r="BZ204" s="39">
        <f>BZ203+(1000*$C$2*($B204-$B203))/(BerechnungenCLT!$W$47*2*BT204)</f>
        <v>8.9019312266430985E-3</v>
      </c>
      <c r="CA204" s="37">
        <f t="shared" si="137"/>
        <v>2.5723162421964419E-6</v>
      </c>
      <c r="CB204" s="173">
        <f t="shared" si="169"/>
        <v>3007.2442164806648</v>
      </c>
      <c r="CC204" s="9">
        <v>-257.6680935796698</v>
      </c>
      <c r="CJ204" s="9">
        <f t="shared" si="185"/>
        <v>153</v>
      </c>
      <c r="CK204" s="129">
        <v>92.168744024140992</v>
      </c>
      <c r="CL204" s="9">
        <v>8.65625</v>
      </c>
      <c r="CM204" s="129">
        <f t="shared" si="170"/>
        <v>103.39626890220066</v>
      </c>
      <c r="CN204" s="36">
        <f t="shared" si="184"/>
        <v>1.1726650485776317E-2</v>
      </c>
      <c r="CO204" s="173">
        <f t="shared" si="171"/>
        <v>2812.4298698271277</v>
      </c>
      <c r="CP204" s="9">
        <v>-629.97018857698299</v>
      </c>
      <c r="CQ204" s="129"/>
      <c r="CR204" s="36">
        <f t="shared" si="172"/>
        <v>0.79620952903558562</v>
      </c>
      <c r="CS204" s="17">
        <f t="shared" si="138"/>
        <v>0.57237991856387271</v>
      </c>
      <c r="CT204" s="9">
        <f t="shared" si="139"/>
        <v>9.0739556569897744</v>
      </c>
      <c r="CU204" s="9">
        <f t="shared" si="173"/>
        <v>103.93805092739159</v>
      </c>
      <c r="CV204" s="9">
        <v>13.2</v>
      </c>
      <c r="CW204" s="9">
        <f t="shared" si="174"/>
        <v>109.2897061486623</v>
      </c>
      <c r="CX204">
        <f t="shared" si="175"/>
        <v>22</v>
      </c>
      <c r="CY204" s="9">
        <f t="shared" si="140"/>
        <v>580.2269494496403</v>
      </c>
      <c r="CZ204" s="17">
        <f t="shared" si="176"/>
        <v>0.54635305974542403</v>
      </c>
      <c r="DA204">
        <v>45</v>
      </c>
      <c r="DB204" s="9">
        <f t="shared" si="177"/>
        <v>9.3634304572269915</v>
      </c>
      <c r="DC204" s="9">
        <f t="shared" si="178"/>
        <v>10.159720493580766</v>
      </c>
    </row>
    <row r="205" spans="2:107" x14ac:dyDescent="0.25">
      <c r="B205" s="9">
        <f t="shared" si="179"/>
        <v>154</v>
      </c>
      <c r="C205" s="9">
        <v>100.83337888937078</v>
      </c>
      <c r="D205" s="9"/>
      <c r="E205" s="9">
        <f t="shared" si="141"/>
        <v>100.83337888937078</v>
      </c>
      <c r="F205" s="36">
        <f t="shared" si="180"/>
        <v>0</v>
      </c>
      <c r="G205" s="37">
        <f t="shared" si="125"/>
        <v>0</v>
      </c>
      <c r="H205" s="36" t="e">
        <f t="shared" si="126"/>
        <v>#DIV/0!</v>
      </c>
      <c r="I205" s="37" t="e">
        <f t="shared" si="142"/>
        <v>#DIV/0!</v>
      </c>
      <c r="J205" s="37" t="e">
        <f t="shared" si="143"/>
        <v>#DIV/0!</v>
      </c>
      <c r="K205" s="37" t="e">
        <f t="shared" si="144"/>
        <v>#DIV/0!</v>
      </c>
      <c r="L205" s="39" t="e">
        <f t="shared" si="127"/>
        <v>#DIV/0!</v>
      </c>
      <c r="M205" s="39" t="e">
        <f>M204+(1000*$C$2*(B205-B204))/(BerechnungenCLT!$W$47*2*'Berechnung freier Bereich'!G205)</f>
        <v>#DIV/0!</v>
      </c>
      <c r="N205" s="17" t="e">
        <f t="shared" si="145"/>
        <v>#DIV/0!</v>
      </c>
      <c r="O205" s="173">
        <f t="shared" si="146"/>
        <v>2644.8155615461287</v>
      </c>
      <c r="P205" s="173"/>
      <c r="Q205" s="173"/>
      <c r="R205" s="37" t="e">
        <f t="shared" si="128"/>
        <v>#DIV/0!</v>
      </c>
      <c r="S205" s="37" t="e">
        <f t="shared" si="129"/>
        <v>#DIV/0!</v>
      </c>
      <c r="T205" s="37" t="e">
        <f t="shared" si="130"/>
        <v>#DIV/0!</v>
      </c>
      <c r="U205" s="39" t="e">
        <f t="shared" si="131"/>
        <v>#DIV/0!</v>
      </c>
      <c r="V205" s="39" t="e">
        <f t="shared" si="147"/>
        <v>#DIV/0!</v>
      </c>
      <c r="W205" s="9" t="e">
        <f t="shared" si="148"/>
        <v>#DIV/0!</v>
      </c>
      <c r="AB205" s="129">
        <v>94.492563715518088</v>
      </c>
      <c r="AC205" s="9">
        <v>12.8125</v>
      </c>
      <c r="AD205" s="129">
        <f t="shared" si="149"/>
        <v>108.47363290139613</v>
      </c>
      <c r="AE205" s="36">
        <f t="shared" si="181"/>
        <v>1.5155242588403712E-2</v>
      </c>
      <c r="AF205" s="37">
        <f t="shared" si="150"/>
        <v>46124030.567064792</v>
      </c>
      <c r="AG205" s="36">
        <f t="shared" si="132"/>
        <v>1.9811543643593339</v>
      </c>
      <c r="AH205" s="37">
        <f t="shared" si="151"/>
        <v>-1.7069324930848976E-4</v>
      </c>
      <c r="AI205" s="37">
        <f t="shared" si="152"/>
        <v>-3.079458659326623E-2</v>
      </c>
      <c r="AJ205" s="37">
        <f t="shared" si="153"/>
        <v>-2.4173082809331499</v>
      </c>
      <c r="AK205" s="39">
        <f t="shared" si="154"/>
        <v>1.8515716864235608E-2</v>
      </c>
      <c r="AL205" s="39">
        <f>AL204+(1000*$C$2*($B205-$B204))/(BerechnungenCLT!$W$47*2*AF205)</f>
        <v>8.8443875512967118E-3</v>
      </c>
      <c r="AM205" s="37">
        <f t="shared" si="133"/>
        <v>2.3517813072228024E-6</v>
      </c>
      <c r="AN205" s="173">
        <f t="shared" si="155"/>
        <v>2611.0584672076502</v>
      </c>
      <c r="AO205" s="173">
        <v>-257.85315023211012</v>
      </c>
      <c r="AV205" s="129">
        <v>117.07309097485668</v>
      </c>
      <c r="AW205" s="9">
        <v>8.875</v>
      </c>
      <c r="AX205" s="129">
        <f t="shared" si="156"/>
        <v>125.98081162625783</v>
      </c>
      <c r="AY205" s="36">
        <f t="shared" si="182"/>
        <v>1.1562932270350367E-2</v>
      </c>
      <c r="AZ205" s="37">
        <f t="shared" si="157"/>
        <v>50294119.198635444</v>
      </c>
      <c r="BA205" s="36">
        <f t="shared" si="134"/>
        <v>1.994638162277393</v>
      </c>
      <c r="BB205" s="37">
        <f t="shared" si="158"/>
        <v>-1.5654038233778238E-4</v>
      </c>
      <c r="BC205" s="37">
        <f t="shared" si="159"/>
        <v>-2.7285169617055561E-2</v>
      </c>
      <c r="BD205" s="37">
        <f t="shared" si="160"/>
        <v>-2.2443089636987832</v>
      </c>
      <c r="BE205" s="39">
        <f t="shared" si="161"/>
        <v>1.972108441919854E-2</v>
      </c>
      <c r="BF205" s="39">
        <f>BF204+(1000*$C$2*($B205-$B204))/(BerechnungenCLT!$W$47*2*AZ205)</f>
        <v>7.8298033253228275E-3</v>
      </c>
      <c r="BG205" s="37">
        <f t="shared" si="135"/>
        <v>2.5048815573983823E-6</v>
      </c>
      <c r="BH205" s="173">
        <f t="shared" si="162"/>
        <v>1820.7856684841411</v>
      </c>
      <c r="BI205">
        <v>-258.70256007648868</v>
      </c>
      <c r="BP205" s="129">
        <v>87.198065645923549</v>
      </c>
      <c r="BQ205" s="9">
        <v>14.8125</v>
      </c>
      <c r="BR205" s="129">
        <f t="shared" si="163"/>
        <v>102.03212567498255</v>
      </c>
      <c r="BS205" s="36">
        <f t="shared" si="183"/>
        <v>1.4991643793195184E-2</v>
      </c>
      <c r="BT205" s="37">
        <f t="shared" si="164"/>
        <v>39714754.506443493</v>
      </c>
      <c r="BU205" s="36">
        <f t="shared" si="136"/>
        <v>1.9756437615281348</v>
      </c>
      <c r="BV205" s="37">
        <f t="shared" si="165"/>
        <v>-1.982401942688336E-4</v>
      </c>
      <c r="BW205" s="37">
        <f t="shared" si="166"/>
        <v>-3.1191868567726773E-2</v>
      </c>
      <c r="BX205" s="37">
        <f t="shared" si="167"/>
        <v>-2.4231907650545832</v>
      </c>
      <c r="BY205" s="39">
        <f t="shared" si="168"/>
        <v>2.0226868415470587E-2</v>
      </c>
      <c r="BZ205" s="39">
        <f>BZ204+(1000*$C$2*($B205-$B204))/(BerechnungenCLT!$W$47*2*BT205)</f>
        <v>8.9592431622500697E-3</v>
      </c>
      <c r="CA205" s="37">
        <f t="shared" si="137"/>
        <v>2.5691239173700148E-6</v>
      </c>
      <c r="CB205" s="173">
        <f t="shared" si="169"/>
        <v>3003.8840639948744</v>
      </c>
      <c r="CC205" s="9">
        <v>-257.38018743609632</v>
      </c>
      <c r="CJ205" s="9">
        <f t="shared" si="185"/>
        <v>154</v>
      </c>
      <c r="CK205" s="129">
        <v>92.9947703359489</v>
      </c>
      <c r="CL205" s="9">
        <v>8.5</v>
      </c>
      <c r="CM205" s="129">
        <f t="shared" si="170"/>
        <v>104.2648465540811</v>
      </c>
      <c r="CN205" s="36">
        <f t="shared" si="184"/>
        <v>1.1873091987174945E-2</v>
      </c>
      <c r="CO205" s="173">
        <f t="shared" si="171"/>
        <v>2764.3157817424913</v>
      </c>
      <c r="CP205" s="9">
        <v>-630.57509605315556</v>
      </c>
      <c r="CQ205" s="129"/>
      <c r="CR205" s="36">
        <f t="shared" si="172"/>
        <v>0.79206270013454438</v>
      </c>
      <c r="CS205" s="17">
        <f t="shared" si="138"/>
        <v>0.56939884197270041</v>
      </c>
      <c r="CT205" s="9">
        <f t="shared" si="139"/>
        <v>8.9568148441097755</v>
      </c>
      <c r="CU205" s="9">
        <f t="shared" si="173"/>
        <v>104.87053339063303</v>
      </c>
      <c r="CV205" s="9">
        <v>13.2</v>
      </c>
      <c r="CW205" s="9">
        <f t="shared" si="174"/>
        <v>110.49653575704832</v>
      </c>
      <c r="CX205">
        <f t="shared" si="175"/>
        <v>22</v>
      </c>
      <c r="CY205" s="9">
        <f t="shared" si="140"/>
        <v>575.07308192210087</v>
      </c>
      <c r="CZ205" s="17">
        <f t="shared" si="176"/>
        <v>0.54150007713945469</v>
      </c>
      <c r="DA205">
        <v>45</v>
      </c>
      <c r="DB205" s="9">
        <f t="shared" si="177"/>
        <v>9.2802597595790282</v>
      </c>
      <c r="DC205" s="9">
        <f t="shared" si="178"/>
        <v>10.072404696681202</v>
      </c>
    </row>
    <row r="206" spans="2:107" x14ac:dyDescent="0.25">
      <c r="B206" s="9">
        <f t="shared" si="179"/>
        <v>155</v>
      </c>
      <c r="C206" s="9">
        <v>101.04278676693735</v>
      </c>
      <c r="D206" s="9"/>
      <c r="E206" s="9">
        <f t="shared" si="141"/>
        <v>101.04278676693735</v>
      </c>
      <c r="F206" s="36">
        <f t="shared" si="180"/>
        <v>0</v>
      </c>
      <c r="G206" s="37">
        <f>(PI()/4)*(E206^4-C206^4)</f>
        <v>0</v>
      </c>
      <c r="H206" s="36" t="e">
        <f t="shared" si="126"/>
        <v>#DIV/0!</v>
      </c>
      <c r="I206" s="37" t="e">
        <f t="shared" si="142"/>
        <v>#DIV/0!</v>
      </c>
      <c r="J206" s="37" t="e">
        <f t="shared" si="143"/>
        <v>#DIV/0!</v>
      </c>
      <c r="K206" s="37" t="e">
        <f t="shared" si="144"/>
        <v>#DIV/0!</v>
      </c>
      <c r="L206" s="39" t="e">
        <f t="shared" si="127"/>
        <v>#DIV/0!</v>
      </c>
      <c r="M206" s="39" t="e">
        <f>M205+(1000*$C$2*(B206-B205))/(BerechnungenCLT!$W$47*2*'Berechnung freier Bereich'!G206)</f>
        <v>#DIV/0!</v>
      </c>
      <c r="N206" s="17" t="e">
        <f t="shared" si="145"/>
        <v>#DIV/0!</v>
      </c>
      <c r="O206" s="173">
        <f t="shared" si="146"/>
        <v>2633.8643334983317</v>
      </c>
      <c r="P206" s="173"/>
      <c r="Q206" s="173"/>
      <c r="R206" s="37" t="e">
        <f t="shared" si="128"/>
        <v>#DIV/0!</v>
      </c>
      <c r="S206" s="37" t="e">
        <f t="shared" si="129"/>
        <v>#DIV/0!</v>
      </c>
      <c r="T206" s="37" t="e">
        <f t="shared" si="130"/>
        <v>#DIV/0!</v>
      </c>
      <c r="U206" s="39" t="e">
        <f t="shared" si="131"/>
        <v>#DIV/0!</v>
      </c>
      <c r="V206" s="39" t="e">
        <f t="shared" si="147"/>
        <v>#DIV/0!</v>
      </c>
      <c r="W206" s="9" t="e">
        <f t="shared" si="148"/>
        <v>#DIV/0!</v>
      </c>
      <c r="AB206" s="129">
        <v>94.92928928691606</v>
      </c>
      <c r="AC206" s="9">
        <v>12.6875</v>
      </c>
      <c r="AD206" s="129">
        <f t="shared" si="149"/>
        <v>108.80909400153988</v>
      </c>
      <c r="AE206" s="36">
        <f t="shared" si="181"/>
        <v>1.5102714249921437E-2</v>
      </c>
      <c r="AF206" s="37">
        <f t="shared" si="150"/>
        <v>46309783.413898312</v>
      </c>
      <c r="AG206" s="36">
        <f t="shared" si="132"/>
        <v>1.9815640405946802</v>
      </c>
      <c r="AH206" s="37">
        <f t="shared" si="151"/>
        <v>-1.7000858281564668E-4</v>
      </c>
      <c r="AI206" s="37">
        <f t="shared" si="152"/>
        <v>-3.0964595176081876E-2</v>
      </c>
      <c r="AJ206" s="37">
        <f t="shared" si="153"/>
        <v>-2.448187871817824</v>
      </c>
      <c r="AK206" s="39">
        <f t="shared" si="154"/>
        <v>1.8498479868656277E-2</v>
      </c>
      <c r="AL206" s="39">
        <f>AL205+(1000*$C$2*($B206-$B205))/(BerechnungenCLT!$W$47*2*AF206)</f>
        <v>8.8935376289936158E-3</v>
      </c>
      <c r="AM206" s="37">
        <f t="shared" si="133"/>
        <v>2.3495919432195946E-6</v>
      </c>
      <c r="AN206" s="173">
        <f t="shared" si="155"/>
        <v>2591.3036848348188</v>
      </c>
      <c r="AO206" s="173">
        <v>-258.25668127731927</v>
      </c>
      <c r="AV206" s="129">
        <v>117.15904014975698</v>
      </c>
      <c r="AW206" s="9">
        <v>8.875</v>
      </c>
      <c r="AX206" s="129">
        <f t="shared" si="156"/>
        <v>126.0653413386656</v>
      </c>
      <c r="AY206" s="36">
        <f t="shared" si="182"/>
        <v>1.1569198684928445E-2</v>
      </c>
      <c r="AZ206" s="37">
        <f t="shared" si="157"/>
        <v>50391875.304224513</v>
      </c>
      <c r="BA206" s="36">
        <f t="shared" si="134"/>
        <v>1.9946473637887514</v>
      </c>
      <c r="BB206" s="37">
        <f t="shared" si="158"/>
        <v>-1.5623670683349958E-4</v>
      </c>
      <c r="BC206" s="37">
        <f t="shared" si="159"/>
        <v>-2.7441406323889059E-2</v>
      </c>
      <c r="BD206" s="37">
        <f t="shared" si="160"/>
        <v>-2.2716722516692553</v>
      </c>
      <c r="BE206" s="39">
        <f t="shared" si="161"/>
        <v>1.9696033776594155E-2</v>
      </c>
      <c r="BF206" s="39">
        <f>BF205+(1000*$C$2*($B206-$B205))/(BerechnungenCLT!$W$47*2*AZ206)</f>
        <v>7.8749719053603541E-3</v>
      </c>
      <c r="BG206" s="37">
        <f t="shared" si="135"/>
        <v>2.5016997398407426E-6</v>
      </c>
      <c r="BH206" s="173">
        <f t="shared" si="162"/>
        <v>1818.2341419520069</v>
      </c>
      <c r="BI206">
        <v>-258.34895324995705</v>
      </c>
      <c r="BP206" s="129">
        <v>87.252039503870691</v>
      </c>
      <c r="BQ206" s="9">
        <v>14.75</v>
      </c>
      <c r="BR206" s="129">
        <f t="shared" si="163"/>
        <v>102.02499442072259</v>
      </c>
      <c r="BS206" s="36">
        <f t="shared" si="183"/>
        <v>1.493358534423035E-2</v>
      </c>
      <c r="BT206" s="37">
        <f t="shared" si="164"/>
        <v>39578432.668816641</v>
      </c>
      <c r="BU206" s="36">
        <f t="shared" si="136"/>
        <v>1.9758540363600616</v>
      </c>
      <c r="BV206" s="37">
        <f t="shared" si="165"/>
        <v>-1.9892300219607941E-4</v>
      </c>
      <c r="BW206" s="37">
        <f t="shared" si="166"/>
        <v>-3.1390791569922853E-2</v>
      </c>
      <c r="BX206" s="37">
        <f t="shared" si="167"/>
        <v>-2.4544820951234079</v>
      </c>
      <c r="BY206" s="39">
        <f t="shared" si="168"/>
        <v>2.0295118189208389E-2</v>
      </c>
      <c r="BZ206" s="39">
        <f>BZ205+(1000*$C$2*($B206-$B205))/(BerechnungenCLT!$W$47*2*BT206)</f>
        <v>9.0167525000241569E-3</v>
      </c>
      <c r="CA206" s="37">
        <f t="shared" si="137"/>
        <v>2.5777926901361818E-6</v>
      </c>
      <c r="CB206" s="173">
        <f t="shared" si="169"/>
        <v>3002.397435255295</v>
      </c>
      <c r="CC206" s="9">
        <v>-258.34286370021704</v>
      </c>
      <c r="CJ206" s="9">
        <f t="shared" si="185"/>
        <v>155</v>
      </c>
      <c r="CK206" s="129">
        <v>93.865395279233113</v>
      </c>
      <c r="CL206" s="9">
        <v>8.34375</v>
      </c>
      <c r="CM206" s="129">
        <f t="shared" si="170"/>
        <v>105.15264424599751</v>
      </c>
      <c r="CN206" s="36">
        <f t="shared" si="184"/>
        <v>1.1997184628732224E-2</v>
      </c>
      <c r="CO206" s="173">
        <f t="shared" si="171"/>
        <v>2715.6833913065957</v>
      </c>
      <c r="CP206" s="9">
        <v>-631.0822139052359</v>
      </c>
      <c r="CQ206" s="129"/>
      <c r="CR206" s="36">
        <f t="shared" si="172"/>
        <v>0.78785282283955094</v>
      </c>
      <c r="CS206" s="17">
        <f t="shared" si="138"/>
        <v>0.56637244108775886</v>
      </c>
      <c r="CT206" s="9">
        <f t="shared" si="139"/>
        <v>8.8391483003395042</v>
      </c>
      <c r="CU206" s="9">
        <f t="shared" si="173"/>
        <v>105.82280861497355</v>
      </c>
      <c r="CV206" s="9">
        <v>13.2</v>
      </c>
      <c r="CW206" s="9">
        <f t="shared" si="174"/>
        <v>111.72207679069858</v>
      </c>
      <c r="CX206">
        <f t="shared" si="175"/>
        <v>22</v>
      </c>
      <c r="CY206" s="9">
        <f t="shared" si="140"/>
        <v>569.73913571281594</v>
      </c>
      <c r="CZ206" s="17">
        <f t="shared" si="176"/>
        <v>0.53647752891978906</v>
      </c>
      <c r="DA206">
        <v>45</v>
      </c>
      <c r="DB206" s="9">
        <f t="shared" si="177"/>
        <v>9.1941830365991599</v>
      </c>
      <c r="DC206" s="9">
        <f t="shared" si="178"/>
        <v>9.9821187270017546</v>
      </c>
    </row>
    <row r="207" spans="2:107" x14ac:dyDescent="0.25">
      <c r="B207" s="9">
        <f t="shared" si="179"/>
        <v>156</v>
      </c>
      <c r="C207" s="9">
        <v>101.25263077180854</v>
      </c>
      <c r="D207" s="9"/>
      <c r="E207" s="9">
        <f t="shared" si="141"/>
        <v>101.25263077180854</v>
      </c>
      <c r="F207" s="36">
        <f t="shared" si="180"/>
        <v>0</v>
      </c>
      <c r="G207" s="37">
        <f t="shared" ref="G207:G236" si="186">(PI()/4)*(E207^4-C207^4)</f>
        <v>0</v>
      </c>
      <c r="H207" s="36" t="e">
        <f t="shared" si="126"/>
        <v>#DIV/0!</v>
      </c>
      <c r="I207" s="37" t="e">
        <f t="shared" si="142"/>
        <v>#DIV/0!</v>
      </c>
      <c r="J207" s="37" t="e">
        <f t="shared" si="143"/>
        <v>#DIV/0!</v>
      </c>
      <c r="K207" s="37" t="e">
        <f t="shared" si="144"/>
        <v>#DIV/0!</v>
      </c>
      <c r="L207" s="39" t="e">
        <f t="shared" si="127"/>
        <v>#DIV/0!</v>
      </c>
      <c r="M207" s="39" t="e">
        <f>M206+(1000*$C$2*(B207-B206))/(BerechnungenCLT!$W$47*2*'Berechnung freier Bereich'!G207)</f>
        <v>#DIV/0!</v>
      </c>
      <c r="N207" s="17" t="e">
        <f t="shared" si="145"/>
        <v>#DIV/0!</v>
      </c>
      <c r="O207" s="173">
        <f t="shared" si="146"/>
        <v>2622.9583865527948</v>
      </c>
      <c r="P207" s="173"/>
      <c r="Q207" s="173"/>
      <c r="R207" s="37" t="e">
        <f t="shared" si="128"/>
        <v>#DIV/0!</v>
      </c>
      <c r="S207" s="37" t="e">
        <f t="shared" si="129"/>
        <v>#DIV/0!</v>
      </c>
      <c r="T207" s="37" t="e">
        <f t="shared" si="130"/>
        <v>#DIV/0!</v>
      </c>
      <c r="U207" s="39" t="e">
        <f t="shared" si="131"/>
        <v>#DIV/0!</v>
      </c>
      <c r="V207" s="39" t="e">
        <f t="shared" si="147"/>
        <v>#DIV/0!</v>
      </c>
      <c r="W207" s="9" t="e">
        <f t="shared" si="148"/>
        <v>#DIV/0!</v>
      </c>
      <c r="AB207" s="129">
        <v>95.37288906869982</v>
      </c>
      <c r="AC207" s="9">
        <v>12.5625</v>
      </c>
      <c r="AD207" s="129">
        <f t="shared" si="149"/>
        <v>109.1492547228945</v>
      </c>
      <c r="AE207" s="36">
        <f t="shared" si="181"/>
        <v>1.5047827074287243E-2</v>
      </c>
      <c r="AF207" s="37">
        <f t="shared" si="150"/>
        <v>46492359.094165519</v>
      </c>
      <c r="AG207" s="36">
        <f t="shared" si="132"/>
        <v>1.9819739441321327</v>
      </c>
      <c r="AH207" s="37">
        <f t="shared" si="151"/>
        <v>-1.6934095843040172E-4</v>
      </c>
      <c r="AI207" s="37">
        <f t="shared" si="152"/>
        <v>-3.1133936134512277E-2</v>
      </c>
      <c r="AJ207" s="37">
        <f t="shared" si="153"/>
        <v>-2.4792371374731212</v>
      </c>
      <c r="AK207" s="39">
        <f t="shared" si="154"/>
        <v>1.8483439406739004E-2</v>
      </c>
      <c r="AL207" s="39">
        <f>AL206+(1000*$C$2*($B207-$B206))/(BerechnungenCLT!$W$47*2*AF207)</f>
        <v>8.942494694138662E-3</v>
      </c>
      <c r="AM207" s="37">
        <f t="shared" si="133"/>
        <v>2.3476815728327283E-6</v>
      </c>
      <c r="AN207" s="173">
        <f t="shared" si="155"/>
        <v>2571.4811857850987</v>
      </c>
      <c r="AO207" s="173">
        <v>-258.66181244636812</v>
      </c>
      <c r="AV207" s="129">
        <v>117.24310100887001</v>
      </c>
      <c r="AW207" s="9">
        <v>8.875</v>
      </c>
      <c r="AX207" s="129">
        <f t="shared" si="156"/>
        <v>126.14805848195712</v>
      </c>
      <c r="AY207" s="36">
        <f t="shared" si="182"/>
        <v>1.1575384968337281E-2</v>
      </c>
      <c r="AZ207" s="37">
        <f t="shared" si="157"/>
        <v>50487875.54500331</v>
      </c>
      <c r="BA207" s="36">
        <f t="shared" si="134"/>
        <v>1.994656291671054</v>
      </c>
      <c r="BB207" s="37">
        <f t="shared" si="158"/>
        <v>-1.5593963033121868E-4</v>
      </c>
      <c r="BC207" s="37">
        <f t="shared" si="159"/>
        <v>-2.7597345954220278E-2</v>
      </c>
      <c r="BD207" s="37">
        <f t="shared" si="160"/>
        <v>-2.2991916278083102</v>
      </c>
      <c r="BE207" s="39">
        <f t="shared" si="161"/>
        <v>1.9671481606677348E-2</v>
      </c>
      <c r="BF207" s="39">
        <f>BF206+(1000*$C$2*($B207-$B206))/(BerechnungenCLT!$W$47*2*AZ207)</f>
        <v>7.9200545995389005E-3</v>
      </c>
      <c r="BG207" s="37">
        <f t="shared" si="135"/>
        <v>2.4985812359942277E-6</v>
      </c>
      <c r="BH207" s="173">
        <f t="shared" si="162"/>
        <v>1815.7431922869923</v>
      </c>
      <c r="BI207">
        <v>-258.01035367073513</v>
      </c>
      <c r="BP207" s="129">
        <v>87.307851268410289</v>
      </c>
      <c r="BQ207" s="9">
        <v>14.75</v>
      </c>
      <c r="BR207" s="129">
        <f t="shared" si="163"/>
        <v>102.08236495610157</v>
      </c>
      <c r="BS207" s="36">
        <f t="shared" si="183"/>
        <v>1.494409186689219E-2</v>
      </c>
      <c r="BT207" s="37">
        <f t="shared" si="164"/>
        <v>39653422.822413646</v>
      </c>
      <c r="BU207" s="36">
        <f t="shared" si="136"/>
        <v>1.9758775825919521</v>
      </c>
      <c r="BV207" s="37">
        <f t="shared" si="165"/>
        <v>-1.9854681105224123E-4</v>
      </c>
      <c r="BW207" s="37">
        <f t="shared" si="166"/>
        <v>-3.1589338380975093E-2</v>
      </c>
      <c r="BX207" s="37">
        <f t="shared" si="167"/>
        <v>-2.4859721600988567</v>
      </c>
      <c r="BY207" s="39">
        <f t="shared" si="168"/>
        <v>2.026812802670503E-2</v>
      </c>
      <c r="BZ207" s="39">
        <f>BZ206+(1000*$C$2*($B207-$B206))/(BerechnungenCLT!$W$47*2*BT207)</f>
        <v>9.0741530796188494E-3</v>
      </c>
      <c r="CA207" s="37">
        <f t="shared" si="137"/>
        <v>2.5743645236698375E-6</v>
      </c>
      <c r="CB207" s="173">
        <f t="shared" si="169"/>
        <v>2998.8099563068731</v>
      </c>
      <c r="CC207" s="9">
        <v>-258.03417719052425</v>
      </c>
      <c r="CJ207" s="9">
        <f t="shared" si="185"/>
        <v>156</v>
      </c>
      <c r="CK207" s="129">
        <v>94.776444541751104</v>
      </c>
      <c r="CL207" s="9">
        <v>8.1875</v>
      </c>
      <c r="CM207" s="129">
        <f t="shared" si="170"/>
        <v>106.05433841980091</v>
      </c>
      <c r="CN207" s="36">
        <f t="shared" si="184"/>
        <v>1.2096426172082675E-2</v>
      </c>
      <c r="CO207" s="173">
        <f t="shared" si="171"/>
        <v>2666.8799174862111</v>
      </c>
      <c r="CP207" s="9">
        <v>-631.56817158291335</v>
      </c>
      <c r="CQ207" s="129"/>
      <c r="CR207" s="36">
        <f t="shared" si="172"/>
        <v>0.78360709953701191</v>
      </c>
      <c r="CS207" s="17">
        <f t="shared" si="138"/>
        <v>0.56332027118834105</v>
      </c>
      <c r="CT207" s="9">
        <f t="shared" si="139"/>
        <v>8.7206164082058208</v>
      </c>
      <c r="CU207" s="9">
        <f t="shared" si="173"/>
        <v>106.7886810489786</v>
      </c>
      <c r="CV207" s="9">
        <v>13.2</v>
      </c>
      <c r="CW207" s="9">
        <f t="shared" si="174"/>
        <v>112.95882001537035</v>
      </c>
      <c r="CX207">
        <f t="shared" si="175"/>
        <v>22</v>
      </c>
      <c r="CY207" s="9">
        <f t="shared" si="140"/>
        <v>564.26245401275332</v>
      </c>
      <c r="CZ207" s="17">
        <f t="shared" si="176"/>
        <v>0.5313205781664343</v>
      </c>
      <c r="DA207">
        <v>45</v>
      </c>
      <c r="DB207" s="9">
        <f t="shared" si="177"/>
        <v>9.105802915194003</v>
      </c>
      <c r="DC207" s="9">
        <f t="shared" si="178"/>
        <v>9.8894965374806247</v>
      </c>
    </row>
    <row r="208" spans="2:107" x14ac:dyDescent="0.25">
      <c r="B208" s="9">
        <f t="shared" si="179"/>
        <v>157</v>
      </c>
      <c r="C208" s="9">
        <v>101.46291633659187</v>
      </c>
      <c r="D208" s="9"/>
      <c r="E208" s="9">
        <f t="shared" si="141"/>
        <v>101.46291633659187</v>
      </c>
      <c r="F208" s="36">
        <f t="shared" si="180"/>
        <v>0</v>
      </c>
      <c r="G208" s="37">
        <f t="shared" si="186"/>
        <v>0</v>
      </c>
      <c r="H208" s="36" t="e">
        <f t="shared" si="126"/>
        <v>#DIV/0!</v>
      </c>
      <c r="I208" s="37" t="e">
        <f t="shared" si="142"/>
        <v>#DIV/0!</v>
      </c>
      <c r="J208" s="37" t="e">
        <f t="shared" si="143"/>
        <v>#DIV/0!</v>
      </c>
      <c r="K208" s="37" t="e">
        <f t="shared" si="144"/>
        <v>#DIV/0!</v>
      </c>
      <c r="L208" s="39" t="e">
        <f t="shared" si="127"/>
        <v>#DIV/0!</v>
      </c>
      <c r="M208" s="39" t="e">
        <f>M207+(1000*$C$2*(B208-B207))/(BerechnungenCLT!$W$47*2*'Berechnung freier Bereich'!G208)</f>
        <v>#DIV/0!</v>
      </c>
      <c r="N208" s="17" t="e">
        <f t="shared" si="145"/>
        <v>#DIV/0!</v>
      </c>
      <c r="O208" s="173">
        <f t="shared" si="146"/>
        <v>2612.0973009280578</v>
      </c>
      <c r="P208" s="173"/>
      <c r="Q208" s="173"/>
      <c r="R208" s="37" t="e">
        <f t="shared" si="128"/>
        <v>#DIV/0!</v>
      </c>
      <c r="S208" s="37" t="e">
        <f t="shared" si="129"/>
        <v>#DIV/0!</v>
      </c>
      <c r="T208" s="37" t="e">
        <f t="shared" si="130"/>
        <v>#DIV/0!</v>
      </c>
      <c r="U208" s="39" t="e">
        <f t="shared" si="131"/>
        <v>#DIV/0!</v>
      </c>
      <c r="V208" s="39" t="e">
        <f t="shared" si="147"/>
        <v>#DIV/0!</v>
      </c>
      <c r="W208" s="9" t="e">
        <f t="shared" si="148"/>
        <v>#DIV/0!</v>
      </c>
      <c r="AB208" s="129">
        <v>95.822987781043977</v>
      </c>
      <c r="AC208" s="9">
        <v>12.4375</v>
      </c>
      <c r="AD208" s="129">
        <f t="shared" si="149"/>
        <v>109.49371185888054</v>
      </c>
      <c r="AE208" s="36">
        <f t="shared" si="181"/>
        <v>1.499044711146348E-2</v>
      </c>
      <c r="AF208" s="37">
        <f t="shared" si="150"/>
        <v>46670812.564659111</v>
      </c>
      <c r="AG208" s="36">
        <f t="shared" si="132"/>
        <v>1.9823837348808844</v>
      </c>
      <c r="AH208" s="37">
        <f t="shared" si="151"/>
        <v>-1.6869345563222889E-4</v>
      </c>
      <c r="AI208" s="37">
        <f t="shared" si="152"/>
        <v>-3.1302629590144508E-2</v>
      </c>
      <c r="AJ208" s="37">
        <f t="shared" si="153"/>
        <v>-2.5104554203354494</v>
      </c>
      <c r="AK208" s="39">
        <f t="shared" si="154"/>
        <v>1.8470872623474119E-2</v>
      </c>
      <c r="AL208" s="39">
        <f>AL207+(1000*$C$2*($B208-$B207))/(BerechnungenCLT!$W$47*2*AF208)</f>
        <v>8.9912645639532596E-3</v>
      </c>
      <c r="AM208" s="37">
        <f t="shared" si="133"/>
        <v>2.3460853977458554E-6</v>
      </c>
      <c r="AN208" s="173">
        <f t="shared" si="155"/>
        <v>2551.6169277559129</v>
      </c>
      <c r="AO208" s="173">
        <v>-259.07232506181992</v>
      </c>
      <c r="AV208" s="129">
        <v>117.32533466246058</v>
      </c>
      <c r="AW208" s="9">
        <v>8.875</v>
      </c>
      <c r="AX208" s="129">
        <f t="shared" si="156"/>
        <v>126.22902123729607</v>
      </c>
      <c r="AY208" s="36">
        <f t="shared" si="182"/>
        <v>1.1581493265169758E-2</v>
      </c>
      <c r="AZ208" s="37">
        <f t="shared" si="157"/>
        <v>50582171.761003427</v>
      </c>
      <c r="BA208" s="36">
        <f t="shared" si="134"/>
        <v>1.9946649562568337</v>
      </c>
      <c r="BB208" s="37">
        <f t="shared" si="158"/>
        <v>-1.5564892480093484E-4</v>
      </c>
      <c r="BC208" s="37">
        <f t="shared" si="159"/>
        <v>-2.7752994879021213E-2</v>
      </c>
      <c r="BD208" s="37">
        <f t="shared" si="160"/>
        <v>-2.3268667982249309</v>
      </c>
      <c r="BE208" s="39">
        <f t="shared" si="161"/>
        <v>1.9647411434259503E-2</v>
      </c>
      <c r="BF208" s="39">
        <f>BF207+(1000*$C$2*($B208-$B207))/(BerechnungenCLT!$W$47*2*AZ208)</f>
        <v>7.9650532497288224E-3</v>
      </c>
      <c r="BG208" s="37">
        <f t="shared" si="135"/>
        <v>2.4955239532560551E-6</v>
      </c>
      <c r="BH208" s="173">
        <f t="shared" si="162"/>
        <v>1813.3106881326037</v>
      </c>
      <c r="BI208">
        <v>-257.68607925716975</v>
      </c>
      <c r="BP208" s="129">
        <v>87.365528403545355</v>
      </c>
      <c r="BQ208" s="9">
        <v>14.75</v>
      </c>
      <c r="BR208" s="129">
        <f t="shared" si="163"/>
        <v>102.14167601440073</v>
      </c>
      <c r="BS208" s="36">
        <f t="shared" si="183"/>
        <v>1.4954976676758353E-2</v>
      </c>
      <c r="BT208" s="37">
        <f t="shared" si="164"/>
        <v>39731101.036069781</v>
      </c>
      <c r="BU208" s="36">
        <f t="shared" si="136"/>
        <v>1.9759018058249149</v>
      </c>
      <c r="BV208" s="37">
        <f t="shared" si="165"/>
        <v>-1.9815863249168089E-4</v>
      </c>
      <c r="BW208" s="37">
        <f t="shared" si="166"/>
        <v>-3.1787497013466774E-2</v>
      </c>
      <c r="BX208" s="37">
        <f t="shared" si="167"/>
        <v>-2.5176605777960774</v>
      </c>
      <c r="BY208" s="39">
        <f t="shared" si="168"/>
        <v>2.0240254839421972E-2</v>
      </c>
      <c r="BZ208" s="39">
        <f>BZ207+(1000*$C$2*($B208-$B207))/(BerechnungenCLT!$W$47*2*BT208)</f>
        <v>9.1314414354299201E-3</v>
      </c>
      <c r="CA208" s="37">
        <f t="shared" si="137"/>
        <v>2.5708241994520029E-6</v>
      </c>
      <c r="CB208" s="173">
        <f t="shared" si="169"/>
        <v>2995.1085975846431</v>
      </c>
      <c r="CC208" s="9">
        <v>-257.71569183590248</v>
      </c>
      <c r="CJ208" s="9">
        <f t="shared" si="185"/>
        <v>157</v>
      </c>
      <c r="CK208" s="129">
        <v>95.723743811260377</v>
      </c>
      <c r="CL208" s="9">
        <v>8.046875</v>
      </c>
      <c r="CM208" s="129">
        <f t="shared" si="170"/>
        <v>106.98699852907782</v>
      </c>
      <c r="CN208" s="36">
        <f t="shared" si="184"/>
        <v>1.2193811128718585E-2</v>
      </c>
      <c r="CO208" s="173">
        <f t="shared" si="171"/>
        <v>2617.6434791481429</v>
      </c>
      <c r="CP208" s="9">
        <v>-630.74138569212369</v>
      </c>
      <c r="CQ208" s="129"/>
      <c r="CR208" s="36">
        <f t="shared" si="172"/>
        <v>0.77924774628601301</v>
      </c>
      <c r="CS208" s="17">
        <f t="shared" si="138"/>
        <v>0.56018641487564369</v>
      </c>
      <c r="CT208" s="9">
        <f t="shared" si="139"/>
        <v>8.6187827333724254</v>
      </c>
      <c r="CU208" s="9">
        <f t="shared" si="173"/>
        <v>107.78750089503519</v>
      </c>
      <c r="CV208" s="9">
        <v>13.2</v>
      </c>
      <c r="CW208" s="9">
        <f t="shared" si="174"/>
        <v>114.19985562798306</v>
      </c>
      <c r="CX208">
        <f t="shared" si="175"/>
        <v>22</v>
      </c>
      <c r="CY208" s="9">
        <f t="shared" si="140"/>
        <v>558.67841196408756</v>
      </c>
      <c r="CZ208" s="17">
        <f t="shared" si="176"/>
        <v>0.52606253480610887</v>
      </c>
      <c r="DA208">
        <v>45</v>
      </c>
      <c r="DB208" s="9">
        <f t="shared" si="177"/>
        <v>9.0156902628215008</v>
      </c>
      <c r="DC208" s="9">
        <f t="shared" si="178"/>
        <v>9.7950193757910835</v>
      </c>
    </row>
    <row r="209" spans="2:107" x14ac:dyDescent="0.25">
      <c r="B209" s="9">
        <f t="shared" si="179"/>
        <v>158</v>
      </c>
      <c r="C209" s="9">
        <v>101.67364889389488</v>
      </c>
      <c r="D209" s="9"/>
      <c r="E209" s="9">
        <f t="shared" si="141"/>
        <v>101.67364889389488</v>
      </c>
      <c r="F209" s="36">
        <f t="shared" si="180"/>
        <v>0</v>
      </c>
      <c r="G209" s="37">
        <f t="shared" si="186"/>
        <v>0</v>
      </c>
      <c r="H209" s="36" t="e">
        <f t="shared" si="126"/>
        <v>#DIV/0!</v>
      </c>
      <c r="I209" s="37" t="e">
        <f t="shared" si="142"/>
        <v>#DIV/0!</v>
      </c>
      <c r="J209" s="37" t="e">
        <f t="shared" si="143"/>
        <v>#DIV/0!</v>
      </c>
      <c r="K209" s="37" t="e">
        <f t="shared" si="144"/>
        <v>#DIV/0!</v>
      </c>
      <c r="L209" s="39" t="e">
        <f t="shared" si="127"/>
        <v>#DIV/0!</v>
      </c>
      <c r="M209" s="39" t="e">
        <f>M208+(1000*$C$2*(B209-B208))/(BerechnungenCLT!$W$47*2*'Berechnung freier Bereich'!G209)</f>
        <v>#DIV/0!</v>
      </c>
      <c r="N209" s="17" t="e">
        <f t="shared" si="145"/>
        <v>#DIV/0!</v>
      </c>
      <c r="O209" s="173">
        <f t="shared" si="146"/>
        <v>2601.2806634895369</v>
      </c>
      <c r="P209" s="173"/>
      <c r="Q209" s="173"/>
      <c r="R209" s="37" t="e">
        <f t="shared" si="128"/>
        <v>#DIV/0!</v>
      </c>
      <c r="S209" s="37" t="e">
        <f t="shared" si="129"/>
        <v>#DIV/0!</v>
      </c>
      <c r="T209" s="37" t="e">
        <f t="shared" si="130"/>
        <v>#DIV/0!</v>
      </c>
      <c r="U209" s="39" t="e">
        <f t="shared" si="131"/>
        <v>#DIV/0!</v>
      </c>
      <c r="V209" s="39" t="e">
        <f t="shared" si="147"/>
        <v>#DIV/0!</v>
      </c>
      <c r="W209" s="9" t="e">
        <f t="shared" si="148"/>
        <v>#DIV/0!</v>
      </c>
      <c r="AB209" s="129">
        <v>96.279210144123212</v>
      </c>
      <c r="AC209" s="9">
        <v>12.375</v>
      </c>
      <c r="AD209" s="129">
        <f t="shared" si="149"/>
        <v>109.91091698869671</v>
      </c>
      <c r="AE209" s="36">
        <f t="shared" si="181"/>
        <v>1.5011251399477336E-2</v>
      </c>
      <c r="AF209" s="37">
        <f t="shared" si="150"/>
        <v>47131126.198210068</v>
      </c>
      <c r="AG209" s="36">
        <f t="shared" si="132"/>
        <v>1.9826306076684579</v>
      </c>
      <c r="AH209" s="37">
        <f t="shared" si="151"/>
        <v>-1.6704588419097429E-4</v>
      </c>
      <c r="AI209" s="37">
        <f t="shared" si="152"/>
        <v>-3.1469675474335483E-2</v>
      </c>
      <c r="AJ209" s="37">
        <f t="shared" si="153"/>
        <v>-2.5418415728676895</v>
      </c>
      <c r="AK209" s="39">
        <f t="shared" si="154"/>
        <v>1.8360166310617619E-2</v>
      </c>
      <c r="AL209" s="39">
        <f>AL208+(1000*$C$2*($B209-$B208))/(BerechnungenCLT!$W$47*2*AF209)</f>
        <v>9.039558115084367E-3</v>
      </c>
      <c r="AM209" s="37">
        <f t="shared" si="133"/>
        <v>2.332023990397897E-6</v>
      </c>
      <c r="AN209" s="173">
        <f t="shared" si="155"/>
        <v>2530.0452638922006</v>
      </c>
      <c r="AO209" s="173">
        <v>-258.00720861411457</v>
      </c>
      <c r="AV209" s="129">
        <v>117.40580222079343</v>
      </c>
      <c r="AW209" s="9">
        <v>8.875</v>
      </c>
      <c r="AX209" s="129">
        <f t="shared" si="156"/>
        <v>126.30828788146097</v>
      </c>
      <c r="AY209" s="36">
        <f t="shared" si="182"/>
        <v>1.1587525827001318E-2</v>
      </c>
      <c r="AZ209" s="37">
        <f t="shared" si="157"/>
        <v>50674816.708079584</v>
      </c>
      <c r="BA209" s="36">
        <f t="shared" si="134"/>
        <v>1.9946733676527213</v>
      </c>
      <c r="BB209" s="37">
        <f t="shared" si="158"/>
        <v>-1.5536436360589961E-4</v>
      </c>
      <c r="BC209" s="37">
        <f t="shared" si="159"/>
        <v>-2.7908359242627113E-2</v>
      </c>
      <c r="BD209" s="37">
        <f t="shared" si="160"/>
        <v>-2.354697475285755</v>
      </c>
      <c r="BE209" s="39">
        <f t="shared" si="161"/>
        <v>1.9623806764853945E-2</v>
      </c>
      <c r="BF209" s="39">
        <f>BF208+(1000*$C$2*($B209-$B208))/(BerechnungenCLT!$W$47*2*AZ209)</f>
        <v>8.0099696322789935E-3</v>
      </c>
      <c r="BG209" s="37">
        <f t="shared" si="135"/>
        <v>2.4925257965722921E-6</v>
      </c>
      <c r="BH209" s="173">
        <f t="shared" si="162"/>
        <v>1810.9345200858975</v>
      </c>
      <c r="BI209">
        <v>-257.37545504602593</v>
      </c>
      <c r="BP209" s="129">
        <v>87.425098373278857</v>
      </c>
      <c r="BQ209" s="9">
        <v>14.75</v>
      </c>
      <c r="BR209" s="129">
        <f t="shared" si="163"/>
        <v>102.20295733068698</v>
      </c>
      <c r="BS209" s="36">
        <f t="shared" si="183"/>
        <v>1.496624682873531E-2</v>
      </c>
      <c r="BT209" s="37">
        <f t="shared" si="164"/>
        <v>39811520.196539328</v>
      </c>
      <c r="BU209" s="36">
        <f t="shared" si="136"/>
        <v>1.9759267093782347</v>
      </c>
      <c r="BV209" s="37">
        <f t="shared" si="165"/>
        <v>-1.9775835260319374E-4</v>
      </c>
      <c r="BW209" s="37">
        <f t="shared" si="166"/>
        <v>-3.198525536606997E-2</v>
      </c>
      <c r="BX209" s="37">
        <f t="shared" si="167"/>
        <v>-2.5495469539858457</v>
      </c>
      <c r="BY209" s="39">
        <f t="shared" si="168"/>
        <v>2.021148847289116E-2</v>
      </c>
      <c r="BZ209" s="39">
        <f>BZ208+(1000*$C$2*($B209-$B208))/(BerechnungenCLT!$W$47*2*BT209)</f>
        <v>9.1886140689210125E-3</v>
      </c>
      <c r="CA209" s="37">
        <f t="shared" si="137"/>
        <v>2.5671704277087897E-6</v>
      </c>
      <c r="CB209" s="173">
        <f t="shared" si="169"/>
        <v>2991.2922067688905</v>
      </c>
      <c r="CC209" s="9">
        <v>-257.38730848439695</v>
      </c>
      <c r="CJ209" s="9">
        <f t="shared" si="185"/>
        <v>158</v>
      </c>
      <c r="CK209" s="129">
        <v>96.703118775518433</v>
      </c>
      <c r="CL209" s="9">
        <v>7.890625</v>
      </c>
      <c r="CM209" s="129">
        <f t="shared" si="170"/>
        <v>107.90281973220266</v>
      </c>
      <c r="CN209" s="36">
        <f t="shared" si="184"/>
        <v>1.2238366516434991E-2</v>
      </c>
      <c r="CO209" s="173">
        <f t="shared" si="171"/>
        <v>2569.3753582199902</v>
      </c>
      <c r="CP209" s="9">
        <v>-631.37042966505123</v>
      </c>
      <c r="CQ209" s="129"/>
      <c r="CR209" s="36">
        <f t="shared" si="172"/>
        <v>0.77499920548191237</v>
      </c>
      <c r="CS209" s="17">
        <f t="shared" si="138"/>
        <v>0.55713221952782876</v>
      </c>
      <c r="CT209" s="9">
        <f t="shared" si="139"/>
        <v>8.4977584028660154</v>
      </c>
      <c r="CU209" s="9">
        <f t="shared" si="173"/>
        <v>108.76456548148279</v>
      </c>
      <c r="CV209" s="9">
        <v>13.2</v>
      </c>
      <c r="CW209" s="9">
        <f t="shared" si="174"/>
        <v>115.43877693038345</v>
      </c>
      <c r="CX209">
        <f t="shared" si="175"/>
        <v>22</v>
      </c>
      <c r="CY209" s="9">
        <f t="shared" si="140"/>
        <v>553.02031472092403</v>
      </c>
      <c r="CZ209" s="17">
        <f t="shared" si="176"/>
        <v>0.52073475962422233</v>
      </c>
      <c r="DA209">
        <v>45</v>
      </c>
      <c r="DB209" s="9">
        <f t="shared" si="177"/>
        <v>8.9243825424427037</v>
      </c>
      <c r="DC209" s="9">
        <f t="shared" si="178"/>
        <v>9.6994651182864526</v>
      </c>
    </row>
    <row r="210" spans="2:107" x14ac:dyDescent="0.25">
      <c r="B210" s="9">
        <f t="shared" si="179"/>
        <v>159</v>
      </c>
      <c r="C210" s="9">
        <v>101.88483387632508</v>
      </c>
      <c r="D210" s="9"/>
      <c r="E210" s="9">
        <f t="shared" si="141"/>
        <v>101.88483387632508</v>
      </c>
      <c r="F210" s="36">
        <f t="shared" si="180"/>
        <v>0</v>
      </c>
      <c r="G210" s="37">
        <f t="shared" si="186"/>
        <v>0</v>
      </c>
      <c r="H210" s="36" t="e">
        <f t="shared" si="126"/>
        <v>#DIV/0!</v>
      </c>
      <c r="I210" s="37" t="e">
        <f t="shared" si="142"/>
        <v>#DIV/0!</v>
      </c>
      <c r="J210" s="37" t="e">
        <f t="shared" si="143"/>
        <v>#DIV/0!</v>
      </c>
      <c r="K210" s="37" t="e">
        <f t="shared" si="144"/>
        <v>#DIV/0!</v>
      </c>
      <c r="L210" s="39" t="e">
        <f t="shared" si="127"/>
        <v>#DIV/0!</v>
      </c>
      <c r="M210" s="39" t="e">
        <f>M209+(1000*$C$2*(B210-B209))/(BerechnungenCLT!$W$47*2*'Berechnung freier Bereich'!G210)</f>
        <v>#DIV/0!</v>
      </c>
      <c r="N210" s="17" t="e">
        <f t="shared" si="145"/>
        <v>#DIV/0!</v>
      </c>
      <c r="O210" s="173">
        <f t="shared" si="146"/>
        <v>2590.5080676544353</v>
      </c>
      <c r="P210" s="173"/>
      <c r="Q210" s="173"/>
      <c r="R210" s="37" t="e">
        <f t="shared" si="128"/>
        <v>#DIV/0!</v>
      </c>
      <c r="S210" s="37" t="e">
        <f t="shared" si="129"/>
        <v>#DIV/0!</v>
      </c>
      <c r="T210" s="37" t="e">
        <f t="shared" si="130"/>
        <v>#DIV/0!</v>
      </c>
      <c r="U210" s="39" t="e">
        <f t="shared" si="131"/>
        <v>#DIV/0!</v>
      </c>
      <c r="V210" s="39" t="e">
        <f t="shared" si="147"/>
        <v>#DIV/0!</v>
      </c>
      <c r="W210" s="9" t="e">
        <f t="shared" si="148"/>
        <v>#DIV/0!</v>
      </c>
      <c r="AB210" s="129">
        <v>96.741180878112118</v>
      </c>
      <c r="AC210" s="9">
        <v>12.25</v>
      </c>
      <c r="AD210" s="129">
        <f t="shared" si="149"/>
        <v>110.26292959141783</v>
      </c>
      <c r="AE210" s="36">
        <f t="shared" si="181"/>
        <v>1.4948947758148277E-2</v>
      </c>
      <c r="AF210" s="37">
        <f t="shared" si="150"/>
        <v>47301921.538970858</v>
      </c>
      <c r="AG210" s="36">
        <f t="shared" si="132"/>
        <v>1.9830412020870329</v>
      </c>
      <c r="AH210" s="37">
        <f t="shared" si="151"/>
        <v>-1.6644272352043832E-4</v>
      </c>
      <c r="AI210" s="37">
        <f t="shared" si="152"/>
        <v>-3.1636118197855924E-2</v>
      </c>
      <c r="AJ210" s="37">
        <f t="shared" si="153"/>
        <v>-2.5733944697037852</v>
      </c>
      <c r="AK210" s="39">
        <f t="shared" si="154"/>
        <v>1.8352462304537916E-2</v>
      </c>
      <c r="AL210" s="39">
        <f>AL209+(1000*$C$2*($B210-$B209))/(BerechnungenCLT!$W$47*2*AF210)</f>
        <v>9.0876772903496824E-3</v>
      </c>
      <c r="AM210" s="37">
        <f t="shared" si="133"/>
        <v>2.3310454629327266E-6</v>
      </c>
      <c r="AN210" s="173">
        <f t="shared" si="155"/>
        <v>2510.1870527945343</v>
      </c>
      <c r="AO210" s="173">
        <v>-258.42410878815122</v>
      </c>
      <c r="AV210" s="129">
        <v>117.48456479413345</v>
      </c>
      <c r="AW210" s="9">
        <v>8.8125</v>
      </c>
      <c r="AX210" s="129">
        <f t="shared" si="156"/>
        <v>126.32323120972532</v>
      </c>
      <c r="AY210" s="36">
        <f t="shared" si="182"/>
        <v>1.1508881697638204E-2</v>
      </c>
      <c r="AZ210" s="37">
        <f t="shared" si="157"/>
        <v>50368589.791046366</v>
      </c>
      <c r="BA210" s="36">
        <f t="shared" si="134"/>
        <v>1.9947533414830403</v>
      </c>
      <c r="BB210" s="37">
        <f t="shared" si="158"/>
        <v>-1.5630893541704688E-4</v>
      </c>
      <c r="BC210" s="37">
        <f t="shared" si="159"/>
        <v>-2.806466817804416E-2</v>
      </c>
      <c r="BD210" s="37">
        <f t="shared" si="160"/>
        <v>-2.3826839889960905</v>
      </c>
      <c r="BE210" s="39">
        <f t="shared" si="161"/>
        <v>1.9745449788833636E-2</v>
      </c>
      <c r="BF210" s="39">
        <f>BF209+(1000*$C$2*($B210-$B209))/(BerechnungenCLT!$W$47*2*AZ210)</f>
        <v>8.0551590938534087E-3</v>
      </c>
      <c r="BG210" s="37">
        <f t="shared" si="135"/>
        <v>2.5079763347311507E-6</v>
      </c>
      <c r="BH210" s="173">
        <f t="shared" si="162"/>
        <v>1809.5427463681383</v>
      </c>
      <c r="BI210">
        <v>-259.03372532576498</v>
      </c>
      <c r="BP210" s="129">
        <v>87.486588641613793</v>
      </c>
      <c r="BQ210" s="9">
        <v>14.6875</v>
      </c>
      <c r="BR210" s="129">
        <f t="shared" si="163"/>
        <v>102.20361303537348</v>
      </c>
      <c r="BS210" s="36">
        <f t="shared" si="183"/>
        <v>1.4909521378589469E-2</v>
      </c>
      <c r="BT210" s="37">
        <f t="shared" si="164"/>
        <v>39684501.395755455</v>
      </c>
      <c r="BU210" s="36">
        <f t="shared" si="136"/>
        <v>1.9761382295970178</v>
      </c>
      <c r="BV210" s="37">
        <f t="shared" si="165"/>
        <v>-1.9839132083787435E-4</v>
      </c>
      <c r="BW210" s="37">
        <f t="shared" si="166"/>
        <v>-3.2183646686907846E-2</v>
      </c>
      <c r="BX210" s="37">
        <f t="shared" si="167"/>
        <v>-2.5816314050123346</v>
      </c>
      <c r="BY210" s="39">
        <f t="shared" si="168"/>
        <v>2.0276309784490739E-2</v>
      </c>
      <c r="BZ210" s="39">
        <f>BZ209+(1000*$C$2*($B210-$B209))/(BerechnungenCLT!$W$47*2*BT210)</f>
        <v>9.2459696957492583E-3</v>
      </c>
      <c r="CA210" s="37">
        <f t="shared" si="137"/>
        <v>2.5754037329622315E-6</v>
      </c>
      <c r="CB210" s="173">
        <f t="shared" si="169"/>
        <v>2989.3325239644973</v>
      </c>
      <c r="CC210" s="9">
        <v>-258.31323415091219</v>
      </c>
      <c r="CJ210" s="9">
        <f t="shared" si="185"/>
        <v>159</v>
      </c>
      <c r="CK210" s="129">
        <v>97.710395122282776</v>
      </c>
      <c r="CL210" s="9">
        <v>7.75</v>
      </c>
      <c r="CM210" s="129">
        <f t="shared" si="170"/>
        <v>108.84174806153905</v>
      </c>
      <c r="CN210" s="36">
        <f t="shared" si="184"/>
        <v>1.2279380377709427E-2</v>
      </c>
      <c r="CO210" s="173">
        <f t="shared" si="171"/>
        <v>2521.1844083733954</v>
      </c>
      <c r="CP210" s="9">
        <v>-630.76995310165614</v>
      </c>
      <c r="CQ210" s="129"/>
      <c r="CR210" s="36">
        <f t="shared" si="172"/>
        <v>0.77067672773292428</v>
      </c>
      <c r="CS210" s="17">
        <f t="shared" si="138"/>
        <v>0.55402487231363917</v>
      </c>
      <c r="CT210" s="9">
        <f t="shared" si="139"/>
        <v>8.3931249883806416</v>
      </c>
      <c r="CU210" s="9">
        <f t="shared" si="173"/>
        <v>109.76547080085777</v>
      </c>
      <c r="CV210" s="9">
        <v>13.2</v>
      </c>
      <c r="CW210" s="9">
        <f t="shared" si="174"/>
        <v>116.66960270914508</v>
      </c>
      <c r="CX210">
        <f t="shared" si="175"/>
        <v>22</v>
      </c>
      <c r="CY210" s="9">
        <f t="shared" si="140"/>
        <v>547.31934215192121</v>
      </c>
      <c r="CZ210" s="17">
        <f t="shared" si="176"/>
        <v>0.51536661219578273</v>
      </c>
      <c r="DA210">
        <v>45</v>
      </c>
      <c r="DB210" s="9">
        <f t="shared" si="177"/>
        <v>8.832382920158615</v>
      </c>
      <c r="DC210" s="9">
        <f t="shared" si="178"/>
        <v>9.6031365723743498</v>
      </c>
    </row>
    <row r="211" spans="2:107" x14ac:dyDescent="0.25">
      <c r="B211" s="9">
        <f t="shared" si="179"/>
        <v>160</v>
      </c>
      <c r="C211" s="9">
        <v>102.09647671649</v>
      </c>
      <c r="D211" s="9"/>
      <c r="E211" s="9">
        <f t="shared" si="141"/>
        <v>102.09647671649</v>
      </c>
      <c r="F211" s="36">
        <f t="shared" si="180"/>
        <v>0</v>
      </c>
      <c r="G211" s="37">
        <f t="shared" si="186"/>
        <v>0</v>
      </c>
      <c r="H211" s="36" t="e">
        <f t="shared" si="126"/>
        <v>#DIV/0!</v>
      </c>
      <c r="I211" s="37" t="e">
        <f t="shared" si="142"/>
        <v>#DIV/0!</v>
      </c>
      <c r="J211" s="37" t="e">
        <f t="shared" si="143"/>
        <v>#DIV/0!</v>
      </c>
      <c r="K211" s="37" t="e">
        <f t="shared" si="144"/>
        <v>#DIV/0!</v>
      </c>
      <c r="L211" s="39" t="e">
        <f t="shared" si="127"/>
        <v>#DIV/0!</v>
      </c>
      <c r="M211" s="39" t="e">
        <f>M210+(1000*$C$2*(B211-B210))/(BerechnungenCLT!$W$47*2*'Berechnung freier Bereich'!G211)</f>
        <v>#DIV/0!</v>
      </c>
      <c r="N211" s="17" t="e">
        <f t="shared" si="145"/>
        <v>#DIV/0!</v>
      </c>
      <c r="O211" s="173">
        <f t="shared" si="146"/>
        <v>2579.7791132980979</v>
      </c>
      <c r="P211" s="173"/>
      <c r="Q211" s="173"/>
      <c r="R211" s="37" t="e">
        <f t="shared" si="128"/>
        <v>#DIV/0!</v>
      </c>
      <c r="S211" s="37" t="e">
        <f t="shared" si="129"/>
        <v>#DIV/0!</v>
      </c>
      <c r="T211" s="37" t="e">
        <f t="shared" si="130"/>
        <v>#DIV/0!</v>
      </c>
      <c r="U211" s="39" t="e">
        <f t="shared" si="131"/>
        <v>#DIV/0!</v>
      </c>
      <c r="V211" s="39" t="e">
        <f t="shared" si="147"/>
        <v>#DIV/0!</v>
      </c>
      <c r="W211" s="9" t="e">
        <f t="shared" si="148"/>
        <v>#DIV/0!</v>
      </c>
      <c r="AB211" s="129">
        <v>97.208524703185319</v>
      </c>
      <c r="AC211" s="9">
        <v>12.125</v>
      </c>
      <c r="AD211" s="129">
        <f t="shared" si="149"/>
        <v>110.6180655002694</v>
      </c>
      <c r="AE211" s="36">
        <f t="shared" si="181"/>
        <v>1.488379954166132E-2</v>
      </c>
      <c r="AF211" s="37">
        <f t="shared" si="150"/>
        <v>47465867.531122431</v>
      </c>
      <c r="AG211" s="36">
        <f t="shared" si="132"/>
        <v>1.9834506830394156</v>
      </c>
      <c r="AH211" s="37">
        <f t="shared" si="151"/>
        <v>-1.6586783426078081E-4</v>
      </c>
      <c r="AI211" s="37">
        <f t="shared" si="152"/>
        <v>-3.1801986032116702E-2</v>
      </c>
      <c r="AJ211" s="37">
        <f t="shared" si="153"/>
        <v>-2.6051135218187715</v>
      </c>
      <c r="AK211" s="39">
        <f t="shared" si="154"/>
        <v>1.834797895464688E-2</v>
      </c>
      <c r="AL211" s="39">
        <f>AL210+(1000*$C$2*($B211-$B210))/(BerechnungenCLT!$W$47*2*AF211)</f>
        <v>9.1356302631132695E-3</v>
      </c>
      <c r="AM211" s="37">
        <f t="shared" si="133"/>
        <v>2.330476008423091E-6</v>
      </c>
      <c r="AN211" s="173">
        <f t="shared" si="155"/>
        <v>2490.3580918923521</v>
      </c>
      <c r="AO211" s="173">
        <v>-258.85708265520969</v>
      </c>
      <c r="AV211" s="129">
        <v>117.56168349274539</v>
      </c>
      <c r="AW211" s="9">
        <v>8.8125</v>
      </c>
      <c r="AX211" s="129">
        <f t="shared" si="156"/>
        <v>126.39928837440506</v>
      </c>
      <c r="AY211" s="36">
        <f t="shared" si="182"/>
        <v>1.1514729224987258E-2</v>
      </c>
      <c r="AZ211" s="37">
        <f t="shared" si="157"/>
        <v>50457424.129312046</v>
      </c>
      <c r="BA211" s="36">
        <f t="shared" si="134"/>
        <v>1.9947611710404858</v>
      </c>
      <c r="BB211" s="37">
        <f t="shared" si="158"/>
        <v>-1.5603374101141887E-4</v>
      </c>
      <c r="BC211" s="37">
        <f t="shared" si="159"/>
        <v>-2.8220701919055579E-2</v>
      </c>
      <c r="BD211" s="37">
        <f t="shared" si="160"/>
        <v>-2.4108266740446402</v>
      </c>
      <c r="BE211" s="39">
        <f t="shared" si="161"/>
        <v>1.9722553826239567E-2</v>
      </c>
      <c r="BF211" s="39">
        <f>BF210+(1000*$C$2*($B211-$B210))/(BerechnungenCLT!$W$47*2*AZ211)</f>
        <v>8.1002689957597497E-3</v>
      </c>
      <c r="BG211" s="37">
        <f t="shared" si="135"/>
        <v>2.5050681947312562E-6</v>
      </c>
      <c r="BH211" s="173">
        <f t="shared" si="162"/>
        <v>1807.2711432161539</v>
      </c>
      <c r="BI211">
        <v>-258.74613369321372</v>
      </c>
      <c r="BP211" s="129">
        <v>87.550026672553145</v>
      </c>
      <c r="BQ211" s="9">
        <v>14.6875</v>
      </c>
      <c r="BR211" s="129">
        <f t="shared" si="163"/>
        <v>102.26891625995746</v>
      </c>
      <c r="BS211" s="36">
        <f t="shared" si="183"/>
        <v>1.4921531226692665E-2</v>
      </c>
      <c r="BT211" s="37">
        <f t="shared" si="164"/>
        <v>39770134.240625843</v>
      </c>
      <c r="BU211" s="36">
        <f t="shared" si="136"/>
        <v>1.9761643100270381</v>
      </c>
      <c r="BV211" s="37">
        <f t="shared" si="165"/>
        <v>-1.979641456843244E-4</v>
      </c>
      <c r="BW211" s="37">
        <f t="shared" si="166"/>
        <v>-3.2381610832592174E-2</v>
      </c>
      <c r="BX211" s="37">
        <f t="shared" si="167"/>
        <v>-2.6139140337720845</v>
      </c>
      <c r="BY211" s="39">
        <f t="shared" si="168"/>
        <v>2.0245578637464193E-2</v>
      </c>
      <c r="BZ211" s="39">
        <f>BZ210+(1000*$C$2*($B211-$B210))/(BerechnungenCLT!$W$47*2*BT211)</f>
        <v>9.3032018247420443E-3</v>
      </c>
      <c r="CA211" s="37">
        <f t="shared" si="137"/>
        <v>2.5715004038253431E-6</v>
      </c>
      <c r="CB211" s="173">
        <f t="shared" si="169"/>
        <v>2985.2789779120471</v>
      </c>
      <c r="CC211" s="9">
        <v>-257.96296044191729</v>
      </c>
      <c r="CJ211" s="9">
        <f t="shared" si="185"/>
        <v>160</v>
      </c>
      <c r="CK211" s="129">
        <v>98.741398539310893</v>
      </c>
      <c r="CL211" s="9">
        <v>7.59375</v>
      </c>
      <c r="CM211" s="129">
        <f t="shared" si="170"/>
        <v>109.75539478790137</v>
      </c>
      <c r="CN211" s="36">
        <f t="shared" si="184"/>
        <v>1.2264309399989343E-2</v>
      </c>
      <c r="CO211" s="173">
        <f t="shared" si="171"/>
        <v>2474.3735464099</v>
      </c>
      <c r="CP211" s="9">
        <v>-631.79626758885638</v>
      </c>
      <c r="CQ211" s="129"/>
      <c r="CR211" s="36">
        <f t="shared" si="172"/>
        <v>0.7665031424592621</v>
      </c>
      <c r="CS211" s="17">
        <f t="shared" si="138"/>
        <v>0.55102456107401898</v>
      </c>
      <c r="CT211" s="9">
        <f t="shared" si="139"/>
        <v>8.2686876808526861</v>
      </c>
      <c r="CU211" s="9">
        <f t="shared" si="173"/>
        <v>110.73432628879932</v>
      </c>
      <c r="CV211" s="9">
        <v>13.2</v>
      </c>
      <c r="CW211" s="9">
        <f t="shared" si="174"/>
        <v>117.88671547513235</v>
      </c>
      <c r="CX211">
        <f t="shared" si="175"/>
        <v>22</v>
      </c>
      <c r="CY211" s="9">
        <f t="shared" si="140"/>
        <v>541.60453437816295</v>
      </c>
      <c r="CZ211" s="17">
        <f t="shared" si="176"/>
        <v>0.5099854372675735</v>
      </c>
      <c r="DA211">
        <v>45</v>
      </c>
      <c r="DB211" s="9">
        <f t="shared" si="177"/>
        <v>8.7401600318271413</v>
      </c>
      <c r="DC211" s="9">
        <f t="shared" si="178"/>
        <v>9.5067446490001561</v>
      </c>
    </row>
    <row r="212" spans="2:107" x14ac:dyDescent="0.25">
      <c r="B212" s="9">
        <f t="shared" si="179"/>
        <v>161</v>
      </c>
      <c r="C212" s="9">
        <v>102.30858284699718</v>
      </c>
      <c r="D212" s="9"/>
      <c r="E212" s="9">
        <f t="shared" si="141"/>
        <v>102.30858284699718</v>
      </c>
      <c r="F212" s="36">
        <f t="shared" si="180"/>
        <v>0</v>
      </c>
      <c r="G212" s="37">
        <f t="shared" si="186"/>
        <v>0</v>
      </c>
      <c r="H212" s="36" t="e">
        <f t="shared" si="126"/>
        <v>#DIV/0!</v>
      </c>
      <c r="I212" s="37" t="e">
        <f t="shared" si="142"/>
        <v>#DIV/0!</v>
      </c>
      <c r="J212" s="37" t="e">
        <f t="shared" si="143"/>
        <v>#DIV/0!</v>
      </c>
      <c r="K212" s="37" t="e">
        <f t="shared" si="144"/>
        <v>#DIV/0!</v>
      </c>
      <c r="L212" s="39" t="e">
        <f t="shared" si="127"/>
        <v>#DIV/0!</v>
      </c>
      <c r="M212" s="39" t="e">
        <f>M211+(1000*$C$2*(B212-B211))/(BerechnungenCLT!$W$47*2*'Berechnung freier Bereich'!G212)</f>
        <v>#DIV/0!</v>
      </c>
      <c r="N212" s="17" t="e">
        <f t="shared" si="145"/>
        <v>#DIV/0!</v>
      </c>
      <c r="O212" s="173">
        <f t="shared" si="146"/>
        <v>2569.0934066617956</v>
      </c>
      <c r="P212" s="173"/>
      <c r="Q212" s="173"/>
      <c r="R212" s="37" t="e">
        <f t="shared" si="128"/>
        <v>#DIV/0!</v>
      </c>
      <c r="S212" s="37" t="e">
        <f t="shared" si="129"/>
        <v>#DIV/0!</v>
      </c>
      <c r="T212" s="37" t="e">
        <f t="shared" si="130"/>
        <v>#DIV/0!</v>
      </c>
      <c r="U212" s="39" t="e">
        <f t="shared" si="131"/>
        <v>#DIV/0!</v>
      </c>
      <c r="V212" s="39" t="e">
        <f t="shared" si="147"/>
        <v>#DIV/0!</v>
      </c>
      <c r="W212" s="9" t="e">
        <f t="shared" si="148"/>
        <v>#DIV/0!</v>
      </c>
      <c r="AB212" s="129">
        <v>97.680866339517479</v>
      </c>
      <c r="AC212" s="9">
        <v>12.0625</v>
      </c>
      <c r="AD212" s="129">
        <f t="shared" si="149"/>
        <v>111.04519538453513</v>
      </c>
      <c r="AE212" s="36">
        <f t="shared" si="181"/>
        <v>1.4897816918003166E-2</v>
      </c>
      <c r="AF212" s="37">
        <f t="shared" si="150"/>
        <v>47919676.124219321</v>
      </c>
      <c r="AG212" s="36">
        <f t="shared" si="132"/>
        <v>1.9837019114065304</v>
      </c>
      <c r="AH212" s="37">
        <f t="shared" si="151"/>
        <v>-1.6429703381733065E-4</v>
      </c>
      <c r="AI212" s="37">
        <f t="shared" si="152"/>
        <v>-3.1966283065934034E-2</v>
      </c>
      <c r="AJ212" s="37">
        <f t="shared" si="153"/>
        <v>-2.636997656367797</v>
      </c>
      <c r="AK212" s="39">
        <f t="shared" si="154"/>
        <v>1.824439622134506E-2</v>
      </c>
      <c r="AL212" s="39">
        <f>AL211+(1000*$C$2*($B212-$B211))/(BerechnungenCLT!$W$47*2*AF212)</f>
        <v>9.183129111958151E-3</v>
      </c>
      <c r="AM212" s="37">
        <f t="shared" si="133"/>
        <v>2.3173194054291872E-6</v>
      </c>
      <c r="AN212" s="173">
        <f t="shared" si="155"/>
        <v>2468.9407404852677</v>
      </c>
      <c r="AO212" s="173">
        <v>-257.79326714120992</v>
      </c>
      <c r="AV212" s="129">
        <v>117.63721942689401</v>
      </c>
      <c r="AW212" s="9">
        <v>8.8125</v>
      </c>
      <c r="AX212" s="129">
        <f t="shared" si="156"/>
        <v>126.47382439775066</v>
      </c>
      <c r="AY212" s="36">
        <f t="shared" si="182"/>
        <v>1.152050887133239E-2</v>
      </c>
      <c r="AZ212" s="37">
        <f t="shared" si="157"/>
        <v>50544781.855109707</v>
      </c>
      <c r="BA212" s="36">
        <f t="shared" si="134"/>
        <v>1.9947687793877098</v>
      </c>
      <c r="BB212" s="37">
        <f t="shared" si="158"/>
        <v>-1.5576406425622916E-4</v>
      </c>
      <c r="BC212" s="37">
        <f t="shared" si="159"/>
        <v>-2.8376465983311807E-2</v>
      </c>
      <c r="BD212" s="37">
        <f t="shared" si="160"/>
        <v>-2.439125257995824</v>
      </c>
      <c r="BE212" s="39">
        <f t="shared" si="161"/>
        <v>1.9700076910222276E-2</v>
      </c>
      <c r="BF212" s="39">
        <f>BF211+(1000*$C$2*($B212-$B211))/(BerechnungenCLT!$W$47*2*AZ212)</f>
        <v>8.145300933170117E-3</v>
      </c>
      <c r="BG212" s="37">
        <f t="shared" si="135"/>
        <v>2.5022132801027229E-6</v>
      </c>
      <c r="BH212" s="173">
        <f t="shared" si="162"/>
        <v>1805.04971689425</v>
      </c>
      <c r="BI212">
        <v>-258.47029907534414</v>
      </c>
      <c r="BP212" s="129">
        <v>87.615439930099839</v>
      </c>
      <c r="BQ212" s="9">
        <v>14.6875</v>
      </c>
      <c r="BR212" s="129">
        <f t="shared" si="163"/>
        <v>102.33627877582593</v>
      </c>
      <c r="BS212" s="36">
        <f t="shared" si="183"/>
        <v>1.4933946112094504E-2</v>
      </c>
      <c r="BT212" s="37">
        <f t="shared" si="164"/>
        <v>39858656.641837291</v>
      </c>
      <c r="BU212" s="36">
        <f t="shared" si="136"/>
        <v>1.9761910741271815</v>
      </c>
      <c r="BV212" s="37">
        <f t="shared" si="165"/>
        <v>-1.97524485570156E-4</v>
      </c>
      <c r="BW212" s="37">
        <f t="shared" si="166"/>
        <v>-3.2579135318162332E-2</v>
      </c>
      <c r="BX212" s="37">
        <f t="shared" si="167"/>
        <v>-2.6463944068474619</v>
      </c>
      <c r="BY212" s="39">
        <f t="shared" si="168"/>
        <v>2.0213920820359089E-2</v>
      </c>
      <c r="BZ212" s="39">
        <f>BZ211+(1000*$C$2*($B212-$B211))/(BerechnungenCLT!$W$47*2*BT212)</f>
        <v>9.3603068464534582E-3</v>
      </c>
      <c r="CA212" s="37">
        <f t="shared" si="137"/>
        <v>2.5674793733115819E-6</v>
      </c>
      <c r="CB212" s="173">
        <f t="shared" si="169"/>
        <v>2981.1070315239544</v>
      </c>
      <c r="CC212" s="9">
        <v>-257.60245556145554</v>
      </c>
      <c r="CJ212" s="9">
        <f t="shared" si="185"/>
        <v>161</v>
      </c>
      <c r="CK212" s="129">
        <v>99.791954714360287</v>
      </c>
      <c r="CL212" s="9">
        <v>7.46875</v>
      </c>
      <c r="CM212" s="129">
        <f t="shared" si="170"/>
        <v>110.70813166664541</v>
      </c>
      <c r="CN212" s="36">
        <f t="shared" si="184"/>
        <v>1.2272177820877689E-2</v>
      </c>
      <c r="CO212" s="173">
        <f t="shared" si="171"/>
        <v>2427.5012770119274</v>
      </c>
      <c r="CP212" s="9">
        <v>-630.2017889362802</v>
      </c>
      <c r="CQ212" s="129"/>
      <c r="CR212" s="36">
        <f t="shared" si="172"/>
        <v>0.76218529058800055</v>
      </c>
      <c r="CS212" s="17">
        <f t="shared" si="138"/>
        <v>0.54792053931552898</v>
      </c>
      <c r="CT212" s="9">
        <f t="shared" si="139"/>
        <v>8.1786494180306661</v>
      </c>
      <c r="CU212" s="9">
        <f t="shared" si="173"/>
        <v>111.74570658420818</v>
      </c>
      <c r="CV212" s="9">
        <v>13.2</v>
      </c>
      <c r="CW212" s="9">
        <f t="shared" si="174"/>
        <v>119.08481306015625</v>
      </c>
      <c r="CX212">
        <f t="shared" si="175"/>
        <v>22</v>
      </c>
      <c r="CY212" s="9">
        <f t="shared" si="140"/>
        <v>535.90281233399253</v>
      </c>
      <c r="CZ212" s="17">
        <f t="shared" si="176"/>
        <v>0.50461658411863708</v>
      </c>
      <c r="DA212">
        <v>45</v>
      </c>
      <c r="DB212" s="9">
        <f t="shared" si="177"/>
        <v>8.6481483148642049</v>
      </c>
      <c r="DC212" s="9">
        <f t="shared" si="178"/>
        <v>9.4104040135767804</v>
      </c>
    </row>
    <row r="213" spans="2:107" x14ac:dyDescent="0.25">
      <c r="B213" s="9">
        <f t="shared" si="179"/>
        <v>162</v>
      </c>
      <c r="C213" s="9">
        <v>102.52115770045414</v>
      </c>
      <c r="D213" s="9"/>
      <c r="E213" s="9">
        <f t="shared" si="141"/>
        <v>102.52115770045414</v>
      </c>
      <c r="F213" s="36">
        <f t="shared" si="180"/>
        <v>0</v>
      </c>
      <c r="G213" s="37">
        <f t="shared" si="186"/>
        <v>0</v>
      </c>
      <c r="H213" s="36" t="e">
        <f t="shared" si="126"/>
        <v>#DIV/0!</v>
      </c>
      <c r="I213" s="37" t="e">
        <f t="shared" si="142"/>
        <v>#DIV/0!</v>
      </c>
      <c r="J213" s="37" t="e">
        <f t="shared" si="143"/>
        <v>#DIV/0!</v>
      </c>
      <c r="K213" s="37" t="e">
        <f t="shared" si="144"/>
        <v>#DIV/0!</v>
      </c>
      <c r="L213" s="39" t="e">
        <f t="shared" si="127"/>
        <v>#DIV/0!</v>
      </c>
      <c r="M213" s="39" t="e">
        <f>M212+(1000*$C$2*(B213-B212))/(BerechnungenCLT!$W$47*2*'Berechnung freier Bereich'!G213)</f>
        <v>#DIV/0!</v>
      </c>
      <c r="N213" s="17" t="e">
        <f t="shared" si="145"/>
        <v>#DIV/0!</v>
      </c>
      <c r="O213" s="173">
        <f t="shared" si="146"/>
        <v>2558.4505602618983</v>
      </c>
      <c r="P213" s="173"/>
      <c r="Q213" s="173"/>
      <c r="R213" s="37" t="e">
        <f t="shared" si="128"/>
        <v>#DIV/0!</v>
      </c>
      <c r="S213" s="37" t="e">
        <f t="shared" si="129"/>
        <v>#DIV/0!</v>
      </c>
      <c r="T213" s="37" t="e">
        <f t="shared" si="130"/>
        <v>#DIV/0!</v>
      </c>
      <c r="U213" s="39" t="e">
        <f t="shared" si="131"/>
        <v>#DIV/0!</v>
      </c>
      <c r="V213" s="39" t="e">
        <f t="shared" si="147"/>
        <v>#DIV/0!</v>
      </c>
      <c r="W213" s="9" t="e">
        <f t="shared" si="148"/>
        <v>#DIV/0!</v>
      </c>
      <c r="AB213" s="129">
        <v>98.157830507283208</v>
      </c>
      <c r="AC213" s="9">
        <v>11.9375</v>
      </c>
      <c r="AD213" s="129">
        <f t="shared" si="149"/>
        <v>111.40557529999859</v>
      </c>
      <c r="AE213" s="36">
        <f t="shared" si="181"/>
        <v>1.4827099268669959E-2</v>
      </c>
      <c r="AF213" s="37">
        <f t="shared" si="150"/>
        <v>48070681.022374898</v>
      </c>
      <c r="AG213" s="36">
        <f t="shared" si="132"/>
        <v>1.9841102989253674</v>
      </c>
      <c r="AH213" s="37">
        <f t="shared" si="151"/>
        <v>-1.6378092594593804E-4</v>
      </c>
      <c r="AI213" s="37">
        <f t="shared" si="152"/>
        <v>-3.2130063991879974E-2</v>
      </c>
      <c r="AJ213" s="37">
        <f t="shared" si="153"/>
        <v>-2.6690458298967039</v>
      </c>
      <c r="AK213" s="39">
        <f t="shared" si="154"/>
        <v>1.8246108278173693E-2</v>
      </c>
      <c r="AL213" s="39">
        <f>AL212+(1000*$C$2*($B213-$B212))/(BerechnungenCLT!$W$47*2*AF213)</f>
        <v>9.2304787522068613E-3</v>
      </c>
      <c r="AM213" s="37">
        <f t="shared" si="133"/>
        <v>2.3175368630235118E-6</v>
      </c>
      <c r="AN213" s="173">
        <f t="shared" si="155"/>
        <v>2449.2500631608873</v>
      </c>
      <c r="AO213" s="173">
        <v>-258.2526663702256</v>
      </c>
      <c r="AV213" s="129">
        <v>117.71123370684413</v>
      </c>
      <c r="AW213" s="9">
        <v>8.8125</v>
      </c>
      <c r="AX213" s="129">
        <f t="shared" si="156"/>
        <v>126.54689795900508</v>
      </c>
      <c r="AY213" s="36">
        <f t="shared" si="182"/>
        <v>1.1526223315988527E-2</v>
      </c>
      <c r="AZ213" s="37">
        <f t="shared" si="157"/>
        <v>50630718.960924238</v>
      </c>
      <c r="BA213" s="36">
        <f t="shared" si="134"/>
        <v>1.9947761756607083</v>
      </c>
      <c r="BB213" s="37">
        <f t="shared" si="158"/>
        <v>-1.5549968102907371E-4</v>
      </c>
      <c r="BC213" s="37">
        <f t="shared" si="159"/>
        <v>-2.853196566434088E-2</v>
      </c>
      <c r="BD213" s="37">
        <f t="shared" si="160"/>
        <v>-2.4675794738196504</v>
      </c>
      <c r="BE213" s="39">
        <f t="shared" si="161"/>
        <v>1.9678002267844028E-2</v>
      </c>
      <c r="BF213" s="39">
        <f>BF212+(1000*$C$2*($B213-$B212))/(BerechnungenCLT!$W$47*2*AZ213)</f>
        <v>8.1902564364620331E-3</v>
      </c>
      <c r="BG213" s="37">
        <f t="shared" si="135"/>
        <v>2.4994094604240443E-6</v>
      </c>
      <c r="BH213" s="173">
        <f t="shared" si="162"/>
        <v>1802.8764346833507</v>
      </c>
      <c r="BI213">
        <v>-258.20556465635707</v>
      </c>
      <c r="BP213" s="129">
        <v>87.682855878256959</v>
      </c>
      <c r="BQ213" s="9">
        <v>14.625</v>
      </c>
      <c r="BR213" s="129">
        <f t="shared" si="163"/>
        <v>102.34307990127773</v>
      </c>
      <c r="BS213" s="36">
        <f t="shared" si="183"/>
        <v>1.4878264692275838E-2</v>
      </c>
      <c r="BT213" s="37">
        <f t="shared" si="164"/>
        <v>39738946.211641118</v>
      </c>
      <c r="BU213" s="36">
        <f t="shared" si="136"/>
        <v>1.9764032856309686</v>
      </c>
      <c r="BV213" s="37">
        <f t="shared" si="165"/>
        <v>-1.9811951244922698E-4</v>
      </c>
      <c r="BW213" s="37">
        <f t="shared" si="166"/>
        <v>-3.2777254830611557E-2</v>
      </c>
      <c r="BX213" s="37">
        <f t="shared" si="167"/>
        <v>-2.6790726019218489</v>
      </c>
      <c r="BY213" s="39">
        <f t="shared" si="168"/>
        <v>2.0276161092593427E-2</v>
      </c>
      <c r="BZ213" s="39">
        <f>BZ212+(1000*$C$2*($B213-$B212))/(BerechnungenCLT!$W$47*2*BT213)</f>
        <v>9.4175838925230175E-3</v>
      </c>
      <c r="CA213" s="37">
        <f t="shared" si="137"/>
        <v>2.575384846800426E-6</v>
      </c>
      <c r="CB213" s="173">
        <f t="shared" si="169"/>
        <v>2978.7788668630842</v>
      </c>
      <c r="CC213" s="9">
        <v>-258.50128039911897</v>
      </c>
      <c r="CJ213" s="9">
        <f t="shared" si="185"/>
        <v>162</v>
      </c>
      <c r="CK213" s="129">
        <v>100.85788933518846</v>
      </c>
      <c r="CL213" s="9">
        <v>7.3125</v>
      </c>
      <c r="CM213" s="129">
        <f t="shared" si="170"/>
        <v>111.60559251831981</v>
      </c>
      <c r="CN213" s="36">
        <f t="shared" si="184"/>
        <v>1.2195475908423379E-2</v>
      </c>
      <c r="CO213" s="173">
        <f t="shared" si="171"/>
        <v>2382.8430348225747</v>
      </c>
      <c r="CP213" s="9">
        <v>-631.82621783126069</v>
      </c>
      <c r="CQ213" s="129"/>
      <c r="CR213" s="36">
        <f t="shared" si="172"/>
        <v>0.75815008463667133</v>
      </c>
      <c r="CS213" s="17">
        <f t="shared" si="138"/>
        <v>0.54501970634432872</v>
      </c>
      <c r="CT213" s="9">
        <f t="shared" si="139"/>
        <v>8.0501676341737571</v>
      </c>
      <c r="CU213" s="9">
        <f t="shared" si="173"/>
        <v>112.68979529163978</v>
      </c>
      <c r="CV213" s="9">
        <v>13.2</v>
      </c>
      <c r="CW213" s="9">
        <f t="shared" si="174"/>
        <v>120.25887149140505</v>
      </c>
      <c r="CX213">
        <f t="shared" si="175"/>
        <v>22</v>
      </c>
      <c r="CY213" s="9">
        <f t="shared" si="140"/>
        <v>530.23902772744032</v>
      </c>
      <c r="CZ213" s="17">
        <f t="shared" si="176"/>
        <v>0.49928345360399273</v>
      </c>
      <c r="DA213">
        <v>45</v>
      </c>
      <c r="DB213" s="9">
        <f t="shared" si="177"/>
        <v>8.556748814481697</v>
      </c>
      <c r="DC213" s="9">
        <f t="shared" si="178"/>
        <v>9.3149726108310738</v>
      </c>
    </row>
    <row r="214" spans="2:107" x14ac:dyDescent="0.25">
      <c r="B214" s="9">
        <f t="shared" si="179"/>
        <v>163</v>
      </c>
      <c r="C214" s="9">
        <v>102.73420670946842</v>
      </c>
      <c r="D214" s="9"/>
      <c r="E214" s="9">
        <f t="shared" si="141"/>
        <v>102.73420670946842</v>
      </c>
      <c r="F214" s="36">
        <f t="shared" si="180"/>
        <v>0</v>
      </c>
      <c r="G214" s="37">
        <f t="shared" si="186"/>
        <v>0</v>
      </c>
      <c r="H214" s="36" t="e">
        <f t="shared" si="126"/>
        <v>#DIV/0!</v>
      </c>
      <c r="I214" s="37" t="e">
        <f t="shared" si="142"/>
        <v>#DIV/0!</v>
      </c>
      <c r="J214" s="37" t="e">
        <f t="shared" si="143"/>
        <v>#DIV/0!</v>
      </c>
      <c r="K214" s="37" t="e">
        <f t="shared" si="144"/>
        <v>#DIV/0!</v>
      </c>
      <c r="L214" s="39" t="e">
        <f t="shared" si="127"/>
        <v>#DIV/0!</v>
      </c>
      <c r="M214" s="39" t="e">
        <f>M213+(1000*$C$2*(B214-B213))/(BerechnungenCLT!$W$47*2*'Berechnung freier Bereich'!G214)</f>
        <v>#DIV/0!</v>
      </c>
      <c r="N214" s="17" t="e">
        <f t="shared" si="145"/>
        <v>#DIV/0!</v>
      </c>
      <c r="O214" s="173">
        <f t="shared" si="146"/>
        <v>2547.8501928004075</v>
      </c>
      <c r="P214" s="173"/>
      <c r="Q214" s="173"/>
      <c r="R214" s="37" t="e">
        <f t="shared" si="128"/>
        <v>#DIV/0!</v>
      </c>
      <c r="S214" s="37" t="e">
        <f t="shared" si="129"/>
        <v>#DIV/0!</v>
      </c>
      <c r="T214" s="37" t="e">
        <f t="shared" si="130"/>
        <v>#DIV/0!</v>
      </c>
      <c r="U214" s="39" t="e">
        <f t="shared" si="131"/>
        <v>#DIV/0!</v>
      </c>
      <c r="V214" s="39" t="e">
        <f t="shared" si="147"/>
        <v>#DIV/0!</v>
      </c>
      <c r="W214" s="9" t="e">
        <f t="shared" si="148"/>
        <v>#DIV/0!</v>
      </c>
      <c r="AB214" s="129">
        <v>98.639041926657143</v>
      </c>
      <c r="AC214" s="9">
        <v>11.8125</v>
      </c>
      <c r="AD214" s="129">
        <f t="shared" si="149"/>
        <v>111.76796424600201</v>
      </c>
      <c r="AE214" s="36">
        <f t="shared" si="181"/>
        <v>1.4753262499726373E-2</v>
      </c>
      <c r="AF214" s="37">
        <f t="shared" si="150"/>
        <v>48212226.495311417</v>
      </c>
      <c r="AG214" s="36">
        <f t="shared" si="132"/>
        <v>1.984516571773711</v>
      </c>
      <c r="AH214" s="37">
        <f t="shared" si="151"/>
        <v>-1.6330008425273699E-4</v>
      </c>
      <c r="AI214" s="37">
        <f t="shared" si="152"/>
        <v>-3.2293364076132709E-2</v>
      </c>
      <c r="AJ214" s="37">
        <f t="shared" si="153"/>
        <v>-2.7012575439307103</v>
      </c>
      <c r="AK214" s="39">
        <f t="shared" si="154"/>
        <v>1.8251717978129023E-2</v>
      </c>
      <c r="AL214" s="39">
        <f>AL213+(1000*$C$2*($B214-$B213))/(BerechnungenCLT!$W$47*2*AF214)</f>
        <v>9.2776893794352319E-3</v>
      </c>
      <c r="AM214" s="37">
        <f t="shared" si="133"/>
        <v>2.3182493813446119E-6</v>
      </c>
      <c r="AN214" s="173">
        <f t="shared" si="155"/>
        <v>2429.6495163440973</v>
      </c>
      <c r="AO214" s="173">
        <v>-258.73830849923888</v>
      </c>
      <c r="AV214" s="129">
        <v>117.78378744286054</v>
      </c>
      <c r="AW214" s="9">
        <v>8.8125</v>
      </c>
      <c r="AX214" s="129">
        <f t="shared" si="156"/>
        <v>126.61856783363375</v>
      </c>
      <c r="AY214" s="36">
        <f t="shared" si="182"/>
        <v>1.1531875352545592E-2</v>
      </c>
      <c r="AZ214" s="37">
        <f t="shared" si="157"/>
        <v>50715292.341121815</v>
      </c>
      <c r="BA214" s="36">
        <f t="shared" si="134"/>
        <v>1.994783368798368</v>
      </c>
      <c r="BB214" s="37">
        <f t="shared" si="158"/>
        <v>-1.5524036804797489E-4</v>
      </c>
      <c r="BC214" s="37">
        <f t="shared" si="159"/>
        <v>-2.8687206032388855E-2</v>
      </c>
      <c r="BD214" s="37">
        <f t="shared" si="160"/>
        <v>-2.4961890596680152</v>
      </c>
      <c r="BE214" s="39">
        <f t="shared" si="161"/>
        <v>1.9656313072200778E-2</v>
      </c>
      <c r="BF214" s="39">
        <f>BF213+(1000*$C$2*($B214-$B213))/(BerechnungenCLT!$W$47*2*AZ214)</f>
        <v>8.2351369714614223E-3</v>
      </c>
      <c r="BG214" s="37">
        <f t="shared" si="135"/>
        <v>2.4966545984191593E-6</v>
      </c>
      <c r="BH214" s="173">
        <f t="shared" si="162"/>
        <v>1800.7492814519767</v>
      </c>
      <c r="BI214">
        <v>-257.9512784158498</v>
      </c>
      <c r="BP214" s="129">
        <v>87.752301981027401</v>
      </c>
      <c r="BQ214" s="9">
        <v>14.625</v>
      </c>
      <c r="BR214" s="129">
        <f t="shared" si="163"/>
        <v>102.41464153426013</v>
      </c>
      <c r="BS214" s="36">
        <f t="shared" si="183"/>
        <v>1.4891453617057206E-2</v>
      </c>
      <c r="BT214" s="37">
        <f t="shared" si="164"/>
        <v>39832941.902672559</v>
      </c>
      <c r="BU214" s="36">
        <f t="shared" si="136"/>
        <v>1.976431216168222</v>
      </c>
      <c r="BV214" s="37">
        <f t="shared" si="165"/>
        <v>-1.9765200039538521E-4</v>
      </c>
      <c r="BW214" s="37">
        <f t="shared" si="166"/>
        <v>-3.2974906831006942E-2</v>
      </c>
      <c r="BX214" s="37">
        <f t="shared" si="167"/>
        <v>-2.711948682752658</v>
      </c>
      <c r="BY214" s="39">
        <f t="shared" si="168"/>
        <v>2.0242458769022816E-2</v>
      </c>
      <c r="BZ214" s="39">
        <f>BZ213+(1000*$C$2*($B214-$B213))/(BerechnungenCLT!$W$47*2*BT214)</f>
        <v>9.4747257792177388E-3</v>
      </c>
      <c r="CA214" s="37">
        <f t="shared" si="137"/>
        <v>2.5711041324665178E-6</v>
      </c>
      <c r="CB214" s="173">
        <f t="shared" si="169"/>
        <v>2974.3630085621253</v>
      </c>
      <c r="CC214" s="9">
        <v>-258.11806799031706</v>
      </c>
      <c r="CJ214" s="9">
        <f t="shared" si="185"/>
        <v>163</v>
      </c>
      <c r="CK214" s="129">
        <v>101.9350280895529</v>
      </c>
      <c r="CL214" s="9">
        <v>7.1875</v>
      </c>
      <c r="CM214" s="129">
        <f t="shared" si="170"/>
        <v>112.53609476336379</v>
      </c>
      <c r="CN214" s="36">
        <f t="shared" si="184"/>
        <v>1.214275368694873E-2</v>
      </c>
      <c r="CO214" s="173">
        <f t="shared" si="171"/>
        <v>2338.4407623474854</v>
      </c>
      <c r="CP214" s="9">
        <v>-630.83619322852314</v>
      </c>
      <c r="CQ214" s="129"/>
      <c r="CR214" s="36">
        <f t="shared" si="172"/>
        <v>0.75399930389981973</v>
      </c>
      <c r="CS214" s="17">
        <f t="shared" si="138"/>
        <v>0.5420357888533972</v>
      </c>
      <c r="CT214" s="9">
        <f t="shared" si="139"/>
        <v>7.9561167153233656</v>
      </c>
      <c r="CU214" s="9">
        <f t="shared" si="173"/>
        <v>113.66975139581575</v>
      </c>
      <c r="CV214" s="9">
        <v>13.2</v>
      </c>
      <c r="CW214" s="9">
        <f t="shared" si="174"/>
        <v>121.40411749397776</v>
      </c>
      <c r="CX214">
        <f t="shared" si="175"/>
        <v>22</v>
      </c>
      <c r="CY214" s="9">
        <f t="shared" si="140"/>
        <v>524.6360371113002</v>
      </c>
      <c r="CZ214" s="17">
        <f t="shared" si="176"/>
        <v>0.49400756790141265</v>
      </c>
      <c r="DA214">
        <v>45</v>
      </c>
      <c r="DB214" s="9">
        <f t="shared" si="177"/>
        <v>8.4663303790117723</v>
      </c>
      <c r="DC214" s="9">
        <f t="shared" si="178"/>
        <v>9.2203990221974728</v>
      </c>
    </row>
    <row r="215" spans="2:107" x14ac:dyDescent="0.25">
      <c r="B215" s="9">
        <f t="shared" si="179"/>
        <v>164</v>
      </c>
      <c r="C215" s="9">
        <v>102.94773530664756</v>
      </c>
      <c r="D215" s="9"/>
      <c r="E215" s="9">
        <f t="shared" si="141"/>
        <v>102.94773530664756</v>
      </c>
      <c r="F215" s="36">
        <f t="shared" si="180"/>
        <v>0</v>
      </c>
      <c r="G215" s="37">
        <f t="shared" si="186"/>
        <v>0</v>
      </c>
      <c r="H215" s="36" t="e">
        <f t="shared" si="126"/>
        <v>#DIV/0!</v>
      </c>
      <c r="I215" s="37" t="e">
        <f t="shared" si="142"/>
        <v>#DIV/0!</v>
      </c>
      <c r="J215" s="37" t="e">
        <f t="shared" si="143"/>
        <v>#DIV/0!</v>
      </c>
      <c r="K215" s="37" t="e">
        <f t="shared" si="144"/>
        <v>#DIV/0!</v>
      </c>
      <c r="L215" s="39" t="e">
        <f t="shared" si="127"/>
        <v>#DIV/0!</v>
      </c>
      <c r="M215" s="39" t="e">
        <f>M214+(1000*$C$2*(B215-B214))/(BerechnungenCLT!$W$47*2*'Berechnung freier Bereich'!G215)</f>
        <v>#DIV/0!</v>
      </c>
      <c r="N215" s="17" t="e">
        <f t="shared" si="145"/>
        <v>#DIV/0!</v>
      </c>
      <c r="O215" s="173">
        <f t="shared" si="146"/>
        <v>2537.2919290768327</v>
      </c>
      <c r="P215" s="173"/>
      <c r="Q215" s="173"/>
      <c r="R215" s="37" t="e">
        <f t="shared" si="128"/>
        <v>#DIV/0!</v>
      </c>
      <c r="S215" s="37" t="e">
        <f t="shared" si="129"/>
        <v>#DIV/0!</v>
      </c>
      <c r="T215" s="37" t="e">
        <f t="shared" si="130"/>
        <v>#DIV/0!</v>
      </c>
      <c r="U215" s="39" t="e">
        <f t="shared" si="131"/>
        <v>#DIV/0!</v>
      </c>
      <c r="V215" s="39" t="e">
        <f t="shared" si="147"/>
        <v>#DIV/0!</v>
      </c>
      <c r="W215" s="9" t="e">
        <f t="shared" si="148"/>
        <v>#DIV/0!</v>
      </c>
      <c r="AB215" s="129">
        <v>99.124125317813906</v>
      </c>
      <c r="AC215" s="9">
        <v>11.75</v>
      </c>
      <c r="AD215" s="129">
        <f t="shared" si="149"/>
        <v>112.20156650778277</v>
      </c>
      <c r="AE215" s="36">
        <f t="shared" si="181"/>
        <v>1.4759575575391211E-2</v>
      </c>
      <c r="AF215" s="37">
        <f t="shared" si="150"/>
        <v>48651866.870186917</v>
      </c>
      <c r="AG215" s="36">
        <f t="shared" si="132"/>
        <v>1.9847695823845499</v>
      </c>
      <c r="AH215" s="37">
        <f t="shared" si="151"/>
        <v>-1.6182443049314677E-4</v>
      </c>
      <c r="AI215" s="37">
        <f t="shared" si="152"/>
        <v>-3.2455188506625855E-2</v>
      </c>
      <c r="AJ215" s="37">
        <f t="shared" si="153"/>
        <v>-2.7336318202220897</v>
      </c>
      <c r="AK215" s="39">
        <f t="shared" si="154"/>
        <v>1.8156954600560878E-2</v>
      </c>
      <c r="AL215" s="39">
        <f>AL214+(1000*$C$2*($B215-$B214))/(BerechnungenCLT!$W$47*2*AF215)</f>
        <v>9.3244733899849833E-3</v>
      </c>
      <c r="AM215" s="37">
        <f t="shared" si="133"/>
        <v>2.3062129724057534E-6</v>
      </c>
      <c r="AN215" s="173">
        <f t="shared" si="155"/>
        <v>2408.5708446599401</v>
      </c>
      <c r="AO215" s="173">
        <v>-257.70334860346497</v>
      </c>
      <c r="AV215" s="129">
        <v>117.85494174520804</v>
      </c>
      <c r="AW215" s="9">
        <v>8.8125</v>
      </c>
      <c r="AX215" s="129">
        <f t="shared" si="156"/>
        <v>126.68889289352934</v>
      </c>
      <c r="AY215" s="36">
        <f t="shared" si="182"/>
        <v>1.1537467890257513E-2</v>
      </c>
      <c r="AZ215" s="37">
        <f t="shared" si="157"/>
        <v>50798559.790390208</v>
      </c>
      <c r="BA215" s="36">
        <f t="shared" si="134"/>
        <v>1.9947903675469161</v>
      </c>
      <c r="BB215" s="37">
        <f t="shared" si="158"/>
        <v>-1.5498590277328639E-4</v>
      </c>
      <c r="BC215" s="37">
        <f t="shared" si="159"/>
        <v>-2.8842191935162142E-2</v>
      </c>
      <c r="BD215" s="37">
        <f t="shared" si="160"/>
        <v>-2.5249537586517907</v>
      </c>
      <c r="BE215" s="39">
        <f t="shared" si="161"/>
        <v>1.9634992436451833E-2</v>
      </c>
      <c r="BF215" s="39">
        <f>BF214+(1000*$C$2*($B215-$B214))/(BerechnungenCLT!$W$47*2*AZ215)</f>
        <v>8.2799439396572111E-3</v>
      </c>
      <c r="BG215" s="37">
        <f t="shared" si="135"/>
        <v>2.49394654919913E-6</v>
      </c>
      <c r="BH215" s="173">
        <f t="shared" si="162"/>
        <v>1798.6662588905508</v>
      </c>
      <c r="BI215">
        <v>-257.70679273171692</v>
      </c>
      <c r="BP215" s="129">
        <v>87.823805702414219</v>
      </c>
      <c r="BQ215" s="9">
        <v>14.625</v>
      </c>
      <c r="BR215" s="129">
        <f t="shared" si="163"/>
        <v>102.48835170576199</v>
      </c>
      <c r="BS215" s="36">
        <f t="shared" si="183"/>
        <v>1.4905067559494969E-2</v>
      </c>
      <c r="BT215" s="37">
        <f t="shared" si="164"/>
        <v>39929981.335556865</v>
      </c>
      <c r="BU215" s="36">
        <f t="shared" si="136"/>
        <v>1.9764598312975685</v>
      </c>
      <c r="BV215" s="37">
        <f t="shared" si="165"/>
        <v>-1.9717165862247942E-4</v>
      </c>
      <c r="BW215" s="37">
        <f t="shared" si="166"/>
        <v>-3.3172078489629421E-2</v>
      </c>
      <c r="BX215" s="37">
        <f t="shared" si="167"/>
        <v>-2.7450221754129762</v>
      </c>
      <c r="BY215" s="39">
        <f t="shared" si="168"/>
        <v>2.020779829530911E-2</v>
      </c>
      <c r="BZ215" s="39">
        <f>BZ214+(1000*$C$2*($B215-$B214))/(BerechnungenCLT!$W$47*2*BT215)</f>
        <v>9.5317287974208322E-3</v>
      </c>
      <c r="CA215" s="37">
        <f t="shared" si="137"/>
        <v>2.5667017183025356E-6</v>
      </c>
      <c r="CB215" s="173">
        <f t="shared" si="169"/>
        <v>2969.8256836355836</v>
      </c>
      <c r="CC215" s="9">
        <v>-257.72431459151801</v>
      </c>
      <c r="CJ215" s="9">
        <f t="shared" si="185"/>
        <v>164</v>
      </c>
      <c r="CK215" s="129">
        <v>103.0191966652111</v>
      </c>
      <c r="CL215" s="9">
        <v>7.0625</v>
      </c>
      <c r="CM215" s="129">
        <f t="shared" si="170"/>
        <v>113.45072998132875</v>
      </c>
      <c r="CN215" s="36">
        <f t="shared" si="184"/>
        <v>1.2059922404546579E-2</v>
      </c>
      <c r="CO215" s="173">
        <f t="shared" si="171"/>
        <v>2295.4555315549323</v>
      </c>
      <c r="CP215" s="9">
        <v>-630.20016171116015</v>
      </c>
      <c r="CQ215" s="129"/>
      <c r="CR215" s="36">
        <f t="shared" si="172"/>
        <v>0.74995207317452484</v>
      </c>
      <c r="CS215" s="17">
        <f t="shared" si="138"/>
        <v>0.53912631150042023</v>
      </c>
      <c r="CT215" s="9">
        <f t="shared" si="139"/>
        <v>7.8599391452566802</v>
      </c>
      <c r="CU215" s="9">
        <f t="shared" si="173"/>
        <v>114.62857253160436</v>
      </c>
      <c r="CV215" s="9">
        <v>13.2</v>
      </c>
      <c r="CW215" s="9">
        <f t="shared" si="174"/>
        <v>122.51600937639736</v>
      </c>
      <c r="CX215">
        <f t="shared" si="175"/>
        <v>22</v>
      </c>
      <c r="CY215" s="9">
        <f t="shared" si="140"/>
        <v>519.1147952116728</v>
      </c>
      <c r="CZ215" s="17">
        <f t="shared" si="176"/>
        <v>0.48880865839140569</v>
      </c>
      <c r="DA215">
        <v>45</v>
      </c>
      <c r="DB215" s="9">
        <f t="shared" si="177"/>
        <v>8.3772311659991292</v>
      </c>
      <c r="DC215" s="9">
        <f t="shared" si="178"/>
        <v>9.1272479904450705</v>
      </c>
    </row>
    <row r="216" spans="2:107" x14ac:dyDescent="0.25">
      <c r="B216" s="9">
        <f t="shared" si="179"/>
        <v>165</v>
      </c>
      <c r="C216" s="9">
        <v>103.16174892459907</v>
      </c>
      <c r="D216" s="9"/>
      <c r="E216" s="9">
        <f t="shared" si="141"/>
        <v>103.16174892459907</v>
      </c>
      <c r="F216" s="36">
        <f t="shared" si="180"/>
        <v>0</v>
      </c>
      <c r="G216" s="37">
        <f t="shared" si="186"/>
        <v>0</v>
      </c>
      <c r="H216" s="36" t="e">
        <f t="shared" si="126"/>
        <v>#DIV/0!</v>
      </c>
      <c r="I216" s="37" t="e">
        <f t="shared" si="142"/>
        <v>#DIV/0!</v>
      </c>
      <c r="J216" s="37" t="e">
        <f t="shared" si="143"/>
        <v>#DIV/0!</v>
      </c>
      <c r="K216" s="37" t="e">
        <f t="shared" si="144"/>
        <v>#DIV/0!</v>
      </c>
      <c r="L216" s="39" t="e">
        <f t="shared" si="127"/>
        <v>#DIV/0!</v>
      </c>
      <c r="M216" s="39" t="e">
        <f>M215+(1000*$C$2*(B216-B215))/(BerechnungenCLT!$W$47*2*'Berechnung freier Bereich'!G216)</f>
        <v>#DIV/0!</v>
      </c>
      <c r="N216" s="17" t="e">
        <f t="shared" si="145"/>
        <v>#DIV/0!</v>
      </c>
      <c r="O216" s="173">
        <f t="shared" si="146"/>
        <v>2526.7753999013721</v>
      </c>
      <c r="P216" s="173"/>
      <c r="Q216" s="173"/>
      <c r="R216" s="37" t="e">
        <f t="shared" si="128"/>
        <v>#DIV/0!</v>
      </c>
      <c r="S216" s="37" t="e">
        <f t="shared" si="129"/>
        <v>#DIV/0!</v>
      </c>
      <c r="T216" s="37" t="e">
        <f t="shared" si="130"/>
        <v>#DIV/0!</v>
      </c>
      <c r="U216" s="39" t="e">
        <f t="shared" si="131"/>
        <v>#DIV/0!</v>
      </c>
      <c r="V216" s="39" t="e">
        <f t="shared" si="147"/>
        <v>#DIV/0!</v>
      </c>
      <c r="W216" s="9" t="e">
        <f t="shared" si="148"/>
        <v>#DIV/0!</v>
      </c>
      <c r="AB216" s="129">
        <v>99.612705400928121</v>
      </c>
      <c r="AC216" s="9">
        <v>11.625</v>
      </c>
      <c r="AD216" s="129">
        <f t="shared" si="149"/>
        <v>112.56699513887372</v>
      </c>
      <c r="AE216" s="36">
        <f t="shared" si="181"/>
        <v>1.4679667965817836E-2</v>
      </c>
      <c r="AF216" s="37">
        <f t="shared" si="150"/>
        <v>48775397.62654835</v>
      </c>
      <c r="AG216" s="36">
        <f t="shared" si="132"/>
        <v>1.9851728887530005</v>
      </c>
      <c r="AH216" s="37">
        <f t="shared" si="151"/>
        <v>-1.614145866934174E-4</v>
      </c>
      <c r="AI216" s="37">
        <f t="shared" si="152"/>
        <v>-3.261660309331927E-2</v>
      </c>
      <c r="AJ216" s="37">
        <f t="shared" si="153"/>
        <v>-2.7661677160220624</v>
      </c>
      <c r="AK216" s="39">
        <f t="shared" si="154"/>
        <v>1.8169954995661226E-2</v>
      </c>
      <c r="AL216" s="39">
        <f>AL215+(1000*$C$2*($B216-$B215))/(BerechnungenCLT!$W$47*2*AF216)</f>
        <v>9.3711389132544662E-3</v>
      </c>
      <c r="AM216" s="37">
        <f t="shared" si="133"/>
        <v>2.3078642228762424E-6</v>
      </c>
      <c r="AN216" s="173">
        <f t="shared" si="155"/>
        <v>2389.2211994032527</v>
      </c>
      <c r="AO216" s="173">
        <v>-258.23426900928041</v>
      </c>
      <c r="AV216" s="129">
        <v>117.92475772415139</v>
      </c>
      <c r="AW216" s="9">
        <v>8.8125</v>
      </c>
      <c r="AX216" s="129">
        <f t="shared" si="156"/>
        <v>126.75793210720143</v>
      </c>
      <c r="AY216" s="36">
        <f t="shared" si="182"/>
        <v>1.1543003955360795E-2</v>
      </c>
      <c r="AZ216" s="37">
        <f t="shared" si="157"/>
        <v>50880580.002172396</v>
      </c>
      <c r="BA216" s="36">
        <f t="shared" si="134"/>
        <v>1.9947971804641325</v>
      </c>
      <c r="BB216" s="37">
        <f t="shared" si="158"/>
        <v>-1.5473606331453465E-4</v>
      </c>
      <c r="BC216" s="37">
        <f t="shared" si="159"/>
        <v>-2.8996927998476675E-2</v>
      </c>
      <c r="BD216" s="37">
        <f t="shared" si="160"/>
        <v>-2.55387331861861</v>
      </c>
      <c r="BE216" s="39">
        <f t="shared" si="161"/>
        <v>1.9614023408159403E-2</v>
      </c>
      <c r="BF216" s="39">
        <f>BF215+(1000*$C$2*($B216-$B215))/(BerechnungenCLT!$W$47*2*AZ216)</f>
        <v>8.3246786783890171E-3</v>
      </c>
      <c r="BG216" s="37">
        <f t="shared" si="135"/>
        <v>2.491283159543177E-6</v>
      </c>
      <c r="BH216" s="173">
        <f t="shared" si="162"/>
        <v>1796.6253847821181</v>
      </c>
      <c r="BI216">
        <v>-257.47146400882252</v>
      </c>
      <c r="BP216" s="129">
        <v>87.897394506420341</v>
      </c>
      <c r="BQ216" s="9">
        <v>14.625</v>
      </c>
      <c r="BR216" s="129">
        <f t="shared" si="163"/>
        <v>102.56424034407414</v>
      </c>
      <c r="BS216" s="36">
        <f t="shared" si="183"/>
        <v>1.49191138821102E-2</v>
      </c>
      <c r="BT216" s="37">
        <f t="shared" si="164"/>
        <v>40030122.469622545</v>
      </c>
      <c r="BU216" s="36">
        <f t="shared" si="136"/>
        <v>1.9764891324924514</v>
      </c>
      <c r="BV216" s="37">
        <f t="shared" si="165"/>
        <v>-1.9667840523523211E-4</v>
      </c>
      <c r="BW216" s="37">
        <f t="shared" si="166"/>
        <v>-3.3368756894864654E-2</v>
      </c>
      <c r="BX216" s="37">
        <f t="shared" si="167"/>
        <v>-2.7782925931052231</v>
      </c>
      <c r="BY216" s="39">
        <f t="shared" si="168"/>
        <v>2.0172171225035555E-2</v>
      </c>
      <c r="BZ216" s="39">
        <f>BZ215+(1000*$C$2*($B216-$B215))/(BerechnungenCLT!$W$47*2*BT216)</f>
        <v>9.5885892143392961E-3</v>
      </c>
      <c r="CA216" s="37">
        <f t="shared" si="137"/>
        <v>2.5621765314834232E-6</v>
      </c>
      <c r="CB216" s="173">
        <f t="shared" si="169"/>
        <v>2965.1659761934552</v>
      </c>
      <c r="CC216" s="9">
        <v>-257.31994072091118</v>
      </c>
      <c r="CJ216" s="9">
        <f t="shared" si="185"/>
        <v>165</v>
      </c>
      <c r="CK216" s="129">
        <v>104.10622074992058</v>
      </c>
      <c r="CL216" s="9">
        <v>6.9375</v>
      </c>
      <c r="CM216" s="129">
        <f t="shared" si="170"/>
        <v>114.34639366151966</v>
      </c>
      <c r="CN216" s="36">
        <f t="shared" si="184"/>
        <v>1.1947122885033735E-2</v>
      </c>
      <c r="CO216" s="173">
        <f t="shared" si="171"/>
        <v>2253.9772615924908</v>
      </c>
      <c r="CP216" s="9">
        <v>-629.96238947466736</v>
      </c>
      <c r="CQ216" s="129"/>
      <c r="CR216" s="36">
        <f t="shared" si="172"/>
        <v>0.74602028839300139</v>
      </c>
      <c r="CS216" s="17">
        <f t="shared" si="138"/>
        <v>0.53629982604528514</v>
      </c>
      <c r="CT216" s="9">
        <f t="shared" si="139"/>
        <v>7.7615165954734398</v>
      </c>
      <c r="CU216" s="9">
        <f t="shared" si="173"/>
        <v>115.56269238868005</v>
      </c>
      <c r="CV216" s="9">
        <v>13.2</v>
      </c>
      <c r="CW216" s="9">
        <f t="shared" si="174"/>
        <v>123.59022542496315</v>
      </c>
      <c r="CX216">
        <f t="shared" si="175"/>
        <v>22</v>
      </c>
      <c r="CY216" s="9">
        <f t="shared" si="140"/>
        <v>513.69446315985772</v>
      </c>
      <c r="CZ216" s="17">
        <f t="shared" si="176"/>
        <v>0.48370476757048747</v>
      </c>
      <c r="DA216">
        <v>45</v>
      </c>
      <c r="DB216" s="9">
        <f t="shared" si="177"/>
        <v>8.2897603887965392</v>
      </c>
      <c r="DC216" s="9">
        <f t="shared" si="178"/>
        <v>9.0358406982581343</v>
      </c>
    </row>
    <row r="217" spans="2:107" x14ac:dyDescent="0.25">
      <c r="B217" s="9">
        <f t="shared" si="179"/>
        <v>166</v>
      </c>
      <c r="C217" s="9">
        <v>103.37625299593049</v>
      </c>
      <c r="D217" s="9"/>
      <c r="E217" s="9">
        <f t="shared" si="141"/>
        <v>103.37625299593049</v>
      </c>
      <c r="F217" s="36">
        <f t="shared" si="180"/>
        <v>0</v>
      </c>
      <c r="G217" s="37">
        <f t="shared" si="186"/>
        <v>0</v>
      </c>
      <c r="H217" s="36" t="e">
        <f t="shared" si="126"/>
        <v>#DIV/0!</v>
      </c>
      <c r="I217" s="37" t="e">
        <f t="shared" si="142"/>
        <v>#DIV/0!</v>
      </c>
      <c r="J217" s="37" t="e">
        <f t="shared" si="143"/>
        <v>#DIV/0!</v>
      </c>
      <c r="K217" s="37" t="e">
        <f t="shared" si="144"/>
        <v>#DIV/0!</v>
      </c>
      <c r="L217" s="39" t="e">
        <f t="shared" si="127"/>
        <v>#DIV/0!</v>
      </c>
      <c r="M217" s="39" t="e">
        <f>M216+(1000*$C$2*(B217-B216))/(BerechnungenCLT!$W$47*2*'Berechnung freier Bereich'!G217)</f>
        <v>#DIV/0!</v>
      </c>
      <c r="N217" s="17" t="e">
        <f t="shared" si="145"/>
        <v>#DIV/0!</v>
      </c>
      <c r="O217" s="173">
        <f t="shared" si="146"/>
        <v>2516.3002420093712</v>
      </c>
      <c r="P217" s="173"/>
      <c r="Q217" s="173"/>
      <c r="R217" s="37" t="e">
        <f t="shared" si="128"/>
        <v>#DIV/0!</v>
      </c>
      <c r="S217" s="37" t="e">
        <f t="shared" si="129"/>
        <v>#DIV/0!</v>
      </c>
      <c r="T217" s="37" t="e">
        <f t="shared" si="130"/>
        <v>#DIV/0!</v>
      </c>
      <c r="U217" s="39" t="e">
        <f t="shared" si="131"/>
        <v>#DIV/0!</v>
      </c>
      <c r="V217" s="39" t="e">
        <f t="shared" si="147"/>
        <v>#DIV/0!</v>
      </c>
      <c r="W217" s="9" t="e">
        <f t="shared" si="148"/>
        <v>#DIV/0!</v>
      </c>
      <c r="AB217" s="129">
        <v>100.10440689617444</v>
      </c>
      <c r="AC217" s="9">
        <v>11.5</v>
      </c>
      <c r="AD217" s="129">
        <f t="shared" si="149"/>
        <v>112.93336928048097</v>
      </c>
      <c r="AE217" s="36">
        <f t="shared" si="181"/>
        <v>1.4596439980593548E-2</v>
      </c>
      <c r="AF217" s="37">
        <f t="shared" si="150"/>
        <v>48886993.899915501</v>
      </c>
      <c r="AG217" s="36">
        <f t="shared" si="132"/>
        <v>1.9855731192210362</v>
      </c>
      <c r="AH217" s="37">
        <f t="shared" si="151"/>
        <v>-1.6104611923602039E-4</v>
      </c>
      <c r="AI217" s="37">
        <f t="shared" si="152"/>
        <v>-3.2777649212555292E-2</v>
      </c>
      <c r="AJ217" s="37">
        <f t="shared" si="153"/>
        <v>-2.7988648421749995</v>
      </c>
      <c r="AK217" s="39">
        <f t="shared" si="154"/>
        <v>1.8187480854869861E-2</v>
      </c>
      <c r="AL217" s="39">
        <f>AL216+(1000*$C$2*($B217-$B216))/(BerechnungenCLT!$W$47*2*AF217)</f>
        <v>9.417697911289399E-3</v>
      </c>
      <c r="AM217" s="37">
        <f t="shared" si="133"/>
        <v>2.3100902770107975E-6</v>
      </c>
      <c r="AN217" s="173">
        <f t="shared" si="155"/>
        <v>2370.0133033472835</v>
      </c>
      <c r="AO217" s="173">
        <v>-258.80120026476482</v>
      </c>
      <c r="AV217" s="129">
        <v>117.99329648995543</v>
      </c>
      <c r="AW217" s="9">
        <v>8.75</v>
      </c>
      <c r="AX217" s="129">
        <f t="shared" si="156"/>
        <v>126.76310306441979</v>
      </c>
      <c r="AY217" s="36">
        <f t="shared" si="182"/>
        <v>1.1463648594361308E-2</v>
      </c>
      <c r="AZ217" s="37">
        <f t="shared" si="157"/>
        <v>50560257.445208058</v>
      </c>
      <c r="BA217" s="36">
        <f t="shared" si="134"/>
        <v>1.9948745006147723</v>
      </c>
      <c r="BB217" s="37">
        <f t="shared" si="158"/>
        <v>-1.5571638766334202E-4</v>
      </c>
      <c r="BC217" s="37">
        <f t="shared" si="159"/>
        <v>-2.9152644386140018E-2</v>
      </c>
      <c r="BD217" s="37">
        <f t="shared" si="160"/>
        <v>-2.5829481048109182</v>
      </c>
      <c r="BE217" s="39">
        <f t="shared" si="161"/>
        <v>1.973909249818737E-2</v>
      </c>
      <c r="BF217" s="39">
        <f>BF216+(1000*$C$2*($B217-$B216))/(BerechnungenCLT!$W$47*2*AZ217)</f>
        <v>8.3696968323291269E-3</v>
      </c>
      <c r="BG217" s="37">
        <f t="shared" si="135"/>
        <v>2.5071688608744218E-6</v>
      </c>
      <c r="BH217" s="173">
        <f t="shared" si="162"/>
        <v>1795.5434206830616</v>
      </c>
      <c r="BI217">
        <v>-259.21431824553633</v>
      </c>
      <c r="BP217" s="129">
        <v>87.97309585704879</v>
      </c>
      <c r="BQ217" s="9">
        <v>14.5625</v>
      </c>
      <c r="BR217" s="129">
        <f t="shared" si="163"/>
        <v>102.57964834072976</v>
      </c>
      <c r="BS217" s="36">
        <f t="shared" si="183"/>
        <v>1.4864890868096567E-2</v>
      </c>
      <c r="BT217" s="37">
        <f t="shared" si="164"/>
        <v>39920647.800846115</v>
      </c>
      <c r="BU217" s="36">
        <f t="shared" si="136"/>
        <v>1.9767024440021355</v>
      </c>
      <c r="BV217" s="37">
        <f t="shared" si="165"/>
        <v>-1.9721775778722519E-4</v>
      </c>
      <c r="BW217" s="37">
        <f t="shared" si="166"/>
        <v>-3.3565974652651882E-2</v>
      </c>
      <c r="BX217" s="37">
        <f t="shared" si="167"/>
        <v>-2.8117599588789814</v>
      </c>
      <c r="BY217" s="39">
        <f t="shared" si="168"/>
        <v>2.0230528240360778E-2</v>
      </c>
      <c r="BZ217" s="39">
        <f>BZ216+(1000*$C$2*($B217-$B216))/(BerechnungenCLT!$W$47*2*BT217)</f>
        <v>9.6456055599726375E-3</v>
      </c>
      <c r="CA217" s="37">
        <f t="shared" si="137"/>
        <v>2.5695887715167688E-6</v>
      </c>
      <c r="CB217" s="173">
        <f t="shared" si="169"/>
        <v>2962.3311731250164</v>
      </c>
      <c r="CC217" s="9">
        <v>-258.1772554023504</v>
      </c>
      <c r="CJ217" s="9">
        <f t="shared" si="185"/>
        <v>166</v>
      </c>
      <c r="CK217" s="129">
        <v>105.19192603143881</v>
      </c>
      <c r="CL217" s="9">
        <v>6.8125</v>
      </c>
      <c r="CM217" s="129">
        <f t="shared" si="170"/>
        <v>115.22009801725829</v>
      </c>
      <c r="CN217" s="36">
        <f t="shared" si="184"/>
        <v>1.180472435017414E-2</v>
      </c>
      <c r="CO217" s="173">
        <f t="shared" si="171"/>
        <v>2214.0807619785351</v>
      </c>
      <c r="CP217" s="9">
        <v>-630.16609114500659</v>
      </c>
      <c r="CQ217" s="129"/>
      <c r="CR217" s="36">
        <f t="shared" si="172"/>
        <v>0.74221492043770532</v>
      </c>
      <c r="CS217" s="17">
        <f t="shared" si="138"/>
        <v>0.53356421924716479</v>
      </c>
      <c r="CT217" s="9">
        <f t="shared" si="139"/>
        <v>7.6607460780771222</v>
      </c>
      <c r="CU217" s="9">
        <f t="shared" si="173"/>
        <v>116.46873765869012</v>
      </c>
      <c r="CV217" s="9">
        <v>13.2</v>
      </c>
      <c r="CW217" s="9">
        <f t="shared" si="174"/>
        <v>124.6226592736872</v>
      </c>
      <c r="CX217">
        <f t="shared" si="175"/>
        <v>22</v>
      </c>
      <c r="CY217" s="9">
        <f t="shared" si="140"/>
        <v>508.3925278043568</v>
      </c>
      <c r="CZ217" s="17">
        <f t="shared" si="176"/>
        <v>0.47871236139769946</v>
      </c>
      <c r="DA217">
        <v>45</v>
      </c>
      <c r="DB217" s="9">
        <f t="shared" si="177"/>
        <v>8.2042002419660012</v>
      </c>
      <c r="DC217" s="9">
        <f t="shared" si="178"/>
        <v>8.9464703773188194</v>
      </c>
    </row>
    <row r="218" spans="2:107" x14ac:dyDescent="0.25">
      <c r="B218" s="9">
        <f t="shared" si="179"/>
        <v>167</v>
      </c>
      <c r="C218" s="9">
        <v>103.5912529532493</v>
      </c>
      <c r="D218" s="9"/>
      <c r="E218" s="9">
        <f t="shared" si="141"/>
        <v>103.5912529532493</v>
      </c>
      <c r="F218" s="36">
        <f t="shared" si="180"/>
        <v>0</v>
      </c>
      <c r="G218" s="37">
        <f t="shared" si="186"/>
        <v>0</v>
      </c>
      <c r="H218" s="36" t="e">
        <f t="shared" si="126"/>
        <v>#DIV/0!</v>
      </c>
      <c r="I218" s="37" t="e">
        <f t="shared" si="142"/>
        <v>#DIV/0!</v>
      </c>
      <c r="J218" s="37" t="e">
        <f t="shared" si="143"/>
        <v>#DIV/0!</v>
      </c>
      <c r="K218" s="37" t="e">
        <f t="shared" si="144"/>
        <v>#DIV/0!</v>
      </c>
      <c r="L218" s="39" t="e">
        <f t="shared" si="127"/>
        <v>#DIV/0!</v>
      </c>
      <c r="M218" s="39" t="e">
        <f>M217+(1000*$C$2*(B218-B217))/(BerechnungenCLT!$W$47*2*'Berechnung freier Bereich'!G218)</f>
        <v>#DIV/0!</v>
      </c>
      <c r="N218" s="17" t="e">
        <f t="shared" si="145"/>
        <v>#DIV/0!</v>
      </c>
      <c r="O218" s="173">
        <f t="shared" si="146"/>
        <v>2505.8660979770452</v>
      </c>
      <c r="P218" s="173"/>
      <c r="Q218" s="173"/>
      <c r="R218" s="37" t="e">
        <f t="shared" si="128"/>
        <v>#DIV/0!</v>
      </c>
      <c r="S218" s="37" t="e">
        <f t="shared" si="129"/>
        <v>#DIV/0!</v>
      </c>
      <c r="T218" s="37" t="e">
        <f t="shared" si="130"/>
        <v>#DIV/0!</v>
      </c>
      <c r="U218" s="39" t="e">
        <f t="shared" si="131"/>
        <v>#DIV/0!</v>
      </c>
      <c r="V218" s="39" t="e">
        <f t="shared" si="147"/>
        <v>#DIV/0!</v>
      </c>
      <c r="W218" s="9" t="e">
        <f t="shared" si="148"/>
        <v>#DIV/0!</v>
      </c>
      <c r="AB218" s="129">
        <v>100.59885452372748</v>
      </c>
      <c r="AC218" s="9">
        <v>11.4375</v>
      </c>
      <c r="AD218" s="129">
        <f t="shared" si="149"/>
        <v>113.37013625019931</v>
      </c>
      <c r="AE218" s="36">
        <f t="shared" si="181"/>
        <v>1.4594328504620299E-2</v>
      </c>
      <c r="AF218" s="37">
        <f t="shared" si="150"/>
        <v>49305044.433633298</v>
      </c>
      <c r="AG218" s="36">
        <f t="shared" si="132"/>
        <v>1.9858253850989982</v>
      </c>
      <c r="AH218" s="37">
        <f t="shared" si="151"/>
        <v>-1.5968063185286995E-4</v>
      </c>
      <c r="AI218" s="37">
        <f t="shared" si="152"/>
        <v>-3.2937329844408163E-2</v>
      </c>
      <c r="AJ218" s="37">
        <f t="shared" si="153"/>
        <v>-2.8317223317034812</v>
      </c>
      <c r="AK218" s="39">
        <f t="shared" si="154"/>
        <v>1.8103014989677781E-2</v>
      </c>
      <c r="AL218" s="39">
        <f>AL217+(1000*$C$2*($B218-$B217))/(BerechnungenCLT!$W$47*2*AF218)</f>
        <v>9.4638621421316137E-3</v>
      </c>
      <c r="AM218" s="37">
        <f t="shared" si="133"/>
        <v>2.2993618107940329E-6</v>
      </c>
      <c r="AN218" s="173">
        <f t="shared" si="155"/>
        <v>2349.4291200754733</v>
      </c>
      <c r="AO218" s="173">
        <v>-257.82046818248426</v>
      </c>
      <c r="AV218" s="129">
        <v>118.0606191528849</v>
      </c>
      <c r="AW218" s="9">
        <v>8.75</v>
      </c>
      <c r="AX218" s="129">
        <f t="shared" si="156"/>
        <v>126.82975268594255</v>
      </c>
      <c r="AY218" s="36">
        <f t="shared" si="182"/>
        <v>1.1469043187798724E-2</v>
      </c>
      <c r="AZ218" s="37">
        <f t="shared" si="157"/>
        <v>50639360.772489212</v>
      </c>
      <c r="BA218" s="36">
        <f t="shared" si="134"/>
        <v>1.9948808806481073</v>
      </c>
      <c r="BB218" s="37">
        <f t="shared" si="158"/>
        <v>-1.554731443800843E-4</v>
      </c>
      <c r="BC218" s="37">
        <f t="shared" si="159"/>
        <v>-2.9308117530520102E-2</v>
      </c>
      <c r="BD218" s="37">
        <f t="shared" si="160"/>
        <v>-2.612178485769248</v>
      </c>
      <c r="BE218" s="39">
        <f t="shared" si="161"/>
        <v>1.971862045103193E-2</v>
      </c>
      <c r="BF218" s="39">
        <f>BF217+(1000*$C$2*($B218-$B217))/(BerechnungenCLT!$W$47*2*AZ218)</f>
        <v>8.4146446637827273E-3</v>
      </c>
      <c r="BG218" s="37">
        <f t="shared" si="135"/>
        <v>2.5045685954796885E-6</v>
      </c>
      <c r="BH218" s="173">
        <f t="shared" si="162"/>
        <v>1793.579380591462</v>
      </c>
      <c r="BI218">
        <v>-258.9936428422032</v>
      </c>
      <c r="BP218" s="129">
        <v>88.050937218302522</v>
      </c>
      <c r="BQ218" s="9">
        <v>14.5625</v>
      </c>
      <c r="BR218" s="129">
        <f t="shared" si="163"/>
        <v>102.65997315752715</v>
      </c>
      <c r="BS218" s="36">
        <f t="shared" si="183"/>
        <v>1.4879758781748615E-2</v>
      </c>
      <c r="BT218" s="37">
        <f t="shared" si="164"/>
        <v>40026633.473015495</v>
      </c>
      <c r="BU218" s="36">
        <f t="shared" si="136"/>
        <v>1.9767328933177146</v>
      </c>
      <c r="BV218" s="37">
        <f t="shared" si="165"/>
        <v>-1.9669554907744428E-4</v>
      </c>
      <c r="BW218" s="37">
        <f t="shared" si="166"/>
        <v>-3.3762670201729329E-2</v>
      </c>
      <c r="BX218" s="37">
        <f t="shared" si="167"/>
        <v>-2.8454242813061721</v>
      </c>
      <c r="BY218" s="39">
        <f t="shared" si="168"/>
        <v>2.0192759788495492E-2</v>
      </c>
      <c r="BZ218" s="39">
        <f>BZ217+(1000*$C$2*($B218-$B217))/(BerechnungenCLT!$W$47*2*BT218)</f>
        <v>9.7024709332360279E-3</v>
      </c>
      <c r="CA218" s="37">
        <f t="shared" si="137"/>
        <v>2.5647915962439552E-6</v>
      </c>
      <c r="CB218" s="173">
        <f t="shared" si="169"/>
        <v>2957.4195893391202</v>
      </c>
      <c r="CC218" s="9">
        <v>-257.74919413998197</v>
      </c>
      <c r="CJ218" s="9">
        <f t="shared" si="185"/>
        <v>167</v>
      </c>
      <c r="CK218" s="129">
        <v>106.27213819752332</v>
      </c>
      <c r="CL218" s="9">
        <v>6.6875</v>
      </c>
      <c r="CM218" s="129">
        <f t="shared" si="170"/>
        <v>116.06896286981288</v>
      </c>
      <c r="CN218" s="36">
        <f t="shared" si="184"/>
        <v>1.1633325556476001E-2</v>
      </c>
      <c r="CO218" s="173">
        <f t="shared" si="171"/>
        <v>2175.8277922422708</v>
      </c>
      <c r="CP218" s="9">
        <v>-630.85392866782843</v>
      </c>
      <c r="CQ218" s="129"/>
      <c r="CR218" s="36">
        <f t="shared" si="172"/>
        <v>0.73854610548791155</v>
      </c>
      <c r="CS218" s="17">
        <f t="shared" si="138"/>
        <v>0.53092677781295783</v>
      </c>
      <c r="CT218" s="9">
        <f t="shared" si="139"/>
        <v>7.5575393212010464</v>
      </c>
      <c r="CU218" s="9">
        <f t="shared" si="173"/>
        <v>117.34352327172758</v>
      </c>
      <c r="CV218" s="9">
        <v>13.2</v>
      </c>
      <c r="CW218" s="9">
        <f t="shared" si="174"/>
        <v>125.60942203665935</v>
      </c>
      <c r="CX218">
        <f t="shared" si="175"/>
        <v>22</v>
      </c>
      <c r="CY218" s="9">
        <f t="shared" si="140"/>
        <v>503.22492881749912</v>
      </c>
      <c r="CZ218" s="17">
        <f t="shared" si="176"/>
        <v>0.473846448980696</v>
      </c>
      <c r="DA218">
        <v>45</v>
      </c>
      <c r="DB218" s="9">
        <f t="shared" si="177"/>
        <v>8.1208079524658761</v>
      </c>
      <c r="DC218" s="9">
        <f t="shared" si="178"/>
        <v>8.8594072677264428</v>
      </c>
    </row>
    <row r="219" spans="2:107" x14ac:dyDescent="0.25">
      <c r="B219" s="9">
        <f t="shared" si="179"/>
        <v>168</v>
      </c>
      <c r="C219" s="9">
        <v>103.80675422916312</v>
      </c>
      <c r="D219" s="9"/>
      <c r="E219" s="9">
        <f t="shared" si="141"/>
        <v>103.80675422916312</v>
      </c>
      <c r="F219" s="36">
        <f t="shared" si="180"/>
        <v>0</v>
      </c>
      <c r="G219" s="37">
        <f t="shared" si="186"/>
        <v>0</v>
      </c>
      <c r="H219" s="36" t="e">
        <f t="shared" si="126"/>
        <v>#DIV/0!</v>
      </c>
      <c r="I219" s="37" t="e">
        <f t="shared" si="142"/>
        <v>#DIV/0!</v>
      </c>
      <c r="J219" s="37" t="e">
        <f t="shared" si="143"/>
        <v>#DIV/0!</v>
      </c>
      <c r="K219" s="37" t="e">
        <f t="shared" si="144"/>
        <v>#DIV/0!</v>
      </c>
      <c r="L219" s="39" t="e">
        <f t="shared" si="127"/>
        <v>#DIV/0!</v>
      </c>
      <c r="M219" s="39" t="e">
        <f>M218+(1000*$C$2*(B219-B218))/(BerechnungenCLT!$W$47*2*'Berechnung freier Bereich'!G219)</f>
        <v>#DIV/0!</v>
      </c>
      <c r="N219" s="17" t="e">
        <f t="shared" si="145"/>
        <v>#DIV/0!</v>
      </c>
      <c r="O219" s="173">
        <f t="shared" si="146"/>
        <v>2495.4726161384183</v>
      </c>
      <c r="P219" s="173"/>
      <c r="Q219" s="173"/>
      <c r="R219" s="37" t="e">
        <f t="shared" si="128"/>
        <v>#DIV/0!</v>
      </c>
      <c r="S219" s="37" t="e">
        <f t="shared" si="129"/>
        <v>#DIV/0!</v>
      </c>
      <c r="T219" s="37" t="e">
        <f t="shared" si="130"/>
        <v>#DIV/0!</v>
      </c>
      <c r="U219" s="39" t="e">
        <f t="shared" si="131"/>
        <v>#DIV/0!</v>
      </c>
      <c r="V219" s="39" t="e">
        <f t="shared" si="147"/>
        <v>#DIV/0!</v>
      </c>
      <c r="W219" s="9" t="e">
        <f t="shared" si="148"/>
        <v>#DIV/0!</v>
      </c>
      <c r="AB219" s="129">
        <v>101.09567300376186</v>
      </c>
      <c r="AC219" s="9">
        <v>11.3125</v>
      </c>
      <c r="AD219" s="129">
        <f t="shared" si="149"/>
        <v>113.73743836604207</v>
      </c>
      <c r="AE219" s="36">
        <f t="shared" si="181"/>
        <v>1.4504666165190434E-2</v>
      </c>
      <c r="AF219" s="37">
        <f t="shared" si="150"/>
        <v>49393806.182357267</v>
      </c>
      <c r="AG219" s="36">
        <f t="shared" si="132"/>
        <v>1.986220869510178</v>
      </c>
      <c r="AH219" s="37">
        <f t="shared" si="151"/>
        <v>-1.5939368226918567E-4</v>
      </c>
      <c r="AI219" s="37">
        <f t="shared" si="152"/>
        <v>-3.3096723526677349E-2</v>
      </c>
      <c r="AJ219" s="37">
        <f t="shared" si="153"/>
        <v>-2.8647393583890239</v>
      </c>
      <c r="AK219" s="39">
        <f t="shared" si="154"/>
        <v>1.8129029113027998E-2</v>
      </c>
      <c r="AL219" s="39">
        <f>AL218+(1000*$C$2*($B219-$B218))/(BerechnungenCLT!$W$47*2*AF219)</f>
        <v>9.5099434148425421E-3</v>
      </c>
      <c r="AM219" s="37">
        <f t="shared" si="133"/>
        <v>2.3026660052504192E-6</v>
      </c>
      <c r="AN219" s="173">
        <f t="shared" si="155"/>
        <v>2330.566970996987</v>
      </c>
      <c r="AO219" s="173">
        <v>-258.45060287902044</v>
      </c>
      <c r="AV219" s="129">
        <v>118.12678682320464</v>
      </c>
      <c r="AW219" s="9">
        <v>8.75</v>
      </c>
      <c r="AX219" s="129">
        <f t="shared" si="156"/>
        <v>126.89529361742527</v>
      </c>
      <c r="AY219" s="36">
        <f t="shared" si="182"/>
        <v>1.1474391401476188E-2</v>
      </c>
      <c r="AZ219" s="37">
        <f t="shared" si="157"/>
        <v>50717406.169187568</v>
      </c>
      <c r="BA219" s="36">
        <f t="shared" si="134"/>
        <v>1.9948871015771272</v>
      </c>
      <c r="BB219" s="37">
        <f t="shared" si="158"/>
        <v>-1.5523389785417548E-4</v>
      </c>
      <c r="BC219" s="37">
        <f t="shared" si="159"/>
        <v>-2.9463351428374276E-2</v>
      </c>
      <c r="BD219" s="37">
        <f t="shared" si="160"/>
        <v>-2.6415642202486951</v>
      </c>
      <c r="BE219" s="39">
        <f t="shared" si="161"/>
        <v>1.9698451047582999E-2</v>
      </c>
      <c r="BF219" s="39">
        <f>BF218+(1000*$C$2*($B219-$B218))/(BerechnungenCLT!$W$47*2*AZ219)</f>
        <v>8.4595233282263906E-3</v>
      </c>
      <c r="BG219" s="37">
        <f t="shared" si="135"/>
        <v>2.502006770498413E-6</v>
      </c>
      <c r="BH219" s="173">
        <f t="shared" si="162"/>
        <v>1791.6516658255428</v>
      </c>
      <c r="BI219">
        <v>-258.78027322849886</v>
      </c>
      <c r="BP219" s="129">
        <v>88.130946054184562</v>
      </c>
      <c r="BQ219" s="9">
        <v>14.5625</v>
      </c>
      <c r="BR219" s="129">
        <f t="shared" si="163"/>
        <v>102.74256597200994</v>
      </c>
      <c r="BS219" s="36">
        <f t="shared" si="183"/>
        <v>1.4895079490068701E-2</v>
      </c>
      <c r="BT219" s="37">
        <f t="shared" si="164"/>
        <v>40135883.659421973</v>
      </c>
      <c r="BU219" s="36">
        <f t="shared" si="136"/>
        <v>1.9767640264119246</v>
      </c>
      <c r="BV219" s="37">
        <f t="shared" si="165"/>
        <v>-1.9616014226830601E-4</v>
      </c>
      <c r="BW219" s="37">
        <f t="shared" si="166"/>
        <v>-3.3958830343997638E-2</v>
      </c>
      <c r="BX219" s="37">
        <f t="shared" si="167"/>
        <v>-2.8792850315790357</v>
      </c>
      <c r="BY219" s="39">
        <f t="shared" si="168"/>
        <v>2.0153996358080288E-2</v>
      </c>
      <c r="BZ219" s="39">
        <f>BZ218+(1000*$C$2*($B219-$B218))/(BerechnungenCLT!$W$47*2*BT219)</f>
        <v>9.759181518512643E-3</v>
      </c>
      <c r="CA219" s="37">
        <f t="shared" si="137"/>
        <v>2.559868043366E-6</v>
      </c>
      <c r="CB219" s="173">
        <f t="shared" si="169"/>
        <v>2952.3829923387821</v>
      </c>
      <c r="CC219" s="9">
        <v>-257.31023755001252</v>
      </c>
      <c r="CJ219" s="9">
        <f t="shared" si="185"/>
        <v>168</v>
      </c>
      <c r="CK219" s="129">
        <v>107.34268293593158</v>
      </c>
      <c r="CL219" s="9">
        <v>6.578125</v>
      </c>
      <c r="CM219" s="129">
        <f t="shared" si="170"/>
        <v>116.9129420288651</v>
      </c>
      <c r="CN219" s="36">
        <f t="shared" si="184"/>
        <v>1.1462143326666223E-2</v>
      </c>
      <c r="CO219" s="173">
        <f t="shared" si="171"/>
        <v>2138.8352519052364</v>
      </c>
      <c r="CP219" s="9">
        <v>-630.43933003756752</v>
      </c>
      <c r="CQ219" s="129"/>
      <c r="CR219" s="36">
        <f t="shared" si="172"/>
        <v>0.73492607864506487</v>
      </c>
      <c r="CS219" s="17">
        <f t="shared" si="138"/>
        <v>0.52832440922284896</v>
      </c>
      <c r="CT219" s="9">
        <f t="shared" si="139"/>
        <v>7.4705520530572249</v>
      </c>
      <c r="CU219" s="9">
        <f t="shared" si="173"/>
        <v>118.21129955768993</v>
      </c>
      <c r="CV219" s="9">
        <v>13.2</v>
      </c>
      <c r="CW219" s="9">
        <f t="shared" si="174"/>
        <v>126.54685130103906</v>
      </c>
      <c r="CX219">
        <f t="shared" si="175"/>
        <v>22</v>
      </c>
      <c r="CY219" s="9">
        <f t="shared" si="140"/>
        <v>498.20619083697937</v>
      </c>
      <c r="CZ219" s="17">
        <f t="shared" si="176"/>
        <v>0.4691207070028055</v>
      </c>
      <c r="DA219">
        <v>45</v>
      </c>
      <c r="DB219" s="9">
        <f t="shared" si="177"/>
        <v>8.0398179120890649</v>
      </c>
      <c r="DC219" s="9">
        <f t="shared" si="178"/>
        <v>8.77479217870005</v>
      </c>
    </row>
    <row r="220" spans="2:107" x14ac:dyDescent="0.25">
      <c r="B220" s="9">
        <f t="shared" si="179"/>
        <v>169</v>
      </c>
      <c r="C220" s="9">
        <v>104.02276225627942</v>
      </c>
      <c r="D220" s="9"/>
      <c r="E220" s="9">
        <f t="shared" si="141"/>
        <v>104.02276225627942</v>
      </c>
      <c r="F220" s="36">
        <f t="shared" si="180"/>
        <v>0</v>
      </c>
      <c r="G220" s="37">
        <f t="shared" si="186"/>
        <v>0</v>
      </c>
      <c r="H220" s="36" t="e">
        <f t="shared" si="126"/>
        <v>#DIV/0!</v>
      </c>
      <c r="I220" s="37" t="e">
        <f t="shared" si="142"/>
        <v>#DIV/0!</v>
      </c>
      <c r="J220" s="37" t="e">
        <f t="shared" si="143"/>
        <v>#DIV/0!</v>
      </c>
      <c r="K220" s="37" t="e">
        <f t="shared" si="144"/>
        <v>#DIV/0!</v>
      </c>
      <c r="L220" s="39" t="e">
        <f t="shared" si="127"/>
        <v>#DIV/0!</v>
      </c>
      <c r="M220" s="39" t="e">
        <f>M219+(1000*$C$2*(B220-B219))/(BerechnungenCLT!$W$47*2*'Berechnung freier Bereich'!G220)</f>
        <v>#DIV/0!</v>
      </c>
      <c r="N220" s="17" t="e">
        <f t="shared" si="145"/>
        <v>#DIV/0!</v>
      </c>
      <c r="O220" s="173">
        <f t="shared" si="146"/>
        <v>2485.1194505034919</v>
      </c>
      <c r="P220" s="173"/>
      <c r="Q220" s="173"/>
      <c r="R220" s="37" t="e">
        <f t="shared" si="128"/>
        <v>#DIV/0!</v>
      </c>
      <c r="S220" s="37" t="e">
        <f t="shared" si="129"/>
        <v>#DIV/0!</v>
      </c>
      <c r="T220" s="37" t="e">
        <f t="shared" si="130"/>
        <v>#DIV/0!</v>
      </c>
      <c r="U220" s="39" t="e">
        <f t="shared" si="131"/>
        <v>#DIV/0!</v>
      </c>
      <c r="V220" s="39" t="e">
        <f t="shared" si="147"/>
        <v>#DIV/0!</v>
      </c>
      <c r="W220" s="9" t="e">
        <f t="shared" si="148"/>
        <v>#DIV/0!</v>
      </c>
      <c r="AB220" s="129">
        <v>101.59448705645224</v>
      </c>
      <c r="AC220" s="9">
        <v>11.1875</v>
      </c>
      <c r="AD220" s="129">
        <f t="shared" si="149"/>
        <v>114.1046661789904</v>
      </c>
      <c r="AE220" s="36">
        <f t="shared" si="181"/>
        <v>1.4411552305337834E-2</v>
      </c>
      <c r="AF220" s="37">
        <f t="shared" si="150"/>
        <v>49468320.127726853</v>
      </c>
      <c r="AG220" s="36">
        <f t="shared" si="132"/>
        <v>1.9866123873940382</v>
      </c>
      <c r="AH220" s="37">
        <f t="shared" si="151"/>
        <v>-1.5915358816244834E-4</v>
      </c>
      <c r="AI220" s="37">
        <f t="shared" si="152"/>
        <v>-3.3255877114839801E-2</v>
      </c>
      <c r="AJ220" s="37">
        <f t="shared" si="153"/>
        <v>-2.8979156587097825</v>
      </c>
      <c r="AK220" s="39">
        <f t="shared" si="154"/>
        <v>1.8160167048464685E-2</v>
      </c>
      <c r="AL220" s="39">
        <f>AL219+(1000*$C$2*($B220-$B219))/(BerechnungenCLT!$W$47*2*AF220)</f>
        <v>9.5559552755049414E-3</v>
      </c>
      <c r="AM220" s="37">
        <f t="shared" si="133"/>
        <v>2.3066210027826489E-6</v>
      </c>
      <c r="AN220" s="173">
        <f t="shared" si="155"/>
        <v>2311.8898773064889</v>
      </c>
      <c r="AO220" s="173">
        <v>-259.12626719719333</v>
      </c>
      <c r="AV220" s="129">
        <v>118.19186061117939</v>
      </c>
      <c r="AW220" s="9">
        <v>8.75</v>
      </c>
      <c r="AX220" s="129">
        <f t="shared" si="156"/>
        <v>126.95978522790418</v>
      </c>
      <c r="AY220" s="36">
        <f t="shared" si="182"/>
        <v>1.1479696717749453E-2</v>
      </c>
      <c r="AZ220" s="37">
        <f t="shared" si="157"/>
        <v>50794455.444274843</v>
      </c>
      <c r="BA220" s="36">
        <f t="shared" si="134"/>
        <v>1.9948931711396551</v>
      </c>
      <c r="BB220" s="37">
        <f t="shared" si="158"/>
        <v>-1.5499842610447326E-4</v>
      </c>
      <c r="BC220" s="37">
        <f t="shared" si="159"/>
        <v>-2.961834985447875E-2</v>
      </c>
      <c r="BD220" s="37">
        <f t="shared" si="160"/>
        <v>-2.6711050708901216</v>
      </c>
      <c r="BE220" s="39">
        <f t="shared" si="161"/>
        <v>1.9678566888887101E-2</v>
      </c>
      <c r="BF220" s="39">
        <f>BF219+(1000*$C$2*($B220-$B219))/(BerechnungenCLT!$W$47*2*AZ220)</f>
        <v>8.5043339169611591E-3</v>
      </c>
      <c r="BG220" s="37">
        <f t="shared" si="135"/>
        <v>2.4994811759954424E-6</v>
      </c>
      <c r="BH220" s="173">
        <f t="shared" si="162"/>
        <v>1789.7583502173977</v>
      </c>
      <c r="BI220">
        <v>-258.57357360737018</v>
      </c>
      <c r="BP220" s="129">
        <v>88.213149828697851</v>
      </c>
      <c r="BQ220" s="9">
        <v>14.5</v>
      </c>
      <c r="BR220" s="129">
        <f t="shared" si="163"/>
        <v>102.76473447148757</v>
      </c>
      <c r="BS220" s="36">
        <f t="shared" si="183"/>
        <v>1.4841990925075335E-2</v>
      </c>
      <c r="BT220" s="37">
        <f t="shared" si="164"/>
        <v>40034416.261781938</v>
      </c>
      <c r="BU220" s="36">
        <f t="shared" si="136"/>
        <v>1.9769778914494955</v>
      </c>
      <c r="BV220" s="37">
        <f t="shared" si="165"/>
        <v>-1.9665731098000933E-4</v>
      </c>
      <c r="BW220" s="37">
        <f t="shared" si="166"/>
        <v>-3.4155487654977647E-2</v>
      </c>
      <c r="BX220" s="37">
        <f t="shared" si="167"/>
        <v>-2.9133421905785233</v>
      </c>
      <c r="BY220" s="39">
        <f t="shared" si="168"/>
        <v>2.0209436344737416E-2</v>
      </c>
      <c r="BZ220" s="39">
        <f>BZ219+(1000*$C$2*($B220-$B219))/(BerechnungenCLT!$W$47*2*BT220)</f>
        <v>9.816035837007922E-3</v>
      </c>
      <c r="CA220" s="37">
        <f t="shared" si="137"/>
        <v>2.5669097758168112E-6</v>
      </c>
      <c r="CB220" s="173">
        <f t="shared" si="169"/>
        <v>2949.1568311078499</v>
      </c>
      <c r="CC220" s="9">
        <v>-258.13695051389902</v>
      </c>
      <c r="CJ220" s="9">
        <f t="shared" si="185"/>
        <v>169</v>
      </c>
      <c r="CK220" s="129">
        <v>108.39938593442109</v>
      </c>
      <c r="CL220" s="9">
        <v>6.46875</v>
      </c>
      <c r="CM220" s="129">
        <f t="shared" si="170"/>
        <v>117.72621662142035</v>
      </c>
      <c r="CN220" s="36">
        <f t="shared" si="184"/>
        <v>1.1263740182067935E-2</v>
      </c>
      <c r="CO220" s="173">
        <f t="shared" si="171"/>
        <v>2103.60672027397</v>
      </c>
      <c r="CP220" s="9">
        <v>-630.53945880654351</v>
      </c>
      <c r="CQ220" s="129"/>
      <c r="CR220" s="36">
        <f t="shared" si="172"/>
        <v>0.73146380141621781</v>
      </c>
      <c r="CS220" s="17">
        <f t="shared" si="138"/>
        <v>0.52583544383619574</v>
      </c>
      <c r="CT220" s="9">
        <f t="shared" si="139"/>
        <v>7.3811114208745829</v>
      </c>
      <c r="CU220" s="9">
        <f t="shared" si="173"/>
        <v>119.0416856838895</v>
      </c>
      <c r="CV220" s="9">
        <v>13.2</v>
      </c>
      <c r="CW220" s="9">
        <f t="shared" si="174"/>
        <v>127.43152739426885</v>
      </c>
      <c r="CX220">
        <f t="shared" si="175"/>
        <v>22</v>
      </c>
      <c r="CY220" s="9">
        <f t="shared" si="140"/>
        <v>493.34955838297304</v>
      </c>
      <c r="CZ220" s="17">
        <f t="shared" si="176"/>
        <v>0.46454760676362811</v>
      </c>
      <c r="DA220">
        <v>45</v>
      </c>
      <c r="DB220" s="9">
        <f t="shared" si="177"/>
        <v>7.9614438546921535</v>
      </c>
      <c r="DC220" s="9">
        <f t="shared" si="178"/>
        <v>8.6929509023414901</v>
      </c>
    </row>
    <row r="221" spans="2:107" x14ac:dyDescent="0.25">
      <c r="B221" s="9">
        <f t="shared" si="179"/>
        <v>170</v>
      </c>
      <c r="C221" s="9">
        <v>104.23928246720573</v>
      </c>
      <c r="D221" s="9"/>
      <c r="E221" s="9">
        <f t="shared" si="141"/>
        <v>104.23928246720573</v>
      </c>
      <c r="F221" s="36">
        <f t="shared" si="180"/>
        <v>0</v>
      </c>
      <c r="G221" s="37">
        <f t="shared" si="186"/>
        <v>0</v>
      </c>
      <c r="H221" s="36" t="e">
        <f t="shared" si="126"/>
        <v>#DIV/0!</v>
      </c>
      <c r="I221" s="37" t="e">
        <f t="shared" si="142"/>
        <v>#DIV/0!</v>
      </c>
      <c r="J221" s="37" t="e">
        <f t="shared" si="143"/>
        <v>#DIV/0!</v>
      </c>
      <c r="K221" s="37" t="e">
        <f t="shared" si="144"/>
        <v>#DIV/0!</v>
      </c>
      <c r="L221" s="39" t="e">
        <f t="shared" si="127"/>
        <v>#DIV/0!</v>
      </c>
      <c r="M221" s="39" t="e">
        <f>M220+(1000*$C$2*(B221-B220))/(BerechnungenCLT!$W$47*2*'Berechnung freier Bereich'!G221)</f>
        <v>#DIV/0!</v>
      </c>
      <c r="N221" s="17" t="e">
        <f t="shared" si="145"/>
        <v>#DIV/0!</v>
      </c>
      <c r="O221" s="173">
        <f t="shared" si="146"/>
        <v>2474.8062606775688</v>
      </c>
      <c r="P221" s="173"/>
      <c r="Q221" s="173"/>
      <c r="R221" s="37" t="e">
        <f t="shared" si="128"/>
        <v>#DIV/0!</v>
      </c>
      <c r="S221" s="37" t="e">
        <f t="shared" si="129"/>
        <v>#DIV/0!</v>
      </c>
      <c r="T221" s="37" t="e">
        <f t="shared" si="130"/>
        <v>#DIV/0!</v>
      </c>
      <c r="U221" s="39" t="e">
        <f t="shared" si="131"/>
        <v>#DIV/0!</v>
      </c>
      <c r="V221" s="39" t="e">
        <f t="shared" si="147"/>
        <v>#DIV/0!</v>
      </c>
      <c r="W221" s="9" t="e">
        <f t="shared" si="148"/>
        <v>#DIV/0!</v>
      </c>
      <c r="AB221" s="129">
        <v>102.09492140197321</v>
      </c>
      <c r="AC221" s="9">
        <v>11.125</v>
      </c>
      <c r="AD221" s="129">
        <f t="shared" si="149"/>
        <v>114.54141597502425</v>
      </c>
      <c r="AE221" s="36">
        <f t="shared" si="181"/>
        <v>1.4400486113345835E-2</v>
      </c>
      <c r="AF221" s="37">
        <f t="shared" si="150"/>
        <v>49857678.455038108</v>
      </c>
      <c r="AG221" s="36">
        <f t="shared" si="132"/>
        <v>1.9868615152437143</v>
      </c>
      <c r="AH221" s="37">
        <f t="shared" si="151"/>
        <v>-1.5791069485508348E-4</v>
      </c>
      <c r="AI221" s="37">
        <f t="shared" si="152"/>
        <v>-3.3413787809694881E-2</v>
      </c>
      <c r="AJ221" s="37">
        <f t="shared" si="153"/>
        <v>-2.9312504911720501</v>
      </c>
      <c r="AK221" s="39">
        <f t="shared" si="154"/>
        <v>1.8087314586301237E-2</v>
      </c>
      <c r="AL221" s="39">
        <f>AL220+(1000*$C$2*($B221-$B220))/(BerechnungenCLT!$W$47*2*AF221)</f>
        <v>9.6016078113520045E-3</v>
      </c>
      <c r="AM221" s="37">
        <f t="shared" si="133"/>
        <v>2.2973676176743415E-6</v>
      </c>
      <c r="AN221" s="173">
        <f t="shared" si="155"/>
        <v>2291.9303453114021</v>
      </c>
      <c r="AO221" s="173">
        <v>-258.22334118259545</v>
      </c>
      <c r="AV221" s="129">
        <v>118.255901627074</v>
      </c>
      <c r="AW221" s="9">
        <v>8.75</v>
      </c>
      <c r="AX221" s="129">
        <f t="shared" si="156"/>
        <v>127.02328698309078</v>
      </c>
      <c r="AY221" s="36">
        <f t="shared" si="182"/>
        <v>1.1484962740664358E-2</v>
      </c>
      <c r="AZ221" s="37">
        <f t="shared" si="157"/>
        <v>50870571.291353114</v>
      </c>
      <c r="BA221" s="36">
        <f t="shared" si="134"/>
        <v>1.9948990969053735</v>
      </c>
      <c r="BB221" s="37">
        <f t="shared" si="158"/>
        <v>-1.5476650740965124E-4</v>
      </c>
      <c r="BC221" s="37">
        <f t="shared" si="159"/>
        <v>-2.97731163618884E-2</v>
      </c>
      <c r="BD221" s="37">
        <f t="shared" si="160"/>
        <v>-2.7008008039983054</v>
      </c>
      <c r="BE221" s="39">
        <f t="shared" si="161"/>
        <v>1.9658950486066775E-2</v>
      </c>
      <c r="BF221" s="39">
        <f>BF220+(1000*$C$2*($B221-$B220))/(BerechnungenCLT!$W$47*2*AZ221)</f>
        <v>8.5490774571876631E-3</v>
      </c>
      <c r="BG221" s="37">
        <f t="shared" si="135"/>
        <v>2.4969895906138953E-6</v>
      </c>
      <c r="BH221" s="173">
        <f t="shared" si="162"/>
        <v>1787.8975205924028</v>
      </c>
      <c r="BI221">
        <v>-258.37291075271844</v>
      </c>
      <c r="BP221" s="129">
        <v>88.297576005845386</v>
      </c>
      <c r="BQ221" s="9">
        <v>14.5</v>
      </c>
      <c r="BR221" s="129">
        <f t="shared" si="163"/>
        <v>102.85194142873621</v>
      </c>
      <c r="BS221" s="36">
        <f t="shared" si="183"/>
        <v>1.4858168349279131E-2</v>
      </c>
      <c r="BT221" s="37">
        <f t="shared" si="164"/>
        <v>40149794.482418478</v>
      </c>
      <c r="BU221" s="36">
        <f t="shared" si="136"/>
        <v>1.9770101509011961</v>
      </c>
      <c r="BV221" s="37">
        <f t="shared" si="165"/>
        <v>-1.9609217805944168E-4</v>
      </c>
      <c r="BW221" s="37">
        <f t="shared" si="166"/>
        <v>-3.4351579833037091E-2</v>
      </c>
      <c r="BX221" s="37">
        <f t="shared" si="167"/>
        <v>-2.9475957243225306</v>
      </c>
      <c r="BY221" s="39">
        <f t="shared" si="168"/>
        <v>2.0168461212403007E-2</v>
      </c>
      <c r="BZ221" s="39">
        <f>BZ220+(1000*$C$2*($B221-$B220))/(BerechnungenCLT!$W$47*2*BT221)</f>
        <v>9.8727267735933301E-3</v>
      </c>
      <c r="CA221" s="37">
        <f t="shared" si="137"/>
        <v>2.5617053027201643E-6</v>
      </c>
      <c r="CB221" s="173">
        <f t="shared" si="169"/>
        <v>2943.8631134863786</v>
      </c>
      <c r="CC221" s="9">
        <v>-257.6735963411827</v>
      </c>
      <c r="CJ221" s="9">
        <f t="shared" si="185"/>
        <v>170</v>
      </c>
      <c r="CK221" s="129">
        <v>109.43807288074937</v>
      </c>
      <c r="CL221" s="9">
        <v>6.359375</v>
      </c>
      <c r="CM221" s="129">
        <f t="shared" si="170"/>
        <v>118.50607180317041</v>
      </c>
      <c r="CN221" s="36">
        <f t="shared" si="184"/>
        <v>1.1039227783183723E-2</v>
      </c>
      <c r="CO221" s="173">
        <f t="shared" si="171"/>
        <v>2070.1753943119297</v>
      </c>
      <c r="CP221" s="9">
        <v>-631.19099505717259</v>
      </c>
      <c r="CQ221" s="129"/>
      <c r="CR221" s="36">
        <f t="shared" si="172"/>
        <v>0.72816775126013011</v>
      </c>
      <c r="CS221" s="17">
        <f t="shared" si="138"/>
        <v>0.52346597593720046</v>
      </c>
      <c r="CT221" s="9">
        <f t="shared" si="139"/>
        <v>7.2891556956850918</v>
      </c>
      <c r="CU221" s="9">
        <f t="shared" si="173"/>
        <v>119.83187038346492</v>
      </c>
      <c r="CV221" s="9">
        <v>13.2</v>
      </c>
      <c r="CW221" s="9">
        <f t="shared" si="174"/>
        <v>128.26029767107198</v>
      </c>
      <c r="CX221">
        <f t="shared" si="175"/>
        <v>22</v>
      </c>
      <c r="CY221" s="9">
        <f t="shared" si="140"/>
        <v>488.66713175775641</v>
      </c>
      <c r="CZ221" s="17">
        <f t="shared" si="176"/>
        <v>0.46013854214478006</v>
      </c>
      <c r="DA221">
        <v>45</v>
      </c>
      <c r="DB221" s="9">
        <f t="shared" si="177"/>
        <v>7.8858810492797717</v>
      </c>
      <c r="DC221" s="9">
        <f t="shared" si="178"/>
        <v>8.6140895292677495</v>
      </c>
    </row>
    <row r="222" spans="2:107" x14ac:dyDescent="0.25">
      <c r="B222" s="9">
        <f t="shared" si="179"/>
        <v>171</v>
      </c>
      <c r="C222" s="9">
        <v>104.4563202945496</v>
      </c>
      <c r="D222" s="9"/>
      <c r="E222" s="9">
        <f t="shared" si="141"/>
        <v>104.4563202945496</v>
      </c>
      <c r="F222" s="36">
        <f t="shared" si="180"/>
        <v>0</v>
      </c>
      <c r="G222" s="37">
        <f t="shared" si="186"/>
        <v>0</v>
      </c>
      <c r="H222" s="36" t="e">
        <f t="shared" si="126"/>
        <v>#DIV/0!</v>
      </c>
      <c r="I222" s="37" t="e">
        <f t="shared" si="142"/>
        <v>#DIV/0!</v>
      </c>
      <c r="J222" s="37" t="e">
        <f t="shared" si="143"/>
        <v>#DIV/0!</v>
      </c>
      <c r="K222" s="37" t="e">
        <f t="shared" si="144"/>
        <v>#DIV/0!</v>
      </c>
      <c r="L222" s="39" t="e">
        <f t="shared" si="127"/>
        <v>#DIV/0!</v>
      </c>
      <c r="M222" s="39" t="e">
        <f>M221+(1000*$C$2*(B222-B221))/(BerechnungenCLT!$W$47*2*'Berechnung freier Bereich'!G222)</f>
        <v>#DIV/0!</v>
      </c>
      <c r="N222" s="17" t="e">
        <f t="shared" si="145"/>
        <v>#DIV/0!</v>
      </c>
      <c r="O222" s="173">
        <f t="shared" si="146"/>
        <v>2464.532711781746</v>
      </c>
      <c r="P222" s="173"/>
      <c r="Q222" s="173"/>
      <c r="R222" s="37" t="e">
        <f t="shared" si="128"/>
        <v>#DIV/0!</v>
      </c>
      <c r="S222" s="37" t="e">
        <f t="shared" si="129"/>
        <v>#DIV/0!</v>
      </c>
      <c r="T222" s="37" t="e">
        <f t="shared" si="130"/>
        <v>#DIV/0!</v>
      </c>
      <c r="U222" s="39" t="e">
        <f t="shared" si="131"/>
        <v>#DIV/0!</v>
      </c>
      <c r="V222" s="39" t="e">
        <f t="shared" si="147"/>
        <v>#DIV/0!</v>
      </c>
      <c r="W222" s="9" t="e">
        <f t="shared" si="148"/>
        <v>#DIV/0!</v>
      </c>
      <c r="AB222" s="129">
        <v>102.59660076049943</v>
      </c>
      <c r="AC222" s="9">
        <v>11</v>
      </c>
      <c r="AD222" s="129">
        <f t="shared" si="149"/>
        <v>114.90754005604161</v>
      </c>
      <c r="AE222" s="36">
        <f t="shared" si="181"/>
        <v>1.4300707152332073E-2</v>
      </c>
      <c r="AF222" s="37">
        <f t="shared" si="150"/>
        <v>49904852.301865511</v>
      </c>
      <c r="AG222" s="36">
        <f t="shared" si="132"/>
        <v>1.9872466522664132</v>
      </c>
      <c r="AH222" s="37">
        <f t="shared" si="151"/>
        <v>-1.5776142570413112E-4</v>
      </c>
      <c r="AI222" s="37">
        <f t="shared" si="152"/>
        <v>-3.3571549235399012E-2</v>
      </c>
      <c r="AJ222" s="37">
        <f t="shared" si="153"/>
        <v>-2.964743159694597</v>
      </c>
      <c r="AK222" s="39">
        <f t="shared" si="154"/>
        <v>1.812797734339568E-2</v>
      </c>
      <c r="AL222" s="39">
        <f>AL221+(1000*$C$2*($B222-$B221))/(BerechnungenCLT!$W$47*2*AF222)</f>
        <v>9.6472171929638771E-3</v>
      </c>
      <c r="AM222" s="37">
        <f t="shared" si="133"/>
        <v>2.3025324143028516E-6</v>
      </c>
      <c r="AN222" s="173">
        <f t="shared" si="155"/>
        <v>2273.6780282918266</v>
      </c>
      <c r="AO222" s="173">
        <v>-258.97951417809128</v>
      </c>
      <c r="AV222" s="129">
        <v>118.31897098115321</v>
      </c>
      <c r="AW222" s="9">
        <v>8.75</v>
      </c>
      <c r="AX222" s="129">
        <f t="shared" si="156"/>
        <v>127.08585844548614</v>
      </c>
      <c r="AY222" s="36">
        <f t="shared" si="182"/>
        <v>1.149019319690997E-2</v>
      </c>
      <c r="AZ222" s="37">
        <f t="shared" si="157"/>
        <v>50945817.287678838</v>
      </c>
      <c r="BA222" s="36">
        <f t="shared" si="134"/>
        <v>1.9949048862788583</v>
      </c>
      <c r="BB222" s="37">
        <f t="shared" si="158"/>
        <v>-1.5453792024258054E-4</v>
      </c>
      <c r="BC222" s="37">
        <f t="shared" si="159"/>
        <v>-2.992765428213098E-2</v>
      </c>
      <c r="BD222" s="37">
        <f t="shared" si="160"/>
        <v>-2.7306511893203149</v>
      </c>
      <c r="BE222" s="39">
        <f t="shared" si="161"/>
        <v>1.9639584256408417E-2</v>
      </c>
      <c r="BF222" s="39">
        <f>BF221+(1000*$C$2*($B222-$B221))/(BerechnungenCLT!$W$47*2*AZ222)</f>
        <v>8.5937549120622646E-3</v>
      </c>
      <c r="BG222" s="37">
        <f t="shared" si="135"/>
        <v>2.4945297810782522E-6</v>
      </c>
      <c r="BH222" s="173">
        <f t="shared" si="162"/>
        <v>1786.0672762429649</v>
      </c>
      <c r="BI222">
        <v>-258.17765378167371</v>
      </c>
      <c r="BP222" s="129">
        <v>88.384252049630177</v>
      </c>
      <c r="BQ222" s="9">
        <v>14.4375</v>
      </c>
      <c r="BR222" s="129">
        <f t="shared" si="163"/>
        <v>102.87875932491798</v>
      </c>
      <c r="BS222" s="36">
        <f t="shared" si="183"/>
        <v>1.4805846413591927E-2</v>
      </c>
      <c r="BT222" s="37">
        <f t="shared" si="164"/>
        <v>40053766.687734857</v>
      </c>
      <c r="BU222" s="36">
        <f t="shared" si="136"/>
        <v>1.97722406965621</v>
      </c>
      <c r="BV222" s="37">
        <f t="shared" si="165"/>
        <v>-1.9656230361743375E-4</v>
      </c>
      <c r="BW222" s="37">
        <f t="shared" si="166"/>
        <v>-3.4548142136654525E-2</v>
      </c>
      <c r="BX222" s="37">
        <f t="shared" si="167"/>
        <v>-2.9820455853073762</v>
      </c>
      <c r="BY222" s="39">
        <f t="shared" si="168"/>
        <v>2.0222085926209422E-2</v>
      </c>
      <c r="BZ222" s="39">
        <f>BZ221+(1000*$C$2*($B222-$B221))/(BerechnungenCLT!$W$47*2*BT222)</f>
        <v>9.9295536251267948E-3</v>
      </c>
      <c r="CA222" s="37">
        <f t="shared" si="137"/>
        <v>2.5685164675516325E-6</v>
      </c>
      <c r="CB222" s="173">
        <f t="shared" si="169"/>
        <v>2940.370420447754</v>
      </c>
      <c r="CC222" s="9">
        <v>-258.48203085741733</v>
      </c>
      <c r="CJ222" s="9">
        <f t="shared" si="185"/>
        <v>171</v>
      </c>
      <c r="CK222" s="129">
        <v>110.4545694626739</v>
      </c>
      <c r="CL222" s="9">
        <v>6.265625</v>
      </c>
      <c r="CM222" s="129">
        <f t="shared" si="170"/>
        <v>119.27188945006385</v>
      </c>
      <c r="CN222" s="36">
        <f t="shared" si="184"/>
        <v>1.0817985980736619E-2</v>
      </c>
      <c r="CO222" s="173">
        <f t="shared" si="171"/>
        <v>2038.1774264085948</v>
      </c>
      <c r="CP222" s="9">
        <v>-630.7331771834273</v>
      </c>
      <c r="CQ222" s="129"/>
      <c r="CR222" s="36">
        <f t="shared" si="172"/>
        <v>0.72495378827854329</v>
      </c>
      <c r="CS222" s="17">
        <f t="shared" si="138"/>
        <v>0.52115551894995971</v>
      </c>
      <c r="CT222" s="9">
        <f t="shared" si="139"/>
        <v>7.2135377316439158</v>
      </c>
      <c r="CU222" s="9">
        <f t="shared" si="173"/>
        <v>120.60584254732476</v>
      </c>
      <c r="CV222" s="9">
        <v>13.2</v>
      </c>
      <c r="CW222" s="9">
        <f t="shared" si="174"/>
        <v>129.03030992488596</v>
      </c>
      <c r="CX222">
        <f t="shared" si="175"/>
        <v>22</v>
      </c>
      <c r="CY222" s="9">
        <f t="shared" si="140"/>
        <v>484.17000256204233</v>
      </c>
      <c r="CZ222" s="17">
        <f t="shared" si="176"/>
        <v>0.45590395721472915</v>
      </c>
      <c r="DA222">
        <v>45</v>
      </c>
      <c r="DB222" s="9">
        <f t="shared" si="177"/>
        <v>7.8133084869036624</v>
      </c>
      <c r="DC222" s="9">
        <f t="shared" si="178"/>
        <v>8.5382981118534662</v>
      </c>
    </row>
    <row r="223" spans="2:107" x14ac:dyDescent="0.25">
      <c r="B223" s="9">
        <f t="shared" si="179"/>
        <v>172</v>
      </c>
      <c r="C223" s="9">
        <v>104.67388117091853</v>
      </c>
      <c r="D223" s="9"/>
      <c r="E223" s="9">
        <f t="shared" si="141"/>
        <v>104.67388117091853</v>
      </c>
      <c r="F223" s="36">
        <f t="shared" si="180"/>
        <v>0</v>
      </c>
      <c r="G223" s="37">
        <f t="shared" si="186"/>
        <v>0</v>
      </c>
      <c r="H223" s="36" t="e">
        <f t="shared" si="126"/>
        <v>#DIV/0!</v>
      </c>
      <c r="I223" s="37" t="e">
        <f t="shared" si="142"/>
        <v>#DIV/0!</v>
      </c>
      <c r="J223" s="37" t="e">
        <f t="shared" si="143"/>
        <v>#DIV/0!</v>
      </c>
      <c r="K223" s="37" t="e">
        <f t="shared" si="144"/>
        <v>#DIV/0!</v>
      </c>
      <c r="L223" s="39" t="e">
        <f t="shared" si="127"/>
        <v>#DIV/0!</v>
      </c>
      <c r="M223" s="39" t="e">
        <f>M222+(1000*$C$2*(B223-B222))/(BerechnungenCLT!$W$47*2*'Berechnung freier Bereich'!G223)</f>
        <v>#DIV/0!</v>
      </c>
      <c r="N223" s="17" t="e">
        <f t="shared" si="145"/>
        <v>#DIV/0!</v>
      </c>
      <c r="O223" s="173">
        <f t="shared" si="146"/>
        <v>2454.2984743745487</v>
      </c>
      <c r="P223" s="173"/>
      <c r="Q223" s="173"/>
      <c r="R223" s="37" t="e">
        <f t="shared" si="128"/>
        <v>#DIV/0!</v>
      </c>
      <c r="S223" s="37" t="e">
        <f t="shared" si="129"/>
        <v>#DIV/0!</v>
      </c>
      <c r="T223" s="37" t="e">
        <f t="shared" si="130"/>
        <v>#DIV/0!</v>
      </c>
      <c r="U223" s="39" t="e">
        <f t="shared" si="131"/>
        <v>#DIV/0!</v>
      </c>
      <c r="V223" s="39" t="e">
        <f t="shared" si="147"/>
        <v>#DIV/0!</v>
      </c>
      <c r="W223" s="9" t="e">
        <f t="shared" si="148"/>
        <v>#DIV/0!</v>
      </c>
      <c r="AB223" s="129">
        <v>103.09914985220549</v>
      </c>
      <c r="AC223" s="9">
        <v>10.9375</v>
      </c>
      <c r="AD223" s="129">
        <f t="shared" si="149"/>
        <v>115.3425700002566</v>
      </c>
      <c r="AE223" s="36">
        <f t="shared" si="181"/>
        <v>1.42835820663232E-2</v>
      </c>
      <c r="AF223" s="37">
        <f t="shared" si="150"/>
        <v>50272628.098373704</v>
      </c>
      <c r="AG223" s="36">
        <f t="shared" si="132"/>
        <v>1.987493045390617</v>
      </c>
      <c r="AH223" s="37">
        <f t="shared" si="151"/>
        <v>-1.5660730195545683E-4</v>
      </c>
      <c r="AI223" s="37">
        <f t="shared" si="152"/>
        <v>-3.3728156537354469E-2</v>
      </c>
      <c r="AJ223" s="37">
        <f t="shared" si="153"/>
        <v>-2.9983930125809737</v>
      </c>
      <c r="AK223" s="39">
        <f t="shared" si="154"/>
        <v>1.8063488688348603E-2</v>
      </c>
      <c r="AL223" s="39">
        <f>AL222+(1000*$C$2*($B223-$B222))/(BerechnungenCLT!$W$47*2*AF223)</f>
        <v>9.6924929133512423E-3</v>
      </c>
      <c r="AM223" s="37">
        <f t="shared" si="133"/>
        <v>2.2943413615567054E-6</v>
      </c>
      <c r="AN223" s="173">
        <f t="shared" si="155"/>
        <v>2254.2020968536613</v>
      </c>
      <c r="AO223" s="173">
        <v>-258.14012081942241</v>
      </c>
      <c r="AV223" s="129">
        <v>118.38112978368183</v>
      </c>
      <c r="AW223" s="9">
        <v>8.75</v>
      </c>
      <c r="AX223" s="129">
        <f t="shared" si="156"/>
        <v>127.14755927448512</v>
      </c>
      <c r="AY223" s="36">
        <f t="shared" si="182"/>
        <v>1.1495391936722596E-2</v>
      </c>
      <c r="AZ223" s="37">
        <f t="shared" si="157"/>
        <v>51020257.893392973</v>
      </c>
      <c r="BA223" s="36">
        <f t="shared" si="134"/>
        <v>1.9949105465024057</v>
      </c>
      <c r="BB223" s="37">
        <f t="shared" si="158"/>
        <v>-1.5431244320926766E-4</v>
      </c>
      <c r="BC223" s="37">
        <f t="shared" si="159"/>
        <v>-3.0081966725340248E-2</v>
      </c>
      <c r="BD223" s="37">
        <f t="shared" si="160"/>
        <v>-2.7606559998240505</v>
      </c>
      <c r="BE223" s="39">
        <f t="shared" si="161"/>
        <v>1.9620450519740977E-2</v>
      </c>
      <c r="BF223" s="39">
        <f>BF222+(1000*$C$2*($B223-$B222))/(BerechnungenCLT!$W$47*2*AZ223)</f>
        <v>8.6383671807355421E-3</v>
      </c>
      <c r="BG223" s="37">
        <f t="shared" si="135"/>
        <v>2.4920995017343979E-6</v>
      </c>
      <c r="BH223" s="173">
        <f t="shared" si="162"/>
        <v>1784.265728434184</v>
      </c>
      <c r="BI223">
        <v>-257.98717395030809</v>
      </c>
      <c r="BP223" s="129">
        <v>88.473205424055166</v>
      </c>
      <c r="BQ223" s="9">
        <v>14.4375</v>
      </c>
      <c r="BR223" s="129">
        <f t="shared" si="163"/>
        <v>102.97069891143222</v>
      </c>
      <c r="BS223" s="36">
        <f t="shared" si="183"/>
        <v>1.4822902745121424E-2</v>
      </c>
      <c r="BT223" s="37">
        <f t="shared" si="164"/>
        <v>40175456.98909606</v>
      </c>
      <c r="BU223" s="36">
        <f t="shared" si="136"/>
        <v>1.9772574351506951</v>
      </c>
      <c r="BV223" s="37">
        <f t="shared" si="165"/>
        <v>-1.959669220647124E-4</v>
      </c>
      <c r="BW223" s="37">
        <f t="shared" si="166"/>
        <v>-3.474410905871924E-2</v>
      </c>
      <c r="BX223" s="37">
        <f t="shared" si="167"/>
        <v>-3.0166917109050631</v>
      </c>
      <c r="BY223" s="39">
        <f t="shared" si="168"/>
        <v>2.0178850928525605E-2</v>
      </c>
      <c r="BZ223" s="39">
        <f>BZ222+(1000*$C$2*($B223-$B222))/(BerechnungenCLT!$W$47*2*BT223)</f>
        <v>9.9862083497647171E-3</v>
      </c>
      <c r="CA223" s="37">
        <f t="shared" si="137"/>
        <v>2.5630249567386201E-6</v>
      </c>
      <c r="CB223" s="173">
        <f t="shared" si="169"/>
        <v>2934.8164068660967</v>
      </c>
      <c r="CC223" s="9">
        <v>-257.99378872982243</v>
      </c>
      <c r="CJ223" s="9">
        <f t="shared" si="185"/>
        <v>172</v>
      </c>
      <c r="CK223" s="129">
        <v>111.44470136795218</v>
      </c>
      <c r="CL223" s="9">
        <v>6.171875</v>
      </c>
      <c r="CM223" s="129">
        <f t="shared" si="170"/>
        <v>119.99852504912536</v>
      </c>
      <c r="CN223" s="36">
        <f t="shared" si="184"/>
        <v>1.0573129779298616E-2</v>
      </c>
      <c r="CO223" s="173">
        <f t="shared" si="171"/>
        <v>2008.0525500472284</v>
      </c>
      <c r="CP223" s="9">
        <v>-630.84990146219502</v>
      </c>
      <c r="CQ223" s="129"/>
      <c r="CR223" s="36">
        <f t="shared" si="172"/>
        <v>0.72192504933713353</v>
      </c>
      <c r="CS223" s="17">
        <f t="shared" si="138"/>
        <v>0.51897821600969574</v>
      </c>
      <c r="CT223" s="9">
        <f t="shared" si="139"/>
        <v>7.1354151017599108</v>
      </c>
      <c r="CU223" s="9">
        <f t="shared" si="173"/>
        <v>121.333929952853</v>
      </c>
      <c r="CV223" s="9">
        <v>13.2</v>
      </c>
      <c r="CW223" s="9">
        <f t="shared" si="174"/>
        <v>129.73905642074993</v>
      </c>
      <c r="CX223">
        <f t="shared" si="175"/>
        <v>22</v>
      </c>
      <c r="CY223" s="9">
        <f t="shared" si="140"/>
        <v>479.86838784881735</v>
      </c>
      <c r="CZ223" s="17">
        <f t="shared" si="176"/>
        <v>0.45185347255067554</v>
      </c>
      <c r="DA223">
        <v>45</v>
      </c>
      <c r="DB223" s="9">
        <f t="shared" si="177"/>
        <v>7.7438910455744177</v>
      </c>
      <c r="DC223" s="9">
        <f t="shared" si="178"/>
        <v>8.4658472500718602</v>
      </c>
    </row>
    <row r="224" spans="2:107" x14ac:dyDescent="0.25">
      <c r="B224" s="9">
        <f t="shared" si="179"/>
        <v>173</v>
      </c>
      <c r="C224" s="9">
        <v>104.89197052892008</v>
      </c>
      <c r="D224" s="9"/>
      <c r="E224" s="9">
        <f t="shared" si="141"/>
        <v>104.89197052892008</v>
      </c>
      <c r="F224" s="36">
        <f t="shared" si="180"/>
        <v>0</v>
      </c>
      <c r="G224" s="37">
        <f t="shared" si="186"/>
        <v>0</v>
      </c>
      <c r="H224" s="36" t="e">
        <f t="shared" si="126"/>
        <v>#DIV/0!</v>
      </c>
      <c r="I224" s="37" t="e">
        <f t="shared" si="142"/>
        <v>#DIV/0!</v>
      </c>
      <c r="J224" s="37" t="e">
        <f t="shared" si="143"/>
        <v>#DIV/0!</v>
      </c>
      <c r="K224" s="37" t="e">
        <f t="shared" si="144"/>
        <v>#DIV/0!</v>
      </c>
      <c r="L224" s="39" t="e">
        <f t="shared" si="127"/>
        <v>#DIV/0!</v>
      </c>
      <c r="M224" s="39" t="e">
        <f>M223+(1000*$C$2*(B224-B223))/(BerechnungenCLT!$W$47*2*'Berechnung freier Bereich'!G224)</f>
        <v>#DIV/0!</v>
      </c>
      <c r="N224" s="17" t="e">
        <f t="shared" si="145"/>
        <v>#DIV/0!</v>
      </c>
      <c r="O224" s="173">
        <f t="shared" si="146"/>
        <v>2444.1032243746636</v>
      </c>
      <c r="P224" s="173"/>
      <c r="Q224" s="173"/>
      <c r="R224" s="37" t="e">
        <f t="shared" si="128"/>
        <v>#DIV/0!</v>
      </c>
      <c r="S224" s="37" t="e">
        <f t="shared" si="129"/>
        <v>#DIV/0!</v>
      </c>
      <c r="T224" s="37" t="e">
        <f t="shared" si="130"/>
        <v>#DIV/0!</v>
      </c>
      <c r="U224" s="39" t="e">
        <f t="shared" si="131"/>
        <v>#DIV/0!</v>
      </c>
      <c r="V224" s="39" t="e">
        <f t="shared" si="147"/>
        <v>#DIV/0!</v>
      </c>
      <c r="W224" s="9" t="e">
        <f t="shared" si="148"/>
        <v>#DIV/0!</v>
      </c>
      <c r="AB224" s="129">
        <v>103.60219339726609</v>
      </c>
      <c r="AC224" s="9">
        <v>10.8125</v>
      </c>
      <c r="AD224" s="129">
        <f t="shared" si="149"/>
        <v>115.70626786269334</v>
      </c>
      <c r="AE224" s="36">
        <f t="shared" si="181"/>
        <v>1.4177046658159335E-2</v>
      </c>
      <c r="AF224" s="37">
        <f t="shared" si="150"/>
        <v>50289643.215786889</v>
      </c>
      <c r="AG224" s="36">
        <f t="shared" si="132"/>
        <v>1.9878708179738325</v>
      </c>
      <c r="AH224" s="37">
        <f t="shared" si="151"/>
        <v>-1.5655431506869167E-4</v>
      </c>
      <c r="AI224" s="37">
        <f t="shared" si="152"/>
        <v>-3.3884710852423158E-2</v>
      </c>
      <c r="AJ224" s="37">
        <f t="shared" si="153"/>
        <v>-3.0321994462758624</v>
      </c>
      <c r="AK224" s="39">
        <f t="shared" si="154"/>
        <v>1.8114315514398526E-2</v>
      </c>
      <c r="AL224" s="39">
        <f>AL223+(1000*$C$2*($B224-$B223))/(BerechnungenCLT!$W$47*2*AF224)</f>
        <v>9.7377533150437602E-3</v>
      </c>
      <c r="AM224" s="37">
        <f t="shared" si="133"/>
        <v>2.300797151536977E-6</v>
      </c>
      <c r="AN224" s="173">
        <f t="shared" si="155"/>
        <v>2236.4193865581792</v>
      </c>
      <c r="AO224" s="173">
        <v>-258.9877750520514</v>
      </c>
      <c r="AV224" s="129">
        <v>118.44243914492469</v>
      </c>
      <c r="AW224" s="9">
        <v>8.75</v>
      </c>
      <c r="AX224" s="129">
        <f t="shared" si="156"/>
        <v>127.20844922647123</v>
      </c>
      <c r="AY224" s="36">
        <f t="shared" si="182"/>
        <v>1.150056293474337E-2</v>
      </c>
      <c r="AZ224" s="37">
        <f t="shared" si="157"/>
        <v>51093958.45098874</v>
      </c>
      <c r="BA224" s="36">
        <f t="shared" si="134"/>
        <v>1.9949160846587466</v>
      </c>
      <c r="BB224" s="37">
        <f t="shared" si="158"/>
        <v>-1.5408985499231834E-4</v>
      </c>
      <c r="BC224" s="37">
        <f t="shared" si="159"/>
        <v>-3.0236056580332567E-2</v>
      </c>
      <c r="BD224" s="37">
        <f t="shared" si="160"/>
        <v>-2.7908150114768868</v>
      </c>
      <c r="BE224" s="39">
        <f t="shared" si="161"/>
        <v>1.9601531495104643E-2</v>
      </c>
      <c r="BF224" s="39">
        <f>BF223+(1000*$C$2*($B224-$B223))/(BerechnungenCLT!$W$47*2*AZ224)</f>
        <v>8.6829150983744399E-3</v>
      </c>
      <c r="BG224" s="37">
        <f t="shared" si="135"/>
        <v>2.4896964941264902E-6</v>
      </c>
      <c r="BH224" s="173">
        <f t="shared" si="162"/>
        <v>1782.4909999409276</v>
      </c>
      <c r="BI224">
        <v>-257.80084447252983</v>
      </c>
      <c r="BP224" s="129">
        <v>88.564463593123364</v>
      </c>
      <c r="BQ224" s="9">
        <v>14.4375</v>
      </c>
      <c r="BR224" s="129">
        <f t="shared" si="163"/>
        <v>103.06505598029159</v>
      </c>
      <c r="BS224" s="36">
        <f t="shared" si="183"/>
        <v>1.4840445881826951E-2</v>
      </c>
      <c r="BT224" s="37">
        <f t="shared" si="164"/>
        <v>40300692.959598631</v>
      </c>
      <c r="BU224" s="36">
        <f t="shared" si="136"/>
        <v>1.977291473635207</v>
      </c>
      <c r="BV224" s="37">
        <f t="shared" si="165"/>
        <v>-1.9535794723403693E-4</v>
      </c>
      <c r="BW224" s="37">
        <f t="shared" si="166"/>
        <v>-3.4939467005953274E-2</v>
      </c>
      <c r="BX224" s="37">
        <f t="shared" si="167"/>
        <v>-3.0515334989373994</v>
      </c>
      <c r="BY224" s="39">
        <f t="shared" si="168"/>
        <v>2.0134577767870865E-2</v>
      </c>
      <c r="BZ224" s="39">
        <f>BZ223+(1000*$C$2*($B224-$B223))/(BerechnungenCLT!$W$47*2*BT224)</f>
        <v>1.0042687017642755E-2</v>
      </c>
      <c r="CA224" s="37">
        <f t="shared" si="137"/>
        <v>2.5574015832336708E-6</v>
      </c>
      <c r="CB224" s="173">
        <f t="shared" si="169"/>
        <v>2929.1337456357733</v>
      </c>
      <c r="CC224" s="9">
        <v>-257.49423744700653</v>
      </c>
      <c r="CJ224" s="9">
        <f t="shared" si="185"/>
        <v>173</v>
      </c>
      <c r="CK224" s="129">
        <v>112.4042942843417</v>
      </c>
      <c r="CL224" s="9">
        <v>6.078125</v>
      </c>
      <c r="CM224" s="129">
        <f t="shared" si="170"/>
        <v>120.6834999849917</v>
      </c>
      <c r="CN224" s="36">
        <f t="shared" si="184"/>
        <v>1.0306400127701339E-2</v>
      </c>
      <c r="CO224" s="173">
        <f t="shared" si="171"/>
        <v>1979.8165920593547</v>
      </c>
      <c r="CP224" s="9">
        <v>-631.5728022411995</v>
      </c>
      <c r="CQ224" s="129"/>
      <c r="CR224" s="36">
        <f t="shared" si="172"/>
        <v>0.71908843160891633</v>
      </c>
      <c r="CS224" s="17">
        <f t="shared" si="138"/>
        <v>0.51693902536318292</v>
      </c>
      <c r="CT224" s="9">
        <f t="shared" si="139"/>
        <v>7.0547488602506556</v>
      </c>
      <c r="CU224" s="9">
        <f t="shared" si="173"/>
        <v>122.01379013716495</v>
      </c>
      <c r="CV224" s="9">
        <v>13.2</v>
      </c>
      <c r="CW224" s="9">
        <f t="shared" si="174"/>
        <v>130.38443046919804</v>
      </c>
      <c r="CX224">
        <f t="shared" si="175"/>
        <v>22</v>
      </c>
      <c r="CY224" s="9">
        <f t="shared" si="140"/>
        <v>475.77176228205616</v>
      </c>
      <c r="CZ224" s="17">
        <f t="shared" si="176"/>
        <v>0.44799600968178549</v>
      </c>
      <c r="DA224">
        <v>45</v>
      </c>
      <c r="DB224" s="9">
        <f t="shared" si="177"/>
        <v>7.6777816229768456</v>
      </c>
      <c r="DC224" s="9">
        <f t="shared" si="178"/>
        <v>8.3968985387003414</v>
      </c>
    </row>
    <row r="225" spans="2:107" x14ac:dyDescent="0.25">
      <c r="B225" s="9">
        <f t="shared" si="179"/>
        <v>174</v>
      </c>
      <c r="C225" s="9">
        <v>105.11059380116178</v>
      </c>
      <c r="D225" s="9"/>
      <c r="E225" s="9">
        <f t="shared" si="141"/>
        <v>105.11059380116178</v>
      </c>
      <c r="F225" s="36">
        <f t="shared" si="180"/>
        <v>0</v>
      </c>
      <c r="G225" s="37">
        <f t="shared" si="186"/>
        <v>0</v>
      </c>
      <c r="H225" s="36" t="e">
        <f t="shared" si="126"/>
        <v>#DIV/0!</v>
      </c>
      <c r="I225" s="37" t="e">
        <f t="shared" si="142"/>
        <v>#DIV/0!</v>
      </c>
      <c r="J225" s="37" t="e">
        <f t="shared" si="143"/>
        <v>#DIV/0!</v>
      </c>
      <c r="K225" s="37" t="e">
        <f t="shared" si="144"/>
        <v>#DIV/0!</v>
      </c>
      <c r="L225" s="39" t="e">
        <f t="shared" si="127"/>
        <v>#DIV/0!</v>
      </c>
      <c r="M225" s="39" t="e">
        <f>M224+(1000*$C$2*(B225-B224))/(BerechnungenCLT!$W$47*2*'Berechnung freier Bereich'!G225)</f>
        <v>#DIV/0!</v>
      </c>
      <c r="N225" s="17" t="e">
        <f t="shared" si="145"/>
        <v>#DIV/0!</v>
      </c>
      <c r="O225" s="173">
        <f t="shared" si="146"/>
        <v>2433.9466429847726</v>
      </c>
      <c r="P225" s="173"/>
      <c r="Q225" s="173"/>
      <c r="R225" s="37" t="e">
        <f t="shared" si="128"/>
        <v>#DIV/0!</v>
      </c>
      <c r="S225" s="37" t="e">
        <f t="shared" si="129"/>
        <v>#DIV/0!</v>
      </c>
      <c r="T225" s="37" t="e">
        <f t="shared" si="130"/>
        <v>#DIV/0!</v>
      </c>
      <c r="U225" s="39" t="e">
        <f t="shared" si="131"/>
        <v>#DIV/0!</v>
      </c>
      <c r="V225" s="39" t="e">
        <f t="shared" si="147"/>
        <v>#DIV/0!</v>
      </c>
      <c r="W225" s="9" t="e">
        <f t="shared" si="148"/>
        <v>#DIV/0!</v>
      </c>
      <c r="AB225" s="129">
        <v>104.1053561158558</v>
      </c>
      <c r="AC225" s="9">
        <v>10.75</v>
      </c>
      <c r="AD225" s="129">
        <f t="shared" si="149"/>
        <v>116.13822762272457</v>
      </c>
      <c r="AE225" s="36">
        <f t="shared" si="181"/>
        <v>1.4153744068993026E-2</v>
      </c>
      <c r="AF225" s="37">
        <f t="shared" si="150"/>
        <v>50632965.214327209</v>
      </c>
      <c r="AG225" s="36">
        <f t="shared" si="132"/>
        <v>1.9881135847181266</v>
      </c>
      <c r="AH225" s="37">
        <f t="shared" si="151"/>
        <v>-1.5549278252557518E-4</v>
      </c>
      <c r="AI225" s="37">
        <f t="shared" si="152"/>
        <v>-3.4040203634948731E-2</v>
      </c>
      <c r="AJ225" s="37">
        <f t="shared" si="153"/>
        <v>-3.0661619035195482</v>
      </c>
      <c r="AK225" s="39">
        <f t="shared" si="154"/>
        <v>1.8058656170646059E-2</v>
      </c>
      <c r="AL225" s="39">
        <f>AL224+(1000*$C$2*($B225-$B224))/(BerechnungenCLT!$W$47*2*AF225)</f>
        <v>9.7827068239541154E-3</v>
      </c>
      <c r="AM225" s="37">
        <f t="shared" si="133"/>
        <v>2.2937275573554964E-6</v>
      </c>
      <c r="AN225" s="173">
        <f t="shared" si="155"/>
        <v>2217.4686750753672</v>
      </c>
      <c r="AO225" s="173">
        <v>-258.2210653208748</v>
      </c>
      <c r="AV225" s="129">
        <v>118.50296017514651</v>
      </c>
      <c r="AW225" s="9">
        <v>8.75</v>
      </c>
      <c r="AX225" s="129">
        <f t="shared" si="156"/>
        <v>127.2685881549027</v>
      </c>
      <c r="AY225" s="36">
        <f t="shared" si="182"/>
        <v>1.1505710290833238E-2</v>
      </c>
      <c r="AZ225" s="37">
        <f t="shared" si="157"/>
        <v>51166985.185053565</v>
      </c>
      <c r="BA225" s="36">
        <f t="shared" si="134"/>
        <v>1.9949215076735523</v>
      </c>
      <c r="BB225" s="37">
        <f t="shared" si="158"/>
        <v>-1.538699342988885E-4</v>
      </c>
      <c r="BC225" s="37">
        <f t="shared" si="159"/>
        <v>-3.0389926514631457E-2</v>
      </c>
      <c r="BD225" s="37">
        <f t="shared" si="160"/>
        <v>-2.8211280030243686</v>
      </c>
      <c r="BE225" s="39">
        <f t="shared" si="161"/>
        <v>1.9582809297707178E-2</v>
      </c>
      <c r="BF225" s="39">
        <f>BF224+(1000*$C$2*($B225-$B224))/(BerechnungenCLT!$W$47*2*AZ225)</f>
        <v>8.7273994361693665E-3</v>
      </c>
      <c r="BG225" s="37">
        <f t="shared" si="135"/>
        <v>2.4873184866103709E-6</v>
      </c>
      <c r="BH225" s="173">
        <f t="shared" si="162"/>
        <v>1780.7412246158381</v>
      </c>
      <c r="BI225">
        <v>-257.61804036201181</v>
      </c>
      <c r="BP225" s="129">
        <v>88.658054020837753</v>
      </c>
      <c r="BQ225" s="9">
        <v>14.375</v>
      </c>
      <c r="BR225" s="129">
        <f t="shared" si="163"/>
        <v>103.09907364305187</v>
      </c>
      <c r="BS225" s="36">
        <f t="shared" si="183"/>
        <v>1.478931870460681E-2</v>
      </c>
      <c r="BT225" s="37">
        <f t="shared" si="164"/>
        <v>40213178.735961042</v>
      </c>
      <c r="BU225" s="36">
        <f t="shared" si="136"/>
        <v>1.9775058160339662</v>
      </c>
      <c r="BV225" s="37">
        <f t="shared" si="165"/>
        <v>-1.9578309639212453E-4</v>
      </c>
      <c r="BW225" s="37">
        <f t="shared" si="166"/>
        <v>-3.5135250102345396E-2</v>
      </c>
      <c r="BX225" s="37">
        <f t="shared" si="167"/>
        <v>-3.0865708574915489</v>
      </c>
      <c r="BY225" s="39">
        <f t="shared" si="168"/>
        <v>2.018505587299637E-2</v>
      </c>
      <c r="BZ225" s="39">
        <f>BZ224+(1000*$C$2*($B225-$B224))/(BerechnungenCLT!$W$47*2*BT225)</f>
        <v>1.0099288597633855E-2</v>
      </c>
      <c r="CA225" s="37">
        <f t="shared" si="137"/>
        <v>2.5638130802839139E-6</v>
      </c>
      <c r="CB225" s="173">
        <f t="shared" si="169"/>
        <v>2925.2365575727904</v>
      </c>
      <c r="CC225" s="9">
        <v>-258.26969413171776</v>
      </c>
      <c r="CJ225" s="9">
        <f t="shared" si="185"/>
        <v>174</v>
      </c>
      <c r="CK225" s="129">
        <v>113.32917389959997</v>
      </c>
      <c r="CL225" s="9">
        <v>6</v>
      </c>
      <c r="CM225" s="129">
        <f t="shared" si="170"/>
        <v>121.34536662348829</v>
      </c>
      <c r="CN225" s="36">
        <f t="shared" si="184"/>
        <v>1.0046919445450702E-2</v>
      </c>
      <c r="CO225" s="173">
        <f t="shared" si="171"/>
        <v>1953.1341400272877</v>
      </c>
      <c r="CP225" s="9">
        <v>-631.17372037940299</v>
      </c>
      <c r="CQ225" s="129"/>
      <c r="CR225" s="36">
        <f t="shared" si="172"/>
        <v>0.71636448315547163</v>
      </c>
      <c r="CS225" s="17">
        <f t="shared" si="138"/>
        <v>0.51498083051986898</v>
      </c>
      <c r="CT225" s="9">
        <f t="shared" si="139"/>
        <v>6.9905514664804684</v>
      </c>
      <c r="CU225" s="9">
        <f t="shared" si="173"/>
        <v>122.66877519986122</v>
      </c>
      <c r="CV225" s="9">
        <v>13.2</v>
      </c>
      <c r="CW225" s="9">
        <f t="shared" si="174"/>
        <v>130.96479789215425</v>
      </c>
      <c r="CX225">
        <f t="shared" si="175"/>
        <v>22</v>
      </c>
      <c r="CY225" s="9">
        <f t="shared" si="140"/>
        <v>471.88898797682725</v>
      </c>
      <c r="CZ225" s="17">
        <f t="shared" si="176"/>
        <v>0.44433991334917822</v>
      </c>
      <c r="DA225">
        <v>45</v>
      </c>
      <c r="DB225" s="9">
        <f t="shared" si="177"/>
        <v>7.6151232317687114</v>
      </c>
      <c r="DC225" s="9">
        <f t="shared" si="178"/>
        <v>8.3315118098061767</v>
      </c>
    </row>
    <row r="226" spans="2:107" x14ac:dyDescent="0.25">
      <c r="B226" s="9">
        <f t="shared" si="179"/>
        <v>175</v>
      </c>
      <c r="C226" s="9">
        <v>105.32975642025114</v>
      </c>
      <c r="D226" s="9"/>
      <c r="E226" s="9">
        <f t="shared" si="141"/>
        <v>105.32975642025114</v>
      </c>
      <c r="F226" s="36">
        <f t="shared" si="180"/>
        <v>0</v>
      </c>
      <c r="G226" s="37">
        <f t="shared" si="186"/>
        <v>0</v>
      </c>
      <c r="H226" s="36" t="e">
        <f t="shared" si="126"/>
        <v>#DIV/0!</v>
      </c>
      <c r="I226" s="37" t="e">
        <f t="shared" si="142"/>
        <v>#DIV/0!</v>
      </c>
      <c r="J226" s="37" t="e">
        <f t="shared" si="143"/>
        <v>#DIV/0!</v>
      </c>
      <c r="K226" s="37" t="e">
        <f t="shared" si="144"/>
        <v>#DIV/0!</v>
      </c>
      <c r="L226" s="39" t="e">
        <f t="shared" si="127"/>
        <v>#DIV/0!</v>
      </c>
      <c r="M226" s="39" t="e">
        <f>M225+(1000*$C$2*(B226-B225))/(BerechnungenCLT!$W$47*2*'Berechnung freier Bereich'!G226)</f>
        <v>#DIV/0!</v>
      </c>
      <c r="N226" s="17" t="e">
        <f t="shared" si="145"/>
        <v>#DIV/0!</v>
      </c>
      <c r="O226" s="173">
        <f t="shared" si="146"/>
        <v>2423.8284166164485</v>
      </c>
      <c r="P226" s="173"/>
      <c r="Q226" s="173"/>
      <c r="R226" s="37" t="e">
        <f t="shared" si="128"/>
        <v>#DIV/0!</v>
      </c>
      <c r="S226" s="37" t="e">
        <f t="shared" si="129"/>
        <v>#DIV/0!</v>
      </c>
      <c r="T226" s="37" t="e">
        <f t="shared" si="130"/>
        <v>#DIV/0!</v>
      </c>
      <c r="U226" s="39" t="e">
        <f t="shared" si="131"/>
        <v>#DIV/0!</v>
      </c>
      <c r="V226" s="39" t="e">
        <f t="shared" si="147"/>
        <v>#DIV/0!</v>
      </c>
      <c r="W226" s="9" t="e">
        <f t="shared" si="148"/>
        <v>#DIV/0!</v>
      </c>
      <c r="AB226" s="129">
        <v>104.60826272814927</v>
      </c>
      <c r="AC226" s="9">
        <v>10.625</v>
      </c>
      <c r="AD226" s="129">
        <f t="shared" si="149"/>
        <v>116.49820458462099</v>
      </c>
      <c r="AE226" s="36">
        <f t="shared" si="181"/>
        <v>1.4040415842332021E-2</v>
      </c>
      <c r="AF226" s="37">
        <f t="shared" si="150"/>
        <v>50617186.368344255</v>
      </c>
      <c r="AG226" s="36">
        <f t="shared" si="132"/>
        <v>1.9884830907668525</v>
      </c>
      <c r="AH226" s="37">
        <f t="shared" si="151"/>
        <v>-1.5554125413853837E-4</v>
      </c>
      <c r="AI226" s="37">
        <f t="shared" si="152"/>
        <v>-3.4195744889087269E-2</v>
      </c>
      <c r="AJ226" s="37">
        <f t="shared" si="153"/>
        <v>-3.1002798777815661</v>
      </c>
      <c r="AK226" s="39">
        <f t="shared" si="154"/>
        <v>1.8120276845979971E-2</v>
      </c>
      <c r="AL226" s="39">
        <f>AL225+(1000*$C$2*($B226-$B225))/(BerechnungenCLT!$W$47*2*AF226)</f>
        <v>9.8276743461778206E-3</v>
      </c>
      <c r="AM226" s="37">
        <f t="shared" si="133"/>
        <v>2.3015543324920648E-6</v>
      </c>
      <c r="AN226" s="173">
        <f t="shared" si="155"/>
        <v>2200.1947916265776</v>
      </c>
      <c r="AO226" s="173">
        <v>-259.1710716786406</v>
      </c>
      <c r="AV226" s="129">
        <v>118.56275398461213</v>
      </c>
      <c r="AW226" s="9">
        <v>8.75</v>
      </c>
      <c r="AX226" s="129">
        <f t="shared" si="156"/>
        <v>127.32803601039014</v>
      </c>
      <c r="AY226" s="36">
        <f t="shared" si="182"/>
        <v>1.1510838230846672E-2</v>
      </c>
      <c r="AZ226" s="37">
        <f t="shared" si="157"/>
        <v>51239405.202310883</v>
      </c>
      <c r="BA226" s="36">
        <f t="shared" si="134"/>
        <v>1.9949268223178489</v>
      </c>
      <c r="BB226" s="37">
        <f t="shared" si="158"/>
        <v>-1.5365245981312291E-4</v>
      </c>
      <c r="BC226" s="37">
        <f t="shared" si="159"/>
        <v>-3.0543578974444579E-2</v>
      </c>
      <c r="BD226" s="37">
        <f t="shared" si="160"/>
        <v>-2.8515947557689065</v>
      </c>
      <c r="BE226" s="39">
        <f t="shared" si="161"/>
        <v>1.9564265936170337E-2</v>
      </c>
      <c r="BF226" s="39">
        <f>BF225+(1000*$C$2*($B226-$B225))/(BerechnungenCLT!$W$47*2*AZ226)</f>
        <v>8.7718209013275383E-3</v>
      </c>
      <c r="BG226" s="37">
        <f t="shared" si="135"/>
        <v>2.4849631940038146E-6</v>
      </c>
      <c r="BH226" s="173">
        <f t="shared" si="162"/>
        <v>1779.0145469878096</v>
      </c>
      <c r="BI226">
        <v>-257.43813829698769</v>
      </c>
      <c r="BP226" s="129">
        <v>88.754004171201302</v>
      </c>
      <c r="BQ226" s="9">
        <v>14.375</v>
      </c>
      <c r="BR226" s="129">
        <f t="shared" si="163"/>
        <v>103.19834173834698</v>
      </c>
      <c r="BS226" s="36">
        <f t="shared" si="183"/>
        <v>1.480777639180085E-2</v>
      </c>
      <c r="BT226" s="37">
        <f t="shared" si="164"/>
        <v>40345030.184016347</v>
      </c>
      <c r="BU226" s="36">
        <f t="shared" si="136"/>
        <v>1.9775409311262329</v>
      </c>
      <c r="BV226" s="37">
        <f t="shared" si="165"/>
        <v>-1.9514325835888195E-4</v>
      </c>
      <c r="BW226" s="37">
        <f t="shared" si="166"/>
        <v>-3.5330393360704281E-2</v>
      </c>
      <c r="BX226" s="37">
        <f t="shared" si="167"/>
        <v>-3.1218036792230737</v>
      </c>
      <c r="BY226" s="39">
        <f t="shared" si="168"/>
        <v>2.0138460664054437E-2</v>
      </c>
      <c r="BZ226" s="39">
        <f>BZ225+(1000*$C$2*($B226-$B225))/(BerechnungenCLT!$W$47*2*BT226)</f>
        <v>1.0155705198204938E-2</v>
      </c>
      <c r="CA226" s="37">
        <f t="shared" si="137"/>
        <v>2.5578947708714686E-6</v>
      </c>
      <c r="CB226" s="173">
        <f t="shared" si="169"/>
        <v>2919.2895694451913</v>
      </c>
      <c r="CC226" s="9">
        <v>-257.74463341457891</v>
      </c>
      <c r="CJ226" s="9">
        <f t="shared" si="185"/>
        <v>175</v>
      </c>
      <c r="CK226" s="129">
        <v>114.21516590148448</v>
      </c>
      <c r="CL226" s="9">
        <v>5.921875</v>
      </c>
      <c r="CM226" s="129">
        <f t="shared" si="170"/>
        <v>121.96022480504919</v>
      </c>
      <c r="CN226" s="36">
        <f t="shared" si="184"/>
        <v>9.7691811231247448E-3</v>
      </c>
      <c r="CO226" s="173">
        <f t="shared" si="171"/>
        <v>1928.3894145298393</v>
      </c>
      <c r="CP226" s="9">
        <v>-631.39856440311519</v>
      </c>
      <c r="CQ226" s="129"/>
      <c r="CR226" s="36">
        <f t="shared" si="172"/>
        <v>0.71384889653994055</v>
      </c>
      <c r="CS226" s="17">
        <f t="shared" si="138"/>
        <v>0.51317242304717503</v>
      </c>
      <c r="CT226" s="9">
        <f t="shared" si="139"/>
        <v>6.92384243662557</v>
      </c>
      <c r="CU226" s="9">
        <f t="shared" si="173"/>
        <v>123.27067070539643</v>
      </c>
      <c r="CV226" s="9">
        <v>13.2</v>
      </c>
      <c r="CW226" s="9">
        <f t="shared" si="174"/>
        <v>131.47908611713478</v>
      </c>
      <c r="CX226">
        <f t="shared" si="175"/>
        <v>22</v>
      </c>
      <c r="CY226" s="9">
        <f t="shared" si="140"/>
        <v>468.22844197293261</v>
      </c>
      <c r="CZ226" s="17">
        <f t="shared" si="176"/>
        <v>0.44089307153760127</v>
      </c>
      <c r="DA226">
        <v>45</v>
      </c>
      <c r="DB226" s="9">
        <f t="shared" si="177"/>
        <v>7.5560510566905652</v>
      </c>
      <c r="DC226" s="9">
        <f t="shared" si="178"/>
        <v>8.2699214143581088</v>
      </c>
    </row>
    <row r="227" spans="2:107" x14ac:dyDescent="0.25">
      <c r="B227" s="9">
        <f t="shared" si="179"/>
        <v>176</v>
      </c>
      <c r="C227" s="9">
        <v>105.54946381879569</v>
      </c>
      <c r="D227" s="9"/>
      <c r="E227" s="9">
        <f t="shared" si="141"/>
        <v>105.54946381879569</v>
      </c>
      <c r="F227" s="36">
        <f t="shared" si="180"/>
        <v>0</v>
      </c>
      <c r="G227" s="37">
        <f t="shared" si="186"/>
        <v>0</v>
      </c>
      <c r="H227" s="36" t="e">
        <f t="shared" si="126"/>
        <v>#DIV/0!</v>
      </c>
      <c r="I227" s="37" t="e">
        <f t="shared" si="142"/>
        <v>#DIV/0!</v>
      </c>
      <c r="J227" s="37" t="e">
        <f t="shared" si="143"/>
        <v>#DIV/0!</v>
      </c>
      <c r="K227" s="37" t="e">
        <f t="shared" si="144"/>
        <v>#DIV/0!</v>
      </c>
      <c r="L227" s="39" t="e">
        <f t="shared" si="127"/>
        <v>#DIV/0!</v>
      </c>
      <c r="M227" s="39" t="e">
        <f>M226+(1000*$C$2*(B227-B226))/(BerechnungenCLT!$W$47*2*'Berechnung freier Bereich'!G227)</f>
        <v>#DIV/0!</v>
      </c>
      <c r="N227" s="17" t="e">
        <f t="shared" si="145"/>
        <v>#DIV/0!</v>
      </c>
      <c r="O227" s="173">
        <f t="shared" si="146"/>
        <v>2413.7482368161054</v>
      </c>
      <c r="P227" s="173"/>
      <c r="Q227" s="173"/>
      <c r="R227" s="37" t="e">
        <f t="shared" si="128"/>
        <v>#DIV/0!</v>
      </c>
      <c r="S227" s="37" t="e">
        <f t="shared" si="129"/>
        <v>#DIV/0!</v>
      </c>
      <c r="T227" s="37" t="e">
        <f t="shared" si="130"/>
        <v>#DIV/0!</v>
      </c>
      <c r="U227" s="39" t="e">
        <f t="shared" si="131"/>
        <v>#DIV/0!</v>
      </c>
      <c r="V227" s="39" t="e">
        <f t="shared" si="147"/>
        <v>#DIV/0!</v>
      </c>
      <c r="W227" s="9" t="e">
        <f t="shared" si="148"/>
        <v>#DIV/0!</v>
      </c>
      <c r="AB227" s="129">
        <v>105.11053795432113</v>
      </c>
      <c r="AC227" s="9">
        <v>10.5625</v>
      </c>
      <c r="AD227" s="129">
        <f t="shared" si="149"/>
        <v>116.92577032848918</v>
      </c>
      <c r="AE227" s="36">
        <f t="shared" si="181"/>
        <v>1.4010868577903424E-2</v>
      </c>
      <c r="AF227" s="37">
        <f t="shared" si="150"/>
        <v>50933341.63499485</v>
      </c>
      <c r="AG227" s="36">
        <f t="shared" si="132"/>
        <v>1.9887214068881409</v>
      </c>
      <c r="AH227" s="37">
        <f t="shared" si="151"/>
        <v>-1.5457577288208079E-4</v>
      </c>
      <c r="AI227" s="37">
        <f t="shared" si="152"/>
        <v>-3.4350320661969351E-2</v>
      </c>
      <c r="AJ227" s="37">
        <f t="shared" si="153"/>
        <v>-3.1345529105570944</v>
      </c>
      <c r="AK227" s="39">
        <f t="shared" si="154"/>
        <v>1.8073891318358886E-2</v>
      </c>
      <c r="AL227" s="39">
        <f>AL226+(1000*$C$2*($B227-$B226))/(BerechnungenCLT!$W$47*2*AF227)</f>
        <v>9.872362744383292E-3</v>
      </c>
      <c r="AM227" s="37">
        <f t="shared" si="133"/>
        <v>2.2956626558378571E-6</v>
      </c>
      <c r="AN227" s="173">
        <f t="shared" si="155"/>
        <v>2181.8054793434371</v>
      </c>
      <c r="AO227" s="173">
        <v>-258.485918474161</v>
      </c>
      <c r="AV227" s="129">
        <v>118.62188168358634</v>
      </c>
      <c r="AW227" s="9">
        <v>8.75</v>
      </c>
      <c r="AX227" s="129">
        <f t="shared" si="156"/>
        <v>127.38685284076634</v>
      </c>
      <c r="AY227" s="36">
        <f t="shared" si="182"/>
        <v>1.1515951107368336E-2</v>
      </c>
      <c r="AZ227" s="37">
        <f t="shared" si="157"/>
        <v>51311286.492001295</v>
      </c>
      <c r="BA227" s="36">
        <f t="shared" si="134"/>
        <v>1.9949320352102371</v>
      </c>
      <c r="BB227" s="37">
        <f t="shared" si="158"/>
        <v>-1.5343721015304677E-4</v>
      </c>
      <c r="BC227" s="37">
        <f t="shared" si="159"/>
        <v>-3.0697016184597626E-2</v>
      </c>
      <c r="BD227" s="37">
        <f t="shared" si="160"/>
        <v>-2.8822150533484274</v>
      </c>
      <c r="BE227" s="39">
        <f t="shared" si="161"/>
        <v>1.9545883310063909E-2</v>
      </c>
      <c r="BF227" s="39">
        <f>BF226+(1000*$C$2*($B227-$B226))/(BerechnungenCLT!$W$47*2*AZ227)</f>
        <v>8.8161801370538681E-3</v>
      </c>
      <c r="BG227" s="37">
        <f t="shared" si="135"/>
        <v>2.4826283172733188E-6</v>
      </c>
      <c r="BH227" s="173">
        <f t="shared" si="162"/>
        <v>1777.3091218905245</v>
      </c>
      <c r="BI227">
        <v>-257.26051650778771</v>
      </c>
      <c r="BP227" s="129">
        <v>88.852341508217009</v>
      </c>
      <c r="BQ227" s="9">
        <v>14.3125</v>
      </c>
      <c r="BR227" s="129">
        <f t="shared" si="163"/>
        <v>103.23730091842221</v>
      </c>
      <c r="BS227" s="36">
        <f t="shared" si="183"/>
        <v>1.4757452124233982E-2</v>
      </c>
      <c r="BT227" s="37">
        <f t="shared" si="164"/>
        <v>40263275.078100182</v>
      </c>
      <c r="BU227" s="36">
        <f t="shared" si="136"/>
        <v>1.9777552267373573</v>
      </c>
      <c r="BV227" s="37">
        <f t="shared" si="165"/>
        <v>-1.9553949929370434E-4</v>
      </c>
      <c r="BW227" s="37">
        <f t="shared" si="166"/>
        <v>-3.5525932859997986E-2</v>
      </c>
      <c r="BX227" s="37">
        <f t="shared" si="167"/>
        <v>-3.1572318423334247</v>
      </c>
      <c r="BY227" s="39">
        <f t="shared" si="168"/>
        <v>2.0186970130021763E-2</v>
      </c>
      <c r="BZ227" s="39">
        <f>BZ226+(1000*$C$2*($B227-$B226))/(BerechnungenCLT!$W$47*2*BT227)</f>
        <v>1.0212236353420326E-2</v>
      </c>
      <c r="CA227" s="37">
        <f t="shared" si="137"/>
        <v>2.5640562204184569E-6</v>
      </c>
      <c r="CB227" s="173">
        <f t="shared" si="169"/>
        <v>2915.1179228548185</v>
      </c>
      <c r="CC227" s="9">
        <v>-258.50023199283908</v>
      </c>
      <c r="CJ227" s="9">
        <f t="shared" si="185"/>
        <v>176</v>
      </c>
      <c r="CK227" s="129">
        <v>115.05809597775274</v>
      </c>
      <c r="CL227" s="9">
        <v>5.859375</v>
      </c>
      <c r="CM227" s="129">
        <f t="shared" si="170"/>
        <v>122.54602117395993</v>
      </c>
      <c r="CN227" s="36">
        <f t="shared" si="184"/>
        <v>9.501983085365151E-3</v>
      </c>
      <c r="CO227" s="173">
        <f t="shared" si="171"/>
        <v>1905.2681186527423</v>
      </c>
      <c r="CP227" s="9">
        <v>-630.48229281149133</v>
      </c>
      <c r="CQ227" s="129"/>
      <c r="CR227" s="36">
        <f t="shared" si="172"/>
        <v>0.71146551191892549</v>
      </c>
      <c r="CS227" s="17">
        <f t="shared" si="138"/>
        <v>0.51145905307917761</v>
      </c>
      <c r="CT227" s="9">
        <f t="shared" si="139"/>
        <v>6.873717414589894</v>
      </c>
      <c r="CU227" s="9">
        <f t="shared" si="173"/>
        <v>123.8422891417533</v>
      </c>
      <c r="CV227" s="9">
        <v>13.2</v>
      </c>
      <c r="CW227" s="9">
        <f t="shared" si="174"/>
        <v>131.92689385976828</v>
      </c>
      <c r="CX227">
        <f t="shared" si="175"/>
        <v>22</v>
      </c>
      <c r="CY227" s="9">
        <f t="shared" si="140"/>
        <v>464.7981415412313</v>
      </c>
      <c r="CZ227" s="17">
        <f t="shared" si="176"/>
        <v>0.43766303346631952</v>
      </c>
      <c r="DA227">
        <v>45</v>
      </c>
      <c r="DB227" s="9">
        <f t="shared" si="177"/>
        <v>7.5006944767004482</v>
      </c>
      <c r="DC227" s="9">
        <f t="shared" si="178"/>
        <v>8.2121775103026096</v>
      </c>
    </row>
    <row r="228" spans="2:107" x14ac:dyDescent="0.25">
      <c r="B228" s="9">
        <f t="shared" si="179"/>
        <v>177</v>
      </c>
      <c r="C228" s="9">
        <v>105.76972142940296</v>
      </c>
      <c r="D228" s="9"/>
      <c r="E228" s="9">
        <f t="shared" si="141"/>
        <v>105.76972142940296</v>
      </c>
      <c r="F228" s="36">
        <f t="shared" si="180"/>
        <v>0</v>
      </c>
      <c r="G228" s="37">
        <f t="shared" si="186"/>
        <v>0</v>
      </c>
      <c r="H228" s="36" t="e">
        <f t="shared" si="126"/>
        <v>#DIV/0!</v>
      </c>
      <c r="I228" s="37" t="e">
        <f t="shared" si="142"/>
        <v>#DIV/0!</v>
      </c>
      <c r="J228" s="37" t="e">
        <f t="shared" si="143"/>
        <v>#DIV/0!</v>
      </c>
      <c r="K228" s="37" t="e">
        <f t="shared" si="144"/>
        <v>#DIV/0!</v>
      </c>
      <c r="L228" s="39" t="e">
        <f t="shared" si="127"/>
        <v>#DIV/0!</v>
      </c>
      <c r="M228" s="39" t="e">
        <f>M227+(1000*$C$2*(B228-B227))/(BerechnungenCLT!$W$47*2*'Berechnung freier Bereich'!G228)</f>
        <v>#DIV/0!</v>
      </c>
      <c r="N228" s="17" t="e">
        <f t="shared" si="145"/>
        <v>#DIV/0!</v>
      </c>
      <c r="O228" s="173">
        <f t="shared" si="146"/>
        <v>2403.705800191965</v>
      </c>
      <c r="P228" s="173"/>
      <c r="Q228" s="173"/>
      <c r="R228" s="37" t="e">
        <f t="shared" si="128"/>
        <v>#DIV/0!</v>
      </c>
      <c r="S228" s="37" t="e">
        <f t="shared" si="129"/>
        <v>#DIV/0!</v>
      </c>
      <c r="T228" s="37" t="e">
        <f t="shared" si="130"/>
        <v>#DIV/0!</v>
      </c>
      <c r="U228" s="39" t="e">
        <f t="shared" si="131"/>
        <v>#DIV/0!</v>
      </c>
      <c r="V228" s="39" t="e">
        <f t="shared" si="147"/>
        <v>#DIV/0!</v>
      </c>
      <c r="W228" s="9" t="e">
        <f t="shared" si="148"/>
        <v>#DIV/0!</v>
      </c>
      <c r="AB228" s="129">
        <v>105.61180651454602</v>
      </c>
      <c r="AC228" s="9">
        <v>10.5</v>
      </c>
      <c r="AD228" s="129">
        <f t="shared" si="149"/>
        <v>117.35063101535516</v>
      </c>
      <c r="AE228" s="36">
        <f t="shared" si="181"/>
        <v>1.3978324157272135E-2</v>
      </c>
      <c r="AF228" s="37">
        <f t="shared" si="150"/>
        <v>51236774.844614521</v>
      </c>
      <c r="AG228" s="36">
        <f t="shared" si="132"/>
        <v>1.9889581218018459</v>
      </c>
      <c r="AH228" s="37">
        <f t="shared" si="151"/>
        <v>-1.5366034791559343E-4</v>
      </c>
      <c r="AI228" s="37">
        <f t="shared" si="152"/>
        <v>-3.4503981009884943E-2</v>
      </c>
      <c r="AJ228" s="37">
        <f t="shared" si="153"/>
        <v>-3.1689800613930217</v>
      </c>
      <c r="AK228" s="39">
        <f t="shared" si="154"/>
        <v>1.8032138789933903E-2</v>
      </c>
      <c r="AL228" s="39">
        <f>AL227+(1000*$C$2*($B228-$B227))/(BerechnungenCLT!$W$47*2*AF228)</f>
        <v>9.91678649001956E-3</v>
      </c>
      <c r="AM228" s="37">
        <f t="shared" si="133"/>
        <v>2.2903594414606261E-6</v>
      </c>
      <c r="AN228" s="173">
        <f t="shared" si="155"/>
        <v>2163.7177934651086</v>
      </c>
      <c r="AO228" s="173">
        <v>-257.84283177247107</v>
      </c>
      <c r="AV228" s="129">
        <v>118.6804043823339</v>
      </c>
      <c r="AW228" s="9">
        <v>8.6875</v>
      </c>
      <c r="AX228" s="129">
        <f t="shared" si="156"/>
        <v>127.3824938310858</v>
      </c>
      <c r="AY228" s="36">
        <f t="shared" si="182"/>
        <v>1.1435850576633128E-2</v>
      </c>
      <c r="AZ228" s="37">
        <f t="shared" si="157"/>
        <v>50975872.574480824</v>
      </c>
      <c r="BA228" s="36">
        <f t="shared" si="134"/>
        <v>1.9950065507520931</v>
      </c>
      <c r="BB228" s="37">
        <f t="shared" si="158"/>
        <v>-1.5444680495057869E-4</v>
      </c>
      <c r="BC228" s="37">
        <f t="shared" si="159"/>
        <v>-3.0851462989548203E-2</v>
      </c>
      <c r="BD228" s="37">
        <f t="shared" si="160"/>
        <v>-2.9129892929355004</v>
      </c>
      <c r="BE228" s="39">
        <f t="shared" si="161"/>
        <v>1.9673819178848001E-2</v>
      </c>
      <c r="BF228" s="39">
        <f>BF227+(1000*$C$2*($B228-$B227))/(BerechnungenCLT!$W$47*2*AZ228)</f>
        <v>8.8608312501779109E-3</v>
      </c>
      <c r="BG228" s="37">
        <f t="shared" si="135"/>
        <v>2.4988781436740937E-6</v>
      </c>
      <c r="BH228" s="173">
        <f t="shared" si="162"/>
        <v>1776.526760760134</v>
      </c>
      <c r="BI228">
        <v>-259.06563546813226</v>
      </c>
      <c r="BP228" s="129">
        <v>88.953093495887856</v>
      </c>
      <c r="BQ228" s="9">
        <v>14.3125</v>
      </c>
      <c r="BR228" s="129">
        <f t="shared" si="163"/>
        <v>103.34159875539322</v>
      </c>
      <c r="BS228" s="36">
        <f t="shared" si="183"/>
        <v>1.4776846804247361E-2</v>
      </c>
      <c r="BT228" s="37">
        <f t="shared" si="164"/>
        <v>40401939.40163517</v>
      </c>
      <c r="BU228" s="36">
        <f t="shared" si="136"/>
        <v>1.9777913932191438</v>
      </c>
      <c r="BV228" s="37">
        <f t="shared" si="165"/>
        <v>-1.948683841740961E-4</v>
      </c>
      <c r="BW228" s="37">
        <f t="shared" si="166"/>
        <v>-3.5720801244172082E-2</v>
      </c>
      <c r="BX228" s="37">
        <f t="shared" si="167"/>
        <v>-3.1928552093855096</v>
      </c>
      <c r="BY228" s="39">
        <f t="shared" si="168"/>
        <v>2.0138010367431257E-2</v>
      </c>
      <c r="BZ228" s="39">
        <f>BZ227+(1000*$C$2*($B228-$B227))/(BerechnungenCLT!$W$47*2*BT228)</f>
        <v>1.0268573486900304E-2</v>
      </c>
      <c r="CA228" s="37">
        <f t="shared" si="137"/>
        <v>2.5578375762627554E-6</v>
      </c>
      <c r="CB228" s="173">
        <f t="shared" si="169"/>
        <v>2908.9042753001831</v>
      </c>
      <c r="CC228" s="9">
        <v>-257.94923221276088</v>
      </c>
      <c r="CJ228" s="9">
        <f t="shared" si="185"/>
        <v>177</v>
      </c>
      <c r="CK228" s="129">
        <v>115.85378981616225</v>
      </c>
      <c r="CL228" s="9">
        <v>5.796875</v>
      </c>
      <c r="CM228" s="129">
        <f t="shared" si="170"/>
        <v>123.08004875988843</v>
      </c>
      <c r="CN228" s="36">
        <f t="shared" si="184"/>
        <v>9.221253774859323E-3</v>
      </c>
      <c r="CO228" s="173">
        <f t="shared" si="171"/>
        <v>1884.1206230490532</v>
      </c>
      <c r="CP228" s="9">
        <v>-630.20646613353938</v>
      </c>
      <c r="CQ228" s="129"/>
      <c r="CR228" s="36">
        <f t="shared" si="172"/>
        <v>0.70930402592422581</v>
      </c>
      <c r="CS228" s="17">
        <f t="shared" si="138"/>
        <v>0.50990520182205723</v>
      </c>
      <c r="CT228" s="9">
        <f t="shared" si="139"/>
        <v>6.8211208427988721</v>
      </c>
      <c r="CU228" s="9">
        <f t="shared" si="173"/>
        <v>124.3568514651563</v>
      </c>
      <c r="CV228" s="9">
        <v>13.2</v>
      </c>
      <c r="CW228" s="9">
        <f t="shared" si="174"/>
        <v>132.30862419799479</v>
      </c>
      <c r="CX228">
        <f t="shared" si="175"/>
        <v>22</v>
      </c>
      <c r="CY228" s="9">
        <f t="shared" si="140"/>
        <v>461.60586774582589</v>
      </c>
      <c r="CZ228" s="17">
        <f t="shared" si="176"/>
        <v>0.43465712593768913</v>
      </c>
      <c r="DA228">
        <v>45</v>
      </c>
      <c r="DB228" s="9">
        <f t="shared" si="177"/>
        <v>7.4491790589625104</v>
      </c>
      <c r="DC228" s="9">
        <f t="shared" si="178"/>
        <v>8.1584970553005682</v>
      </c>
    </row>
    <row r="229" spans="2:107" x14ac:dyDescent="0.25">
      <c r="B229" s="9">
        <f t="shared" si="179"/>
        <v>178</v>
      </c>
      <c r="C229" s="9">
        <v>105.9905346846805</v>
      </c>
      <c r="D229" s="9"/>
      <c r="E229" s="9">
        <f t="shared" si="141"/>
        <v>105.9905346846805</v>
      </c>
      <c r="F229" s="36">
        <f t="shared" si="180"/>
        <v>0</v>
      </c>
      <c r="G229" s="37">
        <f t="shared" si="186"/>
        <v>0</v>
      </c>
      <c r="H229" s="36" t="e">
        <f t="shared" si="126"/>
        <v>#DIV/0!</v>
      </c>
      <c r="I229" s="37" t="e">
        <f t="shared" si="142"/>
        <v>#DIV/0!</v>
      </c>
      <c r="J229" s="37" t="e">
        <f t="shared" si="143"/>
        <v>#DIV/0!</v>
      </c>
      <c r="K229" s="37" t="e">
        <f t="shared" si="144"/>
        <v>#DIV/0!</v>
      </c>
      <c r="L229" s="39" t="e">
        <f t="shared" si="127"/>
        <v>#DIV/0!</v>
      </c>
      <c r="M229" s="39" t="e">
        <f>M228+(1000*$C$2*(B229-B228))/(BerechnungenCLT!$W$47*2*'Berechnung freier Bereich'!G229)</f>
        <v>#DIV/0!</v>
      </c>
      <c r="N229" s="17" t="e">
        <f t="shared" si="145"/>
        <v>#DIV/0!</v>
      </c>
      <c r="O229" s="173">
        <f t="shared" si="146"/>
        <v>2393.7008083420446</v>
      </c>
      <c r="P229" s="173"/>
      <c r="Q229" s="173"/>
      <c r="R229" s="37" t="e">
        <f t="shared" si="128"/>
        <v>#DIV/0!</v>
      </c>
      <c r="S229" s="37" t="e">
        <f t="shared" si="129"/>
        <v>#DIV/0!</v>
      </c>
      <c r="T229" s="37" t="e">
        <f t="shared" si="130"/>
        <v>#DIV/0!</v>
      </c>
      <c r="U229" s="39" t="e">
        <f t="shared" si="131"/>
        <v>#DIV/0!</v>
      </c>
      <c r="V229" s="39" t="e">
        <f t="shared" si="147"/>
        <v>#DIV/0!</v>
      </c>
      <c r="W229" s="9" t="e">
        <f t="shared" si="148"/>
        <v>#DIV/0!</v>
      </c>
      <c r="AB229" s="129">
        <v>106.11169312899855</v>
      </c>
      <c r="AC229" s="9">
        <v>10.375</v>
      </c>
      <c r="AD229" s="129">
        <f t="shared" si="149"/>
        <v>117.70262942214474</v>
      </c>
      <c r="AE229" s="36">
        <f t="shared" si="181"/>
        <v>1.3854957177064689E-2</v>
      </c>
      <c r="AF229" s="37">
        <f t="shared" si="150"/>
        <v>51168802.64520403</v>
      </c>
      <c r="AG229" s="36">
        <f t="shared" si="132"/>
        <v>1.9893149433104158</v>
      </c>
      <c r="AH229" s="37">
        <f t="shared" si="151"/>
        <v>-1.5386446900637654E-4</v>
      </c>
      <c r="AI229" s="37">
        <f t="shared" si="152"/>
        <v>-3.4657845478891322E-2</v>
      </c>
      <c r="AJ229" s="37">
        <f t="shared" si="153"/>
        <v>-3.2035609746374099</v>
      </c>
      <c r="AK229" s="39">
        <f t="shared" si="154"/>
        <v>1.8110252576692614E-2</v>
      </c>
      <c r="AL229" s="39">
        <f>AL228+(1000*$C$2*($B229-$B228))/(BerechnungenCLT!$W$47*2*AF229)</f>
        <v>9.9612692477792485E-3</v>
      </c>
      <c r="AM229" s="37">
        <f t="shared" si="133"/>
        <v>2.300281095852002E-6</v>
      </c>
      <c r="AN229" s="173">
        <f t="shared" si="155"/>
        <v>2147.277997498305</v>
      </c>
      <c r="AO229" s="173">
        <v>-258.95425641536639</v>
      </c>
      <c r="AV229" s="129">
        <v>118.73838319111967</v>
      </c>
      <c r="AW229" s="9">
        <v>8.6875</v>
      </c>
      <c r="AX229" s="129">
        <f t="shared" si="156"/>
        <v>127.44023088318862</v>
      </c>
      <c r="AY229" s="36">
        <f t="shared" si="182"/>
        <v>1.1440910653714345E-2</v>
      </c>
      <c r="AZ229" s="37">
        <f t="shared" si="157"/>
        <v>51046341.932413176</v>
      </c>
      <c r="BA229" s="36">
        <f t="shared" si="134"/>
        <v>1.9950115118583531</v>
      </c>
      <c r="BB229" s="37">
        <f t="shared" si="158"/>
        <v>-1.5423359149066061E-4</v>
      </c>
      <c r="BC229" s="37">
        <f t="shared" si="159"/>
        <v>-3.1005696581038866E-2</v>
      </c>
      <c r="BD229" s="37">
        <f t="shared" si="160"/>
        <v>-2.9439178727207937</v>
      </c>
      <c r="BE229" s="39">
        <f t="shared" si="161"/>
        <v>1.9655564509513182E-2</v>
      </c>
      <c r="BF229" s="39">
        <f>BF228+(1000*$C$2*($B229-$B228))/(BerechnungenCLT!$W$47*2*AZ229)</f>
        <v>8.9054207225427208E-3</v>
      </c>
      <c r="BG229" s="37">
        <f t="shared" si="135"/>
        <v>2.4965595194249795E-6</v>
      </c>
      <c r="BH229" s="173">
        <f t="shared" si="162"/>
        <v>1774.8570461927982</v>
      </c>
      <c r="BI229">
        <v>-258.88932155224552</v>
      </c>
      <c r="BP229" s="129">
        <v>89.056287598216826</v>
      </c>
      <c r="BQ229" s="9">
        <v>14.3125</v>
      </c>
      <c r="BR229" s="129">
        <f t="shared" si="163"/>
        <v>103.44846401889497</v>
      </c>
      <c r="BS229" s="36">
        <f t="shared" si="183"/>
        <v>1.4796763137094025E-2</v>
      </c>
      <c r="BT229" s="37">
        <f t="shared" si="164"/>
        <v>40544451.97371804</v>
      </c>
      <c r="BU229" s="36">
        <f t="shared" si="136"/>
        <v>1.9778282155459459</v>
      </c>
      <c r="BV229" s="37">
        <f t="shared" si="165"/>
        <v>-1.9418342745882751E-4</v>
      </c>
      <c r="BW229" s="37">
        <f t="shared" si="166"/>
        <v>-3.5914984671630908E-2</v>
      </c>
      <c r="BX229" s="37">
        <f t="shared" si="167"/>
        <v>-3.2286731023434112</v>
      </c>
      <c r="BY229" s="39">
        <f t="shared" si="168"/>
        <v>2.0087977308540218E-2</v>
      </c>
      <c r="BZ229" s="39">
        <f>BZ228+(1000*$C$2*($B229-$B228))/(BerechnungenCLT!$W$47*2*BT229)</f>
        <v>1.0324712596991012E-2</v>
      </c>
      <c r="CA229" s="37">
        <f t="shared" si="137"/>
        <v>2.5514826069409679E-6</v>
      </c>
      <c r="CB229" s="173">
        <f t="shared" si="169"/>
        <v>2902.559401210031</v>
      </c>
      <c r="CC229" s="9">
        <v>-257.38659582285334</v>
      </c>
      <c r="CJ229" s="9">
        <f t="shared" si="185"/>
        <v>178</v>
      </c>
      <c r="CK229" s="129">
        <v>116.59807310447049</v>
      </c>
      <c r="CL229" s="9">
        <v>5.734375</v>
      </c>
      <c r="CM229" s="129">
        <f t="shared" si="170"/>
        <v>123.56080762354246</v>
      </c>
      <c r="CN229" s="36">
        <f t="shared" si="184"/>
        <v>8.9305309779160024E-3</v>
      </c>
      <c r="CO229" s="173">
        <f t="shared" si="171"/>
        <v>1864.9479791964782</v>
      </c>
      <c r="CP229" s="9">
        <v>-630.59238088212192</v>
      </c>
      <c r="CQ229" s="129"/>
      <c r="CR229" s="36">
        <f t="shared" si="172"/>
        <v>0.70736731130829589</v>
      </c>
      <c r="CS229" s="17">
        <f t="shared" si="138"/>
        <v>0.50851293444302936</v>
      </c>
      <c r="CT229" s="9">
        <f t="shared" si="139"/>
        <v>6.7660520843358531</v>
      </c>
      <c r="CU229" s="9">
        <f t="shared" si="173"/>
        <v>124.81348008525639</v>
      </c>
      <c r="CV229" s="9">
        <v>13.2</v>
      </c>
      <c r="CW229" s="9">
        <f t="shared" si="174"/>
        <v>132.62564291839965</v>
      </c>
      <c r="CX229">
        <f t="shared" si="175"/>
        <v>22</v>
      </c>
      <c r="CY229" s="9">
        <f t="shared" si="140"/>
        <v>458.65928789248289</v>
      </c>
      <c r="CZ229" s="17">
        <f t="shared" si="176"/>
        <v>0.43188256863698954</v>
      </c>
      <c r="DA229">
        <v>45</v>
      </c>
      <c r="DB229" s="9">
        <f t="shared" si="177"/>
        <v>7.4016285348622208</v>
      </c>
      <c r="DC229" s="9">
        <f t="shared" si="178"/>
        <v>8.109006672751855</v>
      </c>
    </row>
    <row r="230" spans="2:107" x14ac:dyDescent="0.25">
      <c r="B230" s="9">
        <f t="shared" si="179"/>
        <v>179</v>
      </c>
      <c r="C230" s="9">
        <v>106.21190901723583</v>
      </c>
      <c r="D230" s="9"/>
      <c r="E230" s="9">
        <f t="shared" si="141"/>
        <v>106.21190901723583</v>
      </c>
      <c r="F230" s="36">
        <f t="shared" si="180"/>
        <v>0</v>
      </c>
      <c r="G230" s="37">
        <f t="shared" si="186"/>
        <v>0</v>
      </c>
      <c r="H230" s="36" t="e">
        <f t="shared" si="126"/>
        <v>#DIV/0!</v>
      </c>
      <c r="I230" s="37" t="e">
        <f t="shared" si="142"/>
        <v>#DIV/0!</v>
      </c>
      <c r="J230" s="37" t="e">
        <f t="shared" si="143"/>
        <v>#DIV/0!</v>
      </c>
      <c r="K230" s="37" t="e">
        <f t="shared" si="144"/>
        <v>#DIV/0!</v>
      </c>
      <c r="L230" s="39" t="e">
        <f t="shared" si="127"/>
        <v>#DIV/0!</v>
      </c>
      <c r="M230" s="39" t="e">
        <f>M229+(1000*$C$2*(B230-B229))/(BerechnungenCLT!$W$47*2*'Berechnung freier Bereich'!G230)</f>
        <v>#DIV/0!</v>
      </c>
      <c r="N230" s="17" t="e">
        <f t="shared" si="145"/>
        <v>#DIV/0!</v>
      </c>
      <c r="O230" s="173">
        <f t="shared" si="146"/>
        <v>2383.7329677831217</v>
      </c>
      <c r="P230" s="173"/>
      <c r="Q230" s="173"/>
      <c r="R230" s="37" t="e">
        <f t="shared" si="128"/>
        <v>#DIV/0!</v>
      </c>
      <c r="S230" s="37" t="e">
        <f t="shared" si="129"/>
        <v>#DIV/0!</v>
      </c>
      <c r="T230" s="37" t="e">
        <f t="shared" si="130"/>
        <v>#DIV/0!</v>
      </c>
      <c r="U230" s="39" t="e">
        <f t="shared" si="131"/>
        <v>#DIV/0!</v>
      </c>
      <c r="V230" s="39" t="e">
        <f t="shared" si="147"/>
        <v>#DIV/0!</v>
      </c>
      <c r="W230" s="9" t="e">
        <f t="shared" si="148"/>
        <v>#DIV/0!</v>
      </c>
      <c r="AB230" s="129">
        <v>106.60982251785336</v>
      </c>
      <c r="AC230" s="9">
        <v>10.3125</v>
      </c>
      <c r="AD230" s="129">
        <f t="shared" si="149"/>
        <v>118.12114531164288</v>
      </c>
      <c r="AE230" s="36">
        <f t="shared" si="181"/>
        <v>1.3816147100813008E-2</v>
      </c>
      <c r="AF230" s="37">
        <f t="shared" si="150"/>
        <v>51441293.208390921</v>
      </c>
      <c r="AG230" s="36">
        <f t="shared" si="132"/>
        <v>1.989546108360488</v>
      </c>
      <c r="AH230" s="37">
        <f t="shared" si="151"/>
        <v>-1.5304943086874356E-4</v>
      </c>
      <c r="AI230" s="37">
        <f t="shared" si="152"/>
        <v>-3.4810894909760068E-2</v>
      </c>
      <c r="AJ230" s="37">
        <f t="shared" si="153"/>
        <v>-3.2382953448317355</v>
      </c>
      <c r="AK230" s="39">
        <f t="shared" si="154"/>
        <v>1.80783740635111E-2</v>
      </c>
      <c r="AL230" s="39">
        <f>AL229+(1000*$C$2*($B230-$B229))/(BerechnungenCLT!$W$47*2*AF230)</f>
        <v>1.0005516375154122E-2</v>
      </c>
      <c r="AM230" s="37">
        <f t="shared" si="133"/>
        <v>2.2962320335363453E-6</v>
      </c>
      <c r="AN230" s="173">
        <f t="shared" si="155"/>
        <v>2129.7968460015436</v>
      </c>
      <c r="AO230" s="173">
        <v>-258.40529590429111</v>
      </c>
      <c r="AV230" s="129">
        <v>118.79587922020835</v>
      </c>
      <c r="AW230" s="9">
        <v>8.6875</v>
      </c>
      <c r="AX230" s="129">
        <f t="shared" si="156"/>
        <v>127.4975174055871</v>
      </c>
      <c r="AY230" s="36">
        <f t="shared" si="182"/>
        <v>1.1445969479571721E-2</v>
      </c>
      <c r="AZ230" s="37">
        <f t="shared" si="157"/>
        <v>51116484.174694791</v>
      </c>
      <c r="BA230" s="36">
        <f t="shared" si="134"/>
        <v>1.995016391284274</v>
      </c>
      <c r="BB230" s="37">
        <f t="shared" si="158"/>
        <v>-1.5402195154481986E-4</v>
      </c>
      <c r="BC230" s="37">
        <f t="shared" si="159"/>
        <v>-3.1159718532583685E-2</v>
      </c>
      <c r="BD230" s="37">
        <f t="shared" si="160"/>
        <v>-2.9750005802776052</v>
      </c>
      <c r="BE230" s="39">
        <f t="shared" si="161"/>
        <v>1.9637416447928165E-2</v>
      </c>
      <c r="BF230" s="39">
        <f>BF229+(1000*$C$2*($B230-$B229))/(BerechnungenCLT!$W$47*2*AZ230)</f>
        <v>8.9499490090567367E-3</v>
      </c>
      <c r="BG230" s="37">
        <f t="shared" si="135"/>
        <v>2.4942544360025592E-6</v>
      </c>
      <c r="BH230" s="173">
        <f t="shared" si="162"/>
        <v>1773.2031232566426</v>
      </c>
      <c r="BI230">
        <v>-258.71343535951252</v>
      </c>
      <c r="BP230" s="129">
        <v>89.161951279206932</v>
      </c>
      <c r="BQ230" s="9">
        <v>14.25</v>
      </c>
      <c r="BR230" s="129">
        <f t="shared" si="163"/>
        <v>103.49506244971303</v>
      </c>
      <c r="BS230" s="36">
        <f t="shared" si="183"/>
        <v>1.4747692975303543E-2</v>
      </c>
      <c r="BT230" s="37">
        <f t="shared" si="164"/>
        <v>40471750.096770369</v>
      </c>
      <c r="BU230" s="36">
        <f t="shared" si="136"/>
        <v>1.9780427877480093</v>
      </c>
      <c r="BV230" s="37">
        <f t="shared" si="165"/>
        <v>-1.9453225101141996E-4</v>
      </c>
      <c r="BW230" s="37">
        <f t="shared" si="166"/>
        <v>-3.6109516922642325E-2</v>
      </c>
      <c r="BX230" s="37">
        <f t="shared" si="167"/>
        <v>-3.264685353140548</v>
      </c>
      <c r="BY230" s="39">
        <f t="shared" si="168"/>
        <v>2.0133127466910161E-2</v>
      </c>
      <c r="BZ230" s="39">
        <f>BZ229+(1000*$C$2*($B230-$B229))/(BerechnungenCLT!$W$47*2*BT230)</f>
        <v>1.0380952553194477E-2</v>
      </c>
      <c r="CA230" s="37">
        <f t="shared" si="137"/>
        <v>2.5572173726673584E-6</v>
      </c>
      <c r="CB230" s="173">
        <f t="shared" si="169"/>
        <v>2897.9732698981811</v>
      </c>
      <c r="CC230" s="9">
        <v>-258.10702214625803</v>
      </c>
      <c r="CJ230" s="9">
        <f t="shared" si="185"/>
        <v>179</v>
      </c>
      <c r="CK230" s="129">
        <v>117.28677153043495</v>
      </c>
      <c r="CL230" s="9">
        <v>5.671875</v>
      </c>
      <c r="CM230" s="129">
        <f t="shared" si="170"/>
        <v>123.98718527034887</v>
      </c>
      <c r="CN230" s="36">
        <f t="shared" si="184"/>
        <v>8.6339764775841318E-3</v>
      </c>
      <c r="CO230" s="173">
        <f t="shared" si="171"/>
        <v>1847.7496588085035</v>
      </c>
      <c r="CP230" s="9">
        <v>-631.6617322096979</v>
      </c>
      <c r="CQ230" s="129"/>
      <c r="CR230" s="36">
        <f t="shared" si="172"/>
        <v>0.70565691328689284</v>
      </c>
      <c r="CS230" s="17">
        <f t="shared" si="138"/>
        <v>0.50728336176837385</v>
      </c>
      <c r="CT230" s="9">
        <f t="shared" si="139"/>
        <v>6.7085287168434089</v>
      </c>
      <c r="CU230" s="9">
        <f t="shared" si="173"/>
        <v>125.21182594170895</v>
      </c>
      <c r="CV230" s="9">
        <v>13.2</v>
      </c>
      <c r="CW230" s="9">
        <f t="shared" si="174"/>
        <v>132.88046168878009</v>
      </c>
      <c r="CX230">
        <f t="shared" si="175"/>
        <v>22</v>
      </c>
      <c r="CY230" s="9">
        <f t="shared" si="140"/>
        <v>455.96607769065247</v>
      </c>
      <c r="CZ230" s="17">
        <f t="shared" si="176"/>
        <v>0.42934658916257296</v>
      </c>
      <c r="DA230">
        <v>45</v>
      </c>
      <c r="DB230" s="9">
        <f t="shared" si="177"/>
        <v>7.3581667713997447</v>
      </c>
      <c r="DC230" s="9">
        <f t="shared" si="178"/>
        <v>8.0638325881172914</v>
      </c>
    </row>
    <row r="231" spans="2:107" x14ac:dyDescent="0.25">
      <c r="B231" s="9">
        <f t="shared" si="179"/>
        <v>180</v>
      </c>
      <c r="C231" s="9">
        <v>106.43384985967646</v>
      </c>
      <c r="D231" s="9"/>
      <c r="E231" s="9">
        <f t="shared" si="141"/>
        <v>106.43384985967646</v>
      </c>
      <c r="F231" s="36">
        <f t="shared" si="180"/>
        <v>0</v>
      </c>
      <c r="G231" s="37">
        <f t="shared" si="186"/>
        <v>0</v>
      </c>
      <c r="H231" s="36" t="e">
        <f t="shared" si="126"/>
        <v>#DIV/0!</v>
      </c>
      <c r="I231" s="37" t="e">
        <f t="shared" si="142"/>
        <v>#DIV/0!</v>
      </c>
      <c r="J231" s="37" t="e">
        <f t="shared" si="143"/>
        <v>#DIV/0!</v>
      </c>
      <c r="K231" s="37" t="e">
        <f t="shared" si="144"/>
        <v>#DIV/0!</v>
      </c>
      <c r="L231" s="39" t="e">
        <f t="shared" si="127"/>
        <v>#DIV/0!</v>
      </c>
      <c r="M231" s="39" t="e">
        <f>M230+(1000*$C$2*(B231-B230))/(BerechnungenCLT!$W$47*2*'Berechnung freier Bereich'!G231)</f>
        <v>#DIV/0!</v>
      </c>
      <c r="N231" s="17" t="e">
        <f t="shared" si="145"/>
        <v>#DIV/0!</v>
      </c>
      <c r="O231" s="173">
        <f t="shared" si="146"/>
        <v>2373.801989880676</v>
      </c>
      <c r="P231" s="173"/>
      <c r="Q231" s="173"/>
      <c r="R231" s="37" t="e">
        <f t="shared" si="128"/>
        <v>#DIV/0!</v>
      </c>
      <c r="S231" s="37" t="e">
        <f t="shared" si="129"/>
        <v>#DIV/0!</v>
      </c>
      <c r="T231" s="37" t="e">
        <f t="shared" si="130"/>
        <v>#DIV/0!</v>
      </c>
      <c r="U231" s="39" t="e">
        <f t="shared" si="131"/>
        <v>#DIV/0!</v>
      </c>
      <c r="V231" s="39" t="e">
        <f t="shared" si="147"/>
        <v>#DIV/0!</v>
      </c>
      <c r="W231" s="9" t="e">
        <f t="shared" si="148"/>
        <v>#DIV/0!</v>
      </c>
      <c r="AB231" s="129">
        <v>107.10581940128507</v>
      </c>
      <c r="AC231" s="9">
        <v>10.25</v>
      </c>
      <c r="AD231" s="129">
        <f t="shared" si="149"/>
        <v>118.53597806907391</v>
      </c>
      <c r="AE231" s="36">
        <f t="shared" si="181"/>
        <v>1.377433381902431E-2</v>
      </c>
      <c r="AF231" s="37">
        <f t="shared" si="150"/>
        <v>51699196.278517604</v>
      </c>
      <c r="AG231" s="36">
        <f t="shared" si="132"/>
        <v>1.9897751658437111</v>
      </c>
      <c r="AH231" s="37">
        <f t="shared" si="151"/>
        <v>-1.5228593895893618E-4</v>
      </c>
      <c r="AI231" s="37">
        <f t="shared" si="152"/>
        <v>-3.4963180848719001E-2</v>
      </c>
      <c r="AJ231" s="37">
        <f t="shared" si="153"/>
        <v>-3.2731823827109752</v>
      </c>
      <c r="AK231" s="39">
        <f t="shared" si="154"/>
        <v>1.8051362720664786E-2</v>
      </c>
      <c r="AL231" s="39">
        <f>AL230+(1000*$C$2*($B231-$B230))/(BerechnungenCLT!$W$47*2*AF231)</f>
        <v>1.0049542774339474E-2</v>
      </c>
      <c r="AM231" s="37">
        <f t="shared" si="133"/>
        <v>2.2928011768401274E-6</v>
      </c>
      <c r="AN231" s="173">
        <f t="shared" si="155"/>
        <v>2112.6371988351457</v>
      </c>
      <c r="AO231" s="173">
        <v>-257.90399827162025</v>
      </c>
      <c r="AV231" s="129">
        <v>118.85295357986479</v>
      </c>
      <c r="AW231" s="9">
        <v>8.6875</v>
      </c>
      <c r="AX231" s="129">
        <f t="shared" si="156"/>
        <v>127.5544138403659</v>
      </c>
      <c r="AY231" s="36">
        <f t="shared" si="182"/>
        <v>1.145103188610523E-2</v>
      </c>
      <c r="AZ231" s="37">
        <f t="shared" si="157"/>
        <v>51186370.28825774</v>
      </c>
      <c r="BA231" s="36">
        <f t="shared" si="134"/>
        <v>1.9950211949776884</v>
      </c>
      <c r="BB231" s="37">
        <f t="shared" si="158"/>
        <v>-1.538116612754331E-4</v>
      </c>
      <c r="BC231" s="37">
        <f t="shared" si="159"/>
        <v>-3.1313530193859115E-2</v>
      </c>
      <c r="BD231" s="37">
        <f t="shared" si="160"/>
        <v>-3.0062372046408266</v>
      </c>
      <c r="BE231" s="39">
        <f t="shared" si="161"/>
        <v>1.9619356295800774E-2</v>
      </c>
      <c r="BF231" s="39">
        <f>BF230+(1000*$C$2*($B231-$B230))/(BerechnungenCLT!$W$47*2*AZ231)</f>
        <v>8.9944164999161552E-3</v>
      </c>
      <c r="BG231" s="37">
        <f t="shared" si="135"/>
        <v>2.4919605184356495E-6</v>
      </c>
      <c r="BH231" s="173">
        <f t="shared" si="162"/>
        <v>1771.5631833989412</v>
      </c>
      <c r="BI231">
        <v>-258.53735575001764</v>
      </c>
      <c r="BP231" s="129">
        <v>89.270112002861097</v>
      </c>
      <c r="BQ231" s="9">
        <v>14.25</v>
      </c>
      <c r="BR231" s="129">
        <f t="shared" si="163"/>
        <v>103.60713622004616</v>
      </c>
      <c r="BS231" s="36">
        <f t="shared" si="183"/>
        <v>1.4768582528732997E-2</v>
      </c>
      <c r="BT231" s="37">
        <f t="shared" si="164"/>
        <v>40621402.312568858</v>
      </c>
      <c r="BU231" s="36">
        <f t="shared" si="136"/>
        <v>1.9780806248548803</v>
      </c>
      <c r="BV231" s="37">
        <f t="shared" si="165"/>
        <v>-1.9381557997716765E-4</v>
      </c>
      <c r="BW231" s="37">
        <f t="shared" si="166"/>
        <v>-3.6303332502619495E-2</v>
      </c>
      <c r="BX231" s="37">
        <f t="shared" si="167"/>
        <v>-3.3008917778531788</v>
      </c>
      <c r="BY231" s="39">
        <f t="shared" si="168"/>
        <v>2.0080677196261658E-2</v>
      </c>
      <c r="BZ231" s="39">
        <f>BZ230+(1000*$C$2*($B231-$B230))/(BerechnungenCLT!$W$47*2*BT231)</f>
        <v>1.0436985317287794E-2</v>
      </c>
      <c r="CA231" s="37">
        <f t="shared" si="137"/>
        <v>2.5505553802111993E-6</v>
      </c>
      <c r="CB231" s="173">
        <f t="shared" si="169"/>
        <v>2891.3590185755666</v>
      </c>
      <c r="CC231" s="9">
        <v>-257.51792605957576</v>
      </c>
      <c r="CJ231" s="9">
        <f t="shared" si="185"/>
        <v>180</v>
      </c>
      <c r="CK231" s="129">
        <v>117.91571078181316</v>
      </c>
      <c r="CL231" s="9">
        <v>5.625</v>
      </c>
      <c r="CM231" s="129">
        <f t="shared" si="170"/>
        <v>124.37646225682256</v>
      </c>
      <c r="CN231" s="36">
        <f t="shared" si="184"/>
        <v>8.3602875370508475E-3</v>
      </c>
      <c r="CO231" s="173">
        <f t="shared" si="171"/>
        <v>1832.2522084615125</v>
      </c>
      <c r="CP231" s="9">
        <v>-631.58355623404918</v>
      </c>
      <c r="CQ231" s="129"/>
      <c r="CR231" s="36">
        <f t="shared" si="172"/>
        <v>0.70410127362918773</v>
      </c>
      <c r="CS231" s="17">
        <f t="shared" si="138"/>
        <v>0.50616504194410528</v>
      </c>
      <c r="CT231" s="9">
        <f t="shared" si="139"/>
        <v>6.6677856436650043</v>
      </c>
      <c r="CU231" s="9">
        <f t="shared" si="173"/>
        <v>125.57418294756519</v>
      </c>
      <c r="CV231" s="9">
        <v>13.2</v>
      </c>
      <c r="CW231" s="9">
        <f t="shared" si="174"/>
        <v>133.07694090983523</v>
      </c>
      <c r="CX231">
        <f t="shared" si="175"/>
        <v>22</v>
      </c>
      <c r="CY231" s="9">
        <f t="shared" si="140"/>
        <v>453.53404415029354</v>
      </c>
      <c r="CZ231" s="17">
        <f t="shared" si="176"/>
        <v>0.42705653874792232</v>
      </c>
      <c r="DA231">
        <v>45</v>
      </c>
      <c r="DB231" s="9">
        <f t="shared" si="177"/>
        <v>7.318919754441306</v>
      </c>
      <c r="DC231" s="9">
        <f t="shared" si="178"/>
        <v>8.0230281587783399</v>
      </c>
    </row>
    <row r="232" spans="2:107" x14ac:dyDescent="0.25">
      <c r="B232" s="9">
        <f t="shared" si="179"/>
        <v>181</v>
      </c>
      <c r="C232" s="9">
        <v>106.65636264460993</v>
      </c>
      <c r="D232" s="9"/>
      <c r="E232" s="9">
        <f t="shared" si="141"/>
        <v>106.65636264460993</v>
      </c>
      <c r="F232" s="36">
        <f t="shared" si="180"/>
        <v>0</v>
      </c>
      <c r="G232" s="37">
        <f t="shared" si="186"/>
        <v>0</v>
      </c>
      <c r="H232" s="36" t="e">
        <f t="shared" si="126"/>
        <v>#DIV/0!</v>
      </c>
      <c r="I232" s="37" t="e">
        <f t="shared" si="142"/>
        <v>#DIV/0!</v>
      </c>
      <c r="J232" s="37" t="e">
        <f t="shared" si="143"/>
        <v>#DIV/0!</v>
      </c>
      <c r="K232" s="37" t="e">
        <f t="shared" si="144"/>
        <v>#DIV/0!</v>
      </c>
      <c r="L232" s="39" t="e">
        <f t="shared" si="127"/>
        <v>#DIV/0!</v>
      </c>
      <c r="M232" s="39" t="e">
        <f>M231+(1000*$C$2*(B232-B231))/(BerechnungenCLT!$W$47*2*'Berechnung freier Bereich'!G232)</f>
        <v>#DIV/0!</v>
      </c>
      <c r="N232" s="17" t="e">
        <f t="shared" si="145"/>
        <v>#DIV/0!</v>
      </c>
      <c r="O232" s="173">
        <f t="shared" si="146"/>
        <v>2363.9075907797715</v>
      </c>
      <c r="P232" s="173"/>
      <c r="Q232" s="173"/>
      <c r="R232" s="37" t="e">
        <f t="shared" si="128"/>
        <v>#DIV/0!</v>
      </c>
      <c r="S232" s="37" t="e">
        <f t="shared" si="129"/>
        <v>#DIV/0!</v>
      </c>
      <c r="T232" s="37" t="e">
        <f t="shared" si="130"/>
        <v>#DIV/0!</v>
      </c>
      <c r="U232" s="39" t="e">
        <f t="shared" si="131"/>
        <v>#DIV/0!</v>
      </c>
      <c r="V232" s="39" t="e">
        <f t="shared" si="147"/>
        <v>#DIV/0!</v>
      </c>
      <c r="W232" s="9" t="e">
        <f t="shared" si="148"/>
        <v>#DIV/0!</v>
      </c>
      <c r="AB232" s="129">
        <v>107.59930849946834</v>
      </c>
      <c r="AC232" s="9">
        <v>10.125</v>
      </c>
      <c r="AD232" s="129">
        <f t="shared" si="149"/>
        <v>118.87718726809166</v>
      </c>
      <c r="AE232" s="36">
        <f t="shared" si="181"/>
        <v>1.3641098740327821E-2</v>
      </c>
      <c r="AF232" s="37">
        <f t="shared" si="150"/>
        <v>51574179.54126282</v>
      </c>
      <c r="AG232" s="36">
        <f t="shared" si="132"/>
        <v>1.9901177581283742</v>
      </c>
      <c r="AH232" s="37">
        <f t="shared" si="151"/>
        <v>-1.5265508280936225E-4</v>
      </c>
      <c r="AI232" s="37">
        <f t="shared" si="152"/>
        <v>-3.5115835931528366E-2</v>
      </c>
      <c r="AJ232" s="37">
        <f t="shared" si="153"/>
        <v>-3.3082218911010988</v>
      </c>
      <c r="AK232" s="39">
        <f t="shared" si="154"/>
        <v>1.8147206866554598E-2</v>
      </c>
      <c r="AL232" s="39">
        <f>AL231+(1000*$C$2*($B232-$B231))/(BerechnungenCLT!$W$47*2*AF232)</f>
        <v>1.0093675894306974E-2</v>
      </c>
      <c r="AM232" s="37">
        <f t="shared" si="133"/>
        <v>2.3049748600068739E-6</v>
      </c>
      <c r="AN232" s="173">
        <f t="shared" si="155"/>
        <v>2097.0932894375869</v>
      </c>
      <c r="AO232" s="173">
        <v>-259.1994475730416</v>
      </c>
      <c r="AV232" s="129">
        <v>118.90966738035378</v>
      </c>
      <c r="AW232" s="9">
        <v>8.6875</v>
      </c>
      <c r="AX232" s="129">
        <f t="shared" si="156"/>
        <v>127.61098072638114</v>
      </c>
      <c r="AY232" s="36">
        <f t="shared" si="182"/>
        <v>1.1456102834162795E-2</v>
      </c>
      <c r="AZ232" s="37">
        <f t="shared" si="157"/>
        <v>51256072.143325552</v>
      </c>
      <c r="BA232" s="36">
        <f t="shared" si="134"/>
        <v>1.9950259287451946</v>
      </c>
      <c r="BB232" s="37">
        <f t="shared" si="158"/>
        <v>-1.5360249663066709E-4</v>
      </c>
      <c r="BC232" s="37">
        <f t="shared" si="159"/>
        <v>-3.1467132690489785E-2</v>
      </c>
      <c r="BD232" s="37">
        <f t="shared" si="160"/>
        <v>-3.0376275360830012</v>
      </c>
      <c r="BE232" s="39">
        <f t="shared" si="161"/>
        <v>1.9601365237060082E-2</v>
      </c>
      <c r="BF232" s="39">
        <f>BF231+(1000*$C$2*($B232-$B231))/(BerechnungenCLT!$W$47*2*AZ232)</f>
        <v>9.0388235205430042E-3</v>
      </c>
      <c r="BG232" s="37">
        <f t="shared" si="135"/>
        <v>2.4896753767933494E-6</v>
      </c>
      <c r="BH232" s="173">
        <f t="shared" si="162"/>
        <v>1769.9354269719913</v>
      </c>
      <c r="BI232">
        <v>-258.36046293098792</v>
      </c>
      <c r="BP232" s="129">
        <v>89.380797233182349</v>
      </c>
      <c r="BQ232" s="9">
        <v>14.1875</v>
      </c>
      <c r="BR232" s="129">
        <f t="shared" si="163"/>
        <v>103.65896826850934</v>
      </c>
      <c r="BS232" s="36">
        <f t="shared" si="183"/>
        <v>1.4720350651201274E-2</v>
      </c>
      <c r="BT232" s="37">
        <f t="shared" si="164"/>
        <v>40554801.172504224</v>
      </c>
      <c r="BU232" s="36">
        <f t="shared" si="136"/>
        <v>1.97829503927649</v>
      </c>
      <c r="BV232" s="37">
        <f t="shared" si="165"/>
        <v>-1.9413387369864003E-4</v>
      </c>
      <c r="BW232" s="37">
        <f t="shared" si="166"/>
        <v>-3.6497466376318136E-2</v>
      </c>
      <c r="BX232" s="37">
        <f t="shared" si="167"/>
        <v>-3.3372921772926474</v>
      </c>
      <c r="BY232" s="39">
        <f t="shared" si="168"/>
        <v>2.0123717053570127E-2</v>
      </c>
      <c r="BZ232" s="39">
        <f>BZ231+(1000*$C$2*($B232-$B231))/(BerechnungenCLT!$W$47*2*BT232)</f>
        <v>1.0493110101212592E-2</v>
      </c>
      <c r="CA232" s="37">
        <f t="shared" si="137"/>
        <v>2.5560221051900791E-6</v>
      </c>
      <c r="CB232" s="173">
        <f t="shared" si="169"/>
        <v>2886.4926844359707</v>
      </c>
      <c r="CC232" s="9">
        <v>-258.21703850410074</v>
      </c>
      <c r="CJ232" s="9">
        <f t="shared" si="185"/>
        <v>181</v>
      </c>
      <c r="CK232" s="129">
        <v>118.48071654636259</v>
      </c>
      <c r="CL232" s="9">
        <v>5.59375</v>
      </c>
      <c r="CM232" s="129">
        <f t="shared" si="170"/>
        <v>124.72697839957226</v>
      </c>
      <c r="CN232" s="36">
        <f t="shared" si="184"/>
        <v>8.1132767865092249E-3</v>
      </c>
      <c r="CO232" s="173">
        <f t="shared" si="171"/>
        <v>1818.4836495351287</v>
      </c>
      <c r="CP232" s="9">
        <v>-630.33937263529572</v>
      </c>
      <c r="CQ232" s="129"/>
      <c r="CR232" s="36">
        <f t="shared" si="172"/>
        <v>0.70270536197718603</v>
      </c>
      <c r="CS232" s="17">
        <f t="shared" si="138"/>
        <v>0.50516154755153897</v>
      </c>
      <c r="CT232" s="9">
        <f t="shared" si="139"/>
        <v>6.6439142414290338</v>
      </c>
      <c r="CU232" s="9">
        <f t="shared" si="173"/>
        <v>125.89964447167827</v>
      </c>
      <c r="CV232" s="9">
        <v>13.2</v>
      </c>
      <c r="CW232" s="9">
        <f t="shared" si="174"/>
        <v>133.22049870723276</v>
      </c>
      <c r="CX232">
        <f t="shared" si="175"/>
        <v>22</v>
      </c>
      <c r="CY232" s="9">
        <f t="shared" si="140"/>
        <v>451.37125043302177</v>
      </c>
      <c r="CZ232" s="17">
        <f t="shared" si="176"/>
        <v>0.42502000982393762</v>
      </c>
      <c r="DA232">
        <v>45</v>
      </c>
      <c r="DB232" s="9">
        <f t="shared" si="177"/>
        <v>7.2840176035084507</v>
      </c>
      <c r="DC232" s="9">
        <f t="shared" si="178"/>
        <v>7.9867273667098058</v>
      </c>
    </row>
    <row r="233" spans="2:107" x14ac:dyDescent="0.25">
      <c r="B233" s="9">
        <f t="shared" si="179"/>
        <v>182</v>
      </c>
      <c r="C233" s="9">
        <v>106.87945280464379</v>
      </c>
      <c r="D233" s="9"/>
      <c r="E233" s="9">
        <f t="shared" si="141"/>
        <v>106.87945280464379</v>
      </c>
      <c r="F233" s="36">
        <f t="shared" si="180"/>
        <v>0</v>
      </c>
      <c r="G233" s="37">
        <f t="shared" si="186"/>
        <v>0</v>
      </c>
      <c r="H233" s="36" t="e">
        <f t="shared" si="126"/>
        <v>#DIV/0!</v>
      </c>
      <c r="I233" s="37" t="e">
        <f t="shared" si="142"/>
        <v>#DIV/0!</v>
      </c>
      <c r="J233" s="37" t="e">
        <f t="shared" si="143"/>
        <v>#DIV/0!</v>
      </c>
      <c r="K233" s="37" t="e">
        <f t="shared" si="144"/>
        <v>#DIV/0!</v>
      </c>
      <c r="L233" s="39" t="e">
        <f t="shared" si="127"/>
        <v>#DIV/0!</v>
      </c>
      <c r="M233" s="39" t="e">
        <f>M232+(1000*$C$2*(B233-B232))/(BerechnungenCLT!$W$47*2*'Berechnung freier Bereich'!G233)</f>
        <v>#DIV/0!</v>
      </c>
      <c r="N233" s="17" t="e">
        <f t="shared" si="145"/>
        <v>#DIV/0!</v>
      </c>
      <c r="O233" s="173">
        <f t="shared" si="146"/>
        <v>2354.0494913368802</v>
      </c>
      <c r="P233" s="173"/>
      <c r="Q233" s="173"/>
      <c r="R233" s="37" t="e">
        <f t="shared" si="128"/>
        <v>#DIV/0!</v>
      </c>
      <c r="S233" s="37" t="e">
        <f t="shared" si="129"/>
        <v>#DIV/0!</v>
      </c>
      <c r="T233" s="37" t="e">
        <f t="shared" si="130"/>
        <v>#DIV/0!</v>
      </c>
      <c r="U233" s="39" t="e">
        <f t="shared" si="131"/>
        <v>#DIV/0!</v>
      </c>
      <c r="V233" s="39" t="e">
        <f t="shared" si="147"/>
        <v>#DIV/0!</v>
      </c>
      <c r="W233" s="9" t="e">
        <f t="shared" si="148"/>
        <v>#DIV/0!</v>
      </c>
      <c r="AB233" s="129">
        <v>108.08991453257775</v>
      </c>
      <c r="AC233" s="9">
        <v>10.0625</v>
      </c>
      <c r="AD233" s="129">
        <f t="shared" si="149"/>
        <v>119.28377426220695</v>
      </c>
      <c r="AE233" s="36">
        <f t="shared" si="181"/>
        <v>1.3593110963204336E-2</v>
      </c>
      <c r="AF233" s="37">
        <f t="shared" si="150"/>
        <v>51797845.520168185</v>
      </c>
      <c r="AG233" s="36">
        <f t="shared" si="132"/>
        <v>1.9903403225596126</v>
      </c>
      <c r="AH233" s="37">
        <f t="shared" si="151"/>
        <v>-1.5199590966830678E-4</v>
      </c>
      <c r="AI233" s="37">
        <f t="shared" si="152"/>
        <v>-3.5267831841196674E-2</v>
      </c>
      <c r="AJ233" s="37">
        <f t="shared" si="153"/>
        <v>-3.3434137249874611</v>
      </c>
      <c r="AK233" s="39">
        <f t="shared" si="154"/>
        <v>1.8130645777653106E-2</v>
      </c>
      <c r="AL233" s="39">
        <f>AL232+(1000*$C$2*($B233-$B232))/(BerechnungenCLT!$W$47*2*AF233)</f>
        <v>1.0137618445006958E-2</v>
      </c>
      <c r="AM233" s="37">
        <f t="shared" si="133"/>
        <v>2.3028713465652196E-6</v>
      </c>
      <c r="AN233" s="173">
        <f t="shared" si="155"/>
        <v>2080.5761155324894</v>
      </c>
      <c r="AO233" s="173">
        <v>-258.80464188578003</v>
      </c>
      <c r="AV233" s="129">
        <v>118.96608173194008</v>
      </c>
      <c r="AW233" s="9">
        <v>8.6875</v>
      </c>
      <c r="AX233" s="129">
        <f t="shared" si="156"/>
        <v>127.66727869929102</v>
      </c>
      <c r="AY233" s="36">
        <f t="shared" si="182"/>
        <v>1.1461187414102495E-2</v>
      </c>
      <c r="AZ233" s="37">
        <f t="shared" si="157"/>
        <v>51325662.496480413</v>
      </c>
      <c r="BA233" s="36">
        <f t="shared" si="134"/>
        <v>1.9950305982536471</v>
      </c>
      <c r="BB233" s="37">
        <f t="shared" si="158"/>
        <v>-1.5339423332794345E-4</v>
      </c>
      <c r="BC233" s="37">
        <f t="shared" si="159"/>
        <v>-3.1620526923817727E-2</v>
      </c>
      <c r="BD233" s="37">
        <f t="shared" si="160"/>
        <v>-3.0691713658901549</v>
      </c>
      <c r="BE233" s="39">
        <f t="shared" si="161"/>
        <v>1.9583424337142632E-2</v>
      </c>
      <c r="BF233" s="39">
        <f>BF232+(1000*$C$2*($B233-$B232))/(BerechnungenCLT!$W$47*2*AZ233)</f>
        <v>9.0831703315184305E-3</v>
      </c>
      <c r="BG233" s="37">
        <f t="shared" si="135"/>
        <v>2.4873966060943805E-6</v>
      </c>
      <c r="BH233" s="173">
        <f t="shared" si="162"/>
        <v>1768.3180630338366</v>
      </c>
      <c r="BI233">
        <v>-258.1821384790012</v>
      </c>
      <c r="BP233" s="129">
        <v>89.49403443417367</v>
      </c>
      <c r="BQ233" s="9">
        <v>14.1875</v>
      </c>
      <c r="BR233" s="129">
        <f t="shared" si="163"/>
        <v>103.77636944298123</v>
      </c>
      <c r="BS233" s="36">
        <f t="shared" si="183"/>
        <v>1.4742236160313055E-2</v>
      </c>
      <c r="BT233" s="37">
        <f t="shared" si="164"/>
        <v>40711806.117472917</v>
      </c>
      <c r="BU233" s="36">
        <f t="shared" si="136"/>
        <v>1.9783338614427262</v>
      </c>
      <c r="BV233" s="37">
        <f t="shared" si="165"/>
        <v>-1.9338519706000931E-4</v>
      </c>
      <c r="BW233" s="37">
        <f t="shared" si="166"/>
        <v>-3.6690851573378147E-2</v>
      </c>
      <c r="BX233" s="37">
        <f t="shared" si="167"/>
        <v>-3.3738863362674953</v>
      </c>
      <c r="BY233" s="39">
        <f t="shared" si="168"/>
        <v>2.0068813654903254E-2</v>
      </c>
      <c r="BZ233" s="39">
        <f>BZ232+(1000*$C$2*($B233-$B232))/(BerechnungenCLT!$W$47*2*BT233)</f>
        <v>1.0549018440094739E-2</v>
      </c>
      <c r="CA233" s="37">
        <f t="shared" si="137"/>
        <v>2.5490485276810632E-6</v>
      </c>
      <c r="CB233" s="173">
        <f t="shared" si="169"/>
        <v>2879.6076286421976</v>
      </c>
      <c r="CC233" s="9">
        <v>-257.60112191903892</v>
      </c>
      <c r="CJ233" s="9">
        <f t="shared" si="185"/>
        <v>182</v>
      </c>
      <c r="CK233" s="129">
        <v>118.97761451184076</v>
      </c>
      <c r="CL233" s="9">
        <v>5.546875</v>
      </c>
      <c r="CM233" s="129">
        <f t="shared" si="170"/>
        <v>125.00382545002779</v>
      </c>
      <c r="CN233" s="36">
        <f t="shared" si="184"/>
        <v>7.8523547846032979E-3</v>
      </c>
      <c r="CO233" s="173">
        <f t="shared" si="171"/>
        <v>1806.9679246983437</v>
      </c>
      <c r="CP233" s="9">
        <v>-631.6407662074497</v>
      </c>
      <c r="CQ233" s="129"/>
      <c r="CR233" s="36">
        <f t="shared" si="172"/>
        <v>0.70160606175763884</v>
      </c>
      <c r="CS233" s="17">
        <f t="shared" si="138"/>
        <v>0.50437128148815258</v>
      </c>
      <c r="CT233" s="9">
        <f t="shared" si="139"/>
        <v>6.5985616591419189</v>
      </c>
      <c r="CU233" s="9">
        <f t="shared" si="173"/>
        <v>126.14639413038681</v>
      </c>
      <c r="CV233" s="9">
        <v>13.2</v>
      </c>
      <c r="CW233" s="9">
        <f t="shared" si="174"/>
        <v>133.31829902051797</v>
      </c>
      <c r="CX233">
        <f t="shared" si="175"/>
        <v>22</v>
      </c>
      <c r="CY233" s="9">
        <f t="shared" si="140"/>
        <v>449.48614408813722</v>
      </c>
      <c r="CZ233" s="17">
        <f t="shared" si="176"/>
        <v>0.42324495676849083</v>
      </c>
      <c r="DA233">
        <v>45</v>
      </c>
      <c r="DB233" s="9">
        <f t="shared" si="177"/>
        <v>7.2535966411909518</v>
      </c>
      <c r="DC233" s="9">
        <f t="shared" si="178"/>
        <v>7.9552059470990093</v>
      </c>
    </row>
    <row r="234" spans="2:107" x14ac:dyDescent="0.25">
      <c r="B234" s="9">
        <f t="shared" si="179"/>
        <v>183</v>
      </c>
      <c r="C234" s="9">
        <v>107.10312577238554</v>
      </c>
      <c r="D234" s="9"/>
      <c r="E234" s="9">
        <f t="shared" si="141"/>
        <v>107.10312577238554</v>
      </c>
      <c r="F234" s="36">
        <f t="shared" si="180"/>
        <v>0</v>
      </c>
      <c r="G234" s="37">
        <f t="shared" si="186"/>
        <v>0</v>
      </c>
      <c r="H234" s="36" t="e">
        <f t="shared" si="126"/>
        <v>#DIV/0!</v>
      </c>
      <c r="I234" s="37" t="e">
        <f t="shared" si="142"/>
        <v>#DIV/0!</v>
      </c>
      <c r="J234" s="37" t="e">
        <f t="shared" si="143"/>
        <v>#DIV/0!</v>
      </c>
      <c r="K234" s="37" t="e">
        <f t="shared" si="144"/>
        <v>#DIV/0!</v>
      </c>
      <c r="L234" s="39" t="e">
        <f t="shared" si="127"/>
        <v>#DIV/0!</v>
      </c>
      <c r="M234" s="39" t="e">
        <f>M233+(1000*$C$2*(B234-B233))/(BerechnungenCLT!$W$47*2*'Berechnung freier Bereich'!G234)</f>
        <v>#DIV/0!</v>
      </c>
      <c r="N234" s="17" t="e">
        <f t="shared" si="145"/>
        <v>#DIV/0!</v>
      </c>
      <c r="O234" s="173">
        <f t="shared" si="146"/>
        <v>2344.227417052618</v>
      </c>
      <c r="P234" s="173"/>
      <c r="Q234" s="173"/>
      <c r="R234" s="37" t="e">
        <f t="shared" si="128"/>
        <v>#DIV/0!</v>
      </c>
      <c r="S234" s="37" t="e">
        <f t="shared" si="129"/>
        <v>#DIV/0!</v>
      </c>
      <c r="T234" s="37" t="e">
        <f t="shared" si="130"/>
        <v>#DIV/0!</v>
      </c>
      <c r="U234" s="39" t="e">
        <f t="shared" si="131"/>
        <v>#DIV/0!</v>
      </c>
      <c r="V234" s="39" t="e">
        <f t="shared" si="147"/>
        <v>#DIV/0!</v>
      </c>
      <c r="W234" s="9" t="e">
        <f t="shared" si="148"/>
        <v>#DIV/0!</v>
      </c>
      <c r="AB234" s="129">
        <v>108.57726222078799</v>
      </c>
      <c r="AC234" s="9">
        <v>10</v>
      </c>
      <c r="AD234" s="129">
        <f t="shared" si="149"/>
        <v>119.68572428902131</v>
      </c>
      <c r="AE234" s="36">
        <f t="shared" si="181"/>
        <v>1.3542168884428104E-2</v>
      </c>
      <c r="AF234" s="37">
        <f t="shared" si="150"/>
        <v>52005303.045354545</v>
      </c>
      <c r="AG234" s="36">
        <f t="shared" si="132"/>
        <v>1.9905603434863526</v>
      </c>
      <c r="AH234" s="37">
        <f t="shared" si="151"/>
        <v>-1.5138957351772738E-4</v>
      </c>
      <c r="AI234" s="37">
        <f t="shared" si="152"/>
        <v>-3.5419221414714402E-2</v>
      </c>
      <c r="AJ234" s="37">
        <f t="shared" si="153"/>
        <v>-3.3787572516154167</v>
      </c>
      <c r="AK234" s="39">
        <f t="shared" si="154"/>
        <v>1.8119170756275241E-2</v>
      </c>
      <c r="AL234" s="39">
        <f>AL233+(1000*$C$2*($B234-$B233))/(BerechnungenCLT!$W$47*2*AF234)</f>
        <v>1.018138570179873E-2</v>
      </c>
      <c r="AM234" s="37">
        <f t="shared" si="133"/>
        <v>2.3014138420584094E-6</v>
      </c>
      <c r="AN234" s="173">
        <f t="shared" si="155"/>
        <v>2064.39611733012</v>
      </c>
      <c r="AO234" s="173">
        <v>-258.46296999491244</v>
      </c>
      <c r="AV234" s="129">
        <v>119.02225774488851</v>
      </c>
      <c r="AW234" s="9">
        <v>8.6875</v>
      </c>
      <c r="AX234" s="129">
        <f t="shared" si="156"/>
        <v>127.72336849158074</v>
      </c>
      <c r="AY234" s="36">
        <f t="shared" si="182"/>
        <v>1.1466290846335402E-2</v>
      </c>
      <c r="AZ234" s="37">
        <f t="shared" si="157"/>
        <v>51395214.99429594</v>
      </c>
      <c r="BA234" s="36">
        <f t="shared" si="134"/>
        <v>1.9950352090315302</v>
      </c>
      <c r="BB234" s="37">
        <f t="shared" si="158"/>
        <v>-1.5318664684193224E-4</v>
      </c>
      <c r="BC234" s="37">
        <f t="shared" si="159"/>
        <v>-3.177371357065966E-2</v>
      </c>
      <c r="BD234" s="37">
        <f t="shared" si="160"/>
        <v>-3.1008684861373936</v>
      </c>
      <c r="BE234" s="39">
        <f t="shared" si="161"/>
        <v>1.9565514542581753E-2</v>
      </c>
      <c r="BF234" s="39">
        <f>BF233+(1000*$C$2*($B234-$B233))/(BerechnungenCLT!$W$47*2*AZ234)</f>
        <v>9.1274571285125186E-3</v>
      </c>
      <c r="BG234" s="37">
        <f t="shared" si="135"/>
        <v>2.485121786254927E-6</v>
      </c>
      <c r="BH234" s="173">
        <f t="shared" si="162"/>
        <v>1766.7093091766351</v>
      </c>
      <c r="BI234">
        <v>-258.00176538450097</v>
      </c>
      <c r="BP234" s="129">
        <v>89.609851069838044</v>
      </c>
      <c r="BQ234" s="9">
        <v>14.125</v>
      </c>
      <c r="BR234" s="129">
        <f t="shared" si="163"/>
        <v>103.83355166980415</v>
      </c>
      <c r="BS234" s="36">
        <f t="shared" si="183"/>
        <v>1.4694855476250247E-2</v>
      </c>
      <c r="BT234" s="37">
        <f t="shared" si="164"/>
        <v>40651441.61985372</v>
      </c>
      <c r="BU234" s="36">
        <f t="shared" si="136"/>
        <v>1.9785480692857154</v>
      </c>
      <c r="BV234" s="37">
        <f t="shared" si="165"/>
        <v>-1.9367236031430865E-4</v>
      </c>
      <c r="BW234" s="37">
        <f t="shared" si="166"/>
        <v>-3.6884523933692459E-2</v>
      </c>
      <c r="BX234" s="37">
        <f t="shared" si="167"/>
        <v>-3.4106740240210307</v>
      </c>
      <c r="BY234" s="39">
        <f t="shared" si="168"/>
        <v>2.0109689031708695E-2</v>
      </c>
      <c r="BZ234" s="39">
        <f>BZ233+(1000*$C$2*($B234-$B233))/(BerechnungenCLT!$W$47*2*BT234)</f>
        <v>1.0605009798881097E-2</v>
      </c>
      <c r="CA234" s="37">
        <f t="shared" si="137"/>
        <v>2.5542403302886307E-6</v>
      </c>
      <c r="CB234" s="173">
        <f t="shared" si="169"/>
        <v>2874.4593932639086</v>
      </c>
      <c r="CC234" s="9">
        <v>-258.27836627525397</v>
      </c>
      <c r="CJ234" s="9">
        <f t="shared" si="185"/>
        <v>183</v>
      </c>
      <c r="CK234" s="129">
        <v>119.40223036600514</v>
      </c>
      <c r="CL234" s="9">
        <v>5.515625</v>
      </c>
      <c r="CM234" s="129">
        <f t="shared" si="170"/>
        <v>125.24258446325854</v>
      </c>
      <c r="CN234" s="36">
        <f t="shared" si="184"/>
        <v>7.6308688317626655E-3</v>
      </c>
      <c r="CO234" s="173">
        <f t="shared" si="171"/>
        <v>1797.181721589471</v>
      </c>
      <c r="CP234" s="9">
        <v>-631.7792366225458</v>
      </c>
      <c r="CQ234" s="129"/>
      <c r="CR234" s="36">
        <f t="shared" si="172"/>
        <v>0.70066028456494978</v>
      </c>
      <c r="CS234" s="17">
        <f t="shared" si="138"/>
        <v>0.50369138021494553</v>
      </c>
      <c r="CT234" s="9">
        <f t="shared" si="139"/>
        <v>6.5702434665206209</v>
      </c>
      <c r="CU234" s="9">
        <f t="shared" si="173"/>
        <v>126.35929295630925</v>
      </c>
      <c r="CV234" s="9">
        <v>13.2</v>
      </c>
      <c r="CW234" s="9">
        <f t="shared" si="174"/>
        <v>133.37937240951698</v>
      </c>
      <c r="CX234">
        <f t="shared" si="175"/>
        <v>22</v>
      </c>
      <c r="CY234" s="9">
        <f t="shared" si="140"/>
        <v>447.88769033713112</v>
      </c>
      <c r="CZ234" s="17">
        <f t="shared" si="176"/>
        <v>0.42173982140972799</v>
      </c>
      <c r="DA234">
        <v>45</v>
      </c>
      <c r="DB234" s="9">
        <f t="shared" si="177"/>
        <v>7.2278015440296839</v>
      </c>
      <c r="DC234" s="9">
        <f t="shared" si="178"/>
        <v>7.9284641153239583</v>
      </c>
    </row>
    <row r="235" spans="2:107" x14ac:dyDescent="0.25">
      <c r="B235" s="9">
        <f t="shared" si="179"/>
        <v>184</v>
      </c>
      <c r="C235" s="9">
        <v>107.32738698044271</v>
      </c>
      <c r="D235" s="9"/>
      <c r="E235" s="9">
        <f t="shared" si="141"/>
        <v>107.32738698044271</v>
      </c>
      <c r="F235" s="36">
        <f t="shared" si="180"/>
        <v>0</v>
      </c>
      <c r="G235" s="37">
        <f t="shared" si="186"/>
        <v>0</v>
      </c>
      <c r="H235" s="36" t="e">
        <f t="shared" si="126"/>
        <v>#DIV/0!</v>
      </c>
      <c r="I235" s="37" t="e">
        <f t="shared" si="142"/>
        <v>#DIV/0!</v>
      </c>
      <c r="J235" s="37" t="e">
        <f t="shared" si="143"/>
        <v>#DIV/0!</v>
      </c>
      <c r="K235" s="37" t="e">
        <f t="shared" si="144"/>
        <v>#DIV/0!</v>
      </c>
      <c r="L235" s="39" t="e">
        <f t="shared" si="127"/>
        <v>#DIV/0!</v>
      </c>
      <c r="M235" s="39" t="e">
        <f>M234+(1000*$C$2*(B235-B234))/(BerechnungenCLT!$W$47*2*'Berechnung freier Bereich'!G235)</f>
        <v>#DIV/0!</v>
      </c>
      <c r="N235" s="17" t="e">
        <f t="shared" si="145"/>
        <v>#DIV/0!</v>
      </c>
      <c r="O235" s="173">
        <f t="shared" si="146"/>
        <v>2334.441098005374</v>
      </c>
      <c r="P235" s="173"/>
      <c r="Q235" s="173"/>
      <c r="R235" s="37" t="e">
        <f t="shared" si="128"/>
        <v>#DIV/0!</v>
      </c>
      <c r="S235" s="37" t="e">
        <f t="shared" si="129"/>
        <v>#DIV/0!</v>
      </c>
      <c r="T235" s="37" t="e">
        <f t="shared" si="130"/>
        <v>#DIV/0!</v>
      </c>
      <c r="U235" s="39" t="e">
        <f t="shared" si="131"/>
        <v>#DIV/0!</v>
      </c>
      <c r="V235" s="39" t="e">
        <f t="shared" si="147"/>
        <v>#DIV/0!</v>
      </c>
      <c r="W235" s="9" t="e">
        <f t="shared" si="148"/>
        <v>#DIV/0!</v>
      </c>
      <c r="AB235" s="129">
        <v>109.06097628427362</v>
      </c>
      <c r="AC235" s="9">
        <v>9.9375</v>
      </c>
      <c r="AD235" s="129">
        <f t="shared" si="149"/>
        <v>120.08272128206107</v>
      </c>
      <c r="AE235" s="36">
        <f t="shared" si="181"/>
        <v>1.3488295433103934E-2</v>
      </c>
      <c r="AF235" s="37">
        <f t="shared" si="150"/>
        <v>52196046.606740236</v>
      </c>
      <c r="AG235" s="36">
        <f t="shared" si="132"/>
        <v>1.9907776894525313</v>
      </c>
      <c r="AH235" s="37">
        <f t="shared" si="151"/>
        <v>-1.5083634030780638E-4</v>
      </c>
      <c r="AI235" s="37">
        <f t="shared" si="152"/>
        <v>-3.5570057755022207E-2</v>
      </c>
      <c r="AJ235" s="37">
        <f t="shared" si="153"/>
        <v>-3.4142518912002848</v>
      </c>
      <c r="AK235" s="39">
        <f t="shared" si="154"/>
        <v>1.8112838212388429E-2</v>
      </c>
      <c r="AL235" s="39">
        <f>AL234+(1000*$C$2*($B235-$B234))/(BerechnungenCLT!$W$47*2*AF235)</f>
        <v>1.0224993016928722E-2</v>
      </c>
      <c r="AM235" s="37">
        <f t="shared" si="133"/>
        <v>2.3006095114213959E-6</v>
      </c>
      <c r="AN235" s="173">
        <f t="shared" si="155"/>
        <v>2048.5576499233994</v>
      </c>
      <c r="AO235" s="173">
        <v>-258.17609943281002</v>
      </c>
      <c r="AV235" s="129">
        <v>119.07825652946387</v>
      </c>
      <c r="AW235" s="9">
        <v>8.6875</v>
      </c>
      <c r="AX235" s="129">
        <f t="shared" si="156"/>
        <v>127.77931093258212</v>
      </c>
      <c r="AY235" s="36">
        <f t="shared" si="182"/>
        <v>1.1471418481851495E-2</v>
      </c>
      <c r="AZ235" s="37">
        <f t="shared" si="157"/>
        <v>51464804.177568927</v>
      </c>
      <c r="BA235" s="36">
        <f t="shared" si="134"/>
        <v>1.9950397664702433</v>
      </c>
      <c r="BB235" s="37">
        <f t="shared" si="158"/>
        <v>-1.5297951239709345E-4</v>
      </c>
      <c r="BC235" s="37">
        <f t="shared" si="159"/>
        <v>-3.1926693083056755E-2</v>
      </c>
      <c r="BD235" s="37">
        <f t="shared" si="160"/>
        <v>-3.132718689464252</v>
      </c>
      <c r="BE235" s="39">
        <f t="shared" si="161"/>
        <v>1.9547616680903004E-2</v>
      </c>
      <c r="BF235" s="39">
        <f>BF234+(1000*$C$2*($B235-$B234))/(BerechnungenCLT!$W$47*2*AZ235)</f>
        <v>9.171684042211959E-3</v>
      </c>
      <c r="BG235" s="37">
        <f t="shared" si="135"/>
        <v>2.4828484820753496E-6</v>
      </c>
      <c r="BH235" s="173">
        <f t="shared" si="162"/>
        <v>1765.1073913823959</v>
      </c>
      <c r="BI235">
        <v>-257.81872811866242</v>
      </c>
      <c r="BP235" s="129">
        <v>89.728274604178424</v>
      </c>
      <c r="BQ235" s="9">
        <v>14.125</v>
      </c>
      <c r="BR235" s="129">
        <f t="shared" si="163"/>
        <v>103.95639919470467</v>
      </c>
      <c r="BS235" s="36">
        <f t="shared" si="183"/>
        <v>1.471775977589687E-2</v>
      </c>
      <c r="BT235" s="37">
        <f t="shared" si="164"/>
        <v>40816019.06732104</v>
      </c>
      <c r="BU235" s="36">
        <f t="shared" si="136"/>
        <v>1.9785878451469294</v>
      </c>
      <c r="BV235" s="37">
        <f t="shared" si="165"/>
        <v>-1.9289143891545966E-4</v>
      </c>
      <c r="BW235" s="37">
        <f t="shared" si="166"/>
        <v>-3.7077415372607919E-2</v>
      </c>
      <c r="BX235" s="37">
        <f t="shared" si="167"/>
        <v>-3.4476549936741807</v>
      </c>
      <c r="BY235" s="39">
        <f t="shared" si="168"/>
        <v>2.0052299425136515E-2</v>
      </c>
      <c r="BZ235" s="39">
        <f>BZ234+(1000*$C$2*($B235-$B234))/(BerechnungenCLT!$W$47*2*BT235)</f>
        <v>1.0660775390551509E-2</v>
      </c>
      <c r="CA235" s="37">
        <f t="shared" si="137"/>
        <v>2.5469509660714652E-6</v>
      </c>
      <c r="CB235" s="173">
        <f t="shared" si="169"/>
        <v>2867.3024831057924</v>
      </c>
      <c r="CC235" s="9">
        <v>-257.63529750637565</v>
      </c>
      <c r="CJ235" s="9">
        <f t="shared" si="185"/>
        <v>184</v>
      </c>
      <c r="CK235" s="129">
        <v>119.75038979661325</v>
      </c>
      <c r="CL235" s="9">
        <v>5.5</v>
      </c>
      <c r="CM235" s="129">
        <f t="shared" si="170"/>
        <v>125.44381064677252</v>
      </c>
      <c r="CN235" s="36">
        <f t="shared" si="184"/>
        <v>7.4555944296746937E-3</v>
      </c>
      <c r="CO235" s="173">
        <f t="shared" si="171"/>
        <v>1789.137162203356</v>
      </c>
      <c r="CP235" s="9">
        <v>-630.73805463970621</v>
      </c>
      <c r="CQ235" s="129"/>
      <c r="CR235" s="36">
        <f t="shared" si="172"/>
        <v>0.69986482281198281</v>
      </c>
      <c r="CS235" s="17">
        <f t="shared" si="138"/>
        <v>0.50311953785840469</v>
      </c>
      <c r="CT235" s="9">
        <f t="shared" si="139"/>
        <v>6.559077419348271</v>
      </c>
      <c r="CU235" s="9">
        <f t="shared" si="173"/>
        <v>126.54013309427258</v>
      </c>
      <c r="CV235" s="9">
        <v>13.2</v>
      </c>
      <c r="CW235" s="9">
        <f t="shared" si="174"/>
        <v>133.41459983699551</v>
      </c>
      <c r="CX235">
        <f t="shared" si="175"/>
        <v>22</v>
      </c>
      <c r="CY235" s="9">
        <f t="shared" si="140"/>
        <v>446.58551233579846</v>
      </c>
      <c r="CZ235" s="17">
        <f t="shared" si="176"/>
        <v>0.42051366509962196</v>
      </c>
      <c r="DA235">
        <v>45</v>
      </c>
      <c r="DB235" s="9">
        <f t="shared" si="177"/>
        <v>7.2067876060008249</v>
      </c>
      <c r="DC235" s="9">
        <f t="shared" si="178"/>
        <v>7.9066536796488274</v>
      </c>
    </row>
    <row r="236" spans="2:107" x14ac:dyDescent="0.25">
      <c r="B236" s="9">
        <f t="shared" si="179"/>
        <v>185</v>
      </c>
      <c r="C236" s="9">
        <v>107.55224186142284</v>
      </c>
      <c r="D236" s="9"/>
      <c r="E236" s="9">
        <f t="shared" si="141"/>
        <v>107.55224186142284</v>
      </c>
      <c r="F236" s="36">
        <f t="shared" si="180"/>
        <v>0</v>
      </c>
      <c r="G236" s="37">
        <f t="shared" si="186"/>
        <v>0</v>
      </c>
      <c r="H236" s="36" t="e">
        <f t="shared" si="126"/>
        <v>#DIV/0!</v>
      </c>
      <c r="I236" s="37" t="e">
        <f t="shared" si="142"/>
        <v>#DIV/0!</v>
      </c>
      <c r="J236" s="37" t="e">
        <f t="shared" si="143"/>
        <v>#DIV/0!</v>
      </c>
      <c r="K236" s="37" t="e">
        <f t="shared" si="144"/>
        <v>#DIV/0!</v>
      </c>
      <c r="L236" s="39" t="e">
        <f t="shared" si="127"/>
        <v>#DIV/0!</v>
      </c>
      <c r="M236" s="39" t="e">
        <f>M235+(1000*$C$2*(B236-B235))/(BerechnungenCLT!$W$47*2*'Berechnung freier Bereich'!G236)</f>
        <v>#DIV/0!</v>
      </c>
      <c r="N236" s="17" t="e">
        <f t="shared" si="145"/>
        <v>#DIV/0!</v>
      </c>
      <c r="O236" s="173">
        <f t="shared" si="146"/>
        <v>2324.6902687858242</v>
      </c>
      <c r="P236" s="173"/>
      <c r="Q236" s="173"/>
      <c r="R236" s="37" t="e">
        <f t="shared" si="128"/>
        <v>#DIV/0!</v>
      </c>
      <c r="S236" s="37" t="e">
        <f t="shared" si="129"/>
        <v>#DIV/0!</v>
      </c>
      <c r="T236" s="37" t="e">
        <f t="shared" si="130"/>
        <v>#DIV/0!</v>
      </c>
      <c r="U236" s="39" t="e">
        <f t="shared" si="131"/>
        <v>#DIV/0!</v>
      </c>
      <c r="V236" s="39" t="e">
        <f t="shared" si="147"/>
        <v>#DIV/0!</v>
      </c>
      <c r="W236" s="9" t="e">
        <f t="shared" si="148"/>
        <v>#DIV/0!</v>
      </c>
      <c r="AB236" s="129">
        <v>109.54068144320934</v>
      </c>
      <c r="AC236" s="9">
        <v>9.875</v>
      </c>
      <c r="AD236" s="129">
        <f t="shared" si="149"/>
        <v>120.47445174307673</v>
      </c>
      <c r="AE236" s="36">
        <f t="shared" si="181"/>
        <v>1.3431519596316431E-2</v>
      </c>
      <c r="AF236" s="37">
        <f t="shared" si="150"/>
        <v>52369602.385526881</v>
      </c>
      <c r="AG236" s="36">
        <f t="shared" si="132"/>
        <v>1.9909922356248702</v>
      </c>
      <c r="AH236" s="37">
        <f t="shared" si="151"/>
        <v>-1.5033646027589909E-4</v>
      </c>
      <c r="AI236" s="37">
        <f t="shared" si="152"/>
        <v>-3.5720394215298108E-2</v>
      </c>
      <c r="AJ236" s="37">
        <f t="shared" si="153"/>
        <v>-3.4498971171854449</v>
      </c>
      <c r="AK236" s="39">
        <f t="shared" si="154"/>
        <v>1.8111702628733777E-2</v>
      </c>
      <c r="AL236" s="39">
        <f>AL235+(1000*$C$2*($B236-$B235))/(BerechnungenCLT!$W$47*2*AF236)</f>
        <v>1.0268455814987868E-2</v>
      </c>
      <c r="AM236" s="37">
        <f t="shared" si="133"/>
        <v>2.3004652748016975E-6</v>
      </c>
      <c r="AN236" s="173">
        <f t="shared" si="155"/>
        <v>2033.0647177686021</v>
      </c>
      <c r="AO236" s="173">
        <v>-257.94569396868741</v>
      </c>
      <c r="AV236" s="129">
        <v>119.13413919593093</v>
      </c>
      <c r="AW236" s="9">
        <v>8.6875</v>
      </c>
      <c r="AX236" s="129">
        <f t="shared" si="156"/>
        <v>127.83516694848817</v>
      </c>
      <c r="AY236" s="36">
        <f t="shared" si="182"/>
        <v>1.1476575802731377E-2</v>
      </c>
      <c r="AZ236" s="37">
        <f t="shared" si="157"/>
        <v>51534505.486185879</v>
      </c>
      <c r="BA236" s="36">
        <f t="shared" si="134"/>
        <v>1.9950442758252795</v>
      </c>
      <c r="BB236" s="37">
        <f t="shared" si="158"/>
        <v>-1.5277260496478058E-4</v>
      </c>
      <c r="BC236" s="37">
        <f t="shared" si="159"/>
        <v>-3.2079465688021537E-2</v>
      </c>
      <c r="BD236" s="37">
        <f t="shared" si="160"/>
        <v>-3.1647217688497911</v>
      </c>
      <c r="BE236" s="39">
        <f t="shared" si="161"/>
        <v>1.9529711460828155E-2</v>
      </c>
      <c r="BF236" s="39">
        <f>BF235+(1000*$C$2*($B236-$B235))/(BerechnungenCLT!$W$47*2*AZ236)</f>
        <v>9.2158511382468677E-3</v>
      </c>
      <c r="BG236" s="37">
        <f t="shared" si="135"/>
        <v>2.4805742432660991E-6</v>
      </c>
      <c r="BH236" s="173">
        <f t="shared" si="162"/>
        <v>1763.5105439057857</v>
      </c>
      <c r="BI236">
        <v>-257.63241272247325</v>
      </c>
      <c r="BP236" s="129">
        <v>89.849332501197836</v>
      </c>
      <c r="BQ236" s="9">
        <v>14.0625</v>
      </c>
      <c r="BR236" s="129">
        <f t="shared" si="163"/>
        <v>104.01904810403424</v>
      </c>
      <c r="BS236" s="36">
        <f t="shared" si="183"/>
        <v>1.4671243001083394E-2</v>
      </c>
      <c r="BT236" s="37">
        <f t="shared" si="164"/>
        <v>40762031.208657444</v>
      </c>
      <c r="BU236" s="36">
        <f t="shared" si="136"/>
        <v>1.9788017963699782</v>
      </c>
      <c r="BV236" s="37">
        <f t="shared" si="165"/>
        <v>-1.9314691675679387E-4</v>
      </c>
      <c r="BW236" s="37">
        <f t="shared" si="166"/>
        <v>-3.7270562289364713E-2</v>
      </c>
      <c r="BX236" s="37">
        <f t="shared" si="167"/>
        <v>-3.4848289825051668</v>
      </c>
      <c r="BY236" s="39">
        <f t="shared" si="168"/>
        <v>2.0090958425270838E-2</v>
      </c>
      <c r="BZ236" s="39">
        <f>BZ235+(1000*$C$2*($B236-$B235))/(BerechnungenCLT!$W$47*2*BT236)</f>
        <v>1.0716614841762088E-2</v>
      </c>
      <c r="CA236" s="37">
        <f t="shared" si="137"/>
        <v>2.5518612546948261E-6</v>
      </c>
      <c r="CB236" s="173">
        <f t="shared" si="169"/>
        <v>2861.8710309686285</v>
      </c>
      <c r="CC236" s="9">
        <v>-258.29014279481351</v>
      </c>
      <c r="CJ236" s="9">
        <f t="shared" si="185"/>
        <v>185</v>
      </c>
      <c r="CK236" s="129">
        <v>120.01791849142259</v>
      </c>
      <c r="CL236" s="9">
        <v>5.484375</v>
      </c>
      <c r="CM236" s="129">
        <f t="shared" si="170"/>
        <v>125.59309774026636</v>
      </c>
      <c r="CN236" s="36">
        <f t="shared" si="184"/>
        <v>7.3131666677983395E-3</v>
      </c>
      <c r="CO236" s="173">
        <f t="shared" si="171"/>
        <v>1783.0697809753281</v>
      </c>
      <c r="CP236" s="9">
        <v>-630.38995540425447</v>
      </c>
      <c r="CQ236" s="129"/>
      <c r="CR236" s="36">
        <f t="shared" si="172"/>
        <v>0.699275647765635</v>
      </c>
      <c r="CS236" s="17">
        <f t="shared" si="138"/>
        <v>0.50269599109998186</v>
      </c>
      <c r="CT236" s="9">
        <f t="shared" si="139"/>
        <v>6.5459543307667305</v>
      </c>
      <c r="CU236" s="9">
        <f t="shared" si="173"/>
        <v>126.6722535339333</v>
      </c>
      <c r="CV236" s="9">
        <v>13.2</v>
      </c>
      <c r="CW236" s="9">
        <f t="shared" si="174"/>
        <v>133.4364695724004</v>
      </c>
      <c r="CX236">
        <f t="shared" si="175"/>
        <v>22</v>
      </c>
      <c r="CY236" s="9">
        <f t="shared" si="140"/>
        <v>445.59004065342219</v>
      </c>
      <c r="CZ236" s="17">
        <f t="shared" si="176"/>
        <v>0.41957630946649926</v>
      </c>
      <c r="DA236">
        <v>45</v>
      </c>
      <c r="DB236" s="9">
        <f t="shared" si="177"/>
        <v>7.1907231507408431</v>
      </c>
      <c r="DC236" s="9">
        <f t="shared" si="178"/>
        <v>7.8899993602350253</v>
      </c>
    </row>
    <row r="237" spans="2:107" x14ac:dyDescent="0.25">
      <c r="B237" s="9">
        <f t="shared" si="179"/>
        <v>186</v>
      </c>
      <c r="C237" s="9">
        <v>107.77769584793347</v>
      </c>
      <c r="D237" s="9"/>
      <c r="E237" s="9">
        <f t="shared" si="141"/>
        <v>107.77769584793347</v>
      </c>
      <c r="F237" s="36">
        <f t="shared" si="180"/>
        <v>0</v>
      </c>
      <c r="G237" s="37">
        <f>(PI()/4)*(E237^4-C237^4)</f>
        <v>0</v>
      </c>
      <c r="H237" s="36" t="e">
        <f t="shared" si="126"/>
        <v>#DIV/0!</v>
      </c>
      <c r="I237" s="37" t="e">
        <f t="shared" si="142"/>
        <v>#DIV/0!</v>
      </c>
      <c r="J237" s="37" t="e">
        <f t="shared" si="143"/>
        <v>#DIV/0!</v>
      </c>
      <c r="K237" s="37" t="e">
        <f t="shared" si="144"/>
        <v>#DIV/0!</v>
      </c>
      <c r="L237" s="39" t="e">
        <f t="shared" si="127"/>
        <v>#DIV/0!</v>
      </c>
      <c r="M237" s="39" t="e">
        <f>M236+(1000*$C$2*(B237-B236))/(BerechnungenCLT!$W$47*2*'Berechnung freier Bereich'!G237)</f>
        <v>#DIV/0!</v>
      </c>
      <c r="N237" s="17" t="e">
        <f t="shared" si="145"/>
        <v>#DIV/0!</v>
      </c>
      <c r="O237" s="173">
        <f t="shared" si="146"/>
        <v>2314.9746684323054</v>
      </c>
      <c r="P237" s="173"/>
      <c r="Q237" s="173"/>
      <c r="R237" s="37" t="e">
        <f t="shared" si="128"/>
        <v>#DIV/0!</v>
      </c>
      <c r="S237" s="37" t="e">
        <f t="shared" si="129"/>
        <v>#DIV/0!</v>
      </c>
      <c r="T237" s="37" t="e">
        <f t="shared" si="130"/>
        <v>#DIV/0!</v>
      </c>
      <c r="U237" s="39" t="e">
        <f t="shared" si="131"/>
        <v>#DIV/0!</v>
      </c>
      <c r="V237" s="39" t="e">
        <f t="shared" si="147"/>
        <v>#DIV/0!</v>
      </c>
      <c r="W237" s="9" t="e">
        <f t="shared" si="148"/>
        <v>#DIV/0!</v>
      </c>
      <c r="AB237" s="129">
        <v>110.01600241776973</v>
      </c>
      <c r="AC237" s="9">
        <v>9.8125</v>
      </c>
      <c r="AD237" s="129">
        <f t="shared" si="149"/>
        <v>120.86060470783562</v>
      </c>
      <c r="AE237" s="36">
        <f t="shared" si="181"/>
        <v>1.3371876447309736E-2</v>
      </c>
      <c r="AF237" s="37">
        <f t="shared" si="150"/>
        <v>52525530.162644826</v>
      </c>
      <c r="AG237" s="36">
        <f t="shared" si="132"/>
        <v>1.99120386372888</v>
      </c>
      <c r="AH237" s="37">
        <f t="shared" si="151"/>
        <v>-1.4989017006239693E-4</v>
      </c>
      <c r="AI237" s="37">
        <f t="shared" si="152"/>
        <v>-3.5870284385360503E-2</v>
      </c>
      <c r="AJ237" s="37">
        <f t="shared" si="153"/>
        <v>-3.4856924564857743</v>
      </c>
      <c r="AK237" s="39">
        <f t="shared" si="154"/>
        <v>1.8115816593501612E-2</v>
      </c>
      <c r="AL237" s="39">
        <f>AL236+(1000*$C$2*($B237-$B236))/(BerechnungenCLT!$W$47*2*AF237)</f>
        <v>1.0311789588980666E-2</v>
      </c>
      <c r="AM237" s="37">
        <f t="shared" si="133"/>
        <v>2.3009878117096933E-6</v>
      </c>
      <c r="AN237" s="173">
        <f t="shared" si="155"/>
        <v>2017.9210034003645</v>
      </c>
      <c r="AO237" s="173">
        <v>-257.77341955657562</v>
      </c>
      <c r="AV237" s="129">
        <v>119.18996685455448</v>
      </c>
      <c r="AW237" s="9">
        <v>8.6875</v>
      </c>
      <c r="AX237" s="129">
        <f t="shared" si="156"/>
        <v>127.89099756236251</v>
      </c>
      <c r="AY237" s="36">
        <f t="shared" si="182"/>
        <v>1.1481768422645431E-2</v>
      </c>
      <c r="AZ237" s="37">
        <f t="shared" si="157"/>
        <v>51604395.264654428</v>
      </c>
      <c r="BA237" s="36">
        <f t="shared" si="134"/>
        <v>1.9950487422173449</v>
      </c>
      <c r="BB237" s="37">
        <f t="shared" si="158"/>
        <v>-1.5256569926494062E-4</v>
      </c>
      <c r="BC237" s="37">
        <f t="shared" si="159"/>
        <v>-3.2232031387286475E-2</v>
      </c>
      <c r="BD237" s="37">
        <f t="shared" si="160"/>
        <v>-3.1968775173874451</v>
      </c>
      <c r="BE237" s="39">
        <f t="shared" si="161"/>
        <v>1.9511779472792652E-2</v>
      </c>
      <c r="BF237" s="39">
        <f>BF236+(1000*$C$2*($B237-$B236))/(BerechnungenCLT!$W$47*2*AZ237)</f>
        <v>9.2599584171181096E-3</v>
      </c>
      <c r="BG237" s="37">
        <f t="shared" si="135"/>
        <v>2.4782966045134401E-6</v>
      </c>
      <c r="BH237" s="173">
        <f t="shared" si="162"/>
        <v>1761.91700918374</v>
      </c>
      <c r="BI237">
        <v>-257.44220691797699</v>
      </c>
      <c r="BP237" s="129">
        <v>89.973052224899234</v>
      </c>
      <c r="BQ237" s="9">
        <v>14.0625</v>
      </c>
      <c r="BR237" s="129">
        <f t="shared" si="163"/>
        <v>104.14746096618239</v>
      </c>
      <c r="BS237" s="36">
        <f t="shared" si="183"/>
        <v>1.4695189032438117E-2</v>
      </c>
      <c r="BT237" s="37">
        <f t="shared" si="164"/>
        <v>40934408.024108678</v>
      </c>
      <c r="BU237" s="36">
        <f t="shared" si="136"/>
        <v>1.9788424930036708</v>
      </c>
      <c r="BV237" s="37">
        <f t="shared" si="165"/>
        <v>-1.9233356554367381E-4</v>
      </c>
      <c r="BW237" s="37">
        <f t="shared" si="166"/>
        <v>-3.746289585490839E-2</v>
      </c>
      <c r="BX237" s="37">
        <f t="shared" si="167"/>
        <v>-3.5221957115773033</v>
      </c>
      <c r="BY237" s="39">
        <f t="shared" si="168"/>
        <v>2.003105250994645E-2</v>
      </c>
      <c r="BZ237" s="39">
        <f>BZ236+(1000*$C$2*($B237-$B236))/(BerechnungenCLT!$W$47*2*BT237)</f>
        <v>1.0772219150283648E-2</v>
      </c>
      <c r="CA237" s="37">
        <f t="shared" si="137"/>
        <v>2.544252280498202E-6</v>
      </c>
      <c r="CB237" s="173">
        <f t="shared" si="169"/>
        <v>2854.4416014157346</v>
      </c>
      <c r="CC237" s="9">
        <v>-257.61962046891693</v>
      </c>
      <c r="CJ237" s="9">
        <f t="shared" si="185"/>
        <v>186</v>
      </c>
      <c r="CK237" s="129">
        <v>120.20064213819064</v>
      </c>
      <c r="CL237" s="9">
        <v>5.46875</v>
      </c>
      <c r="CM237" s="129">
        <f t="shared" si="170"/>
        <v>125.69336923934873</v>
      </c>
      <c r="CN237" s="36">
        <f t="shared" si="184"/>
        <v>7.2133128444344429E-3</v>
      </c>
      <c r="CO237" s="173">
        <f t="shared" si="171"/>
        <v>1778.9679346378505</v>
      </c>
      <c r="CP237" s="9">
        <v>-630.73675148092775</v>
      </c>
      <c r="CQ237" s="129"/>
      <c r="CR237" s="36">
        <f t="shared" si="172"/>
        <v>0.69888037947999837</v>
      </c>
      <c r="CS237" s="17">
        <f t="shared" si="138"/>
        <v>0.50241184023153196</v>
      </c>
      <c r="CT237" s="9">
        <f t="shared" si="139"/>
        <v>6.5309965594916424</v>
      </c>
      <c r="CU237" s="9">
        <f t="shared" si="173"/>
        <v>126.76027309588481</v>
      </c>
      <c r="CV237" s="9">
        <v>13.2</v>
      </c>
      <c r="CW237" s="9">
        <f t="shared" si="174"/>
        <v>133.45851600978594</v>
      </c>
      <c r="CX237">
        <f t="shared" si="175"/>
        <v>22</v>
      </c>
      <c r="CY237" s="9">
        <f t="shared" si="140"/>
        <v>444.91267457830486</v>
      </c>
      <c r="CZ237" s="17">
        <f t="shared" si="176"/>
        <v>0.41893848830348857</v>
      </c>
      <c r="DA237">
        <v>45</v>
      </c>
      <c r="DB237" s="9">
        <f t="shared" si="177"/>
        <v>7.1797921346195466</v>
      </c>
      <c r="DC237" s="9">
        <f t="shared" si="178"/>
        <v>7.8786726773931948</v>
      </c>
    </row>
    <row r="238" spans="2:107" x14ac:dyDescent="0.25">
      <c r="B238" s="9">
        <f t="shared" si="179"/>
        <v>187</v>
      </c>
      <c r="C238" s="9">
        <v>108.00375437258212</v>
      </c>
      <c r="D238" s="9"/>
      <c r="E238" s="9">
        <f t="shared" si="141"/>
        <v>108.00375437258212</v>
      </c>
      <c r="F238" s="36">
        <f t="shared" si="180"/>
        <v>0</v>
      </c>
      <c r="G238" s="37">
        <f t="shared" ref="G238:G267" si="187">(PI()/4)*(E238^4-C238^4)</f>
        <v>0</v>
      </c>
      <c r="H238" s="36" t="e">
        <f t="shared" si="126"/>
        <v>#DIV/0!</v>
      </c>
      <c r="I238" s="37" t="e">
        <f t="shared" si="142"/>
        <v>#DIV/0!</v>
      </c>
      <c r="J238" s="37" t="e">
        <f t="shared" si="143"/>
        <v>#DIV/0!</v>
      </c>
      <c r="K238" s="37" t="e">
        <f t="shared" si="144"/>
        <v>#DIV/0!</v>
      </c>
      <c r="L238" s="39" t="e">
        <f t="shared" si="127"/>
        <v>#DIV/0!</v>
      </c>
      <c r="M238" s="39" t="e">
        <f>M237+(1000*$C$2*(B238-B237))/(BerechnungenCLT!$W$47*2*'Berechnung freier Bereich'!G238)</f>
        <v>#DIV/0!</v>
      </c>
      <c r="N238" s="17" t="e">
        <f t="shared" si="145"/>
        <v>#DIV/0!</v>
      </c>
      <c r="O238" s="173">
        <f t="shared" si="146"/>
        <v>2305.2940403670436</v>
      </c>
      <c r="P238" s="173"/>
      <c r="Q238" s="173"/>
      <c r="R238" s="37" t="e">
        <f t="shared" si="128"/>
        <v>#DIV/0!</v>
      </c>
      <c r="S238" s="37" t="e">
        <f t="shared" si="129"/>
        <v>#DIV/0!</v>
      </c>
      <c r="T238" s="37" t="e">
        <f t="shared" si="130"/>
        <v>#DIV/0!</v>
      </c>
      <c r="U238" s="39" t="e">
        <f t="shared" si="131"/>
        <v>#DIV/0!</v>
      </c>
      <c r="V238" s="39" t="e">
        <f t="shared" si="147"/>
        <v>#DIV/0!</v>
      </c>
      <c r="W238" s="9" t="e">
        <f t="shared" si="148"/>
        <v>#DIV/0!</v>
      </c>
      <c r="AB238" s="129">
        <v>110.48656392812943</v>
      </c>
      <c r="AC238" s="9">
        <v>9.75</v>
      </c>
      <c r="AD238" s="129">
        <f t="shared" si="149"/>
        <v>121.24087171559567</v>
      </c>
      <c r="AE238" s="36">
        <f t="shared" si="181"/>
        <v>1.3309407170802659E-2</v>
      </c>
      <c r="AF238" s="37">
        <f t="shared" si="150"/>
        <v>52663425.202356055</v>
      </c>
      <c r="AG238" s="36">
        <f t="shared" si="132"/>
        <v>1.9914124619652784</v>
      </c>
      <c r="AH238" s="37">
        <f t="shared" si="151"/>
        <v>-1.494976944329889E-4</v>
      </c>
      <c r="AI238" s="37">
        <f t="shared" si="152"/>
        <v>-3.6019782079793491E-2</v>
      </c>
      <c r="AJ238" s="37">
        <f t="shared" si="153"/>
        <v>-3.5216374897183513</v>
      </c>
      <c r="AK238" s="39">
        <f t="shared" si="154"/>
        <v>1.8125230792527328E-2</v>
      </c>
      <c r="AL238" s="39">
        <f>AL237+(1000*$C$2*($B238-$B237))/(BerechnungenCLT!$W$47*2*AF238)</f>
        <v>1.0355009896892163E-2</v>
      </c>
      <c r="AM238" s="37">
        <f t="shared" si="133"/>
        <v>2.3021835600273793E-6</v>
      </c>
      <c r="AN238" s="173">
        <f t="shared" si="155"/>
        <v>2003.1298952900604</v>
      </c>
      <c r="AO238" s="173">
        <v>-257.66095032518677</v>
      </c>
      <c r="AV238" s="129">
        <v>119.24580061559934</v>
      </c>
      <c r="AW238" s="9">
        <v>8.625</v>
      </c>
      <c r="AX238" s="129">
        <f t="shared" si="156"/>
        <v>127.88426631660042</v>
      </c>
      <c r="AY238" s="36">
        <f t="shared" si="182"/>
        <v>1.1401473812850288E-2</v>
      </c>
      <c r="AZ238" s="37">
        <f t="shared" si="157"/>
        <v>51262948.644602887</v>
      </c>
      <c r="BA238" s="36">
        <f t="shared" si="134"/>
        <v>1.9951214962930286</v>
      </c>
      <c r="BB238" s="37">
        <f t="shared" si="158"/>
        <v>-1.5358189212405542E-4</v>
      </c>
      <c r="BC238" s="37">
        <f t="shared" si="159"/>
        <v>-3.238561327941053E-2</v>
      </c>
      <c r="BD238" s="37">
        <f t="shared" si="160"/>
        <v>-3.2291863397207936</v>
      </c>
      <c r="BE238" s="39">
        <f t="shared" si="161"/>
        <v>1.96407075938001E-2</v>
      </c>
      <c r="BF238" s="39">
        <f>BF237+(1000*$C$2*($B238-$B237))/(BerechnungenCLT!$W$47*2*AZ238)</f>
        <v>9.3043594809098153E-3</v>
      </c>
      <c r="BG238" s="37">
        <f t="shared" si="135"/>
        <v>2.4946724622338796E-6</v>
      </c>
      <c r="BH238" s="173">
        <f t="shared" si="162"/>
        <v>1761.2169247050429</v>
      </c>
      <c r="BI238">
        <v>-259.24285877764055</v>
      </c>
      <c r="BP238" s="129">
        <v>90.099461239285631</v>
      </c>
      <c r="BQ238" s="9">
        <v>14</v>
      </c>
      <c r="BR238" s="129">
        <f t="shared" si="163"/>
        <v>104.2156929953476</v>
      </c>
      <c r="BS238" s="36">
        <f t="shared" si="183"/>
        <v>1.4649548691121275E-2</v>
      </c>
      <c r="BT238" s="37">
        <f t="shared" si="164"/>
        <v>40886941.200929746</v>
      </c>
      <c r="BU238" s="36">
        <f t="shared" si="136"/>
        <v>1.9790561364396417</v>
      </c>
      <c r="BV238" s="37">
        <f t="shared" si="165"/>
        <v>-1.9255685109839822E-4</v>
      </c>
      <c r="BW238" s="37">
        <f t="shared" si="166"/>
        <v>-3.7655452706006787E-2</v>
      </c>
      <c r="BX238" s="37">
        <f t="shared" si="167"/>
        <v>-3.5597548858577608</v>
      </c>
      <c r="BY238" s="39">
        <f t="shared" si="168"/>
        <v>2.0067445678221531E-2</v>
      </c>
      <c r="BZ238" s="39">
        <f>BZ237+(1000*$C$2*($B238-$B237))/(BerechnungenCLT!$W$47*2*BT238)</f>
        <v>1.0827888011442383E-2</v>
      </c>
      <c r="CA238" s="37">
        <f t="shared" si="137"/>
        <v>2.5488747735665242E-6</v>
      </c>
      <c r="CB238" s="173">
        <f t="shared" si="169"/>
        <v>2848.7260077699198</v>
      </c>
      <c r="CC238" s="9">
        <v>-258.25156030825053</v>
      </c>
      <c r="CJ238" s="9">
        <f t="shared" si="185"/>
        <v>187</v>
      </c>
      <c r="CK238" s="129">
        <v>120.29438642467491</v>
      </c>
      <c r="CL238" s="9">
        <v>5.453125</v>
      </c>
      <c r="CM238" s="129">
        <f t="shared" si="170"/>
        <v>125.74751237576757</v>
      </c>
      <c r="CN238" s="36">
        <f t="shared" si="184"/>
        <v>7.1656137204334164E-3</v>
      </c>
      <c r="CO238" s="173">
        <f t="shared" si="171"/>
        <v>1776.8300230200223</v>
      </c>
      <c r="CP238" s="9">
        <v>-631.78384721234249</v>
      </c>
      <c r="CQ238" s="129"/>
      <c r="CR238" s="36">
        <f t="shared" si="172"/>
        <v>0.69866710263223608</v>
      </c>
      <c r="CS238" s="17">
        <f t="shared" si="138"/>
        <v>0.50225851955361744</v>
      </c>
      <c r="CT238" s="9">
        <f t="shared" si="139"/>
        <v>6.5143245412897741</v>
      </c>
      <c r="CU238" s="9">
        <f t="shared" si="173"/>
        <v>126.80871210214372</v>
      </c>
      <c r="CV238" s="9">
        <v>13.2</v>
      </c>
      <c r="CW238" s="9">
        <f t="shared" si="174"/>
        <v>133.49438872691871</v>
      </c>
      <c r="CX238">
        <f t="shared" si="175"/>
        <v>22</v>
      </c>
      <c r="CY238" s="9">
        <f t="shared" si="140"/>
        <v>444.5659583061182</v>
      </c>
      <c r="CZ238" s="17">
        <f t="shared" si="176"/>
        <v>0.41861201347092108</v>
      </c>
      <c r="DA238">
        <v>45</v>
      </c>
      <c r="DB238" s="9">
        <f t="shared" si="177"/>
        <v>7.17419698998504</v>
      </c>
      <c r="DC238" s="9">
        <f t="shared" si="178"/>
        <v>7.8728641303476454</v>
      </c>
    </row>
    <row r="239" spans="2:107" x14ac:dyDescent="0.25">
      <c r="B239" s="9">
        <f t="shared" si="179"/>
        <v>188</v>
      </c>
      <c r="C239" s="9">
        <v>108.23042286797632</v>
      </c>
      <c r="D239" s="9"/>
      <c r="E239" s="9">
        <f t="shared" si="141"/>
        <v>108.23042286797632</v>
      </c>
      <c r="F239" s="36">
        <f t="shared" si="180"/>
        <v>0</v>
      </c>
      <c r="G239" s="37">
        <f t="shared" si="187"/>
        <v>0</v>
      </c>
      <c r="H239" s="36" t="e">
        <f t="shared" si="126"/>
        <v>#DIV/0!</v>
      </c>
      <c r="I239" s="37" t="e">
        <f t="shared" si="142"/>
        <v>#DIV/0!</v>
      </c>
      <c r="J239" s="37" t="e">
        <f t="shared" si="143"/>
        <v>#DIV/0!</v>
      </c>
      <c r="K239" s="37" t="e">
        <f t="shared" si="144"/>
        <v>#DIV/0!</v>
      </c>
      <c r="L239" s="39" t="e">
        <f t="shared" si="127"/>
        <v>#DIV/0!</v>
      </c>
      <c r="M239" s="39" t="e">
        <f>M238+(1000*$C$2*(B239-B238))/(BerechnungenCLT!$W$47*2*'Berechnung freier Bereich'!G239)</f>
        <v>#DIV/0!</v>
      </c>
      <c r="N239" s="17" t="e">
        <f t="shared" si="145"/>
        <v>#DIV/0!</v>
      </c>
      <c r="O239" s="173">
        <f t="shared" si="146"/>
        <v>2295.6481323332073</v>
      </c>
      <c r="P239" s="173"/>
      <c r="Q239" s="173"/>
      <c r="R239" s="37" t="e">
        <f t="shared" si="128"/>
        <v>#DIV/0!</v>
      </c>
      <c r="S239" s="37" t="e">
        <f t="shared" si="129"/>
        <v>#DIV/0!</v>
      </c>
      <c r="T239" s="37" t="e">
        <f t="shared" si="130"/>
        <v>#DIV/0!</v>
      </c>
      <c r="U239" s="39" t="e">
        <f t="shared" si="131"/>
        <v>#DIV/0!</v>
      </c>
      <c r="V239" s="39" t="e">
        <f t="shared" si="147"/>
        <v>#DIV/0!</v>
      </c>
      <c r="W239" s="9" t="e">
        <f t="shared" si="148"/>
        <v>#DIV/0!</v>
      </c>
      <c r="AB239" s="129">
        <v>110.95199069446308</v>
      </c>
      <c r="AC239" s="9">
        <v>9.6875</v>
      </c>
      <c r="AD239" s="129">
        <f t="shared" si="149"/>
        <v>121.61494678186959</v>
      </c>
      <c r="AE239" s="36">
        <f t="shared" si="181"/>
        <v>1.3244159084784204E-2</v>
      </c>
      <c r="AF239" s="37">
        <f t="shared" si="150"/>
        <v>52782920.100587219</v>
      </c>
      <c r="AG239" s="36">
        <f t="shared" si="132"/>
        <v>1.9916179249089232</v>
      </c>
      <c r="AH239" s="37">
        <f t="shared" si="151"/>
        <v>-1.4915924760685613E-4</v>
      </c>
      <c r="AI239" s="37">
        <f t="shared" si="152"/>
        <v>-3.6168941327400346E-2</v>
      </c>
      <c r="AJ239" s="37">
        <f t="shared" si="153"/>
        <v>-3.5577318514219485</v>
      </c>
      <c r="AK239" s="39">
        <f t="shared" si="154"/>
        <v>1.8139993959731517E-2</v>
      </c>
      <c r="AL239" s="39">
        <f>AL238+(1000*$C$2*($B239-$B238))/(BerechnungenCLT!$W$47*2*AF239)</f>
        <v>1.0398132358638925E-2</v>
      </c>
      <c r="AM239" s="37">
        <f t="shared" si="133"/>
        <v>2.3040587097134971E-6</v>
      </c>
      <c r="AN239" s="173">
        <f t="shared" si="155"/>
        <v>1988.6945148681336</v>
      </c>
      <c r="AO239" s="173">
        <v>-257.60997462612175</v>
      </c>
      <c r="AV239" s="129">
        <v>119.30170158933025</v>
      </c>
      <c r="AW239" s="9">
        <v>8.625</v>
      </c>
      <c r="AX239" s="129">
        <f t="shared" si="156"/>
        <v>127.9402291349527</v>
      </c>
      <c r="AY239" s="36">
        <f t="shared" si="182"/>
        <v>1.1406716369451259E-2</v>
      </c>
      <c r="AZ239" s="37">
        <f t="shared" si="157"/>
        <v>51332904.63208393</v>
      </c>
      <c r="BA239" s="36">
        <f t="shared" si="134"/>
        <v>1.9951258320877006</v>
      </c>
      <c r="BB239" s="37">
        <f t="shared" si="158"/>
        <v>-1.5337259220230443E-4</v>
      </c>
      <c r="BC239" s="37">
        <f t="shared" si="159"/>
        <v>-3.2538985871612837E-2</v>
      </c>
      <c r="BD239" s="37">
        <f t="shared" si="160"/>
        <v>-3.2616486392963053</v>
      </c>
      <c r="BE239" s="39">
        <f t="shared" si="161"/>
        <v>1.9622524589384488E-2</v>
      </c>
      <c r="BF239" s="39">
        <f>BF238+(1000*$C$2*($B239-$B238))/(BerechnungenCLT!$W$47*2*AZ239)</f>
        <v>9.3487000353599005E-3</v>
      </c>
      <c r="BG239" s="37">
        <f t="shared" si="135"/>
        <v>2.4923629405336222E-6</v>
      </c>
      <c r="BH239" s="173">
        <f t="shared" si="162"/>
        <v>1759.6235717200361</v>
      </c>
      <c r="BI239">
        <v>-259.04145070133109</v>
      </c>
      <c r="BP239" s="129">
        <v>90.22858700835998</v>
      </c>
      <c r="BQ239" s="9">
        <v>14</v>
      </c>
      <c r="BR239" s="129">
        <f t="shared" si="163"/>
        <v>104.34979021346795</v>
      </c>
      <c r="BS239" s="36">
        <f t="shared" si="183"/>
        <v>1.4674559508406997E-2</v>
      </c>
      <c r="BT239" s="37">
        <f t="shared" si="164"/>
        <v>41067351.760722823</v>
      </c>
      <c r="BU239" s="36">
        <f t="shared" si="136"/>
        <v>1.9790977194546473</v>
      </c>
      <c r="BV239" s="37">
        <f t="shared" si="165"/>
        <v>-1.9171094095787929E-4</v>
      </c>
      <c r="BW239" s="37">
        <f t="shared" si="166"/>
        <v>-3.7847163646964666E-2</v>
      </c>
      <c r="BX239" s="37">
        <f t="shared" si="167"/>
        <v>-3.5975061940342465</v>
      </c>
      <c r="BY239" s="39">
        <f t="shared" si="168"/>
        <v>2.0004996470581245E-2</v>
      </c>
      <c r="BZ239" s="39">
        <f>BZ238+(1000*$C$2*($B239-$B238))/(BerechnungenCLT!$W$47*2*BT239)</f>
        <v>1.0883312317011968E-2</v>
      </c>
      <c r="CA239" s="37">
        <f t="shared" si="137"/>
        <v>2.5409427620621256E-6</v>
      </c>
      <c r="CB239" s="173">
        <f t="shared" si="169"/>
        <v>2841.0237852866326</v>
      </c>
      <c r="CC239" s="9">
        <v>-257.55331450689062</v>
      </c>
      <c r="CJ239" s="9">
        <f t="shared" si="185"/>
        <v>188</v>
      </c>
      <c r="CK239" s="129">
        <v>120.29497703863289</v>
      </c>
      <c r="CL239" s="9">
        <v>5.453125</v>
      </c>
      <c r="CM239" s="129">
        <f t="shared" si="170"/>
        <v>125.77355811815556</v>
      </c>
      <c r="CN239" s="36">
        <f t="shared" si="184"/>
        <v>7.1998420882713804E-3</v>
      </c>
      <c r="CO239" s="173">
        <f t="shared" si="171"/>
        <v>1776.4453682648721</v>
      </c>
      <c r="CP239" s="9">
        <v>-631.6470763012768</v>
      </c>
      <c r="CQ239" s="129"/>
      <c r="CR239" s="36">
        <f t="shared" si="172"/>
        <v>0.69856454360822295</v>
      </c>
      <c r="CS239" s="17">
        <f t="shared" si="138"/>
        <v>0.50218479181779929</v>
      </c>
      <c r="CT239" s="9">
        <f t="shared" si="139"/>
        <v>6.5152809350449008</v>
      </c>
      <c r="CU239" s="9">
        <f t="shared" si="173"/>
        <v>126.84067237085281</v>
      </c>
      <c r="CV239" s="9">
        <v>13.2</v>
      </c>
      <c r="CW239" s="9">
        <f t="shared" si="174"/>
        <v>133.55659679789005</v>
      </c>
      <c r="CX239">
        <f t="shared" si="175"/>
        <v>22</v>
      </c>
      <c r="CY239" s="9">
        <f t="shared" si="140"/>
        <v>444.56377561431611</v>
      </c>
      <c r="CZ239" s="17">
        <f t="shared" si="176"/>
        <v>0.41860995820557073</v>
      </c>
      <c r="DA239">
        <v>45</v>
      </c>
      <c r="DB239" s="9">
        <f t="shared" si="177"/>
        <v>7.174161766728143</v>
      </c>
      <c r="DC239" s="9">
        <f t="shared" si="178"/>
        <v>7.8727263103375478</v>
      </c>
    </row>
    <row r="240" spans="2:107" x14ac:dyDescent="0.25">
      <c r="B240" s="9">
        <f t="shared" si="179"/>
        <v>189</v>
      </c>
      <c r="C240" s="9">
        <v>108.45770676672359</v>
      </c>
      <c r="D240" s="9"/>
      <c r="E240" s="9">
        <f t="shared" si="141"/>
        <v>108.45770676672359</v>
      </c>
      <c r="F240" s="36">
        <f t="shared" si="180"/>
        <v>0</v>
      </c>
      <c r="G240" s="37">
        <f t="shared" si="187"/>
        <v>0</v>
      </c>
      <c r="H240" s="36" t="e">
        <f t="shared" si="126"/>
        <v>#DIV/0!</v>
      </c>
      <c r="I240" s="37" t="e">
        <f t="shared" si="142"/>
        <v>#DIV/0!</v>
      </c>
      <c r="J240" s="37" t="e">
        <f t="shared" si="143"/>
        <v>#DIV/0!</v>
      </c>
      <c r="K240" s="37" t="e">
        <f t="shared" si="144"/>
        <v>#DIV/0!</v>
      </c>
      <c r="L240" s="39" t="e">
        <f t="shared" si="127"/>
        <v>#DIV/0!</v>
      </c>
      <c r="M240" s="39" t="e">
        <f>M239+(1000*$C$2*(B240-B239))/(BerechnungenCLT!$W$47*2*'Berechnung freier Bereich'!G240)</f>
        <v>#DIV/0!</v>
      </c>
      <c r="N240" s="17" t="e">
        <f t="shared" si="145"/>
        <v>#DIV/0!</v>
      </c>
      <c r="O240" s="173">
        <f t="shared" si="146"/>
        <v>2286.036696332782</v>
      </c>
      <c r="P240" s="173"/>
      <c r="Q240" s="173"/>
      <c r="R240" s="37" t="e">
        <f t="shared" si="128"/>
        <v>#DIV/0!</v>
      </c>
      <c r="S240" s="37" t="e">
        <f t="shared" si="129"/>
        <v>#DIV/0!</v>
      </c>
      <c r="T240" s="37" t="e">
        <f t="shared" si="130"/>
        <v>#DIV/0!</v>
      </c>
      <c r="U240" s="39" t="e">
        <f t="shared" si="131"/>
        <v>#DIV/0!</v>
      </c>
      <c r="V240" s="39" t="e">
        <f t="shared" si="147"/>
        <v>#DIV/0!</v>
      </c>
      <c r="W240" s="9" t="e">
        <f t="shared" si="148"/>
        <v>#DIV/0!</v>
      </c>
      <c r="AB240" s="129">
        <v>111.41190743694531</v>
      </c>
      <c r="AC240" s="9">
        <v>9.625</v>
      </c>
      <c r="AD240" s="129">
        <f t="shared" si="149"/>
        <v>121.9825263740594</v>
      </c>
      <c r="AE240" s="36">
        <f t="shared" si="181"/>
        <v>1.3176185658084483E-2</v>
      </c>
      <c r="AF240" s="37">
        <f t="shared" si="150"/>
        <v>52883686.587060966</v>
      </c>
      <c r="AG240" s="36">
        <f t="shared" si="132"/>
        <v>1.9918201533921267</v>
      </c>
      <c r="AH240" s="37">
        <f t="shared" si="151"/>
        <v>-1.4887503418913864E-4</v>
      </c>
      <c r="AI240" s="37">
        <f t="shared" si="152"/>
        <v>-3.6317816361589483E-2</v>
      </c>
      <c r="AJ240" s="37">
        <f t="shared" si="153"/>
        <v>-3.5939752302664436</v>
      </c>
      <c r="AK240" s="39">
        <f t="shared" si="154"/>
        <v>1.8160152784415597E-2</v>
      </c>
      <c r="AL240" s="39">
        <f>AL239+(1000*$C$2*($B240-$B239))/(BerechnungenCLT!$W$47*2*AF240)</f>
        <v>1.0441172653289579E-2</v>
      </c>
      <c r="AM240" s="37">
        <f t="shared" si="133"/>
        <v>2.3066191910286533E-6</v>
      </c>
      <c r="AN240" s="173">
        <f t="shared" si="155"/>
        <v>1974.6177427354678</v>
      </c>
      <c r="AO240" s="173">
        <v>-257.62220115921514</v>
      </c>
      <c r="AV240" s="129">
        <v>119.35773088601206</v>
      </c>
      <c r="AW240" s="9">
        <v>8.625</v>
      </c>
      <c r="AX240" s="129">
        <f t="shared" si="156"/>
        <v>127.99634998641675</v>
      </c>
      <c r="AY240" s="36">
        <f t="shared" si="182"/>
        <v>1.14120114598059E-2</v>
      </c>
      <c r="AZ240" s="37">
        <f t="shared" si="157"/>
        <v>51403280.187437683</v>
      </c>
      <c r="BA240" s="36">
        <f t="shared" si="134"/>
        <v>1.9951301398652697</v>
      </c>
      <c r="BB240" s="37">
        <f t="shared" si="158"/>
        <v>-1.5316261180196958E-4</v>
      </c>
      <c r="BC240" s="37">
        <f t="shared" si="159"/>
        <v>-3.2692148483414805E-2</v>
      </c>
      <c r="BD240" s="37">
        <f t="shared" si="160"/>
        <v>-3.294264206473819</v>
      </c>
      <c r="BE240" s="39">
        <f t="shared" si="161"/>
        <v>1.9604255265038582E-2</v>
      </c>
      <c r="BF240" s="39">
        <f>BF239+(1000*$C$2*($B240-$B239))/(BerechnungenCLT!$W$47*2*AZ240)</f>
        <v>9.3929798837396189E-3</v>
      </c>
      <c r="BG240" s="37">
        <f t="shared" si="135"/>
        <v>2.4900424548723147E-6</v>
      </c>
      <c r="BH240" s="173">
        <f t="shared" si="162"/>
        <v>1758.0283095259483</v>
      </c>
      <c r="BI240">
        <v>-258.83428238950444</v>
      </c>
      <c r="BP240" s="129">
        <v>90.360456996125293</v>
      </c>
      <c r="BQ240" s="9">
        <v>13.9375</v>
      </c>
      <c r="BR240" s="129">
        <f t="shared" si="163"/>
        <v>104.42372172260701</v>
      </c>
      <c r="BS240" s="36">
        <f t="shared" si="183"/>
        <v>1.4629807935212348E-2</v>
      </c>
      <c r="BT240" s="37">
        <f t="shared" si="164"/>
        <v>41026555.087477282</v>
      </c>
      <c r="BU240" s="36">
        <f t="shared" si="136"/>
        <v>1.9793110029308618</v>
      </c>
      <c r="BV240" s="37">
        <f t="shared" si="165"/>
        <v>-1.9190157769545516E-4</v>
      </c>
      <c r="BW240" s="37">
        <f t="shared" si="166"/>
        <v>-3.8039065224660121E-2</v>
      </c>
      <c r="BX240" s="37">
        <f t="shared" si="167"/>
        <v>-3.6354493084700588</v>
      </c>
      <c r="BY240" s="39">
        <f t="shared" si="168"/>
        <v>2.0039076947399457E-2</v>
      </c>
      <c r="BZ240" s="39">
        <f>BZ239+(1000*$C$2*($B240-$B239))/(BerechnungenCLT!$W$47*2*BT240)</f>
        <v>1.0938791736331156E-2</v>
      </c>
      <c r="CA240" s="37">
        <f t="shared" si="137"/>
        <v>2.5452715076845615E-6</v>
      </c>
      <c r="CB240" s="173">
        <f t="shared" si="169"/>
        <v>2835.0235231227516</v>
      </c>
      <c r="CC240" s="9">
        <v>-258.16186844120955</v>
      </c>
      <c r="CJ240" s="9">
        <f t="shared" si="185"/>
        <v>189</v>
      </c>
      <c r="CK240" s="129">
        <v>120.19823966782209</v>
      </c>
      <c r="CL240" s="9">
        <v>5.46875</v>
      </c>
      <c r="CM240" s="129">
        <f t="shared" si="170"/>
        <v>125.77341227853917</v>
      </c>
      <c r="CN240" s="36">
        <f t="shared" si="184"/>
        <v>7.3238960208073843E-3</v>
      </c>
      <c r="CO240" s="173">
        <f t="shared" si="171"/>
        <v>1777.845054967986</v>
      </c>
      <c r="CP240" s="9">
        <v>-630.33863217732244</v>
      </c>
      <c r="CQ240" s="129"/>
      <c r="CR240" s="36">
        <f t="shared" si="172"/>
        <v>0.69856511780394026</v>
      </c>
      <c r="CS240" s="17">
        <f t="shared" si="138"/>
        <v>0.50218520459620242</v>
      </c>
      <c r="CT240" s="9">
        <f t="shared" si="139"/>
        <v>6.5339439911185568</v>
      </c>
      <c r="CU240" s="9">
        <f t="shared" si="173"/>
        <v>126.85933508802664</v>
      </c>
      <c r="CV240" s="9">
        <v>13.2</v>
      </c>
      <c r="CW240" s="9">
        <f t="shared" si="174"/>
        <v>133.6551134436329</v>
      </c>
      <c r="CX240">
        <f t="shared" si="175"/>
        <v>22</v>
      </c>
      <c r="CY240" s="9">
        <f t="shared" si="140"/>
        <v>444.92156730019684</v>
      </c>
      <c r="CZ240" s="17">
        <f t="shared" si="176"/>
        <v>0.41894686186459212</v>
      </c>
      <c r="DA240">
        <v>45</v>
      </c>
      <c r="DB240" s="9">
        <f t="shared" si="177"/>
        <v>7.1799356411958772</v>
      </c>
      <c r="DC240" s="9">
        <f t="shared" si="178"/>
        <v>7.8785009609566661</v>
      </c>
    </row>
    <row r="241" spans="2:107" x14ac:dyDescent="0.25">
      <c r="B241" s="9">
        <f t="shared" si="179"/>
        <v>190</v>
      </c>
      <c r="C241" s="9">
        <v>108.68561150143148</v>
      </c>
      <c r="D241" s="9"/>
      <c r="E241" s="9">
        <f t="shared" si="141"/>
        <v>108.68561150143148</v>
      </c>
      <c r="F241" s="36">
        <f t="shared" si="180"/>
        <v>0</v>
      </c>
      <c r="G241" s="37">
        <f t="shared" si="187"/>
        <v>0</v>
      </c>
      <c r="H241" s="36" t="e">
        <f t="shared" si="126"/>
        <v>#DIV/0!</v>
      </c>
      <c r="I241" s="37" t="e">
        <f t="shared" si="142"/>
        <v>#DIV/0!</v>
      </c>
      <c r="J241" s="37" t="e">
        <f t="shared" si="143"/>
        <v>#DIV/0!</v>
      </c>
      <c r="K241" s="37" t="e">
        <f t="shared" si="144"/>
        <v>#DIV/0!</v>
      </c>
      <c r="L241" s="39" t="e">
        <f t="shared" si="127"/>
        <v>#DIV/0!</v>
      </c>
      <c r="M241" s="39" t="e">
        <f>M240+(1000*$C$2*(B241-B240))/(BerechnungenCLT!$W$47*2*'Berechnung freier Bereich'!G241)</f>
        <v>#DIV/0!</v>
      </c>
      <c r="N241" s="17" t="e">
        <f t="shared" si="145"/>
        <v>#DIV/0!</v>
      </c>
      <c r="O241" s="173">
        <f t="shared" si="146"/>
        <v>2276.4594885652436</v>
      </c>
      <c r="P241" s="173"/>
      <c r="Q241" s="173"/>
      <c r="R241" s="37" t="e">
        <f t="shared" si="128"/>
        <v>#DIV/0!</v>
      </c>
      <c r="S241" s="37" t="e">
        <f t="shared" si="129"/>
        <v>#DIV/0!</v>
      </c>
      <c r="T241" s="37" t="e">
        <f t="shared" si="130"/>
        <v>#DIV/0!</v>
      </c>
      <c r="U241" s="39" t="e">
        <f t="shared" si="131"/>
        <v>#DIV/0!</v>
      </c>
      <c r="V241" s="39" t="e">
        <f t="shared" si="147"/>
        <v>#DIV/0!</v>
      </c>
      <c r="W241" s="9" t="e">
        <f t="shared" si="148"/>
        <v>#DIV/0!</v>
      </c>
      <c r="AB241" s="129">
        <v>111.86593887575073</v>
      </c>
      <c r="AC241" s="9">
        <v>9.5625</v>
      </c>
      <c r="AD241" s="129">
        <f t="shared" si="149"/>
        <v>122.34330938951143</v>
      </c>
      <c r="AE241" s="36">
        <f t="shared" si="181"/>
        <v>1.3105546522965998E-2</v>
      </c>
      <c r="AF241" s="37">
        <f t="shared" si="150"/>
        <v>52965437.269801289</v>
      </c>
      <c r="AG241" s="36">
        <f t="shared" si="132"/>
        <v>1.9920190543741336</v>
      </c>
      <c r="AH241" s="37">
        <f t="shared" si="151"/>
        <v>-1.48645249704854E-4</v>
      </c>
      <c r="AI241" s="37">
        <f t="shared" si="152"/>
        <v>-3.646646161129434E-2</v>
      </c>
      <c r="AJ241" s="37">
        <f t="shared" si="153"/>
        <v>-3.6303673692528857</v>
      </c>
      <c r="AK241" s="39">
        <f t="shared" si="154"/>
        <v>1.8185751773922135E-2</v>
      </c>
      <c r="AL241" s="39">
        <f>AL240+(1000*$C$2*($B241-$B240))/(BerechnungenCLT!$W$47*2*AF241)</f>
        <v>1.0484146516439722E-2</v>
      </c>
      <c r="AM241" s="37">
        <f t="shared" si="133"/>
        <v>2.309870657091064E-6</v>
      </c>
      <c r="AN241" s="173">
        <f t="shared" si="155"/>
        <v>1960.9022440929473</v>
      </c>
      <c r="AO241" s="173">
        <v>-257.69936519645677</v>
      </c>
      <c r="AV241" s="129">
        <v>119.41394961590953</v>
      </c>
      <c r="AW241" s="9">
        <v>8.625</v>
      </c>
      <c r="AX241" s="129">
        <f t="shared" si="156"/>
        <v>128.05269027937339</v>
      </c>
      <c r="AY241" s="36">
        <f t="shared" si="182"/>
        <v>1.1417365184365185E-2</v>
      </c>
      <c r="AZ241" s="37">
        <f t="shared" si="157"/>
        <v>51474154.724970333</v>
      </c>
      <c r="BA241" s="36">
        <f t="shared" si="134"/>
        <v>1.9951344241544933</v>
      </c>
      <c r="BB241" s="37">
        <f t="shared" si="158"/>
        <v>-1.5295172287456987E-4</v>
      </c>
      <c r="BC241" s="37">
        <f t="shared" si="159"/>
        <v>-3.2845100206289377E-2</v>
      </c>
      <c r="BD241" s="37">
        <f t="shared" si="160"/>
        <v>-3.3270328308186712</v>
      </c>
      <c r="BE241" s="39">
        <f t="shared" si="161"/>
        <v>1.9585879596953848E-2</v>
      </c>
      <c r="BF241" s="39">
        <f>BF240+(1000*$C$2*($B241-$B240))/(BerechnungenCLT!$W$47*2*AZ241)</f>
        <v>9.4371987633906102E-3</v>
      </c>
      <c r="BG241" s="37">
        <f t="shared" si="135"/>
        <v>2.4877084619177725E-6</v>
      </c>
      <c r="BH241" s="173">
        <f t="shared" si="162"/>
        <v>1756.4294116225967</v>
      </c>
      <c r="BI241">
        <v>-258.62074509041923</v>
      </c>
      <c r="BP241" s="129">
        <v>90.495098666584539</v>
      </c>
      <c r="BQ241" s="9">
        <v>13.9375</v>
      </c>
      <c r="BR241" s="129">
        <f t="shared" si="163"/>
        <v>104.56362233853818</v>
      </c>
      <c r="BS241" s="36">
        <f t="shared" si="183"/>
        <v>1.4655906712570808E-2</v>
      </c>
      <c r="BT241" s="37">
        <f t="shared" si="164"/>
        <v>41215241.712536544</v>
      </c>
      <c r="BU241" s="36">
        <f t="shared" si="136"/>
        <v>1.9793534365603791</v>
      </c>
      <c r="BV241" s="37">
        <f t="shared" si="165"/>
        <v>-1.9102303714748384E-4</v>
      </c>
      <c r="BW241" s="37">
        <f t="shared" si="166"/>
        <v>-3.8230088261807606E-2</v>
      </c>
      <c r="BX241" s="37">
        <f t="shared" si="167"/>
        <v>-3.6735838852132927</v>
      </c>
      <c r="BY241" s="39">
        <f t="shared" si="168"/>
        <v>1.997406071425005E-2</v>
      </c>
      <c r="BZ241" s="39">
        <f>BZ240+(1000*$C$2*($B241-$B240))/(BerechnungenCLT!$W$47*2*BT241)</f>
        <v>1.0994017166495928E-2</v>
      </c>
      <c r="CA241" s="37">
        <f t="shared" si="137"/>
        <v>2.5370134443911997E-6</v>
      </c>
      <c r="CB241" s="173">
        <f t="shared" si="169"/>
        <v>2827.0486313642718</v>
      </c>
      <c r="CC241" s="9">
        <v>-257.43566178359504</v>
      </c>
      <c r="CJ241" s="9">
        <f t="shared" si="185"/>
        <v>190</v>
      </c>
      <c r="CK241" s="129">
        <v>120</v>
      </c>
      <c r="CL241" s="9">
        <v>5.46875</v>
      </c>
      <c r="CM241" s="129">
        <f t="shared" si="170"/>
        <v>125.71318728884103</v>
      </c>
      <c r="CN241" s="36">
        <f t="shared" si="184"/>
        <v>7.497314355372358E-3</v>
      </c>
      <c r="CO241" s="173">
        <f t="shared" si="171"/>
        <v>1781.5872374425762</v>
      </c>
      <c r="CP241" s="9">
        <v>-631.66543069432453</v>
      </c>
      <c r="CQ241" s="129"/>
      <c r="CR241" s="36">
        <f t="shared" si="172"/>
        <v>0.69880230105461516</v>
      </c>
      <c r="CS241" s="17">
        <f t="shared" si="138"/>
        <v>0.50235571113343314</v>
      </c>
      <c r="CT241" s="9">
        <f t="shared" si="139"/>
        <v>6.5317262793663176</v>
      </c>
      <c r="CU241" s="9">
        <f t="shared" si="173"/>
        <v>126.82367552977638</v>
      </c>
      <c r="CV241" s="9">
        <v>13.2</v>
      </c>
      <c r="CW241" s="9">
        <f t="shared" si="174"/>
        <v>133.79000177603686</v>
      </c>
      <c r="CX241">
        <f t="shared" si="175"/>
        <v>22</v>
      </c>
      <c r="CY241" s="9">
        <f t="shared" si="140"/>
        <v>445.6565764977675</v>
      </c>
      <c r="CZ241" s="17">
        <f t="shared" si="176"/>
        <v>0.41963896092068509</v>
      </c>
      <c r="DA241">
        <v>45</v>
      </c>
      <c r="DB241" s="9">
        <f t="shared" si="177"/>
        <v>7.1917968749999996</v>
      </c>
      <c r="DC241" s="9">
        <f t="shared" si="178"/>
        <v>7.8905995952140824</v>
      </c>
    </row>
    <row r="242" spans="2:107" x14ac:dyDescent="0.25">
      <c r="B242" s="9">
        <f t="shared" si="179"/>
        <v>191</v>
      </c>
      <c r="C242" s="9">
        <v>108.91414250470747</v>
      </c>
      <c r="D242" s="9"/>
      <c r="E242" s="9">
        <f t="shared" si="141"/>
        <v>108.91414250470747</v>
      </c>
      <c r="F242" s="36">
        <f t="shared" si="180"/>
        <v>0</v>
      </c>
      <c r="G242" s="37">
        <f t="shared" si="187"/>
        <v>0</v>
      </c>
      <c r="H242" s="36" t="e">
        <f t="shared" si="126"/>
        <v>#DIV/0!</v>
      </c>
      <c r="I242" s="37" t="e">
        <f t="shared" si="142"/>
        <v>#DIV/0!</v>
      </c>
      <c r="J242" s="37" t="e">
        <f t="shared" si="143"/>
        <v>#DIV/0!</v>
      </c>
      <c r="K242" s="37" t="e">
        <f t="shared" si="144"/>
        <v>#DIV/0!</v>
      </c>
      <c r="L242" s="39" t="e">
        <f t="shared" si="127"/>
        <v>#DIV/0!</v>
      </c>
      <c r="M242" s="39" t="e">
        <f>M241+(1000*$C$2*(B242-B241))/(BerechnungenCLT!$W$47*2*'Berechnung freier Bereich'!G242)</f>
        <v>#DIV/0!</v>
      </c>
      <c r="N242" s="17" t="e">
        <f t="shared" si="145"/>
        <v>#DIV/0!</v>
      </c>
      <c r="O242" s="173">
        <f t="shared" si="146"/>
        <v>2266.916269367026</v>
      </c>
      <c r="P242" s="173"/>
      <c r="Q242" s="173"/>
      <c r="R242" s="37" t="e">
        <f t="shared" si="128"/>
        <v>#DIV/0!</v>
      </c>
      <c r="S242" s="37" t="e">
        <f t="shared" si="129"/>
        <v>#DIV/0!</v>
      </c>
      <c r="T242" s="37" t="e">
        <f t="shared" si="130"/>
        <v>#DIV/0!</v>
      </c>
      <c r="U242" s="39" t="e">
        <f t="shared" si="131"/>
        <v>#DIV/0!</v>
      </c>
      <c r="V242" s="39" t="e">
        <f t="shared" si="147"/>
        <v>#DIV/0!</v>
      </c>
      <c r="W242" s="9" t="e">
        <f t="shared" si="148"/>
        <v>#DIV/0!</v>
      </c>
      <c r="AB242" s="129">
        <v>112.31370973105402</v>
      </c>
      <c r="AC242" s="9">
        <v>9.5</v>
      </c>
      <c r="AD242" s="129">
        <f t="shared" si="149"/>
        <v>122.69699713550233</v>
      </c>
      <c r="AE242" s="36">
        <f t="shared" si="181"/>
        <v>1.3032307481915271E-2</v>
      </c>
      <c r="AF242" s="37">
        <f t="shared" si="150"/>
        <v>53027927.31005054</v>
      </c>
      <c r="AG242" s="36">
        <f t="shared" si="132"/>
        <v>1.9922145407984448</v>
      </c>
      <c r="AH242" s="37">
        <f t="shared" si="151"/>
        <v>-1.4847008073053968E-4</v>
      </c>
      <c r="AI242" s="37">
        <f t="shared" si="152"/>
        <v>-3.6614931692024878E-2</v>
      </c>
      <c r="AJ242" s="37">
        <f t="shared" si="153"/>
        <v>-3.6669080659045452</v>
      </c>
      <c r="AK242" s="39">
        <f t="shared" si="154"/>
        <v>1.8216833070102828E-2</v>
      </c>
      <c r="AL242" s="39">
        <f>AL241+(1000*$C$2*($B242-$B241))/(BerechnungenCLT!$W$47*2*AF242)</f>
        <v>1.0527069737624883E-2</v>
      </c>
      <c r="AM242" s="37">
        <f t="shared" si="133"/>
        <v>2.3138184605651597E-6</v>
      </c>
      <c r="AN242" s="173">
        <f t="shared" si="155"/>
        <v>1947.5504934221847</v>
      </c>
      <c r="AO242" s="173">
        <v>-257.84323492802196</v>
      </c>
      <c r="AV242" s="129">
        <v>119.47041888928746</v>
      </c>
      <c r="AW242" s="9">
        <v>8.625</v>
      </c>
      <c r="AX242" s="129">
        <f t="shared" si="156"/>
        <v>128.10931151834998</v>
      </c>
      <c r="AY242" s="36">
        <f t="shared" si="182"/>
        <v>1.1422783776533734E-2</v>
      </c>
      <c r="AZ242" s="37">
        <f t="shared" si="157"/>
        <v>51545608.594649732</v>
      </c>
      <c r="BA242" s="36">
        <f t="shared" si="134"/>
        <v>1.9951386893554151</v>
      </c>
      <c r="BB242" s="37">
        <f t="shared" si="158"/>
        <v>-1.5273969719922158E-4</v>
      </c>
      <c r="BC242" s="37">
        <f t="shared" si="159"/>
        <v>-3.2997839903488597E-2</v>
      </c>
      <c r="BD242" s="37">
        <f t="shared" si="160"/>
        <v>-3.35995430087356</v>
      </c>
      <c r="BE242" s="39">
        <f t="shared" si="161"/>
        <v>1.9567377449713524E-2</v>
      </c>
      <c r="BF242" s="39">
        <f>BF241+(1000*$C$2*($B242-$B241))/(BerechnungenCLT!$W$47*2*AZ242)</f>
        <v>9.4813563456750526E-3</v>
      </c>
      <c r="BG242" s="37">
        <f t="shared" si="135"/>
        <v>2.4853584041618496E-6</v>
      </c>
      <c r="BH242" s="173">
        <f t="shared" si="162"/>
        <v>1754.8251596511834</v>
      </c>
      <c r="BI242">
        <v>-258.40023264735379</v>
      </c>
      <c r="BP242" s="129">
        <v>90.6325394837407</v>
      </c>
      <c r="BQ242" s="9">
        <v>13.875</v>
      </c>
      <c r="BR242" s="129">
        <f t="shared" si="163"/>
        <v>104.64336960010803</v>
      </c>
      <c r="BS242" s="36">
        <f t="shared" si="183"/>
        <v>1.4612056054402703E-2</v>
      </c>
      <c r="BT242" s="37">
        <f t="shared" si="164"/>
        <v>41181269.3486121</v>
      </c>
      <c r="BU242" s="36">
        <f t="shared" si="136"/>
        <v>1.9795663070214122</v>
      </c>
      <c r="BV242" s="37">
        <f t="shared" si="165"/>
        <v>-1.9118062102575116E-4</v>
      </c>
      <c r="BW242" s="37">
        <f t="shared" si="166"/>
        <v>-3.8421268882833357E-2</v>
      </c>
      <c r="BX242" s="37">
        <f t="shared" si="167"/>
        <v>-3.7119095637856132</v>
      </c>
      <c r="BY242" s="39">
        <f t="shared" si="168"/>
        <v>2.0005784386375864E-2</v>
      </c>
      <c r="BZ242" s="39">
        <f>BZ241+(1000*$C$2*($B242-$B241))/(BerechnungenCLT!$W$47*2*BT242)</f>
        <v>1.1049288154712726E-2</v>
      </c>
      <c r="CA242" s="37">
        <f t="shared" si="137"/>
        <v>2.5410428395071982E-6</v>
      </c>
      <c r="CB242" s="173">
        <f t="shared" si="169"/>
        <v>2820.7635774217724</v>
      </c>
      <c r="CC242" s="9">
        <v>-258.02037656248609</v>
      </c>
      <c r="CJ242" s="9">
        <f t="shared" si="185"/>
        <v>191</v>
      </c>
      <c r="CK242" s="129">
        <v>119.69768883643117</v>
      </c>
      <c r="CL242" s="9">
        <v>5.5</v>
      </c>
      <c r="CM242" s="129">
        <f t="shared" si="170"/>
        <v>125.6265549860033</v>
      </c>
      <c r="CN242" s="36">
        <f t="shared" si="184"/>
        <v>7.7680302610779288E-3</v>
      </c>
      <c r="CO242" s="173">
        <f t="shared" si="171"/>
        <v>1787.2408655147067</v>
      </c>
      <c r="CP242" s="9">
        <v>-630.06953882678465</v>
      </c>
      <c r="CQ242" s="129"/>
      <c r="CR242" s="36">
        <f t="shared" si="172"/>
        <v>0.69914371868008662</v>
      </c>
      <c r="CS242" s="17">
        <f t="shared" si="138"/>
        <v>0.50260114978436254</v>
      </c>
      <c r="CT242" s="9">
        <f t="shared" si="139"/>
        <v>6.5658425202883866</v>
      </c>
      <c r="CU242" s="9">
        <f t="shared" si="173"/>
        <v>126.77550728406013</v>
      </c>
      <c r="CV242" s="9">
        <v>13.2</v>
      </c>
      <c r="CW242" s="9">
        <f t="shared" si="174"/>
        <v>133.92696759540431</v>
      </c>
      <c r="CX242">
        <f t="shared" si="175"/>
        <v>22</v>
      </c>
      <c r="CY242" s="9">
        <f t="shared" si="140"/>
        <v>446.78213672790065</v>
      </c>
      <c r="CZ242" s="17">
        <f t="shared" si="176"/>
        <v>0.4206988104782492</v>
      </c>
      <c r="DA242">
        <v>45</v>
      </c>
      <c r="DB242" s="9">
        <f t="shared" si="177"/>
        <v>7.2099606382486199</v>
      </c>
      <c r="DC242" s="9">
        <f t="shared" si="178"/>
        <v>7.9091060057703597</v>
      </c>
    </row>
    <row r="243" spans="2:107" x14ac:dyDescent="0.25">
      <c r="B243" s="9">
        <f t="shared" si="179"/>
        <v>192</v>
      </c>
      <c r="C243" s="9">
        <v>109.14330520915915</v>
      </c>
      <c r="D243" s="9"/>
      <c r="E243" s="9">
        <f t="shared" si="141"/>
        <v>109.14330520915915</v>
      </c>
      <c r="F243" s="36">
        <f t="shared" si="180"/>
        <v>0</v>
      </c>
      <c r="G243" s="37">
        <f t="shared" si="187"/>
        <v>0</v>
      </c>
      <c r="H243" s="36" t="e">
        <f t="shared" ref="H243:H306" si="188">((E243^2-C243^2)*(E243+C243)^5*(E243-C243))/(2*(E243^4-C243^4)^2)</f>
        <v>#DIV/0!</v>
      </c>
      <c r="I243" s="37" t="e">
        <f t="shared" si="142"/>
        <v>#DIV/0!</v>
      </c>
      <c r="J243" s="37" t="e">
        <f t="shared" si="143"/>
        <v>#DIV/0!</v>
      </c>
      <c r="K243" s="37" t="e">
        <f t="shared" si="144"/>
        <v>#DIV/0!</v>
      </c>
      <c r="L243" s="39" t="e">
        <f t="shared" ref="L243:L306" si="189">-I243*E243</f>
        <v>#DIV/0!</v>
      </c>
      <c r="M243" s="39" t="e">
        <f>M242+(1000*$C$2*(B243-B242))/(BerechnungenCLT!$W$47*2*'Berechnung freier Bereich'!G243)</f>
        <v>#DIV/0!</v>
      </c>
      <c r="N243" s="17" t="e">
        <f t="shared" si="145"/>
        <v>#DIV/0!</v>
      </c>
      <c r="O243" s="173">
        <f t="shared" si="146"/>
        <v>2257.4068031517481</v>
      </c>
      <c r="P243" s="173"/>
      <c r="Q243" s="173"/>
      <c r="R243" s="37" t="e">
        <f t="shared" ref="R243:R306" si="190">-$C$11*($C$34)/($C$14*$C$18*G243)</f>
        <v>#DIV/0!</v>
      </c>
      <c r="S243" s="37" t="e">
        <f t="shared" ref="S243:S306" si="191">(-$C$11*($C$34)/($C$14*$C$18*G243))*$B$52+S242</f>
        <v>#DIV/0!</v>
      </c>
      <c r="T243" s="37" t="e">
        <f t="shared" ref="T243:T306" si="192">(-$C$11*($C$34)/(2*$C$14*$C$18*G243))*$B$52^2+S242*$B$52+T242</f>
        <v>#DIV/0!</v>
      </c>
      <c r="U243" s="39" t="e">
        <f t="shared" ref="U243:U306" si="193">-R243*E243</f>
        <v>#DIV/0!</v>
      </c>
      <c r="V243" s="39" t="e">
        <f t="shared" si="147"/>
        <v>#DIV/0!</v>
      </c>
      <c r="W243" s="9" t="e">
        <f t="shared" si="148"/>
        <v>#DIV/0!</v>
      </c>
      <c r="AB243" s="129">
        <v>112.75484472302975</v>
      </c>
      <c r="AC243" s="9">
        <v>9.4375</v>
      </c>
      <c r="AD243" s="129">
        <f t="shared" si="149"/>
        <v>123.04329331063313</v>
      </c>
      <c r="AE243" s="36">
        <f t="shared" si="181"/>
        <v>1.2956540507758581E-2</v>
      </c>
      <c r="AF243" s="37">
        <f t="shared" si="150"/>
        <v>53070956.015154533</v>
      </c>
      <c r="AG243" s="36">
        <f t="shared" ref="AG243:AG306" si="194">((AD243^2-AB243^2)*(AD243+AB243)^5*(AD243-AB243))/(2*(AD243^4-AB243^4)^2)</f>
        <v>1.9924065314395387</v>
      </c>
      <c r="AH243" s="37">
        <f t="shared" si="151"/>
        <v>-1.4834970461900522E-4</v>
      </c>
      <c r="AI243" s="37">
        <f t="shared" si="152"/>
        <v>-3.6763281396643886E-2</v>
      </c>
      <c r="AJ243" s="37">
        <f t="shared" si="153"/>
        <v>-3.7035971724488794</v>
      </c>
      <c r="AK243" s="39">
        <f t="shared" si="154"/>
        <v>1.8253436217982047E-2</v>
      </c>
      <c r="AL243" s="39">
        <f>AL242+(1000*$C$2*($B243-$B242))/(BerechnungenCLT!$W$47*2*AF243)</f>
        <v>1.056995815765391E-2</v>
      </c>
      <c r="AM243" s="37">
        <f t="shared" ref="AM243:AM306" si="195">AD243/AF243</f>
        <v>2.3184676242782933E-6</v>
      </c>
      <c r="AN243" s="173">
        <f t="shared" si="155"/>
        <v>1934.5647984537993</v>
      </c>
      <c r="AO243" s="173">
        <v>-258.05561795770751</v>
      </c>
      <c r="AV243" s="129">
        <v>119.52719981641064</v>
      </c>
      <c r="AW243" s="9">
        <v>8.625</v>
      </c>
      <c r="AX243" s="129">
        <f t="shared" si="156"/>
        <v>128.16627530399964</v>
      </c>
      <c r="AY243" s="36">
        <f t="shared" si="182"/>
        <v>1.1428273603139024E-2</v>
      </c>
      <c r="AZ243" s="37">
        <f t="shared" si="157"/>
        <v>51617723.092271835</v>
      </c>
      <c r="BA243" s="36">
        <f t="shared" ref="BA243:BA306" si="196">((AX243^2-AV243^2)*(AX243+AV243)^5*(AX243-AV243))/(2*(AX243^4-AV243^4)^2)</f>
        <v>1.9951429397400104</v>
      </c>
      <c r="BB243" s="37">
        <f t="shared" si="158"/>
        <v>-1.5252630641267363E-4</v>
      </c>
      <c r="BC243" s="37">
        <f t="shared" si="159"/>
        <v>-3.3150366209901271E-2</v>
      </c>
      <c r="BD243" s="37">
        <f t="shared" si="160"/>
        <v>-3.3930284039302547</v>
      </c>
      <c r="BE243" s="39">
        <f t="shared" si="161"/>
        <v>1.9548728578788935E-2</v>
      </c>
      <c r="BF243" s="39">
        <f>BF242+(1000*$C$2*($B243-$B242))/(BerechnungenCLT!$W$47*2*AZ243)</f>
        <v>9.5254522359345117E-3</v>
      </c>
      <c r="BG243" s="37">
        <f t="shared" ref="BG243:BG306" si="197">AX243/AZ243</f>
        <v>2.4829897102375016E-6</v>
      </c>
      <c r="BH243" s="173">
        <f t="shared" si="162"/>
        <v>1753.2138434592111</v>
      </c>
      <c r="BI243">
        <v>-258.17214174215098</v>
      </c>
      <c r="BP243" s="129">
        <v>90.772806911596774</v>
      </c>
      <c r="BQ243" s="9">
        <v>13.875</v>
      </c>
      <c r="BR243" s="129">
        <f t="shared" si="163"/>
        <v>104.78919266984619</v>
      </c>
      <c r="BS243" s="36">
        <f t="shared" si="183"/>
        <v>1.4639266092882948E-2</v>
      </c>
      <c r="BT243" s="37">
        <f t="shared" si="164"/>
        <v>41378482.753673688</v>
      </c>
      <c r="BU243" s="36">
        <f t="shared" ref="BU243:BU306" si="198">((BR243^2-BP243^2)*(BR243+BP243)^5*(BR243-BP243))/(2*(BR243^4-BP243^4)^2)</f>
        <v>1.9796095542193777</v>
      </c>
      <c r="BV243" s="37">
        <f t="shared" si="165"/>
        <v>-1.9026943775499845E-4</v>
      </c>
      <c r="BW243" s="37">
        <f t="shared" si="166"/>
        <v>-3.8611538320588355E-2</v>
      </c>
      <c r="BX243" s="37">
        <f t="shared" si="167"/>
        <v>-3.7504259673873239</v>
      </c>
      <c r="BY243" s="39">
        <f t="shared" si="168"/>
        <v>1.9938180772091838E-2</v>
      </c>
      <c r="BZ243" s="39">
        <f>BZ242+(1000*$C$2*($B243-$B242))/(BerechnungenCLT!$W$47*2*BT243)</f>
        <v>1.110429571664944E-2</v>
      </c>
      <c r="CA243" s="37">
        <f t="shared" ref="CA243:CA306" si="199">BR243/BT243</f>
        <v>2.5324561389468234E-6</v>
      </c>
      <c r="CB243" s="173">
        <f t="shared" si="169"/>
        <v>2812.5165419465784</v>
      </c>
      <c r="CC243" s="9">
        <v>-257.26600522280125</v>
      </c>
      <c r="CJ243" s="9">
        <f t="shared" si="185"/>
        <v>192</v>
      </c>
      <c r="CK243" s="129">
        <v>119.2951574324084</v>
      </c>
      <c r="CL243" s="9">
        <v>5.515625</v>
      </c>
      <c r="CM243" s="129">
        <f t="shared" si="170"/>
        <v>125.45515646115973</v>
      </c>
      <c r="CN243" s="36">
        <f t="shared" si="184"/>
        <v>8.0519801433398021E-3</v>
      </c>
      <c r="CO243" s="173">
        <f t="shared" si="171"/>
        <v>1795.6327133495208</v>
      </c>
      <c r="CP243" s="9">
        <v>-631.23470001191743</v>
      </c>
      <c r="CQ243" s="129"/>
      <c r="CR243" s="36">
        <f t="shared" si="172"/>
        <v>0.69982001659855775</v>
      </c>
      <c r="CS243" s="17">
        <f t="shared" ref="CS243:CS306" si="200">$CJ$7*CR243/$CR$51</f>
        <v>0.50308732752198426</v>
      </c>
      <c r="CT243" s="9">
        <f t="shared" ref="CT243:CT306" si="201">CL243*$CJ$7/CS243</f>
        <v>6.5781323022003262</v>
      </c>
      <c r="CU243" s="9">
        <f t="shared" si="173"/>
        <v>126.64179332454243</v>
      </c>
      <c r="CV243" s="9">
        <v>13.2</v>
      </c>
      <c r="CW243" s="9">
        <f t="shared" si="174"/>
        <v>134.03727408818494</v>
      </c>
      <c r="CX243">
        <f t="shared" si="175"/>
        <v>22</v>
      </c>
      <c r="CY243" s="9">
        <f t="shared" ref="CY243:CY306" si="202">$CJ$4*$CJ$6/(PI()*CK243*2*COS($CJ$3*PI()/180))</f>
        <v>448.28969030056993</v>
      </c>
      <c r="CZ243" s="17">
        <f t="shared" si="176"/>
        <v>0.42211835244874757</v>
      </c>
      <c r="DA243">
        <v>45</v>
      </c>
      <c r="DB243" s="9">
        <f t="shared" si="177"/>
        <v>7.2342888309525648</v>
      </c>
      <c r="DC243" s="9">
        <f t="shared" si="178"/>
        <v>7.9341117474439109</v>
      </c>
    </row>
    <row r="244" spans="2:107" x14ac:dyDescent="0.25">
      <c r="B244" s="9">
        <f t="shared" si="179"/>
        <v>193</v>
      </c>
      <c r="C244" s="9">
        <v>109.37310504739402</v>
      </c>
      <c r="D244" s="9"/>
      <c r="E244" s="9">
        <f t="shared" ref="E244:E307" si="203">$C244+D244*SQRT((C245-C244)^2/(B245-B244)^2+1)</f>
        <v>109.37310504739402</v>
      </c>
      <c r="F244" s="36">
        <f t="shared" si="180"/>
        <v>0</v>
      </c>
      <c r="G244" s="37">
        <f t="shared" si="187"/>
        <v>0</v>
      </c>
      <c r="H244" s="36" t="e">
        <f t="shared" si="188"/>
        <v>#DIV/0!</v>
      </c>
      <c r="I244" s="37" t="e">
        <f t="shared" ref="I244:I307" si="204">-($C$11*($C$34))/($C$9*$C$18*G244)</f>
        <v>#DIV/0!</v>
      </c>
      <c r="J244" s="37" t="e">
        <f t="shared" ref="J244:J307" si="205">(-($C$11*($C$34))/($C$9*$C$18*G244))*$B$52+J243</f>
        <v>#DIV/0!</v>
      </c>
      <c r="K244" s="37" t="e">
        <f t="shared" ref="K244:K307" si="206">(-$C$11*($C$34)/(2*$C$9*$C$18*G244))*$B$52^2+J243*$B$52+K243</f>
        <v>#DIV/0!</v>
      </c>
      <c r="L244" s="39" t="e">
        <f t="shared" si="189"/>
        <v>#DIV/0!</v>
      </c>
      <c r="M244" s="39" t="e">
        <f>M243+(1000*$C$2*(B244-B243))/(BerechnungenCLT!$W$47*2*'Berechnung freier Bereich'!G244)</f>
        <v>#DIV/0!</v>
      </c>
      <c r="N244" s="17" t="e">
        <f t="shared" ref="N244:N307" si="207">-($C$11*($C$34))/G244*E244*D244</f>
        <v>#DIV/0!</v>
      </c>
      <c r="O244" s="173">
        <f t="shared" ref="O244:O307" si="208">$C$2*1000/(2*PI()*((C244+E244)/2)^2)</f>
        <v>2247.9308583512188</v>
      </c>
      <c r="P244" s="173"/>
      <c r="Q244" s="173"/>
      <c r="R244" s="37" t="e">
        <f t="shared" si="190"/>
        <v>#DIV/0!</v>
      </c>
      <c r="S244" s="37" t="e">
        <f t="shared" si="191"/>
        <v>#DIV/0!</v>
      </c>
      <c r="T244" s="37" t="e">
        <f t="shared" si="192"/>
        <v>#DIV/0!</v>
      </c>
      <c r="U244" s="39" t="e">
        <f t="shared" si="193"/>
        <v>#DIV/0!</v>
      </c>
      <c r="V244" s="39" t="e">
        <f t="shared" ref="V244:V307" si="209">(1000*$C$2*($B244-B243))/($C$16*2*$G244)+V243</f>
        <v>#DIV/0!</v>
      </c>
      <c r="W244" s="9" t="e">
        <f t="shared" ref="W244:W307" si="210">$C$14*U244</f>
        <v>#DIV/0!</v>
      </c>
      <c r="AB244" s="129">
        <v>113.18896857185258</v>
      </c>
      <c r="AC244" s="9">
        <v>9.375</v>
      </c>
      <c r="AD244" s="129">
        <f t="shared" ref="AD244:AD307" si="211">$AB244+AC244*SQRT((AB245-AB244)^2/($B245-$B244)^2+1)</f>
        <v>123.38190398705058</v>
      </c>
      <c r="AE244" s="36">
        <f t="shared" si="181"/>
        <v>1.287832373613421E-2</v>
      </c>
      <c r="AF244" s="37">
        <f t="shared" ref="AF244:AF307" si="212">(PI()/4)*(AD244^4-AB244^4)</f>
        <v>53094368.336363338</v>
      </c>
      <c r="AG244" s="36">
        <f t="shared" si="194"/>
        <v>1.9925949507404501</v>
      </c>
      <c r="AH244" s="37">
        <f t="shared" ref="AH244:AH307" si="213">-($C$11*($C$34))/($C$9*$C$18*AF244)</f>
        <v>-1.4828428881230859E-4</v>
      </c>
      <c r="AI244" s="37">
        <f t="shared" ref="AI244:AI307" si="214">(-($C$11*($C$34))/($C$9*$C$18*AF244))*$B$52+AI243</f>
        <v>-3.6911565685456192E-2</v>
      </c>
      <c r="AJ244" s="37">
        <f t="shared" ref="AJ244:AJ307" si="215">(-$C$11*($C$34)/(2*$C$9*$C$18*AF244))*$B$52^2+AI243*$B$52+AJ243</f>
        <v>-3.7404345959899294</v>
      </c>
      <c r="AK244" s="39">
        <f t="shared" ref="AK244:AK307" si="216">-AH244*AD244</f>
        <v>1.8295597885028336E-2</v>
      </c>
      <c r="AL244" s="39">
        <f>AL243+(1000*$C$2*($B244-$B243))/(BerechnungenCLT!$W$47*2*AF244)</f>
        <v>1.0612827665743736E-2</v>
      </c>
      <c r="AM244" s="37">
        <f t="shared" si="195"/>
        <v>2.3238228055638928E-6</v>
      </c>
      <c r="AN244" s="173">
        <f t="shared" ref="AN244:AN307" si="217">$C$2*1000/(2*PI()*((AB244+AD244)/2)^2)</f>
        <v>1921.9473234630518</v>
      </c>
      <c r="AO244" s="173">
        <v>-258.33836797718345</v>
      </c>
      <c r="AV244" s="129">
        <v>119.58435350754384</v>
      </c>
      <c r="AW244" s="9">
        <v>8.625</v>
      </c>
      <c r="AX244" s="129">
        <f t="shared" ref="AX244:AX307" si="218">AV244+AW244*SQRT((AV245-AV244)^2/($B245-$B244)^2+1)</f>
        <v>128.22364333307559</v>
      </c>
      <c r="AY244" s="36">
        <f t="shared" si="182"/>
        <v>1.1433841164903468E-2</v>
      </c>
      <c r="AZ244" s="37">
        <f t="shared" ref="AZ244:AZ307" si="219">(PI()/4)*(AX244^4-AV244^4)</f>
        <v>51690580.470527634</v>
      </c>
      <c r="BA244" s="36">
        <f t="shared" si="196"/>
        <v>1.9951471794527851</v>
      </c>
      <c r="BB244" s="37">
        <f t="shared" ref="BB244:BB307" si="220">-($C$11*($C$34))/($C$9*$C$18*AZ244)</f>
        <v>-1.5231132204416564E-4</v>
      </c>
      <c r="BC244" s="37">
        <f t="shared" ref="BC244:BC307" si="221">(-($C$11*($C$34))/($C$9*$C$18*AZ244))*$B$52+BC243</f>
        <v>-3.3302677531945435E-2</v>
      </c>
      <c r="BD244" s="37">
        <f t="shared" ref="BD244:BD307" si="222">(-$C$11*($C$34)/(2*$C$9*$C$18*AZ244))*$B$52^2+BC243*$B$52+BD243</f>
        <v>-3.4262549258011781</v>
      </c>
      <c r="BE244" s="39">
        <f t="shared" ref="BE244:BE307" si="223">-BB244*AX244</f>
        <v>1.9529912633380307E-2</v>
      </c>
      <c r="BF244" s="39">
        <f>BF243+(1000*$C$2*($B244-$B243))/(BerechnungenCLT!$W$47*2*AZ244)</f>
        <v>9.5694859734588508E-3</v>
      </c>
      <c r="BG244" s="37">
        <f t="shared" si="197"/>
        <v>2.4805997952796202E-6</v>
      </c>
      <c r="BH244" s="173">
        <f t="shared" ref="BH244:BH307" si="224">$C$2*1000/(2*PI()*((AV244+AX244)/2)^2)</f>
        <v>1751.5937611904044</v>
      </c>
      <c r="BI244">
        <v>-257.93587216006597</v>
      </c>
      <c r="BP244" s="129">
        <v>90.915928414155744</v>
      </c>
      <c r="BQ244" s="9">
        <v>13.75</v>
      </c>
      <c r="BR244" s="129">
        <f t="shared" ref="BR244:BR307" si="225">BP244+BQ244*SQRT((BP245-BP244)^2/($B245-$B244)^2+1)</f>
        <v>104.81170921800314</v>
      </c>
      <c r="BS244" s="36">
        <f t="shared" si="183"/>
        <v>1.4525594068340157E-2</v>
      </c>
      <c r="BT244" s="37">
        <f t="shared" ref="BT244:BT307" si="226">(PI()/4)*(BR244^4-BP244^4)</f>
        <v>41122812.169735789</v>
      </c>
      <c r="BU244" s="36">
        <f t="shared" si="198"/>
        <v>1.9799899713398732</v>
      </c>
      <c r="BV244" s="37">
        <f t="shared" ref="BV244:BV307" si="227">-($C$11*($C$34))/($C$9*$C$18*BT244)</f>
        <v>-1.9145238939885897E-4</v>
      </c>
      <c r="BW244" s="37">
        <f t="shared" ref="BW244:BW307" si="228">(-($C$11*($C$34))/($C$9*$C$18*BT244))*$B$52+BW243</f>
        <v>-3.8802990709987217E-2</v>
      </c>
      <c r="BX244" s="37">
        <f t="shared" ref="BX244:BX307" si="229">(-$C$11*($C$34)/(2*$C$9*$C$18*BT244))*$B$52^2+BW243*$B$52+BX243</f>
        <v>-3.7891332319026119</v>
      </c>
      <c r="BY244" s="39">
        <f t="shared" ref="BY244:BY307" si="230">-BV244*BR244</f>
        <v>2.0066452166765114E-2</v>
      </c>
      <c r="BZ244" s="39">
        <f>BZ243+(1000*$C$2*($B244-$B243))/(BerechnungenCLT!$W$47*2*BT244)</f>
        <v>1.1159645274056291E-2</v>
      </c>
      <c r="CA244" s="37">
        <f t="shared" si="199"/>
        <v>2.5487485823048604E-6</v>
      </c>
      <c r="CB244" s="173">
        <f t="shared" ref="CB244:CB307" si="231">$C$2*1000/(2*PI()*((BP244+BR244)/2)^2)</f>
        <v>2807.7582702775585</v>
      </c>
      <c r="CC244" s="9">
        <v>-259.16558252375319</v>
      </c>
      <c r="CJ244" s="9">
        <f t="shared" si="185"/>
        <v>193</v>
      </c>
      <c r="CK244" s="129">
        <v>118.79786215673153</v>
      </c>
      <c r="CL244" s="9">
        <v>5.546875</v>
      </c>
      <c r="CM244" s="129">
        <f t="shared" ref="CM244:CM307" si="232">CK244+CL244*SQRT((CK245-CK244)^2/($B245-$B244)^2+1)</f>
        <v>125.22865656067025</v>
      </c>
      <c r="CN244" s="36">
        <f t="shared" si="184"/>
        <v>8.3810888271516285E-3</v>
      </c>
      <c r="CO244" s="173">
        <f t="shared" ref="CO244:CO307" si="233">$C$2*1000/(2*PI()*((CK244+CM244)/2)^2)</f>
        <v>1806.3003878901734</v>
      </c>
      <c r="CP244" s="9">
        <v>-631.40742312746409</v>
      </c>
      <c r="CQ244" s="129"/>
      <c r="CR244" s="36">
        <f t="shared" ref="CR244:CR307" si="234">(($CJ$5*$CJ$4)/(PI()*CM244*2*COS($CJ$3*PI()/180)))-(($CJ$5*$CJ$4)/(2*PI()*CM244*2*COS($CJ$3*PI()/180)))^2</f>
        <v>0.70071539804353677</v>
      </c>
      <c r="CS244" s="17">
        <f t="shared" si="200"/>
        <v>0.50373100024866146</v>
      </c>
      <c r="CT244" s="9">
        <f t="shared" si="201"/>
        <v>6.6069489436963504</v>
      </c>
      <c r="CU244" s="9">
        <f t="shared" ref="CU244:CU307" si="235">CK244+CT244*SQRT((CK245-CK244)^2/($B245-$B244)^2+1)</f>
        <v>126.45765804076196</v>
      </c>
      <c r="CV244" s="9">
        <v>13.2</v>
      </c>
      <c r="CW244" s="9">
        <f t="shared" ref="CW244:CW307" si="236">CK244+CV244*SQRT((CK245-CK244)^2/($B245-$B244)^2+1)</f>
        <v>134.10134134672427</v>
      </c>
      <c r="CX244">
        <f t="shared" ref="CX244:CX307" si="237">CV244/$CJ$8</f>
        <v>22</v>
      </c>
      <c r="CY244" s="9">
        <f t="shared" si="202"/>
        <v>450.16625896160366</v>
      </c>
      <c r="CZ244" s="17">
        <f t="shared" ref="CZ244:CZ307" si="238">CX244*CY244/(CV244/1000)/($CJ$9*10^6)</f>
        <v>0.42388536625386408</v>
      </c>
      <c r="DA244">
        <v>45</v>
      </c>
      <c r="DB244" s="9">
        <f t="shared" ref="DB244:DB307" si="239">$CL$51*$CK$51/CK244*COS($DA$51)/COS(DA244)</f>
        <v>7.2645720161311704</v>
      </c>
      <c r="DC244" s="9">
        <f t="shared" ref="DC244:DC307" si="240">CR244+DB244*SQRT((CR245-CR244)^2/($B245-$B244)^2+1)</f>
        <v>7.9652919745755169</v>
      </c>
    </row>
    <row r="245" spans="2:107" x14ac:dyDescent="0.25">
      <c r="B245" s="9">
        <f t="shared" ref="B245:B308" si="241">IF(ROW()=ROW($B$51)+$B$47,$C$34,ROUND((C$34/$B$47)*(ROW()-ROW($B$51)),0))</f>
        <v>194</v>
      </c>
      <c r="C245" s="9">
        <v>109.60354745201963</v>
      </c>
      <c r="D245" s="9"/>
      <c r="E245" s="9">
        <f t="shared" si="203"/>
        <v>109.60354745201963</v>
      </c>
      <c r="F245" s="36">
        <f t="shared" ref="F245:F308" si="242">($B245-$B244)*PI()*(E245^2-C245^2)*$C$10/1000/1000</f>
        <v>0</v>
      </c>
      <c r="G245" s="37">
        <f t="shared" si="187"/>
        <v>0</v>
      </c>
      <c r="H245" s="36" t="e">
        <f t="shared" si="188"/>
        <v>#DIV/0!</v>
      </c>
      <c r="I245" s="37" t="e">
        <f t="shared" si="204"/>
        <v>#DIV/0!</v>
      </c>
      <c r="J245" s="37" t="e">
        <f t="shared" si="205"/>
        <v>#DIV/0!</v>
      </c>
      <c r="K245" s="37" t="e">
        <f t="shared" si="206"/>
        <v>#DIV/0!</v>
      </c>
      <c r="L245" s="39" t="e">
        <f t="shared" si="189"/>
        <v>#DIV/0!</v>
      </c>
      <c r="M245" s="39" t="e">
        <f>M244+(1000*$C$2*(B245-B244))/(BerechnungenCLT!$W$47*2*'Berechnung freier Bereich'!G245)</f>
        <v>#DIV/0!</v>
      </c>
      <c r="N245" s="17" t="e">
        <f t="shared" si="207"/>
        <v>#DIV/0!</v>
      </c>
      <c r="O245" s="173">
        <f t="shared" si="208"/>
        <v>2238.4882073571712</v>
      </c>
      <c r="P245" s="173"/>
      <c r="Q245" s="173"/>
      <c r="R245" s="37" t="e">
        <f t="shared" si="190"/>
        <v>#DIV/0!</v>
      </c>
      <c r="S245" s="37" t="e">
        <f t="shared" si="191"/>
        <v>#DIV/0!</v>
      </c>
      <c r="T245" s="37" t="e">
        <f t="shared" si="192"/>
        <v>#DIV/0!</v>
      </c>
      <c r="U245" s="39" t="e">
        <f t="shared" si="193"/>
        <v>#DIV/0!</v>
      </c>
      <c r="V245" s="39" t="e">
        <f t="shared" si="209"/>
        <v>#DIV/0!</v>
      </c>
      <c r="W245" s="9" t="e">
        <f t="shared" si="210"/>
        <v>#DIV/0!</v>
      </c>
      <c r="AB245" s="129">
        <v>113.61570599769713</v>
      </c>
      <c r="AC245" s="9">
        <v>9.3125</v>
      </c>
      <c r="AD245" s="129">
        <f t="shared" si="211"/>
        <v>123.7125375928732</v>
      </c>
      <c r="AE245" s="36">
        <f t="shared" ref="AE245:AE308" si="243">($B245-$B244)*PI()*(AD245^2-AB245^2)*$C$10/1000/1000</f>
        <v>1.2797741449286455E-2</v>
      </c>
      <c r="AF245" s="37">
        <f t="shared" si="212"/>
        <v>53098056.25801599</v>
      </c>
      <c r="AG245" s="36">
        <f t="shared" si="194"/>
        <v>1.992779728642547</v>
      </c>
      <c r="AH245" s="37">
        <f t="shared" si="213"/>
        <v>-1.4827398973776614E-4</v>
      </c>
      <c r="AI245" s="37">
        <f t="shared" si="214"/>
        <v>-3.705983967519396E-2</v>
      </c>
      <c r="AJ245" s="37">
        <f t="shared" si="215"/>
        <v>-3.7774202986702545</v>
      </c>
      <c r="AK245" s="39">
        <f t="shared" si="216"/>
        <v>1.8343351529478691E-2</v>
      </c>
      <c r="AL245" s="39">
        <f>AL244+(1000*$C$2*($B245-$B244))/(BerechnungenCLT!$W$47*2*AF245)</f>
        <v>1.0655694196334982E-2</v>
      </c>
      <c r="AM245" s="37">
        <f t="shared" si="195"/>
        <v>2.3298882541335372E-6</v>
      </c>
      <c r="AN245" s="173">
        <f t="shared" si="217"/>
        <v>1909.7001119356034</v>
      </c>
      <c r="AO245" s="173">
        <v>-258.69339165277881</v>
      </c>
      <c r="AV245" s="129">
        <v>119.64194107295189</v>
      </c>
      <c r="AW245" s="9">
        <v>8.625</v>
      </c>
      <c r="AX245" s="129">
        <f t="shared" si="218"/>
        <v>128.28147739839955</v>
      </c>
      <c r="AY245" s="36">
        <f t="shared" ref="AY245:AY308" si="244">($B245-$B244)*PI()*(AX245^2-AV245^2)*$C$10/1000/1000</f>
        <v>1.1439493096920682E-2</v>
      </c>
      <c r="AZ245" s="37">
        <f t="shared" si="219"/>
        <v>51764263.951000266</v>
      </c>
      <c r="BA245" s="36">
        <f t="shared" si="196"/>
        <v>1.9951514125113288</v>
      </c>
      <c r="BB245" s="37">
        <f t="shared" si="220"/>
        <v>-1.5209451555515179E-4</v>
      </c>
      <c r="BC245" s="37">
        <f t="shared" si="221"/>
        <v>-3.3454772047500587E-2</v>
      </c>
      <c r="BD245" s="37">
        <f t="shared" si="222"/>
        <v>-3.4596336505909009</v>
      </c>
      <c r="BE245" s="39">
        <f t="shared" si="223"/>
        <v>1.9510909159608732E-2</v>
      </c>
      <c r="BF245" s="39">
        <f>BF244+(1000*$C$2*($B245-$B244))/(BerechnungenCLT!$W$47*2*AZ245)</f>
        <v>9.6134570314666389E-3</v>
      </c>
      <c r="BG245" s="37">
        <f t="shared" si="197"/>
        <v>2.4781860613304576E-6</v>
      </c>
      <c r="BH245" s="173">
        <f t="shared" si="224"/>
        <v>1749.9632193993937</v>
      </c>
      <c r="BI245">
        <v>-257.69082707563996</v>
      </c>
      <c r="BP245" s="129">
        <v>91.061931455420549</v>
      </c>
      <c r="BQ245" s="9">
        <v>13.75</v>
      </c>
      <c r="BR245" s="129">
        <f t="shared" si="225"/>
        <v>104.96354727976423</v>
      </c>
      <c r="BS245" s="36">
        <f t="shared" ref="BS245:BS308" si="245">($B245-$B244)*PI()*(BR245^2-BP245^2)*$C$10/1000/1000</f>
        <v>1.4553806608747458E-2</v>
      </c>
      <c r="BT245" s="37">
        <f t="shared" si="226"/>
        <v>41327720.399357609</v>
      </c>
      <c r="BU245" s="36">
        <f t="shared" si="198"/>
        <v>1.9800336441652255</v>
      </c>
      <c r="BV245" s="37">
        <f t="shared" si="227"/>
        <v>-1.9050314347410197E-4</v>
      </c>
      <c r="BW245" s="37">
        <f t="shared" si="228"/>
        <v>-3.899349385346132E-2</v>
      </c>
      <c r="BX245" s="37">
        <f t="shared" si="229"/>
        <v>-3.828031474184336</v>
      </c>
      <c r="BY245" s="39">
        <f t="shared" si="230"/>
        <v>1.9995885706987609E-2</v>
      </c>
      <c r="BZ245" s="39">
        <f>BZ244+(1000*$C$2*($B245-$B244))/(BerechnungenCLT!$W$47*2*BT245)</f>
        <v>1.1214720401136257E-2</v>
      </c>
      <c r="CA245" s="37">
        <f t="shared" si="199"/>
        <v>2.5397855547192425E-6</v>
      </c>
      <c r="CB245" s="173">
        <f t="shared" si="231"/>
        <v>2799.2325366380578</v>
      </c>
      <c r="CC245" s="9">
        <v>-258.37862847984076</v>
      </c>
      <c r="CJ245" s="9">
        <f t="shared" si="185"/>
        <v>194</v>
      </c>
      <c r="CK245" s="129">
        <v>118.21125937820041</v>
      </c>
      <c r="CL245" s="9">
        <v>5.59375</v>
      </c>
      <c r="CM245" s="129">
        <f t="shared" si="232"/>
        <v>124.94588453388224</v>
      </c>
      <c r="CN245" s="36">
        <f t="shared" ref="CN245:CN308" si="246">($B245-$B244)*PI()*(CM245^2-CK245^2)*$C$10/1000/1000</f>
        <v>8.7457942455752089E-3</v>
      </c>
      <c r="CO245" s="173">
        <f t="shared" si="233"/>
        <v>1819.2398336432911</v>
      </c>
      <c r="CP245" s="9">
        <v>-630.60148806122083</v>
      </c>
      <c r="CQ245" s="129"/>
      <c r="CR245" s="36">
        <f t="shared" si="234"/>
        <v>0.70183589725776829</v>
      </c>
      <c r="CS245" s="17">
        <f t="shared" si="200"/>
        <v>0.50453650586697474</v>
      </c>
      <c r="CT245" s="9">
        <f t="shared" si="201"/>
        <v>6.6521450102659232</v>
      </c>
      <c r="CU245" s="9">
        <f t="shared" si="235"/>
        <v>126.22014485312873</v>
      </c>
      <c r="CV245" s="9">
        <v>13.2</v>
      </c>
      <c r="CW245" s="9">
        <f t="shared" si="236"/>
        <v>134.10346980144067</v>
      </c>
      <c r="CX245">
        <f t="shared" si="237"/>
        <v>22</v>
      </c>
      <c r="CY245" s="9">
        <f t="shared" si="202"/>
        <v>452.40013058852702</v>
      </c>
      <c r="CZ245" s="17">
        <f t="shared" si="238"/>
        <v>0.42598882352968642</v>
      </c>
      <c r="DA245">
        <v>45</v>
      </c>
      <c r="DB245" s="9">
        <f t="shared" si="239"/>
        <v>7.30062118904344</v>
      </c>
      <c r="DC245" s="9">
        <f t="shared" si="240"/>
        <v>8.0024644843330055</v>
      </c>
    </row>
    <row r="246" spans="2:107" x14ac:dyDescent="0.25">
      <c r="B246" s="9">
        <f t="shared" si="241"/>
        <v>195</v>
      </c>
      <c r="C246" s="9">
        <v>109.83463785564346</v>
      </c>
      <c r="D246" s="9"/>
      <c r="E246" s="9">
        <f t="shared" si="203"/>
        <v>109.83463785564346</v>
      </c>
      <c r="F246" s="36">
        <f t="shared" si="242"/>
        <v>0</v>
      </c>
      <c r="G246" s="37">
        <f t="shared" si="187"/>
        <v>0</v>
      </c>
      <c r="H246" s="36" t="e">
        <f t="shared" si="188"/>
        <v>#DIV/0!</v>
      </c>
      <c r="I246" s="37" t="e">
        <f t="shared" si="204"/>
        <v>#DIV/0!</v>
      </c>
      <c r="J246" s="37" t="e">
        <f t="shared" si="205"/>
        <v>#DIV/0!</v>
      </c>
      <c r="K246" s="37" t="e">
        <f t="shared" si="206"/>
        <v>#DIV/0!</v>
      </c>
      <c r="L246" s="39" t="e">
        <f t="shared" si="189"/>
        <v>#DIV/0!</v>
      </c>
      <c r="M246" s="39" t="e">
        <f>M245+(1000*$C$2*(B246-B245))/(BerechnungenCLT!$W$47*2*'Berechnung freier Bereich'!G246)</f>
        <v>#DIV/0!</v>
      </c>
      <c r="N246" s="17" t="e">
        <f t="shared" si="207"/>
        <v>#DIV/0!</v>
      </c>
      <c r="O246" s="173">
        <f t="shared" si="208"/>
        <v>2229.0786264637413</v>
      </c>
      <c r="P246" s="173"/>
      <c r="Q246" s="173"/>
      <c r="R246" s="37" t="e">
        <f t="shared" si="190"/>
        <v>#DIV/0!</v>
      </c>
      <c r="S246" s="37" t="e">
        <f t="shared" si="191"/>
        <v>#DIV/0!</v>
      </c>
      <c r="T246" s="37" t="e">
        <f t="shared" si="192"/>
        <v>#DIV/0!</v>
      </c>
      <c r="U246" s="39" t="e">
        <f t="shared" si="193"/>
        <v>#DIV/0!</v>
      </c>
      <c r="V246" s="39" t="e">
        <f t="shared" si="209"/>
        <v>#DIV/0!</v>
      </c>
      <c r="W246" s="9" t="e">
        <f t="shared" si="210"/>
        <v>#DIV/0!</v>
      </c>
      <c r="AB246" s="129">
        <v>114.03468172073805</v>
      </c>
      <c r="AC246" s="9">
        <v>9.25</v>
      </c>
      <c r="AD246" s="129">
        <f t="shared" si="211"/>
        <v>124.03490489413278</v>
      </c>
      <c r="AE246" s="36">
        <f t="shared" si="243"/>
        <v>1.2714884050042456E-2</v>
      </c>
      <c r="AF246" s="37">
        <f t="shared" si="212"/>
        <v>53081960.063968681</v>
      </c>
      <c r="AG246" s="36">
        <f t="shared" si="194"/>
        <v>1.9929608004087029</v>
      </c>
      <c r="AH246" s="37">
        <f t="shared" si="213"/>
        <v>-1.4831895128229299E-4</v>
      </c>
      <c r="AI246" s="37">
        <f t="shared" si="214"/>
        <v>-3.7208158626476251E-2</v>
      </c>
      <c r="AJ246" s="37">
        <f t="shared" si="215"/>
        <v>-3.8145542978210898</v>
      </c>
      <c r="AK246" s="39">
        <f t="shared" si="216"/>
        <v>1.8396727016296726E-2</v>
      </c>
      <c r="AL246" s="39">
        <f>AL245+(1000*$C$2*($B246-$B245))/(BerechnungenCLT!$W$47*2*AF246)</f>
        <v>1.069857372546648E-2</v>
      </c>
      <c r="AM246" s="37">
        <f t="shared" si="195"/>
        <v>2.3366677632977237E-6</v>
      </c>
      <c r="AN246" s="173">
        <f t="shared" si="217"/>
        <v>1897.8251086492505</v>
      </c>
      <c r="AO246" s="173">
        <v>-259.12265576167329</v>
      </c>
      <c r="AV246" s="129">
        <v>119.70002362289956</v>
      </c>
      <c r="AW246" s="9">
        <v>8.625</v>
      </c>
      <c r="AX246" s="129">
        <f t="shared" si="218"/>
        <v>128.33983938882491</v>
      </c>
      <c r="AY246" s="36">
        <f t="shared" si="244"/>
        <v>1.1445236169139264E-2</v>
      </c>
      <c r="AZ246" s="37">
        <f t="shared" si="219"/>
        <v>51838857.737135269</v>
      </c>
      <c r="BA246" s="36">
        <f t="shared" si="196"/>
        <v>1.9951556428067907</v>
      </c>
      <c r="BB246" s="37">
        <f t="shared" si="220"/>
        <v>-1.5187565838389316E-4</v>
      </c>
      <c r="BC246" s="37">
        <f t="shared" si="221"/>
        <v>-3.3606647705884479E-2</v>
      </c>
      <c r="BD246" s="37">
        <f t="shared" si="222"/>
        <v>-3.4931643604675933</v>
      </c>
      <c r="BE246" s="39">
        <f t="shared" si="223"/>
        <v>1.9491697604060887E-2</v>
      </c>
      <c r="BF246" s="39">
        <f>BF245+(1000*$C$2*($B246-$B245))/(BerechnungenCLT!$W$47*2*AZ246)</f>
        <v>9.6573648170984478E-3</v>
      </c>
      <c r="BG246" s="37">
        <f t="shared" si="197"/>
        <v>2.4757458977898623E-6</v>
      </c>
      <c r="BH246" s="173">
        <f t="shared" si="224"/>
        <v>1748.3205331908839</v>
      </c>
      <c r="BI246">
        <v>-257.43641335933637</v>
      </c>
      <c r="BP246" s="129">
        <v>91.210843499394244</v>
      </c>
      <c r="BQ246" s="9">
        <v>13.75</v>
      </c>
      <c r="BR246" s="129">
        <f t="shared" si="225"/>
        <v>105.11846362256587</v>
      </c>
      <c r="BS246" s="36">
        <f t="shared" si="245"/>
        <v>1.45826599163997E-2</v>
      </c>
      <c r="BT246" s="37">
        <f t="shared" si="226"/>
        <v>41537654.603442483</v>
      </c>
      <c r="BU246" s="36">
        <f t="shared" si="198"/>
        <v>1.9800778627529005</v>
      </c>
      <c r="BV246" s="37">
        <f t="shared" si="227"/>
        <v>-1.8954032729724476E-4</v>
      </c>
      <c r="BW246" s="37">
        <f t="shared" si="228"/>
        <v>-3.9183034180758566E-2</v>
      </c>
      <c r="BX246" s="37">
        <f t="shared" si="229"/>
        <v>-3.8671197382014459</v>
      </c>
      <c r="BY246" s="39">
        <f t="shared" si="230"/>
        <v>1.9924188000004651E-2</v>
      </c>
      <c r="BZ246" s="39">
        <f>BZ245+(1000*$C$2*($B246-$B245))/(BerechnungenCLT!$W$47*2*BT246)</f>
        <v>1.126951717468185E-2</v>
      </c>
      <c r="CA246" s="37">
        <f t="shared" si="199"/>
        <v>2.5306788413097849E-6</v>
      </c>
      <c r="CB246" s="173">
        <f t="shared" si="231"/>
        <v>2790.5753653224901</v>
      </c>
      <c r="CC246" s="9">
        <v>-257.57954229398291</v>
      </c>
      <c r="CJ246" s="9">
        <f t="shared" ref="CJ246:CJ309" si="247">IF(ROW()=ROW($B$51)+$B$47,$C$34,ROUND((CK$34/$B$47)*(ROW()-ROW($B$51)),0))</f>
        <v>195</v>
      </c>
      <c r="CK246" s="129">
        <v>117.54080546561491</v>
      </c>
      <c r="CL246" s="9">
        <v>5.640625</v>
      </c>
      <c r="CM246" s="129">
        <f t="shared" si="232"/>
        <v>124.5876921248217</v>
      </c>
      <c r="CN246" s="36">
        <f t="shared" si="246"/>
        <v>9.1125932967338098E-3</v>
      </c>
      <c r="CO246" s="173">
        <f t="shared" si="233"/>
        <v>1834.7301990054816</v>
      </c>
      <c r="CP246" s="9">
        <v>-630.68582292295662</v>
      </c>
      <c r="CQ246" s="129"/>
      <c r="CR246" s="36">
        <f t="shared" si="234"/>
        <v>0.70325951469016967</v>
      </c>
      <c r="CS246" s="17">
        <f t="shared" si="200"/>
        <v>0.50555991741922157</v>
      </c>
      <c r="CT246" s="9">
        <f t="shared" si="201"/>
        <v>6.6943103742807217</v>
      </c>
      <c r="CU246" s="9">
        <f t="shared" si="235"/>
        <v>125.90407132163413</v>
      </c>
      <c r="CV246" s="9">
        <v>13.2</v>
      </c>
      <c r="CW246" s="9">
        <f t="shared" si="236"/>
        <v>134.03169147585839</v>
      </c>
      <c r="CX246">
        <f t="shared" si="237"/>
        <v>22</v>
      </c>
      <c r="CY246" s="9">
        <f t="shared" si="202"/>
        <v>454.98062539121065</v>
      </c>
      <c r="CZ246" s="17">
        <f t="shared" si="238"/>
        <v>0.4284186679766579</v>
      </c>
      <c r="DA246">
        <v>45</v>
      </c>
      <c r="DB246" s="9">
        <f t="shared" si="239"/>
        <v>7.3422640042437379</v>
      </c>
      <c r="DC246" s="9">
        <f t="shared" si="240"/>
        <v>8.0455345298373757</v>
      </c>
    </row>
    <row r="247" spans="2:107" x14ac:dyDescent="0.25">
      <c r="B247" s="9">
        <f t="shared" si="241"/>
        <v>196</v>
      </c>
      <c r="C247" s="9">
        <v>110.06638169087309</v>
      </c>
      <c r="D247" s="9"/>
      <c r="E247" s="9">
        <f t="shared" si="203"/>
        <v>110.06638169087309</v>
      </c>
      <c r="F247" s="36">
        <f t="shared" si="242"/>
        <v>0</v>
      </c>
      <c r="G247" s="37">
        <f t="shared" si="187"/>
        <v>0</v>
      </c>
      <c r="H247" s="36" t="e">
        <f t="shared" si="188"/>
        <v>#DIV/0!</v>
      </c>
      <c r="I247" s="37" t="e">
        <f t="shared" si="204"/>
        <v>#DIV/0!</v>
      </c>
      <c r="J247" s="37" t="e">
        <f t="shared" si="205"/>
        <v>#DIV/0!</v>
      </c>
      <c r="K247" s="37" t="e">
        <f t="shared" si="206"/>
        <v>#DIV/0!</v>
      </c>
      <c r="L247" s="39" t="e">
        <f t="shared" si="189"/>
        <v>#DIV/0!</v>
      </c>
      <c r="M247" s="39" t="e">
        <f>M246+(1000*$C$2*(B247-B246))/(BerechnungenCLT!$W$47*2*'Berechnung freier Bereich'!G247)</f>
        <v>#DIV/0!</v>
      </c>
      <c r="N247" s="17" t="e">
        <f t="shared" si="207"/>
        <v>#DIV/0!</v>
      </c>
      <c r="O247" s="173">
        <f t="shared" si="208"/>
        <v>2219.7018958106555</v>
      </c>
      <c r="P247" s="173"/>
      <c r="Q247" s="173"/>
      <c r="R247" s="37" t="e">
        <f t="shared" si="190"/>
        <v>#DIV/0!</v>
      </c>
      <c r="S247" s="37" t="e">
        <f t="shared" si="191"/>
        <v>#DIV/0!</v>
      </c>
      <c r="T247" s="37" t="e">
        <f t="shared" si="192"/>
        <v>#DIV/0!</v>
      </c>
      <c r="U247" s="39" t="e">
        <f t="shared" si="193"/>
        <v>#DIV/0!</v>
      </c>
      <c r="V247" s="39" t="e">
        <f t="shared" si="209"/>
        <v>#DIV/0!</v>
      </c>
      <c r="W247" s="9" t="e">
        <f t="shared" si="210"/>
        <v>#DIV/0!</v>
      </c>
      <c r="AB247" s="129">
        <v>114.44552046114995</v>
      </c>
      <c r="AC247" s="9">
        <v>9.25</v>
      </c>
      <c r="AD247" s="129">
        <f t="shared" si="211"/>
        <v>124.4160876728585</v>
      </c>
      <c r="AE247" s="36">
        <f t="shared" si="243"/>
        <v>1.2719352733509076E-2</v>
      </c>
      <c r="AF247" s="37">
        <f t="shared" si="212"/>
        <v>53453341.779191405</v>
      </c>
      <c r="AG247" s="36">
        <f t="shared" si="194"/>
        <v>1.9930485868546617</v>
      </c>
      <c r="AH247" s="37">
        <f t="shared" si="213"/>
        <v>-1.4728846479269625E-4</v>
      </c>
      <c r="AI247" s="37">
        <f t="shared" si="214"/>
        <v>-3.7355447091268944E-2</v>
      </c>
      <c r="AJ247" s="37">
        <f t="shared" si="215"/>
        <v>-3.8518361006799622</v>
      </c>
      <c r="AK247" s="39">
        <f t="shared" si="216"/>
        <v>1.8325054548848828E-2</v>
      </c>
      <c r="AL247" s="39">
        <f>AL246+(1000*$C$2*($B247-$B246))/(BerechnungenCLT!$W$47*2*AF247)</f>
        <v>1.0741155337338798E-2</v>
      </c>
      <c r="AM247" s="37">
        <f t="shared" si="195"/>
        <v>2.3275642556980758E-6</v>
      </c>
      <c r="AN247" s="173">
        <f t="shared" si="217"/>
        <v>1885.2602908516203</v>
      </c>
      <c r="AO247" s="173">
        <v>-257.7321872161088</v>
      </c>
      <c r="AV247" s="129">
        <v>119.75866226765166</v>
      </c>
      <c r="AW247" s="9">
        <v>8.5625</v>
      </c>
      <c r="AX247" s="129">
        <f t="shared" si="218"/>
        <v>128.33618165860253</v>
      </c>
      <c r="AY247" s="36">
        <f t="shared" si="244"/>
        <v>1.136523031736506E-2</v>
      </c>
      <c r="AZ247" s="37">
        <f t="shared" si="219"/>
        <v>51498386.848449193</v>
      </c>
      <c r="BA247" s="36">
        <f t="shared" si="196"/>
        <v>1.9952272379181317</v>
      </c>
      <c r="BB247" s="37">
        <f t="shared" si="220"/>
        <v>-1.5287975275546869E-4</v>
      </c>
      <c r="BC247" s="37">
        <f t="shared" si="221"/>
        <v>-3.375952745863995E-2</v>
      </c>
      <c r="BD247" s="37">
        <f t="shared" si="222"/>
        <v>-3.5268474480498555</v>
      </c>
      <c r="BE247" s="39">
        <f t="shared" si="223"/>
        <v>1.9620003721548068E-2</v>
      </c>
      <c r="BF247" s="39">
        <f>BF246+(1000*$C$2*($B247-$B246))/(BerechnungenCLT!$W$47*2*AZ247)</f>
        <v>9.7015628899355284E-3</v>
      </c>
      <c r="BG247" s="37">
        <f t="shared" si="197"/>
        <v>2.4920427514802281E-6</v>
      </c>
      <c r="BH247" s="173">
        <f t="shared" si="224"/>
        <v>1747.5457197436017</v>
      </c>
      <c r="BI247">
        <v>-259.18006428530737</v>
      </c>
      <c r="BP247" s="129">
        <v>91.362692010079769</v>
      </c>
      <c r="BQ247" s="9">
        <v>13.6875</v>
      </c>
      <c r="BR247" s="129">
        <f t="shared" si="225"/>
        <v>105.21324424802712</v>
      </c>
      <c r="BS247" s="36">
        <f t="shared" si="245"/>
        <v>1.4541065692506417E-2</v>
      </c>
      <c r="BT247" s="37">
        <f t="shared" si="226"/>
        <v>41521089.848150447</v>
      </c>
      <c r="BU247" s="36">
        <f t="shared" si="198"/>
        <v>1.9802889967191788</v>
      </c>
      <c r="BV247" s="37">
        <f t="shared" si="227"/>
        <v>-1.8961594402963625E-4</v>
      </c>
      <c r="BW247" s="37">
        <f t="shared" si="228"/>
        <v>-3.9372650124788203E-2</v>
      </c>
      <c r="BX247" s="37">
        <f t="shared" si="229"/>
        <v>-3.9063975803542195</v>
      </c>
      <c r="BY247" s="39">
        <f t="shared" si="230"/>
        <v>1.9950108632510358E-2</v>
      </c>
      <c r="BZ247" s="39">
        <f>BZ246+(1000*$C$2*($B247-$B246))/(BerechnungenCLT!$W$47*2*BT247)</f>
        <v>1.1324335809290048E-2</v>
      </c>
      <c r="CA247" s="37">
        <f t="shared" si="199"/>
        <v>2.5339711609885364E-6</v>
      </c>
      <c r="CB247" s="173">
        <f t="shared" si="231"/>
        <v>2783.577505208887</v>
      </c>
      <c r="CC247" s="9">
        <v>-258.10682900197492</v>
      </c>
      <c r="CJ247" s="9">
        <f t="shared" si="247"/>
        <v>196</v>
      </c>
      <c r="CK247" s="129">
        <v>116.79195678777484</v>
      </c>
      <c r="CL247" s="9">
        <v>5.6875</v>
      </c>
      <c r="CM247" s="129">
        <f t="shared" si="232"/>
        <v>124.15355499670069</v>
      </c>
      <c r="CN247" s="36">
        <f t="shared" si="246"/>
        <v>9.4730481599342616E-3</v>
      </c>
      <c r="CO247" s="173">
        <f t="shared" si="233"/>
        <v>1852.7906143305888</v>
      </c>
      <c r="CP247" s="9">
        <v>-631.64493737722216</v>
      </c>
      <c r="CQ247" s="129"/>
      <c r="CR247" s="36">
        <f t="shared" si="234"/>
        <v>0.7049913701381203</v>
      </c>
      <c r="CS247" s="17">
        <f t="shared" si="200"/>
        <v>0.50680491543056549</v>
      </c>
      <c r="CT247" s="9">
        <f t="shared" si="201"/>
        <v>6.7333601078056784</v>
      </c>
      <c r="CU247" s="9">
        <f t="shared" si="235"/>
        <v>125.50726082464078</v>
      </c>
      <c r="CV247" s="9">
        <v>13.2</v>
      </c>
      <c r="CW247" s="9">
        <f t="shared" si="236"/>
        <v>133.87733636717198</v>
      </c>
      <c r="CX247">
        <f t="shared" si="237"/>
        <v>22</v>
      </c>
      <c r="CY247" s="9">
        <f t="shared" si="202"/>
        <v>457.89787799265628</v>
      </c>
      <c r="CZ247" s="17">
        <f t="shared" si="238"/>
        <v>0.43116561016257654</v>
      </c>
      <c r="DA247">
        <v>45</v>
      </c>
      <c r="DB247" s="9">
        <f t="shared" si="239"/>
        <v>7.3893412589036771</v>
      </c>
      <c r="DC247" s="9">
        <f t="shared" si="240"/>
        <v>8.0943467920510912</v>
      </c>
    </row>
    <row r="248" spans="2:107" x14ac:dyDescent="0.25">
      <c r="B248" s="9">
        <f t="shared" si="241"/>
        <v>197</v>
      </c>
      <c r="C248" s="9">
        <v>110.29878439031602</v>
      </c>
      <c r="D248" s="9"/>
      <c r="E248" s="9">
        <f t="shared" si="203"/>
        <v>110.29878439031602</v>
      </c>
      <c r="F248" s="36">
        <f t="shared" si="242"/>
        <v>0</v>
      </c>
      <c r="G248" s="37">
        <f t="shared" si="187"/>
        <v>0</v>
      </c>
      <c r="H248" s="36" t="e">
        <f t="shared" si="188"/>
        <v>#DIV/0!</v>
      </c>
      <c r="I248" s="37" t="e">
        <f t="shared" si="204"/>
        <v>#DIV/0!</v>
      </c>
      <c r="J248" s="37" t="e">
        <f t="shared" si="205"/>
        <v>#DIV/0!</v>
      </c>
      <c r="K248" s="37" t="e">
        <f t="shared" si="206"/>
        <v>#DIV/0!</v>
      </c>
      <c r="L248" s="39" t="e">
        <f t="shared" si="189"/>
        <v>#DIV/0!</v>
      </c>
      <c r="M248" s="39" t="e">
        <f>M247+(1000*$C$2*(B248-B247))/(BerechnungenCLT!$W$47*2*'Berechnung freier Bereich'!G248)</f>
        <v>#DIV/0!</v>
      </c>
      <c r="N248" s="17" t="e">
        <f t="shared" si="207"/>
        <v>#DIV/0!</v>
      </c>
      <c r="O248" s="173">
        <f t="shared" si="208"/>
        <v>2210.3577993271369</v>
      </c>
      <c r="P248" s="173"/>
      <c r="Q248" s="173"/>
      <c r="R248" s="37" t="e">
        <f t="shared" si="190"/>
        <v>#DIV/0!</v>
      </c>
      <c r="S248" s="37" t="e">
        <f t="shared" si="191"/>
        <v>#DIV/0!</v>
      </c>
      <c r="T248" s="37" t="e">
        <f t="shared" si="192"/>
        <v>#DIV/0!</v>
      </c>
      <c r="U248" s="39" t="e">
        <f t="shared" si="193"/>
        <v>#DIV/0!</v>
      </c>
      <c r="V248" s="39" t="e">
        <f t="shared" si="209"/>
        <v>#DIV/0!</v>
      </c>
      <c r="W248" s="9" t="e">
        <f t="shared" si="210"/>
        <v>#DIV/0!</v>
      </c>
      <c r="AB248" s="129">
        <v>114.84784693910748</v>
      </c>
      <c r="AC248" s="9">
        <v>9.1875</v>
      </c>
      <c r="AD248" s="129">
        <f t="shared" si="211"/>
        <v>124.72085856322732</v>
      </c>
      <c r="AE248" s="36">
        <f t="shared" si="243"/>
        <v>1.263218649080268E-2</v>
      </c>
      <c r="AF248" s="37">
        <f t="shared" si="212"/>
        <v>53399448.439128399</v>
      </c>
      <c r="AG248" s="36">
        <f t="shared" si="194"/>
        <v>1.9932236816010223</v>
      </c>
      <c r="AH248" s="37">
        <f t="shared" si="213"/>
        <v>-1.4743711552884532E-4</v>
      </c>
      <c r="AI248" s="37">
        <f t="shared" si="214"/>
        <v>-3.7502884206797787E-2</v>
      </c>
      <c r="AJ248" s="37">
        <f t="shared" si="215"/>
        <v>-3.8892652663289957</v>
      </c>
      <c r="AK248" s="39">
        <f t="shared" si="216"/>
        <v>1.8388483632843323E-2</v>
      </c>
      <c r="AL248" s="39">
        <f>AL247+(1000*$C$2*($B248-$B247))/(BerechnungenCLT!$W$47*2*AF248)</f>
        <v>1.0783779924660418E-2</v>
      </c>
      <c r="AM248" s="37">
        <f t="shared" si="195"/>
        <v>2.3356207265960865E-6</v>
      </c>
      <c r="AN248" s="173">
        <f t="shared" si="217"/>
        <v>1874.1478603560663</v>
      </c>
      <c r="AO248" s="173">
        <v>-258.3008462347222</v>
      </c>
      <c r="AV248" s="129">
        <v>119.81791811747296</v>
      </c>
      <c r="AW248" s="9">
        <v>8.5625</v>
      </c>
      <c r="AX248" s="129">
        <f t="shared" si="218"/>
        <v>128.39578302765682</v>
      </c>
      <c r="AY248" s="36">
        <f t="shared" si="244"/>
        <v>1.1371133202207655E-2</v>
      </c>
      <c r="AZ248" s="37">
        <f t="shared" si="219"/>
        <v>51574461.256549329</v>
      </c>
      <c r="BA248" s="36">
        <f t="shared" si="196"/>
        <v>1.9952314160616491</v>
      </c>
      <c r="BB248" s="37">
        <f t="shared" si="220"/>
        <v>-1.5265424896118736E-4</v>
      </c>
      <c r="BC248" s="37">
        <f t="shared" si="221"/>
        <v>-3.3912181707601137E-2</v>
      </c>
      <c r="BD248" s="37">
        <f t="shared" si="222"/>
        <v>-3.5606833026329761</v>
      </c>
      <c r="BE248" s="39">
        <f t="shared" si="223"/>
        <v>1.960016182787052E-2</v>
      </c>
      <c r="BF248" s="39">
        <f>BF247+(1000*$C$2*($B248-$B247))/(BerechnungenCLT!$W$47*2*AZ248)</f>
        <v>9.7456957688345953E-3</v>
      </c>
      <c r="BG248" s="37">
        <f t="shared" si="197"/>
        <v>2.4895225252857511E-6</v>
      </c>
      <c r="BH248" s="173">
        <f t="shared" si="224"/>
        <v>1745.8724946756674</v>
      </c>
      <c r="BI248">
        <v>-258.90295758754792</v>
      </c>
      <c r="BP248" s="129">
        <v>91.517504451480121</v>
      </c>
      <c r="BQ248" s="9">
        <v>13.6875</v>
      </c>
      <c r="BR248" s="129">
        <f t="shared" si="225"/>
        <v>105.37437989593971</v>
      </c>
      <c r="BS248" s="36">
        <f t="shared" si="245"/>
        <v>1.4571086042071928E-2</v>
      </c>
      <c r="BT248" s="37">
        <f t="shared" si="226"/>
        <v>41740190.706924208</v>
      </c>
      <c r="BU248" s="36">
        <f t="shared" si="198"/>
        <v>1.9803339274734433</v>
      </c>
      <c r="BV248" s="37">
        <f t="shared" si="227"/>
        <v>-1.8862061996737225E-4</v>
      </c>
      <c r="BW248" s="37">
        <f t="shared" si="228"/>
        <v>-3.9561270744755572E-2</v>
      </c>
      <c r="BX248" s="37">
        <f t="shared" si="229"/>
        <v>-3.9458645407889912</v>
      </c>
      <c r="BY248" s="39">
        <f t="shared" si="230"/>
        <v>1.9875780864649556E-2</v>
      </c>
      <c r="BZ248" s="39">
        <f>BZ247+(1000*$C$2*($B248-$B247))/(BerechnungenCLT!$W$47*2*BT248)</f>
        <v>1.1378866692220163E-2</v>
      </c>
      <c r="CA248" s="37">
        <f t="shared" si="199"/>
        <v>2.5245303893271226E-6</v>
      </c>
      <c r="CB248" s="173">
        <f t="shared" si="231"/>
        <v>2774.6511813307861</v>
      </c>
      <c r="CC248" s="9">
        <v>-257.27913688759696</v>
      </c>
      <c r="CJ248" s="9">
        <f t="shared" si="247"/>
        <v>197</v>
      </c>
      <c r="CK248" s="129">
        <v>115.97016971348006</v>
      </c>
      <c r="CL248" s="9">
        <v>5.75</v>
      </c>
      <c r="CM248" s="129">
        <f t="shared" si="232"/>
        <v>123.66486331676894</v>
      </c>
      <c r="CN248" s="36">
        <f t="shared" si="246"/>
        <v>9.8478275444422829E-3</v>
      </c>
      <c r="CO248" s="173">
        <f t="shared" si="233"/>
        <v>1873.1105296312974</v>
      </c>
      <c r="CP248" s="9">
        <v>-631.63130697753604</v>
      </c>
      <c r="CQ248" s="129"/>
      <c r="CR248" s="36">
        <f t="shared" si="234"/>
        <v>0.70694926836939853</v>
      </c>
      <c r="CS248" s="17">
        <f t="shared" si="200"/>
        <v>0.5082124113086075</v>
      </c>
      <c r="CT248" s="9">
        <f t="shared" si="201"/>
        <v>6.7885000901818149</v>
      </c>
      <c r="CU248" s="9">
        <f t="shared" si="235"/>
        <v>125.05459201258407</v>
      </c>
      <c r="CV248" s="9">
        <v>13.2</v>
      </c>
      <c r="CW248" s="9">
        <f t="shared" si="236"/>
        <v>133.63450981146497</v>
      </c>
      <c r="CX248">
        <f t="shared" si="237"/>
        <v>22</v>
      </c>
      <c r="CY248" s="9">
        <f t="shared" si="202"/>
        <v>461.14263100466826</v>
      </c>
      <c r="CZ248" s="17">
        <f t="shared" si="238"/>
        <v>0.43422093314940508</v>
      </c>
      <c r="DA248">
        <v>45</v>
      </c>
      <c r="DB248" s="9">
        <f t="shared" si="239"/>
        <v>7.4417035616331031</v>
      </c>
      <c r="DC248" s="9">
        <f t="shared" si="240"/>
        <v>8.1486704111095829</v>
      </c>
    </row>
    <row r="249" spans="2:107" x14ac:dyDescent="0.25">
      <c r="B249" s="9">
        <f t="shared" si="241"/>
        <v>198</v>
      </c>
      <c r="C249" s="9">
        <v>110.5318513865798</v>
      </c>
      <c r="D249" s="9"/>
      <c r="E249" s="9">
        <f t="shared" si="203"/>
        <v>110.5318513865798</v>
      </c>
      <c r="F249" s="36">
        <f t="shared" si="242"/>
        <v>0</v>
      </c>
      <c r="G249" s="37">
        <f t="shared" si="187"/>
        <v>0</v>
      </c>
      <c r="H249" s="36" t="e">
        <f t="shared" si="188"/>
        <v>#DIV/0!</v>
      </c>
      <c r="I249" s="37" t="e">
        <f t="shared" si="204"/>
        <v>#DIV/0!</v>
      </c>
      <c r="J249" s="37" t="e">
        <f t="shared" si="205"/>
        <v>#DIV/0!</v>
      </c>
      <c r="K249" s="37" t="e">
        <f t="shared" si="206"/>
        <v>#DIV/0!</v>
      </c>
      <c r="L249" s="39" t="e">
        <f t="shared" si="189"/>
        <v>#DIV/0!</v>
      </c>
      <c r="M249" s="39" t="e">
        <f>M248+(1000*$C$2*(B249-B248))/(BerechnungenCLT!$W$47*2*'Berechnung freier Bereich'!G249)</f>
        <v>#DIV/0!</v>
      </c>
      <c r="N249" s="17" t="e">
        <f t="shared" si="207"/>
        <v>#DIV/0!</v>
      </c>
      <c r="O249" s="173">
        <f t="shared" si="208"/>
        <v>2201.0461246764944</v>
      </c>
      <c r="P249" s="173"/>
      <c r="Q249" s="173"/>
      <c r="R249" s="37" t="e">
        <f t="shared" si="190"/>
        <v>#DIV/0!</v>
      </c>
      <c r="S249" s="37" t="e">
        <f t="shared" si="191"/>
        <v>#DIV/0!</v>
      </c>
      <c r="T249" s="37" t="e">
        <f t="shared" si="192"/>
        <v>#DIV/0!</v>
      </c>
      <c r="U249" s="39" t="e">
        <f t="shared" si="193"/>
        <v>#DIV/0!</v>
      </c>
      <c r="V249" s="39" t="e">
        <f t="shared" si="209"/>
        <v>#DIV/0!</v>
      </c>
      <c r="W249" s="9" t="e">
        <f t="shared" si="210"/>
        <v>#DIV/0!</v>
      </c>
      <c r="AB249" s="129">
        <v>115.24128587478523</v>
      </c>
      <c r="AC249" s="9">
        <v>9.125</v>
      </c>
      <c r="AD249" s="129">
        <f t="shared" si="211"/>
        <v>125.01650483362747</v>
      </c>
      <c r="AE249" s="36">
        <f t="shared" si="243"/>
        <v>1.254303884849127E-2</v>
      </c>
      <c r="AF249" s="37">
        <f t="shared" si="212"/>
        <v>53325771.322498024</v>
      </c>
      <c r="AG249" s="36">
        <f t="shared" si="194"/>
        <v>1.9933948805374173</v>
      </c>
      <c r="AH249" s="37">
        <f t="shared" si="213"/>
        <v>-1.4764082081593382E-4</v>
      </c>
      <c r="AI249" s="37">
        <f t="shared" si="214"/>
        <v>-3.7650525027613721E-2</v>
      </c>
      <c r="AJ249" s="37">
        <f t="shared" si="215"/>
        <v>-3.9268419709462017</v>
      </c>
      <c r="AK249" s="39">
        <f t="shared" si="216"/>
        <v>1.8457539389175916E-2</v>
      </c>
      <c r="AL249" s="39">
        <f>AL248+(1000*$C$2*($B249-$B248))/(BerechnungenCLT!$W$47*2*AF249)</f>
        <v>1.082646340389515E-2</v>
      </c>
      <c r="AM249" s="37">
        <f t="shared" si="195"/>
        <v>2.3443918715692966E-6</v>
      </c>
      <c r="AN249" s="173">
        <f t="shared" si="217"/>
        <v>1863.412761565259</v>
      </c>
      <c r="AO249" s="173">
        <v>-258.94924618483861</v>
      </c>
      <c r="AV249" s="129">
        <v>119.87785228262824</v>
      </c>
      <c r="AW249" s="9">
        <v>8.5625</v>
      </c>
      <c r="AX249" s="129">
        <f t="shared" si="218"/>
        <v>128.45609830430161</v>
      </c>
      <c r="AY249" s="36">
        <f t="shared" si="244"/>
        <v>1.1377147513872308E-2</v>
      </c>
      <c r="AZ249" s="37">
        <f t="shared" si="219"/>
        <v>51651695.343833156</v>
      </c>
      <c r="BA249" s="36">
        <f t="shared" si="196"/>
        <v>1.9952356022484086</v>
      </c>
      <c r="BB249" s="37">
        <f t="shared" si="220"/>
        <v>-1.5242598711014778E-4</v>
      </c>
      <c r="BC249" s="37">
        <f t="shared" si="221"/>
        <v>-3.4064607694711285E-2</v>
      </c>
      <c r="BD249" s="37">
        <f t="shared" si="222"/>
        <v>-3.5946716973341322</v>
      </c>
      <c r="BE249" s="39">
        <f t="shared" si="223"/>
        <v>1.9580047584351352E-2</v>
      </c>
      <c r="BF249" s="39">
        <f>BF248+(1000*$C$2*($B249-$B248))/(BerechnungenCLT!$W$47*2*AZ249)</f>
        <v>9.7897626564317653E-3</v>
      </c>
      <c r="BG249" s="37">
        <f t="shared" si="197"/>
        <v>2.4869677064653862E-6</v>
      </c>
      <c r="BH249" s="173">
        <f t="shared" si="224"/>
        <v>1744.1821147390904</v>
      </c>
      <c r="BI249">
        <v>-258.6146411021773</v>
      </c>
      <c r="BP249" s="129">
        <v>91.675308287598298</v>
      </c>
      <c r="BQ249" s="9">
        <v>13.5625</v>
      </c>
      <c r="BR249" s="129">
        <f t="shared" si="225"/>
        <v>105.41207848998076</v>
      </c>
      <c r="BS249" s="36">
        <f t="shared" si="245"/>
        <v>1.4459133194061063E-2</v>
      </c>
      <c r="BT249" s="37">
        <f t="shared" si="226"/>
        <v>41497857.796438396</v>
      </c>
      <c r="BU249" s="36">
        <f t="shared" si="198"/>
        <v>1.9807089497856076</v>
      </c>
      <c r="BV249" s="37">
        <f t="shared" si="227"/>
        <v>-1.8972209812170371E-4</v>
      </c>
      <c r="BW249" s="37">
        <f t="shared" si="228"/>
        <v>-3.9750992842877274E-2</v>
      </c>
      <c r="BX249" s="37">
        <f t="shared" si="229"/>
        <v>-3.9855206725828074</v>
      </c>
      <c r="BY249" s="39">
        <f t="shared" si="230"/>
        <v>1.9999000698488863E-2</v>
      </c>
      <c r="BZ249" s="39">
        <f>BZ248+(1000*$C$2*($B249-$B248))/(BerechnungenCLT!$W$47*2*BT249)</f>
        <v>1.1433716016348775E-2</v>
      </c>
      <c r="CA249" s="37">
        <f t="shared" si="199"/>
        <v>2.5401812066315355E-6</v>
      </c>
      <c r="CB249" s="173">
        <f t="shared" si="231"/>
        <v>2769.1492360941807</v>
      </c>
      <c r="CC249" s="9">
        <v>-259.13550408045205</v>
      </c>
      <c r="CJ249" s="9">
        <f t="shared" si="247"/>
        <v>198</v>
      </c>
      <c r="CK249" s="129">
        <v>115.08090061153045</v>
      </c>
      <c r="CL249" s="9">
        <v>5.828125</v>
      </c>
      <c r="CM249" s="129">
        <f t="shared" si="232"/>
        <v>123.12489917829687</v>
      </c>
      <c r="CN249" s="36">
        <f t="shared" si="246"/>
        <v>1.0233474459845645E-2</v>
      </c>
      <c r="CO249" s="173">
        <f t="shared" si="233"/>
        <v>1895.6552633115116</v>
      </c>
      <c r="CP249" s="9">
        <v>-630.66479788593438</v>
      </c>
      <c r="CQ249" s="129"/>
      <c r="CR249" s="36">
        <f t="shared" si="234"/>
        <v>0.70912298126011386</v>
      </c>
      <c r="CS249" s="17">
        <f t="shared" si="200"/>
        <v>0.50977505224921005</v>
      </c>
      <c r="CT249" s="9">
        <f t="shared" si="201"/>
        <v>6.8596432574941071</v>
      </c>
      <c r="CU249" s="9">
        <f t="shared" si="235"/>
        <v>124.54860429527291</v>
      </c>
      <c r="CV249" s="9">
        <v>13.2</v>
      </c>
      <c r="CW249" s="9">
        <f t="shared" si="236"/>
        <v>133.29958690966521</v>
      </c>
      <c r="CX249">
        <f t="shared" si="237"/>
        <v>22</v>
      </c>
      <c r="CY249" s="9">
        <f t="shared" si="202"/>
        <v>464.70603632357938</v>
      </c>
      <c r="CZ249" s="17">
        <f t="shared" si="238"/>
        <v>0.43757630538943443</v>
      </c>
      <c r="DA249">
        <v>45</v>
      </c>
      <c r="DB249" s="9">
        <f t="shared" si="239"/>
        <v>7.4992081258836683</v>
      </c>
      <c r="DC249" s="9">
        <f t="shared" si="240"/>
        <v>8.2083539378718076</v>
      </c>
    </row>
    <row r="250" spans="2:107" x14ac:dyDescent="0.25">
      <c r="B250" s="9">
        <f t="shared" si="241"/>
        <v>199</v>
      </c>
      <c r="C250" s="9">
        <v>110.76558811227196</v>
      </c>
      <c r="D250" s="9"/>
      <c r="E250" s="9">
        <f t="shared" si="203"/>
        <v>110.76558811227196</v>
      </c>
      <c r="F250" s="36">
        <f t="shared" si="242"/>
        <v>0</v>
      </c>
      <c r="G250" s="37">
        <f t="shared" si="187"/>
        <v>0</v>
      </c>
      <c r="H250" s="36" t="e">
        <f t="shared" si="188"/>
        <v>#DIV/0!</v>
      </c>
      <c r="I250" s="37" t="e">
        <f t="shared" si="204"/>
        <v>#DIV/0!</v>
      </c>
      <c r="J250" s="37" t="e">
        <f t="shared" si="205"/>
        <v>#DIV/0!</v>
      </c>
      <c r="K250" s="37" t="e">
        <f t="shared" si="206"/>
        <v>#DIV/0!</v>
      </c>
      <c r="L250" s="39" t="e">
        <f t="shared" si="189"/>
        <v>#DIV/0!</v>
      </c>
      <c r="M250" s="39" t="e">
        <f>M249+(1000*$C$2*(B250-B249))/(BerechnungenCLT!$W$47*2*'Berechnung freier Bereich'!G250)</f>
        <v>#DIV/0!</v>
      </c>
      <c r="N250" s="17" t="e">
        <f t="shared" si="207"/>
        <v>#DIV/0!</v>
      </c>
      <c r="O250" s="173">
        <f t="shared" si="208"/>
        <v>2191.7666632014061</v>
      </c>
      <c r="P250" s="173"/>
      <c r="Q250" s="173"/>
      <c r="R250" s="37" t="e">
        <f t="shared" si="190"/>
        <v>#DIV/0!</v>
      </c>
      <c r="S250" s="37" t="e">
        <f t="shared" si="191"/>
        <v>#DIV/0!</v>
      </c>
      <c r="T250" s="37" t="e">
        <f t="shared" si="192"/>
        <v>#DIV/0!</v>
      </c>
      <c r="U250" s="39" t="e">
        <f t="shared" si="193"/>
        <v>#DIV/0!</v>
      </c>
      <c r="V250" s="39" t="e">
        <f t="shared" si="209"/>
        <v>#DIV/0!</v>
      </c>
      <c r="W250" s="9" t="e">
        <f t="shared" si="210"/>
        <v>#DIV/0!</v>
      </c>
      <c r="AB250" s="129">
        <v>115.62546198835787</v>
      </c>
      <c r="AC250" s="9">
        <v>9.125</v>
      </c>
      <c r="AD250" s="129">
        <f t="shared" si="211"/>
        <v>125.36948684850969</v>
      </c>
      <c r="AE250" s="36">
        <f t="shared" si="243"/>
        <v>1.2541373946452565E-2</v>
      </c>
      <c r="AF250" s="37">
        <f t="shared" si="212"/>
        <v>53645276.475147896</v>
      </c>
      <c r="AG250" s="36">
        <f t="shared" si="194"/>
        <v>1.9934768566192136</v>
      </c>
      <c r="AH250" s="37">
        <f t="shared" si="213"/>
        <v>-1.4676148891400951E-4</v>
      </c>
      <c r="AI250" s="37">
        <f t="shared" si="214"/>
        <v>-3.779728651652773E-2</v>
      </c>
      <c r="AJ250" s="37">
        <f t="shared" si="215"/>
        <v>-3.9645658767182725</v>
      </c>
      <c r="AK250" s="39">
        <f t="shared" si="216"/>
        <v>1.8399412554272618E-2</v>
      </c>
      <c r="AL250" s="39">
        <f>AL249+(1000*$C$2*($B250-$B249))/(BerechnungenCLT!$W$47*2*AF250)</f>
        <v>1.0868892665192262E-2</v>
      </c>
      <c r="AM250" s="37">
        <f t="shared" si="195"/>
        <v>2.3370088679958485E-6</v>
      </c>
      <c r="AN250" s="173">
        <f t="shared" si="217"/>
        <v>1852.0305393814306</v>
      </c>
      <c r="AO250" s="173">
        <v>-257.76203840730057</v>
      </c>
      <c r="AV250" s="129">
        <v>119.93852587338233</v>
      </c>
      <c r="AW250" s="9">
        <v>8.5625</v>
      </c>
      <c r="AX250" s="129">
        <f t="shared" si="218"/>
        <v>128.51718975259919</v>
      </c>
      <c r="AY250" s="36">
        <f t="shared" si="244"/>
        <v>1.1383280512975812E-2</v>
      </c>
      <c r="AZ250" s="37">
        <f t="shared" si="219"/>
        <v>51730176.69982446</v>
      </c>
      <c r="BA250" s="36">
        <f t="shared" si="196"/>
        <v>1.9952397998217128</v>
      </c>
      <c r="BB250" s="37">
        <f t="shared" si="220"/>
        <v>-1.5219473721076829E-4</v>
      </c>
      <c r="BC250" s="37">
        <f t="shared" si="221"/>
        <v>-3.4216802431922051E-2</v>
      </c>
      <c r="BD250" s="37">
        <f t="shared" si="222"/>
        <v>-3.6288124023974486</v>
      </c>
      <c r="BE250" s="39">
        <f t="shared" si="223"/>
        <v>1.9559639921463277E-2</v>
      </c>
      <c r="BF250" s="39">
        <f>BF249+(1000*$C$2*($B250-$B249))/(BerechnungenCLT!$W$47*2*AZ250)</f>
        <v>9.8337626888717784E-3</v>
      </c>
      <c r="BG250" s="37">
        <f t="shared" si="197"/>
        <v>2.4843756188645553E-6</v>
      </c>
      <c r="BH250" s="173">
        <f t="shared" si="224"/>
        <v>1742.4729299832507</v>
      </c>
      <c r="BI250">
        <v>-258.31453547863066</v>
      </c>
      <c r="BP250" s="129">
        <v>91.836130982437254</v>
      </c>
      <c r="BQ250" s="9">
        <v>13.5625</v>
      </c>
      <c r="BR250" s="129">
        <f t="shared" si="225"/>
        <v>105.57952193713027</v>
      </c>
      <c r="BS250" s="36">
        <f t="shared" si="245"/>
        <v>1.4490196653964928E-2</v>
      </c>
      <c r="BT250" s="37">
        <f t="shared" si="226"/>
        <v>41725182.713367991</v>
      </c>
      <c r="BU250" s="36">
        <f t="shared" si="198"/>
        <v>1.9807541838506209</v>
      </c>
      <c r="BV250" s="37">
        <f t="shared" si="227"/>
        <v>-1.8868846429698216E-4</v>
      </c>
      <c r="BW250" s="37">
        <f t="shared" si="228"/>
        <v>-3.9939681307174256E-2</v>
      </c>
      <c r="BX250" s="37">
        <f t="shared" si="229"/>
        <v>-4.0253660096578328</v>
      </c>
      <c r="BY250" s="39">
        <f t="shared" si="230"/>
        <v>1.9921637855526649E-2</v>
      </c>
      <c r="BZ250" s="39">
        <f>BZ249+(1000*$C$2*($B250-$B249))/(BerechnungenCLT!$W$47*2*BT250)</f>
        <v>1.1488266513312584E-2</v>
      </c>
      <c r="CA250" s="37">
        <f t="shared" si="199"/>
        <v>2.5303549336718545E-6</v>
      </c>
      <c r="CB250" s="173">
        <f t="shared" si="231"/>
        <v>2759.947714760247</v>
      </c>
      <c r="CC250" s="9">
        <v>-258.27443063663173</v>
      </c>
      <c r="CJ250" s="9">
        <f t="shared" si="247"/>
        <v>199</v>
      </c>
      <c r="CK250" s="129">
        <v>114.12960585072581</v>
      </c>
      <c r="CL250" s="9">
        <v>5.90625</v>
      </c>
      <c r="CM250" s="129">
        <f t="shared" si="232"/>
        <v>122.51521204445018</v>
      </c>
      <c r="CN250" s="36">
        <f t="shared" si="246"/>
        <v>1.0598154730779919E-2</v>
      </c>
      <c r="CO250" s="173">
        <f t="shared" si="233"/>
        <v>1920.7463942548957</v>
      </c>
      <c r="CP250" s="9">
        <v>-630.55981189497913</v>
      </c>
      <c r="CQ250" s="129"/>
      <c r="CR250" s="36">
        <f t="shared" si="234"/>
        <v>0.71159054003096012</v>
      </c>
      <c r="CS250" s="17">
        <f t="shared" si="200"/>
        <v>0.51154893341591667</v>
      </c>
      <c r="CT250" s="9">
        <f t="shared" si="201"/>
        <v>6.9274897639533171</v>
      </c>
      <c r="CU250" s="9">
        <f t="shared" si="235"/>
        <v>123.96515312210261</v>
      </c>
      <c r="CV250" s="9">
        <v>13.2</v>
      </c>
      <c r="CW250" s="9">
        <f t="shared" si="236"/>
        <v>132.8707701693987</v>
      </c>
      <c r="CX250">
        <f t="shared" si="237"/>
        <v>22</v>
      </c>
      <c r="CY250" s="9">
        <f t="shared" si="202"/>
        <v>468.57946087782796</v>
      </c>
      <c r="CZ250" s="17">
        <f t="shared" si="238"/>
        <v>0.44122359781339732</v>
      </c>
      <c r="DA250">
        <v>45</v>
      </c>
      <c r="DB250" s="9">
        <f t="shared" si="239"/>
        <v>7.5617156351943331</v>
      </c>
      <c r="DC250" s="9">
        <f t="shared" si="240"/>
        <v>8.2733349138249785</v>
      </c>
    </row>
    <row r="251" spans="2:107" x14ac:dyDescent="0.25">
      <c r="B251" s="9">
        <f t="shared" si="241"/>
        <v>200</v>
      </c>
      <c r="C251" s="9">
        <v>111</v>
      </c>
      <c r="D251" s="9"/>
      <c r="E251" s="9">
        <f t="shared" si="203"/>
        <v>111</v>
      </c>
      <c r="F251" s="36">
        <f t="shared" si="242"/>
        <v>0</v>
      </c>
      <c r="G251" s="37">
        <f t="shared" si="187"/>
        <v>0</v>
      </c>
      <c r="H251" s="36" t="e">
        <f t="shared" si="188"/>
        <v>#DIV/0!</v>
      </c>
      <c r="I251" s="37" t="e">
        <f t="shared" si="204"/>
        <v>#DIV/0!</v>
      </c>
      <c r="J251" s="37" t="e">
        <f t="shared" si="205"/>
        <v>#DIV/0!</v>
      </c>
      <c r="K251" s="37" t="e">
        <f t="shared" si="206"/>
        <v>#DIV/0!</v>
      </c>
      <c r="L251" s="39" t="e">
        <f t="shared" si="189"/>
        <v>#DIV/0!</v>
      </c>
      <c r="M251" s="39" t="e">
        <f>M250+(1000*$C$2*(B251-B250))/(BerechnungenCLT!$W$47*2*'Berechnung freier Bereich'!G251)</f>
        <v>#DIV/0!</v>
      </c>
      <c r="N251" s="17" t="e">
        <f t="shared" si="207"/>
        <v>#DIV/0!</v>
      </c>
      <c r="O251" s="173">
        <f t="shared" si="208"/>
        <v>2182.5192098698676</v>
      </c>
      <c r="P251" s="173"/>
      <c r="Q251" s="173"/>
      <c r="R251" s="37" t="e">
        <f t="shared" si="190"/>
        <v>#DIV/0!</v>
      </c>
      <c r="S251" s="37" t="e">
        <f t="shared" si="191"/>
        <v>#DIV/0!</v>
      </c>
      <c r="T251" s="37" t="e">
        <f t="shared" si="192"/>
        <v>#DIV/0!</v>
      </c>
      <c r="U251" s="39" t="e">
        <f t="shared" si="193"/>
        <v>#DIV/0!</v>
      </c>
      <c r="V251" s="39" t="e">
        <f t="shared" si="209"/>
        <v>#DIV/0!</v>
      </c>
      <c r="W251" s="9" t="e">
        <f t="shared" si="210"/>
        <v>#DIV/0!</v>
      </c>
      <c r="AB251" s="129">
        <v>116</v>
      </c>
      <c r="AC251" s="9">
        <v>9.0625</v>
      </c>
      <c r="AD251" s="129">
        <f t="shared" si="211"/>
        <v>125.64603574974264</v>
      </c>
      <c r="AE251" s="36">
        <f t="shared" si="243"/>
        <v>1.2448795596237175E-2</v>
      </c>
      <c r="AF251" s="37">
        <f t="shared" si="212"/>
        <v>53535178.255862862</v>
      </c>
      <c r="AG251" s="36">
        <f t="shared" si="194"/>
        <v>1.9936414030113672</v>
      </c>
      <c r="AH251" s="37">
        <f t="shared" si="213"/>
        <v>-1.4706331248339835E-4</v>
      </c>
      <c r="AI251" s="37">
        <f t="shared" si="214"/>
        <v>-3.7944349829011126E-2</v>
      </c>
      <c r="AJ251" s="37">
        <f t="shared" si="215"/>
        <v>-4.0024366948910419</v>
      </c>
      <c r="AK251" s="39">
        <f t="shared" si="216"/>
        <v>1.8477922217764644E-2</v>
      </c>
      <c r="AL251" s="39">
        <f>AL250+(1000*$C$2*($B251-$B250))/(BerechnungenCLT!$W$47*2*AF251)</f>
        <v>1.0911409184742109E-2</v>
      </c>
      <c r="AM251" s="37">
        <f t="shared" si="195"/>
        <v>2.3469808048314962E-6</v>
      </c>
      <c r="AN251" s="173">
        <f t="shared" si="217"/>
        <v>1842.0638262501084</v>
      </c>
      <c r="AO251" s="173">
        <v>-258.53544440765319</v>
      </c>
      <c r="AV251" s="129">
        <v>120</v>
      </c>
      <c r="AW251" s="9">
        <v>8.5625</v>
      </c>
      <c r="AX251" s="129">
        <f t="shared" si="218"/>
        <v>128.57911293232155</v>
      </c>
      <c r="AY251" s="36">
        <f t="shared" si="244"/>
        <v>1.138953025823804E-2</v>
      </c>
      <c r="AZ251" s="37">
        <f t="shared" si="219"/>
        <v>51809948.560107119</v>
      </c>
      <c r="BA251" s="36">
        <f t="shared" si="196"/>
        <v>1.9952440192675287</v>
      </c>
      <c r="BB251" s="37">
        <f t="shared" si="220"/>
        <v>-1.5196040273158138E-4</v>
      </c>
      <c r="BC251" s="37">
        <f t="shared" si="221"/>
        <v>-3.4368762834653635E-2</v>
      </c>
      <c r="BD251" s="37">
        <f t="shared" si="222"/>
        <v>-3.6631051850307363</v>
      </c>
      <c r="BE251" s="39">
        <f t="shared" si="223"/>
        <v>1.9538933784065064E-2</v>
      </c>
      <c r="BF251" s="39">
        <f>BF250+(1000*$C$2*($B251-$B250))/(BerechnungenCLT!$W$47*2*AZ251)</f>
        <v>9.877694974391794E-3</v>
      </c>
      <c r="BG251" s="37">
        <f t="shared" si="197"/>
        <v>2.48174562040244E-6</v>
      </c>
      <c r="BH251" s="173">
        <f t="shared" si="224"/>
        <v>1740.7433953078048</v>
      </c>
      <c r="BI251">
        <v>-258.00678117107583</v>
      </c>
      <c r="BP251" s="129">
        <v>92</v>
      </c>
      <c r="BQ251" s="9">
        <v>13.5625</v>
      </c>
      <c r="BR251" s="129">
        <f t="shared" si="225"/>
        <v>105.7503207495417</v>
      </c>
      <c r="BS251" s="36">
        <f t="shared" si="245"/>
        <v>1.4522079823193403E-2</v>
      </c>
      <c r="BT251" s="37">
        <f t="shared" si="226"/>
        <v>41958411.040335804</v>
      </c>
      <c r="BU251" s="36">
        <f t="shared" si="198"/>
        <v>1.9807995933931681</v>
      </c>
      <c r="BV251" s="37">
        <f t="shared" si="227"/>
        <v>-1.8763962822919574E-4</v>
      </c>
      <c r="BW251" s="37">
        <f t="shared" si="228"/>
        <v>-4.012732093540345E-2</v>
      </c>
      <c r="BX251" s="37">
        <f t="shared" si="229"/>
        <v>-4.0653995107791214</v>
      </c>
      <c r="BY251" s="39">
        <f t="shared" si="230"/>
        <v>1.9842950870562207E-2</v>
      </c>
      <c r="BZ251" s="39">
        <f>BZ250+(1000*$C$2*($B251-$B250))/(BerechnungenCLT!$W$47*2*BT251)</f>
        <v>1.1542513788089787E-2</v>
      </c>
      <c r="CA251" s="37">
        <f t="shared" si="199"/>
        <v>2.5203604742772775E-6</v>
      </c>
      <c r="CB251" s="173">
        <f t="shared" si="231"/>
        <v>2750.6138829428614</v>
      </c>
      <c r="CC251" s="9">
        <v>-257.40097564855319</v>
      </c>
      <c r="CJ251" s="9">
        <f t="shared" si="247"/>
        <v>200</v>
      </c>
      <c r="CK251" s="129">
        <v>113.12174179986603</v>
      </c>
      <c r="CL251" s="9">
        <v>5.984375</v>
      </c>
      <c r="CM251" s="129">
        <f t="shared" si="232"/>
        <v>121.83806611542829</v>
      </c>
      <c r="CN251" s="36">
        <f t="shared" si="246"/>
        <v>1.0937693608862698E-2</v>
      </c>
      <c r="CO251" s="173">
        <f t="shared" si="233"/>
        <v>1948.3943740460356</v>
      </c>
      <c r="CP251" s="9">
        <v>-631.28599423782362</v>
      </c>
      <c r="CQ251" s="129"/>
      <c r="CR251" s="36">
        <f t="shared" si="234"/>
        <v>0.71434754812598045</v>
      </c>
      <c r="CS251" s="17">
        <f t="shared" si="200"/>
        <v>0.5135308942080955</v>
      </c>
      <c r="CT251" s="9">
        <f t="shared" si="201"/>
        <v>6.9920330801850241</v>
      </c>
      <c r="CU251" s="9">
        <f t="shared" si="235"/>
        <v>123.30573393806466</v>
      </c>
      <c r="CV251" s="9">
        <v>13.2</v>
      </c>
      <c r="CW251" s="9">
        <f t="shared" si="236"/>
        <v>132.34772295335688</v>
      </c>
      <c r="CX251">
        <f t="shared" si="237"/>
        <v>22</v>
      </c>
      <c r="CY251" s="9">
        <f t="shared" si="202"/>
        <v>472.75429399192149</v>
      </c>
      <c r="CZ251" s="17">
        <f t="shared" si="238"/>
        <v>0.44515470244060407</v>
      </c>
      <c r="DA251">
        <v>45</v>
      </c>
      <c r="DB251" s="9">
        <f t="shared" si="239"/>
        <v>7.6290871345213151</v>
      </c>
      <c r="DC251" s="9">
        <f t="shared" si="240"/>
        <v>8.3434677665699706</v>
      </c>
    </row>
    <row r="252" spans="2:107" x14ac:dyDescent="0.25">
      <c r="B252" s="9">
        <f t="shared" si="241"/>
        <v>201</v>
      </c>
      <c r="C252" s="9">
        <v>111.23508478745408</v>
      </c>
      <c r="D252" s="9"/>
      <c r="E252" s="9">
        <f t="shared" si="203"/>
        <v>111.23508478745408</v>
      </c>
      <c r="F252" s="36">
        <f t="shared" si="242"/>
        <v>0</v>
      </c>
      <c r="G252" s="37">
        <f t="shared" si="187"/>
        <v>0</v>
      </c>
      <c r="H252" s="36" t="e">
        <f t="shared" si="188"/>
        <v>#DIV/0!</v>
      </c>
      <c r="I252" s="37" t="e">
        <f t="shared" si="204"/>
        <v>#DIV/0!</v>
      </c>
      <c r="J252" s="37" t="e">
        <f t="shared" si="205"/>
        <v>#DIV/0!</v>
      </c>
      <c r="K252" s="37" t="e">
        <f t="shared" si="206"/>
        <v>#DIV/0!</v>
      </c>
      <c r="L252" s="39" t="e">
        <f t="shared" si="189"/>
        <v>#DIV/0!</v>
      </c>
      <c r="M252" s="39" t="e">
        <f>M251+(1000*$C$2*(B252-B251))/(BerechnungenCLT!$W$47*2*'Berechnung freier Bereich'!G252)</f>
        <v>#DIV/0!</v>
      </c>
      <c r="N252" s="17" t="e">
        <f t="shared" si="207"/>
        <v>#DIV/0!</v>
      </c>
      <c r="O252" s="173">
        <f t="shared" si="208"/>
        <v>2173.303863907357</v>
      </c>
      <c r="P252" s="173"/>
      <c r="Q252" s="173"/>
      <c r="R252" s="37" t="e">
        <f t="shared" si="190"/>
        <v>#DIV/0!</v>
      </c>
      <c r="S252" s="37" t="e">
        <f t="shared" si="191"/>
        <v>#DIV/0!</v>
      </c>
      <c r="T252" s="37" t="e">
        <f t="shared" si="192"/>
        <v>#DIV/0!</v>
      </c>
      <c r="U252" s="39" t="e">
        <f t="shared" si="193"/>
        <v>#DIV/0!</v>
      </c>
      <c r="V252" s="39" t="e">
        <f t="shared" si="209"/>
        <v>#DIV/0!</v>
      </c>
      <c r="W252" s="9" t="e">
        <f t="shared" si="210"/>
        <v>#DIV/0!</v>
      </c>
      <c r="AB252" s="129">
        <v>116.36459072262865</v>
      </c>
      <c r="AC252" s="9">
        <v>9.0625</v>
      </c>
      <c r="AD252" s="129">
        <f t="shared" si="211"/>
        <v>125.97998513299045</v>
      </c>
      <c r="AE252" s="36">
        <f t="shared" si="243"/>
        <v>1.2445123221277703E-2</v>
      </c>
      <c r="AF252" s="37">
        <f t="shared" si="212"/>
        <v>53828222.778161123</v>
      </c>
      <c r="AG252" s="36">
        <f t="shared" si="194"/>
        <v>1.9937179265063991</v>
      </c>
      <c r="AH252" s="37">
        <f t="shared" si="213"/>
        <v>-1.4626268976301044E-4</v>
      </c>
      <c r="AI252" s="37">
        <f t="shared" si="214"/>
        <v>-3.8090612518774138E-2</v>
      </c>
      <c r="AJ252" s="37">
        <f t="shared" si="215"/>
        <v>-4.0404541760649346</v>
      </c>
      <c r="AK252" s="39">
        <f t="shared" si="216"/>
        <v>1.8426171481855248E-2</v>
      </c>
      <c r="AL252" s="39">
        <f>AL251+(1000*$C$2*($B252-$B251))/(BerechnungenCLT!$W$47*2*AF252)</f>
        <v>1.0953694241454837E-2</v>
      </c>
      <c r="AM252" s="37">
        <f t="shared" si="195"/>
        <v>2.3404076640647018E-6</v>
      </c>
      <c r="AN252" s="173">
        <f t="shared" si="217"/>
        <v>1831.4599085224779</v>
      </c>
      <c r="AO252" s="173">
        <v>-257.42526788146654</v>
      </c>
      <c r="AV252" s="129">
        <v>120.0623230078974</v>
      </c>
      <c r="AW252" s="9">
        <v>8.5625</v>
      </c>
      <c r="AX252" s="129">
        <f t="shared" si="218"/>
        <v>128.64188966261591</v>
      </c>
      <c r="AY252" s="36">
        <f t="shared" si="244"/>
        <v>1.1395864804408457E-2</v>
      </c>
      <c r="AZ252" s="37">
        <f t="shared" si="219"/>
        <v>51890898.078082107</v>
      </c>
      <c r="BA252" s="36">
        <f t="shared" si="196"/>
        <v>1.9952482924427988</v>
      </c>
      <c r="BB252" s="37">
        <f t="shared" si="220"/>
        <v>-1.5172334533215275E-4</v>
      </c>
      <c r="BC252" s="37">
        <f t="shared" si="221"/>
        <v>-3.4520486179985786E-2</v>
      </c>
      <c r="BD252" s="37">
        <f t="shared" si="222"/>
        <v>-3.6975498095380561</v>
      </c>
      <c r="BE252" s="39">
        <f t="shared" si="223"/>
        <v>1.9517977849461764E-2</v>
      </c>
      <c r="BF252" s="39">
        <f>BF251+(1000*$C$2*($B252-$B251))/(BerechnungenCLT!$W$47*2*AZ252)</f>
        <v>9.9215587257860168E-3</v>
      </c>
      <c r="BG252" s="37">
        <f t="shared" si="197"/>
        <v>2.4790838938467361E-6</v>
      </c>
      <c r="BH252" s="173">
        <f t="shared" si="224"/>
        <v>1738.9926266197826</v>
      </c>
      <c r="BI252">
        <v>-257.70521110380918</v>
      </c>
      <c r="BP252" s="129">
        <v>92.166999553788102</v>
      </c>
      <c r="BQ252" s="9">
        <v>13.4375</v>
      </c>
      <c r="BR252" s="129">
        <f t="shared" si="225"/>
        <v>105.79828354293545</v>
      </c>
      <c r="BS252" s="36">
        <f t="shared" si="245"/>
        <v>1.4412011340901197E-2</v>
      </c>
      <c r="BT252" s="37">
        <f t="shared" si="226"/>
        <v>41727080.767291717</v>
      </c>
      <c r="BU252" s="36">
        <f t="shared" si="198"/>
        <v>1.9811689169203985</v>
      </c>
      <c r="BV252" s="37">
        <f t="shared" si="227"/>
        <v>-1.8867988136059082E-4</v>
      </c>
      <c r="BW252" s="37">
        <f t="shared" si="228"/>
        <v>-4.0316000816764043E-2</v>
      </c>
      <c r="BX252" s="37">
        <f t="shared" si="229"/>
        <v>-4.1056211716552049</v>
      </c>
      <c r="BY252" s="39">
        <f t="shared" si="230"/>
        <v>1.9962007587035209E-2</v>
      </c>
      <c r="BZ252" s="39">
        <f>BZ251+(1000*$C$2*($B252-$B251))/(BerechnungenCLT!$W$47*2*BT252)</f>
        <v>1.1597061803696575E-2</v>
      </c>
      <c r="CA252" s="37">
        <f t="shared" si="199"/>
        <v>2.5354825115364106E-6</v>
      </c>
      <c r="CB252" s="173">
        <f t="shared" si="231"/>
        <v>2744.6435695143177</v>
      </c>
      <c r="CC252" s="9">
        <v>-259.23150739479627</v>
      </c>
      <c r="CJ252" s="9">
        <f t="shared" si="247"/>
        <v>201</v>
      </c>
      <c r="CK252" s="129">
        <v>112.06276482775093</v>
      </c>
      <c r="CL252" s="9">
        <v>6.078125</v>
      </c>
      <c r="CM252" s="129">
        <f t="shared" si="232"/>
        <v>121.11940608929075</v>
      </c>
      <c r="CN252" s="36">
        <f t="shared" si="246"/>
        <v>1.1278758580302714E-2</v>
      </c>
      <c r="CO252" s="173">
        <f t="shared" si="233"/>
        <v>1978.2143199784123</v>
      </c>
      <c r="CP252" s="9">
        <v>-631.0616682946652</v>
      </c>
      <c r="CQ252" s="129"/>
      <c r="CR252" s="36">
        <f t="shared" si="234"/>
        <v>0.71729256426858556</v>
      </c>
      <c r="CS252" s="17">
        <f t="shared" si="200"/>
        <v>0.51564801041733677</v>
      </c>
      <c r="CT252" s="9">
        <f t="shared" si="201"/>
        <v>7.0724116574180558</v>
      </c>
      <c r="CU252" s="9">
        <f t="shared" si="235"/>
        <v>122.60093165307413</v>
      </c>
      <c r="CV252" s="9">
        <v>13.2</v>
      </c>
      <c r="CW252" s="9">
        <f t="shared" si="236"/>
        <v>131.73127520756799</v>
      </c>
      <c r="CX252">
        <f t="shared" si="237"/>
        <v>22</v>
      </c>
      <c r="CY252" s="9">
        <f t="shared" si="202"/>
        <v>477.22175391561245</v>
      </c>
      <c r="CZ252" s="17">
        <f t="shared" si="238"/>
        <v>0.44936135020302492</v>
      </c>
      <c r="DA252">
        <v>45</v>
      </c>
      <c r="DB252" s="9">
        <f t="shared" si="239"/>
        <v>7.7011809080966485</v>
      </c>
      <c r="DC252" s="9">
        <f t="shared" si="240"/>
        <v>8.4185133134725163</v>
      </c>
    </row>
    <row r="253" spans="2:107" x14ac:dyDescent="0.25">
      <c r="B253" s="9">
        <f t="shared" si="241"/>
        <v>202</v>
      </c>
      <c r="C253" s="9">
        <v>111.47080943265478</v>
      </c>
      <c r="D253" s="9"/>
      <c r="E253" s="9">
        <f t="shared" si="203"/>
        <v>111.47080943265478</v>
      </c>
      <c r="F253" s="36">
        <f t="shared" si="242"/>
        <v>0</v>
      </c>
      <c r="G253" s="37">
        <f t="shared" si="187"/>
        <v>0</v>
      </c>
      <c r="H253" s="36" t="e">
        <f t="shared" si="188"/>
        <v>#DIV/0!</v>
      </c>
      <c r="I253" s="37" t="e">
        <f t="shared" si="204"/>
        <v>#DIV/0!</v>
      </c>
      <c r="J253" s="37" t="e">
        <f t="shared" si="205"/>
        <v>#DIV/0!</v>
      </c>
      <c r="K253" s="37" t="e">
        <f t="shared" si="206"/>
        <v>#DIV/0!</v>
      </c>
      <c r="L253" s="39" t="e">
        <f t="shared" si="189"/>
        <v>#DIV/0!</v>
      </c>
      <c r="M253" s="39" t="e">
        <f>M252+(1000*$C$2*(B253-B252))/(BerechnungenCLT!$W$47*2*'Berechnung freier Bereich'!G253)</f>
        <v>#DIV/0!</v>
      </c>
      <c r="N253" s="17" t="e">
        <f t="shared" si="207"/>
        <v>#DIV/0!</v>
      </c>
      <c r="O253" s="173">
        <f t="shared" si="208"/>
        <v>2164.1219155708404</v>
      </c>
      <c r="P253" s="173"/>
      <c r="Q253" s="173"/>
      <c r="R253" s="37" t="e">
        <f t="shared" si="190"/>
        <v>#DIV/0!</v>
      </c>
      <c r="S253" s="37" t="e">
        <f t="shared" si="191"/>
        <v>#DIV/0!</v>
      </c>
      <c r="T253" s="37" t="e">
        <f t="shared" si="192"/>
        <v>#DIV/0!</v>
      </c>
      <c r="U253" s="39" t="e">
        <f t="shared" si="193"/>
        <v>#DIV/0!</v>
      </c>
      <c r="V253" s="39" t="e">
        <f t="shared" si="209"/>
        <v>#DIV/0!</v>
      </c>
      <c r="W253" s="9" t="e">
        <f t="shared" si="210"/>
        <v>#DIV/0!</v>
      </c>
      <c r="AB253" s="129">
        <v>116.71918934013037</v>
      </c>
      <c r="AC253" s="9">
        <v>9</v>
      </c>
      <c r="AD253" s="129">
        <f t="shared" si="211"/>
        <v>126.23865536240504</v>
      </c>
      <c r="AE253" s="36">
        <f t="shared" si="243"/>
        <v>1.2352142931760126E-2</v>
      </c>
      <c r="AF253" s="37">
        <f t="shared" si="212"/>
        <v>53694705.86682225</v>
      </c>
      <c r="AG253" s="36">
        <f t="shared" si="194"/>
        <v>1.9938733351998075</v>
      </c>
      <c r="AH253" s="37">
        <f t="shared" si="213"/>
        <v>-1.4662638562959568E-4</v>
      </c>
      <c r="AI253" s="37">
        <f t="shared" si="214"/>
        <v>-3.8237238904403732E-2</v>
      </c>
      <c r="AJ253" s="37">
        <f t="shared" si="215"/>
        <v>-4.0786181017765237</v>
      </c>
      <c r="AK253" s="39">
        <f t="shared" si="216"/>
        <v>1.8509917762529627E-2</v>
      </c>
      <c r="AL253" s="39">
        <f>AL252+(1000*$C$2*($B253-$B252))/(BerechnungenCLT!$W$47*2*AF253)</f>
        <v>1.0996084443918473E-2</v>
      </c>
      <c r="AM253" s="37">
        <f t="shared" si="195"/>
        <v>2.3510447319613203E-6</v>
      </c>
      <c r="AN253" s="173">
        <f t="shared" si="217"/>
        <v>1822.2257159988965</v>
      </c>
      <c r="AO253" s="173">
        <v>-258.26945561743929</v>
      </c>
      <c r="AV253" s="129">
        <v>120.12549218309617</v>
      </c>
      <c r="AW253" s="9">
        <v>8.5625</v>
      </c>
      <c r="AX253" s="129">
        <f t="shared" si="218"/>
        <v>128.70551018835943</v>
      </c>
      <c r="AY253" s="36">
        <f t="shared" si="244"/>
        <v>1.1402274244631893E-2</v>
      </c>
      <c r="AZ253" s="37">
        <f t="shared" si="219"/>
        <v>51972978.254282676</v>
      </c>
      <c r="BA253" s="36">
        <f t="shared" si="196"/>
        <v>1.9952526264044723</v>
      </c>
      <c r="BB253" s="37">
        <f t="shared" si="220"/>
        <v>-1.5148373083752686E-4</v>
      </c>
      <c r="BC253" s="37">
        <f t="shared" si="221"/>
        <v>-3.4671969910823316E-2</v>
      </c>
      <c r="BD253" s="37">
        <f t="shared" si="222"/>
        <v>-3.7321460375834605</v>
      </c>
      <c r="BE253" s="39">
        <f t="shared" si="223"/>
        <v>1.9496790862680011E-2</v>
      </c>
      <c r="BF253" s="39">
        <f>BF252+(1000*$C$2*($B253-$B252))/(BerechnungenCLT!$W$47*2*AZ253)</f>
        <v>9.9653532037892543E-3</v>
      </c>
      <c r="BG253" s="37">
        <f t="shared" si="197"/>
        <v>2.476392820104625E-6</v>
      </c>
      <c r="BH253" s="173">
        <f t="shared" si="224"/>
        <v>1737.2209005928439</v>
      </c>
      <c r="BI253">
        <v>-257.41861725519544</v>
      </c>
      <c r="BP253" s="129">
        <v>92.337440855297459</v>
      </c>
      <c r="BQ253" s="9">
        <v>13.4375</v>
      </c>
      <c r="BR253" s="129">
        <f t="shared" si="225"/>
        <v>105.97741955393887</v>
      </c>
      <c r="BS253" s="36">
        <f t="shared" si="245"/>
        <v>1.4446669743317635E-2</v>
      </c>
      <c r="BT253" s="37">
        <f t="shared" si="226"/>
        <v>41974833.864069909</v>
      </c>
      <c r="BU253" s="36">
        <f t="shared" si="198"/>
        <v>1.981211002051767</v>
      </c>
      <c r="BV253" s="37">
        <f t="shared" si="227"/>
        <v>-1.8756621346477002E-4</v>
      </c>
      <c r="BW253" s="37">
        <f t="shared" si="228"/>
        <v>-4.050356703022881E-2</v>
      </c>
      <c r="BX253" s="37">
        <f t="shared" si="229"/>
        <v>-4.1460309555787012</v>
      </c>
      <c r="BY253" s="39">
        <f t="shared" si="230"/>
        <v>1.9877783298499589E-2</v>
      </c>
      <c r="BZ253" s="39">
        <f>BZ252+(1000*$C$2*($B253-$B252))/(BerechnungenCLT!$W$47*2*BT253)</f>
        <v>1.1651287854007838E-2</v>
      </c>
      <c r="CA253" s="37">
        <f t="shared" si="199"/>
        <v>2.5247847292769064E-6</v>
      </c>
      <c r="CB253" s="173">
        <f t="shared" si="231"/>
        <v>2734.9759180067513</v>
      </c>
      <c r="CC253" s="9">
        <v>-258.31839798375631</v>
      </c>
      <c r="CJ253" s="9">
        <f t="shared" si="247"/>
        <v>202</v>
      </c>
      <c r="CK253" s="129">
        <v>110.95813130318035</v>
      </c>
      <c r="CL253" s="9">
        <v>6.171875</v>
      </c>
      <c r="CM253" s="129">
        <f t="shared" si="232"/>
        <v>120.3398771098714</v>
      </c>
      <c r="CN253" s="36">
        <f t="shared" si="246"/>
        <v>1.1589223787924516E-2</v>
      </c>
      <c r="CO253" s="173">
        <f t="shared" si="233"/>
        <v>2010.5748106232991</v>
      </c>
      <c r="CP253" s="9">
        <v>-631.64229498587997</v>
      </c>
      <c r="CQ253" s="129"/>
      <c r="CR253" s="36">
        <f t="shared" si="234"/>
        <v>0.72050920529476814</v>
      </c>
      <c r="CS253" s="17">
        <f t="shared" si="200"/>
        <v>0.51796039260000881</v>
      </c>
      <c r="CT253" s="9">
        <f t="shared" si="201"/>
        <v>7.1494366227722583</v>
      </c>
      <c r="CU253" s="9">
        <f t="shared" si="235"/>
        <v>121.8258493071738</v>
      </c>
      <c r="CV253" s="9">
        <v>13.2</v>
      </c>
      <c r="CW253" s="9">
        <f t="shared" si="236"/>
        <v>131.0231917018958</v>
      </c>
      <c r="CX253">
        <f t="shared" si="237"/>
        <v>22</v>
      </c>
      <c r="CY253" s="9">
        <f t="shared" si="202"/>
        <v>481.97269142544809</v>
      </c>
      <c r="CZ253" s="17">
        <f t="shared" si="238"/>
        <v>0.45383492601266301</v>
      </c>
      <c r="DA253">
        <v>45</v>
      </c>
      <c r="DB253" s="9">
        <f t="shared" si="239"/>
        <v>7.7778493100420816</v>
      </c>
      <c r="DC253" s="9">
        <f t="shared" si="240"/>
        <v>8.4984029461215176</v>
      </c>
    </row>
    <row r="254" spans="2:107" x14ac:dyDescent="0.25">
      <c r="B254" s="9">
        <f t="shared" si="241"/>
        <v>203</v>
      </c>
      <c r="C254" s="9">
        <v>111.70713319870529</v>
      </c>
      <c r="D254" s="9"/>
      <c r="E254" s="9">
        <f t="shared" si="203"/>
        <v>111.70713319870529</v>
      </c>
      <c r="F254" s="36">
        <f t="shared" si="242"/>
        <v>0</v>
      </c>
      <c r="G254" s="37">
        <f t="shared" si="187"/>
        <v>0</v>
      </c>
      <c r="H254" s="36" t="e">
        <f t="shared" si="188"/>
        <v>#DIV/0!</v>
      </c>
      <c r="I254" s="37" t="e">
        <f t="shared" si="204"/>
        <v>#DIV/0!</v>
      </c>
      <c r="J254" s="37" t="e">
        <f t="shared" si="205"/>
        <v>#DIV/0!</v>
      </c>
      <c r="K254" s="37" t="e">
        <f t="shared" si="206"/>
        <v>#DIV/0!</v>
      </c>
      <c r="L254" s="39" t="e">
        <f t="shared" si="189"/>
        <v>#DIV/0!</v>
      </c>
      <c r="M254" s="39" t="e">
        <f>M253+(1000*$C$2*(B254-B253))/(BerechnungenCLT!$W$47*2*'Berechnung freier Bereich'!G254)</f>
        <v>#DIV/0!</v>
      </c>
      <c r="N254" s="17" t="e">
        <f t="shared" si="207"/>
        <v>#DIV/0!</v>
      </c>
      <c r="O254" s="173">
        <f t="shared" si="208"/>
        <v>2154.9749176816558</v>
      </c>
      <c r="P254" s="173"/>
      <c r="Q254" s="173"/>
      <c r="R254" s="37" t="e">
        <f t="shared" si="190"/>
        <v>#DIV/0!</v>
      </c>
      <c r="S254" s="37" t="e">
        <f t="shared" si="191"/>
        <v>#DIV/0!</v>
      </c>
      <c r="T254" s="37" t="e">
        <f t="shared" si="192"/>
        <v>#DIV/0!</v>
      </c>
      <c r="U254" s="39" t="e">
        <f t="shared" si="193"/>
        <v>#DIV/0!</v>
      </c>
      <c r="V254" s="39" t="e">
        <f t="shared" si="209"/>
        <v>#DIV/0!</v>
      </c>
      <c r="W254" s="9" t="e">
        <f t="shared" si="210"/>
        <v>#DIV/0!</v>
      </c>
      <c r="AB254" s="129">
        <v>117.06381712913411</v>
      </c>
      <c r="AC254" s="9">
        <v>8.9375</v>
      </c>
      <c r="AD254" s="129">
        <f t="shared" si="211"/>
        <v>126.48857730591422</v>
      </c>
      <c r="AE254" s="36">
        <f t="shared" si="243"/>
        <v>1.225918236607763E-2</v>
      </c>
      <c r="AF254" s="37">
        <f t="shared" si="212"/>
        <v>53549726.552223548</v>
      </c>
      <c r="AG254" s="36">
        <f t="shared" si="194"/>
        <v>1.9940235795661951</v>
      </c>
      <c r="AH254" s="37">
        <f t="shared" si="213"/>
        <v>-1.4702335857902677E-4</v>
      </c>
      <c r="AI254" s="37">
        <f t="shared" si="214"/>
        <v>-3.8384262262982756E-2</v>
      </c>
      <c r="AJ254" s="37">
        <f t="shared" si="215"/>
        <v>-4.1169288523602168</v>
      </c>
      <c r="AK254" s="39">
        <f t="shared" si="216"/>
        <v>1.8596775457398376E-2</v>
      </c>
      <c r="AL254" s="39">
        <f>AL253+(1000*$C$2*($B254-$B253))/(BerechnungenCLT!$W$47*2*AF254)</f>
        <v>1.1038589412654403E-2</v>
      </c>
      <c r="AM254" s="37">
        <f t="shared" si="195"/>
        <v>2.3620769973971421E-6</v>
      </c>
      <c r="AN254" s="173">
        <f t="shared" si="217"/>
        <v>1813.3398954762677</v>
      </c>
      <c r="AO254" s="173">
        <v>-259.15924998190513</v>
      </c>
      <c r="AV254" s="129">
        <v>120.18949204676926</v>
      </c>
      <c r="AW254" s="9">
        <v>8.5</v>
      </c>
      <c r="AX254" s="129">
        <f t="shared" si="218"/>
        <v>128.70732755803377</v>
      </c>
      <c r="AY254" s="36">
        <f t="shared" si="244"/>
        <v>1.1322631948223574E-2</v>
      </c>
      <c r="AZ254" s="37">
        <f t="shared" si="219"/>
        <v>51636347.096789278</v>
      </c>
      <c r="BA254" s="36">
        <f t="shared" si="196"/>
        <v>1.9953235384587042</v>
      </c>
      <c r="BB254" s="37">
        <f t="shared" si="220"/>
        <v>-1.5247129379502401E-4</v>
      </c>
      <c r="BC254" s="37">
        <f t="shared" si="221"/>
        <v>-3.4824441204618341E-2</v>
      </c>
      <c r="BD254" s="37">
        <f t="shared" si="222"/>
        <v>-3.7668942431411812</v>
      </c>
      <c r="BE254" s="39">
        <f t="shared" si="223"/>
        <v>1.9624172753673355E-2</v>
      </c>
      <c r="BF254" s="39">
        <f>BF253+(1000*$C$2*($B254-$B253))/(BerechnungenCLT!$W$47*2*AZ254)</f>
        <v>1.0009433189707961E-2</v>
      </c>
      <c r="BG254" s="37">
        <f t="shared" si="197"/>
        <v>2.4925722827910251E-6</v>
      </c>
      <c r="BH254" s="173">
        <f t="shared" si="224"/>
        <v>1736.3022552208474</v>
      </c>
      <c r="BI254">
        <v>-259.16690223908802</v>
      </c>
      <c r="BP254" s="129">
        <v>92.511691865522664</v>
      </c>
      <c r="BQ254" s="9">
        <v>13.4375</v>
      </c>
      <c r="BR254" s="129">
        <f t="shared" si="225"/>
        <v>106.16141939750061</v>
      </c>
      <c r="BS254" s="36">
        <f t="shared" si="245"/>
        <v>1.4483111340369012E-2</v>
      </c>
      <c r="BT254" s="37">
        <f t="shared" si="226"/>
        <v>42232454.700466469</v>
      </c>
      <c r="BU254" s="36">
        <f t="shared" si="198"/>
        <v>1.9812516433285121</v>
      </c>
      <c r="BV254" s="37">
        <f t="shared" si="227"/>
        <v>-1.8642204684847345E-4</v>
      </c>
      <c r="BW254" s="37">
        <f t="shared" si="228"/>
        <v>-4.0689989077077285E-2</v>
      </c>
      <c r="BX254" s="37">
        <f t="shared" si="229"/>
        <v>-4.1866277336323545</v>
      </c>
      <c r="BY254" s="39">
        <f t="shared" si="230"/>
        <v>1.9790829100421296E-2</v>
      </c>
      <c r="BZ254" s="39">
        <f>BZ253+(1000*$C$2*($B254-$B253))/(BerechnungenCLT!$W$47*2*BT254)</f>
        <v>1.1705183121736493E-2</v>
      </c>
      <c r="CA254" s="37">
        <f t="shared" si="199"/>
        <v>2.5137402064466791E-6</v>
      </c>
      <c r="CB254" s="173">
        <f t="shared" si="231"/>
        <v>2725.1212975354056</v>
      </c>
      <c r="CC254" s="9">
        <v>-257.38762935938342</v>
      </c>
      <c r="CJ254" s="9">
        <f t="shared" si="247"/>
        <v>203</v>
      </c>
      <c r="CK254" s="129">
        <v>109.81329759495416</v>
      </c>
      <c r="CL254" s="9">
        <v>6.28125</v>
      </c>
      <c r="CM254" s="129">
        <f t="shared" si="232"/>
        <v>119.52672449202247</v>
      </c>
      <c r="CN254" s="36">
        <f t="shared" si="246"/>
        <v>1.1897374165460151E-2</v>
      </c>
      <c r="CO254" s="173">
        <f t="shared" si="233"/>
        <v>2045.0518513912825</v>
      </c>
      <c r="CP254" s="9">
        <v>-631.28625272817783</v>
      </c>
      <c r="CQ254" s="129"/>
      <c r="CR254" s="36">
        <f t="shared" si="234"/>
        <v>0.72388929204984542</v>
      </c>
      <c r="CS254" s="17">
        <f t="shared" si="200"/>
        <v>0.52039027281502381</v>
      </c>
      <c r="CT254" s="9">
        <f t="shared" si="201"/>
        <v>7.2421607337376717</v>
      </c>
      <c r="CU254" s="9">
        <f t="shared" si="235"/>
        <v>121.01269243897079</v>
      </c>
      <c r="CV254" s="9">
        <v>13.2</v>
      </c>
      <c r="CW254" s="9">
        <f t="shared" si="236"/>
        <v>130.22599173088278</v>
      </c>
      <c r="CX254">
        <f t="shared" si="237"/>
        <v>22</v>
      </c>
      <c r="CY254" s="9">
        <f t="shared" si="202"/>
        <v>486.99738875876733</v>
      </c>
      <c r="CZ254" s="17">
        <f t="shared" si="238"/>
        <v>0.45856627943386752</v>
      </c>
      <c r="DA254">
        <v>45</v>
      </c>
      <c r="DB254" s="9">
        <f t="shared" si="239"/>
        <v>7.8589355196601884</v>
      </c>
      <c r="DC254" s="9">
        <f t="shared" si="240"/>
        <v>8.5828737341010779</v>
      </c>
    </row>
    <row r="255" spans="2:107" x14ac:dyDescent="0.25">
      <c r="B255" s="9">
        <f t="shared" si="241"/>
        <v>204</v>
      </c>
      <c r="C255" s="9">
        <v>111.94401534870877</v>
      </c>
      <c r="D255" s="9"/>
      <c r="E255" s="9">
        <f t="shared" si="203"/>
        <v>111.94401534870877</v>
      </c>
      <c r="F255" s="36">
        <f t="shared" si="242"/>
        <v>0</v>
      </c>
      <c r="G255" s="37">
        <f t="shared" si="187"/>
        <v>0</v>
      </c>
      <c r="H255" s="36" t="e">
        <f t="shared" si="188"/>
        <v>#DIV/0!</v>
      </c>
      <c r="I255" s="37" t="e">
        <f t="shared" si="204"/>
        <v>#DIV/0!</v>
      </c>
      <c r="J255" s="37" t="e">
        <f t="shared" si="205"/>
        <v>#DIV/0!</v>
      </c>
      <c r="K255" s="37" t="e">
        <f t="shared" si="206"/>
        <v>#DIV/0!</v>
      </c>
      <c r="L255" s="39" t="e">
        <f t="shared" si="189"/>
        <v>#DIV/0!</v>
      </c>
      <c r="M255" s="39" t="e">
        <f>M254+(1000*$C$2*(B255-B254))/(BerechnungenCLT!$W$47*2*'Berechnung freier Bereich'!G255)</f>
        <v>#DIV/0!</v>
      </c>
      <c r="N255" s="17" t="e">
        <f t="shared" si="207"/>
        <v>#DIV/0!</v>
      </c>
      <c r="O255" s="173">
        <f t="shared" si="208"/>
        <v>2145.8643817083075</v>
      </c>
      <c r="P255" s="173"/>
      <c r="Q255" s="173"/>
      <c r="R255" s="37" t="e">
        <f t="shared" si="190"/>
        <v>#DIV/0!</v>
      </c>
      <c r="S255" s="37" t="e">
        <f t="shared" si="191"/>
        <v>#DIV/0!</v>
      </c>
      <c r="T255" s="37" t="e">
        <f t="shared" si="192"/>
        <v>#DIV/0!</v>
      </c>
      <c r="U255" s="39" t="e">
        <f t="shared" si="193"/>
        <v>#DIV/0!</v>
      </c>
      <c r="V255" s="39" t="e">
        <f t="shared" si="209"/>
        <v>#DIV/0!</v>
      </c>
      <c r="W255" s="9" t="e">
        <f t="shared" si="210"/>
        <v>#DIV/0!</v>
      </c>
      <c r="AB255" s="129">
        <v>117.39849536626876</v>
      </c>
      <c r="AC255" s="9">
        <v>8.9375</v>
      </c>
      <c r="AD255" s="129">
        <f t="shared" si="211"/>
        <v>126.79547032717284</v>
      </c>
      <c r="AE255" s="36">
        <f t="shared" si="243"/>
        <v>1.225523917856053E-2</v>
      </c>
      <c r="AF255" s="37">
        <f t="shared" si="212"/>
        <v>53814013.214893021</v>
      </c>
      <c r="AG255" s="36">
        <f t="shared" si="194"/>
        <v>1.9940897965577524</v>
      </c>
      <c r="AH255" s="37">
        <f t="shared" si="213"/>
        <v>-1.463013103530722E-4</v>
      </c>
      <c r="AI255" s="37">
        <f t="shared" si="214"/>
        <v>-3.8530563573335827E-2</v>
      </c>
      <c r="AJ255" s="37">
        <f t="shared" si="215"/>
        <v>-4.1553862652783762</v>
      </c>
      <c r="AK255" s="39">
        <f t="shared" si="216"/>
        <v>1.8550343455699472E-2</v>
      </c>
      <c r="AL255" s="39">
        <f>AL254+(1000*$C$2*($B255-$B254))/(BerechnungenCLT!$W$47*2*AF255)</f>
        <v>1.1080885634715203E-2</v>
      </c>
      <c r="AM255" s="37">
        <f t="shared" si="195"/>
        <v>2.3561794178190412E-6</v>
      </c>
      <c r="AN255" s="173">
        <f t="shared" si="217"/>
        <v>1803.8240299122424</v>
      </c>
      <c r="AO255" s="173">
        <v>-258.13902005367191</v>
      </c>
      <c r="AV255" s="129">
        <v>120.25430712008968</v>
      </c>
      <c r="AW255" s="9">
        <v>8.5</v>
      </c>
      <c r="AX255" s="129">
        <f t="shared" si="218"/>
        <v>128.77258500398412</v>
      </c>
      <c r="AY255" s="36">
        <f t="shared" si="244"/>
        <v>1.1329137458728183E-2</v>
      </c>
      <c r="AZ255" s="37">
        <f t="shared" si="219"/>
        <v>51719973.303609207</v>
      </c>
      <c r="BA255" s="36">
        <f t="shared" si="196"/>
        <v>1.9953279294736557</v>
      </c>
      <c r="BB255" s="37">
        <f t="shared" si="220"/>
        <v>-1.5222476242359123E-4</v>
      </c>
      <c r="BC255" s="37">
        <f t="shared" si="221"/>
        <v>-3.497666596704193E-2</v>
      </c>
      <c r="BD255" s="37">
        <f t="shared" si="222"/>
        <v>-3.8017947967270111</v>
      </c>
      <c r="BE255" s="39">
        <f t="shared" si="223"/>
        <v>1.960237615890319E-2</v>
      </c>
      <c r="BF255" s="39">
        <f>BF254+(1000*$C$2*($B255-$B254))/(BerechnungenCLT!$W$47*2*AZ255)</f>
        <v>1.0053441902542332E-2</v>
      </c>
      <c r="BG255" s="37">
        <f t="shared" si="197"/>
        <v>2.4898037794423593E-6</v>
      </c>
      <c r="BH255" s="173">
        <f t="shared" si="224"/>
        <v>1734.4889070757372</v>
      </c>
      <c r="BI255">
        <v>-258.90445420264672</v>
      </c>
      <c r="BP255" s="129">
        <v>92.690120545458171</v>
      </c>
      <c r="BQ255" s="9">
        <v>13.3125</v>
      </c>
      <c r="BR255" s="129">
        <f t="shared" si="225"/>
        <v>106.22363448680153</v>
      </c>
      <c r="BS255" s="36">
        <f t="shared" si="245"/>
        <v>1.4377195711758316E-2</v>
      </c>
      <c r="BT255" s="37">
        <f t="shared" si="226"/>
        <v>42021411.734057076</v>
      </c>
      <c r="BU255" s="36">
        <f t="shared" si="198"/>
        <v>1.9816115945552162</v>
      </c>
      <c r="BV255" s="37">
        <f t="shared" si="227"/>
        <v>-1.8735830910496319E-4</v>
      </c>
      <c r="BW255" s="37">
        <f t="shared" si="228"/>
        <v>-4.0877347386182247E-2</v>
      </c>
      <c r="BX255" s="37">
        <f t="shared" si="229"/>
        <v>-4.2274114018639839</v>
      </c>
      <c r="BY255" s="39">
        <f t="shared" si="230"/>
        <v>1.9901880544430789E-2</v>
      </c>
      <c r="BZ255" s="39">
        <f>BZ254+(1000*$C$2*($B255-$B254))/(BerechnungenCLT!$W$47*2*BT255)</f>
        <v>1.1759349066167988E-2</v>
      </c>
      <c r="CA255" s="37">
        <f t="shared" si="199"/>
        <v>2.5278454507683877E-6</v>
      </c>
      <c r="CB255" s="173">
        <f t="shared" si="231"/>
        <v>2718.5316398157411</v>
      </c>
      <c r="CC255" s="9">
        <v>-259.17617756103658</v>
      </c>
      <c r="CJ255" s="9">
        <f t="shared" si="247"/>
        <v>204</v>
      </c>
      <c r="CK255" s="129">
        <v>108.63372007187222</v>
      </c>
      <c r="CL255" s="9">
        <v>6.40625</v>
      </c>
      <c r="CM255" s="129">
        <f t="shared" si="232"/>
        <v>118.68429644266621</v>
      </c>
      <c r="CN255" s="36">
        <f t="shared" si="246"/>
        <v>1.2201792070636311E-2</v>
      </c>
      <c r="CO255" s="173">
        <f t="shared" si="233"/>
        <v>2081.5953449127455</v>
      </c>
      <c r="CP255" s="9">
        <v>-630.02895964518302</v>
      </c>
      <c r="CQ255" s="129"/>
      <c r="CR255" s="36">
        <f t="shared" si="234"/>
        <v>0.72741777195371149</v>
      </c>
      <c r="CS255" s="17">
        <f t="shared" si="200"/>
        <v>0.52292683004823781</v>
      </c>
      <c r="CT255" s="9">
        <f t="shared" si="201"/>
        <v>7.3504547464994863</v>
      </c>
      <c r="CU255" s="9">
        <f t="shared" si="235"/>
        <v>120.16563137563936</v>
      </c>
      <c r="CV255" s="9">
        <v>13.2</v>
      </c>
      <c r="CW255" s="9">
        <f t="shared" si="236"/>
        <v>129.34281011588874</v>
      </c>
      <c r="CX255">
        <f t="shared" si="237"/>
        <v>22</v>
      </c>
      <c r="CY255" s="9">
        <f t="shared" si="202"/>
        <v>492.2853525070343</v>
      </c>
      <c r="CZ255" s="17">
        <f t="shared" si="238"/>
        <v>0.46354552966764062</v>
      </c>
      <c r="DA255">
        <v>45</v>
      </c>
      <c r="DB255" s="9">
        <f t="shared" si="239"/>
        <v>7.9442701992440989</v>
      </c>
      <c r="DC255" s="9">
        <f t="shared" si="240"/>
        <v>8.6717475371225916</v>
      </c>
    </row>
    <row r="256" spans="2:107" x14ac:dyDescent="0.25">
      <c r="B256" s="9">
        <f t="shared" si="241"/>
        <v>205</v>
      </c>
      <c r="C256" s="9">
        <v>112.18141514576843</v>
      </c>
      <c r="D256" s="9"/>
      <c r="E256" s="9">
        <f t="shared" si="203"/>
        <v>112.18141514576843</v>
      </c>
      <c r="F256" s="36">
        <f t="shared" si="242"/>
        <v>0</v>
      </c>
      <c r="G256" s="37">
        <f t="shared" si="187"/>
        <v>0</v>
      </c>
      <c r="H256" s="36" t="e">
        <f t="shared" si="188"/>
        <v>#DIV/0!</v>
      </c>
      <c r="I256" s="37" t="e">
        <f t="shared" si="204"/>
        <v>#DIV/0!</v>
      </c>
      <c r="J256" s="37" t="e">
        <f t="shared" si="205"/>
        <v>#DIV/0!</v>
      </c>
      <c r="K256" s="37" t="e">
        <f t="shared" si="206"/>
        <v>#DIV/0!</v>
      </c>
      <c r="L256" s="39" t="e">
        <f t="shared" si="189"/>
        <v>#DIV/0!</v>
      </c>
      <c r="M256" s="39" t="e">
        <f>M255+(1000*$C$2*(B256-B255))/(BerechnungenCLT!$W$47*2*'Berechnung freier Bereich'!G256)</f>
        <v>#DIV/0!</v>
      </c>
      <c r="N256" s="17" t="e">
        <f t="shared" si="207"/>
        <v>#DIV/0!</v>
      </c>
      <c r="O256" s="173">
        <f t="shared" si="208"/>
        <v>2136.7917783866792</v>
      </c>
      <c r="P256" s="173"/>
      <c r="Q256" s="173"/>
      <c r="R256" s="37" t="e">
        <f t="shared" si="190"/>
        <v>#DIV/0!</v>
      </c>
      <c r="S256" s="37" t="e">
        <f t="shared" si="191"/>
        <v>#DIV/0!</v>
      </c>
      <c r="T256" s="37" t="e">
        <f t="shared" si="192"/>
        <v>#DIV/0!</v>
      </c>
      <c r="U256" s="39" t="e">
        <f t="shared" si="193"/>
        <v>#DIV/0!</v>
      </c>
      <c r="V256" s="39" t="e">
        <f t="shared" si="209"/>
        <v>#DIV/0!</v>
      </c>
      <c r="W256" s="9" t="e">
        <f t="shared" si="210"/>
        <v>#DIV/0!</v>
      </c>
      <c r="AB256" s="129">
        <v>117.72324532816327</v>
      </c>
      <c r="AC256" s="9">
        <v>8.875</v>
      </c>
      <c r="AD256" s="129">
        <f t="shared" si="211"/>
        <v>127.02772562278967</v>
      </c>
      <c r="AE256" s="36">
        <f t="shared" si="243"/>
        <v>1.216228953216106E-2</v>
      </c>
      <c r="AF256" s="37">
        <f t="shared" si="212"/>
        <v>53647869.08422564</v>
      </c>
      <c r="AG256" s="36">
        <f t="shared" si="194"/>
        <v>1.9942316088922409</v>
      </c>
      <c r="AH256" s="37">
        <f t="shared" si="213"/>
        <v>-1.4675439645768428E-4</v>
      </c>
      <c r="AI256" s="37">
        <f t="shared" si="214"/>
        <v>-3.8677317969793512E-2</v>
      </c>
      <c r="AJ256" s="37">
        <f t="shared" si="215"/>
        <v>-4.193990206049941</v>
      </c>
      <c r="AK256" s="39">
        <f t="shared" si="216"/>
        <v>1.8641877207164814E-2</v>
      </c>
      <c r="AL256" s="39">
        <f>AL255+(1000*$C$2*($B256-$B255))/(BerechnungenCLT!$W$47*2*AF256)</f>
        <v>1.1123312845558311E-2</v>
      </c>
      <c r="AM256" s="37">
        <f t="shared" si="195"/>
        <v>2.3678056144850736E-6</v>
      </c>
      <c r="AN256" s="173">
        <f t="shared" si="217"/>
        <v>1795.6230722670248</v>
      </c>
      <c r="AO256" s="173">
        <v>-259.09930893810275</v>
      </c>
      <c r="AV256" s="129">
        <v>120.3199219242304</v>
      </c>
      <c r="AW256" s="9">
        <v>8.5</v>
      </c>
      <c r="AX256" s="129">
        <f t="shared" si="218"/>
        <v>128.83863886423131</v>
      </c>
      <c r="AY256" s="36">
        <f t="shared" si="244"/>
        <v>1.1335711788813105E-2</v>
      </c>
      <c r="AZ256" s="37">
        <f t="shared" si="219"/>
        <v>51804667.099347189</v>
      </c>
      <c r="BA256" s="36">
        <f t="shared" si="196"/>
        <v>1.9953323771824114</v>
      </c>
      <c r="BB256" s="37">
        <f t="shared" si="220"/>
        <v>-1.5197589502115736E-4</v>
      </c>
      <c r="BC256" s="37">
        <f t="shared" si="221"/>
        <v>-3.512864186206309E-2</v>
      </c>
      <c r="BD256" s="37">
        <f t="shared" si="222"/>
        <v>-3.8368474506415637</v>
      </c>
      <c r="BE256" s="39">
        <f t="shared" si="223"/>
        <v>1.9580367454699224E-2</v>
      </c>
      <c r="BF256" s="39">
        <f>BF255+(1000*$C$2*($B256-$B255))/(BerechnungenCLT!$W$47*2*AZ256)</f>
        <v>1.0097378666937612E-2</v>
      </c>
      <c r="BG256" s="37">
        <f t="shared" si="197"/>
        <v>2.487008334927701E-6</v>
      </c>
      <c r="BH256" s="173">
        <f t="shared" si="224"/>
        <v>1732.656198670644</v>
      </c>
      <c r="BI256">
        <v>-258.65341732355193</v>
      </c>
      <c r="BP256" s="129">
        <v>92.873094856098533</v>
      </c>
      <c r="BQ256" s="9">
        <v>13.3125</v>
      </c>
      <c r="BR256" s="129">
        <f t="shared" si="225"/>
        <v>106.41853491285926</v>
      </c>
      <c r="BS256" s="36">
        <f t="shared" si="245"/>
        <v>1.44172016058418E-2</v>
      </c>
      <c r="BT256" s="37">
        <f t="shared" si="226"/>
        <v>42298195.956224389</v>
      </c>
      <c r="BU256" s="36">
        <f t="shared" si="198"/>
        <v>1.9816487028201943</v>
      </c>
      <c r="BV256" s="37">
        <f t="shared" si="227"/>
        <v>-1.8613230353475236E-4</v>
      </c>
      <c r="BW256" s="37">
        <f t="shared" si="228"/>
        <v>-4.1063479689716999E-2</v>
      </c>
      <c r="BX256" s="37">
        <f t="shared" si="229"/>
        <v>-4.2683818154019333</v>
      </c>
      <c r="BY256" s="39">
        <f t="shared" si="230"/>
        <v>1.980792704212396E-2</v>
      </c>
      <c r="BZ256" s="39">
        <f>BZ255+(1000*$C$2*($B256-$B255))/(BerechnungenCLT!$W$47*2*BT256)</f>
        <v>1.1813160568088201E-2</v>
      </c>
      <c r="CA256" s="37">
        <f t="shared" si="199"/>
        <v>2.5159119084651942E-6</v>
      </c>
      <c r="CB256" s="173">
        <f t="shared" si="231"/>
        <v>2708.2322555794808</v>
      </c>
      <c r="CC256" s="9">
        <v>-258.1942669595594</v>
      </c>
      <c r="CJ256" s="9">
        <f t="shared" si="247"/>
        <v>205</v>
      </c>
      <c r="CK256" s="129">
        <v>107.42485510273434</v>
      </c>
      <c r="CL256" s="9">
        <v>6.515625</v>
      </c>
      <c r="CM256" s="129">
        <f t="shared" si="232"/>
        <v>117.76714412764014</v>
      </c>
      <c r="CN256" s="36">
        <f t="shared" si="246"/>
        <v>1.243851175689416E-2</v>
      </c>
      <c r="CO256" s="173">
        <f t="shared" si="233"/>
        <v>2121.0851856341515</v>
      </c>
      <c r="CP256" s="9">
        <v>-631.20454443593064</v>
      </c>
      <c r="CQ256" s="129"/>
      <c r="CR256" s="36">
        <f t="shared" si="234"/>
        <v>0.73129023919729363</v>
      </c>
      <c r="CS256" s="17">
        <f t="shared" si="200"/>
        <v>0.52571067325117915</v>
      </c>
      <c r="CT256" s="9">
        <f t="shared" si="201"/>
        <v>7.4363622405135015</v>
      </c>
      <c r="CU256" s="9">
        <f t="shared" si="235"/>
        <v>119.22863564340184</v>
      </c>
      <c r="CV256" s="9">
        <v>13.2</v>
      </c>
      <c r="CW256" s="9">
        <f t="shared" si="236"/>
        <v>128.37729099779528</v>
      </c>
      <c r="CX256">
        <f t="shared" si="237"/>
        <v>22</v>
      </c>
      <c r="CY256" s="9">
        <f t="shared" si="202"/>
        <v>497.82509949478975</v>
      </c>
      <c r="CZ256" s="17">
        <f t="shared" si="238"/>
        <v>0.46876186393106384</v>
      </c>
      <c r="DA256">
        <v>45</v>
      </c>
      <c r="DB256" s="9">
        <f t="shared" si="239"/>
        <v>8.033668038692408</v>
      </c>
      <c r="DC256" s="9">
        <f t="shared" si="240"/>
        <v>8.7650225264255788</v>
      </c>
    </row>
    <row r="257" spans="2:107" x14ac:dyDescent="0.25">
      <c r="B257" s="9">
        <f t="shared" si="241"/>
        <v>206</v>
      </c>
      <c r="C257" s="9">
        <v>112.41929185298743</v>
      </c>
      <c r="D257" s="9"/>
      <c r="E257" s="9">
        <f t="shared" si="203"/>
        <v>112.41929185298743</v>
      </c>
      <c r="F257" s="36">
        <f t="shared" si="242"/>
        <v>0</v>
      </c>
      <c r="G257" s="37">
        <f t="shared" si="187"/>
        <v>0</v>
      </c>
      <c r="H257" s="36" t="e">
        <f t="shared" si="188"/>
        <v>#DIV/0!</v>
      </c>
      <c r="I257" s="37" t="e">
        <f t="shared" si="204"/>
        <v>#DIV/0!</v>
      </c>
      <c r="J257" s="37" t="e">
        <f t="shared" si="205"/>
        <v>#DIV/0!</v>
      </c>
      <c r="K257" s="37" t="e">
        <f t="shared" si="206"/>
        <v>#DIV/0!</v>
      </c>
      <c r="L257" s="39" t="e">
        <f t="shared" si="189"/>
        <v>#DIV/0!</v>
      </c>
      <c r="M257" s="39" t="e">
        <f>M256+(1000*$C$2*(B257-B256))/(BerechnungenCLT!$W$47*2*'Berechnung freier Bereich'!G257)</f>
        <v>#DIV/0!</v>
      </c>
      <c r="N257" s="17" t="e">
        <f t="shared" si="207"/>
        <v>#DIV/0!</v>
      </c>
      <c r="O257" s="173">
        <f t="shared" si="208"/>
        <v>2127.7585383513729</v>
      </c>
      <c r="P257" s="173"/>
      <c r="Q257" s="173"/>
      <c r="R257" s="37" t="e">
        <f t="shared" si="190"/>
        <v>#DIV/0!</v>
      </c>
      <c r="S257" s="37" t="e">
        <f t="shared" si="191"/>
        <v>#DIV/0!</v>
      </c>
      <c r="T257" s="37" t="e">
        <f t="shared" si="192"/>
        <v>#DIV/0!</v>
      </c>
      <c r="U257" s="39" t="e">
        <f t="shared" si="193"/>
        <v>#DIV/0!</v>
      </c>
      <c r="V257" s="39" t="e">
        <f t="shared" si="209"/>
        <v>#DIV/0!</v>
      </c>
      <c r="W257" s="9" t="e">
        <f t="shared" si="210"/>
        <v>#DIV/0!</v>
      </c>
      <c r="AB257" s="129">
        <v>118.0380882914466</v>
      </c>
      <c r="AC257" s="9">
        <v>8.875</v>
      </c>
      <c r="AD257" s="129">
        <f t="shared" si="211"/>
        <v>127.31659803068212</v>
      </c>
      <c r="AE257" s="36">
        <f t="shared" si="243"/>
        <v>1.2158258688193034E-2</v>
      </c>
      <c r="AF257" s="37">
        <f t="shared" si="212"/>
        <v>53894175.085941322</v>
      </c>
      <c r="AG257" s="36">
        <f t="shared" si="194"/>
        <v>1.9942918302603303</v>
      </c>
      <c r="AH257" s="37">
        <f t="shared" si="213"/>
        <v>-1.4608370266623E-4</v>
      </c>
      <c r="AI257" s="37">
        <f t="shared" si="214"/>
        <v>-3.8823401672459741E-2</v>
      </c>
      <c r="AJ257" s="37">
        <f t="shared" si="215"/>
        <v>-4.232740565871068</v>
      </c>
      <c r="AK257" s="39">
        <f t="shared" si="216"/>
        <v>1.8598880051190089E-2</v>
      </c>
      <c r="AL257" s="39">
        <f>AL256+(1000*$C$2*($B257-$B256))/(BerechnungenCLT!$W$47*2*AF257)</f>
        <v>1.1165546156473458E-2</v>
      </c>
      <c r="AM257" s="37">
        <f t="shared" si="195"/>
        <v>2.3623443132334638E-6</v>
      </c>
      <c r="AN257" s="173">
        <f t="shared" si="217"/>
        <v>1786.7973875036421</v>
      </c>
      <c r="AO257" s="173">
        <v>-258.1363702186556</v>
      </c>
      <c r="AV257" s="129">
        <v>120.38632098036439</v>
      </c>
      <c r="AW257" s="9">
        <v>8.5</v>
      </c>
      <c r="AX257" s="129">
        <f t="shared" si="218"/>
        <v>128.90547335160488</v>
      </c>
      <c r="AY257" s="36">
        <f t="shared" si="244"/>
        <v>1.1342353109633463E-2</v>
      </c>
      <c r="AZ257" s="37">
        <f t="shared" si="219"/>
        <v>51890410.361874871</v>
      </c>
      <c r="BA257" s="36">
        <f t="shared" si="196"/>
        <v>1.9953368804923608</v>
      </c>
      <c r="BB257" s="37">
        <f t="shared" si="220"/>
        <v>-1.5172477137473015E-4</v>
      </c>
      <c r="BC257" s="37">
        <f t="shared" si="221"/>
        <v>-3.5280366633437817E-2</v>
      </c>
      <c r="BD257" s="37">
        <f t="shared" si="222"/>
        <v>-3.8720519548893142</v>
      </c>
      <c r="BE257" s="39">
        <f t="shared" si="223"/>
        <v>1.9558153473223622E-2</v>
      </c>
      <c r="BF257" s="39">
        <f>BF256+(1000*$C$2*($B257-$B256))/(BerechnungenCLT!$W$47*2*AZ257)</f>
        <v>1.0141242830605746E-2</v>
      </c>
      <c r="BG257" s="37">
        <f t="shared" si="197"/>
        <v>2.4841868170369071E-6</v>
      </c>
      <c r="BH257" s="173">
        <f t="shared" si="224"/>
        <v>1730.8046637051873</v>
      </c>
      <c r="BI257">
        <v>-258.4125720921553</v>
      </c>
      <c r="BP257" s="129">
        <v>93.060982758438271</v>
      </c>
      <c r="BQ257" s="9">
        <v>13.25</v>
      </c>
      <c r="BR257" s="129">
        <f t="shared" si="225"/>
        <v>106.55592685184686</v>
      </c>
      <c r="BS257" s="36">
        <f t="shared" si="245"/>
        <v>1.4386899555323497E-2</v>
      </c>
      <c r="BT257" s="37">
        <f t="shared" si="226"/>
        <v>42345113.918359518</v>
      </c>
      <c r="BU257" s="36">
        <f t="shared" si="198"/>
        <v>1.9818432495900955</v>
      </c>
      <c r="BV257" s="37">
        <f t="shared" si="227"/>
        <v>-1.8592607080655132E-4</v>
      </c>
      <c r="BW257" s="37">
        <f t="shared" si="228"/>
        <v>-4.124940576052355E-2</v>
      </c>
      <c r="BX257" s="37">
        <f t="shared" si="229"/>
        <v>-4.3095382581270538</v>
      </c>
      <c r="BY257" s="39">
        <f t="shared" si="230"/>
        <v>1.9811524800714183E-2</v>
      </c>
      <c r="BZ257" s="39">
        <f>BZ256+(1000*$C$2*($B257-$B256))/(BerechnungenCLT!$W$47*2*BT257)</f>
        <v>1.1866912447403209E-2</v>
      </c>
      <c r="CA257" s="37">
        <f t="shared" si="199"/>
        <v>2.5163688792356171E-6</v>
      </c>
      <c r="CB257" s="173">
        <f t="shared" si="231"/>
        <v>2699.4132070267433</v>
      </c>
      <c r="CC257" s="9">
        <v>-258.56741840517634</v>
      </c>
      <c r="CJ257" s="9">
        <f t="shared" si="247"/>
        <v>206</v>
      </c>
      <c r="CK257" s="129">
        <v>106.19215905634042</v>
      </c>
      <c r="CL257" s="9">
        <v>6.640625</v>
      </c>
      <c r="CM257" s="129">
        <f t="shared" si="232"/>
        <v>116.82789905935559</v>
      </c>
      <c r="CN257" s="36">
        <f t="shared" si="246"/>
        <v>1.2668069312653126E-2</v>
      </c>
      <c r="CO257" s="173">
        <f t="shared" si="233"/>
        <v>2162.5998798387086</v>
      </c>
      <c r="CP257" s="9">
        <v>-631.44467576009845</v>
      </c>
      <c r="CQ257" s="129"/>
      <c r="CR257" s="36">
        <f t="shared" si="234"/>
        <v>0.73528959960262708</v>
      </c>
      <c r="CS257" s="17">
        <f t="shared" si="200"/>
        <v>0.52858573753970262</v>
      </c>
      <c r="CT257" s="9">
        <f t="shared" si="201"/>
        <v>7.5378027007411061</v>
      </c>
      <c r="CU257" s="9">
        <f t="shared" si="235"/>
        <v>118.26483440227668</v>
      </c>
      <c r="CV257" s="9">
        <v>13.2</v>
      </c>
      <c r="CW257" s="9">
        <f t="shared" si="236"/>
        <v>127.33350765527504</v>
      </c>
      <c r="CX257">
        <f t="shared" si="237"/>
        <v>22</v>
      </c>
      <c r="CY257" s="9">
        <f t="shared" si="202"/>
        <v>503.60393512066031</v>
      </c>
      <c r="CZ257" s="17">
        <f t="shared" si="238"/>
        <v>0.47420332873885146</v>
      </c>
      <c r="DA257">
        <v>45</v>
      </c>
      <c r="DB257" s="9">
        <f t="shared" si="239"/>
        <v>8.1269241784803121</v>
      </c>
      <c r="DC257" s="9">
        <f t="shared" si="240"/>
        <v>8.8622824596685135</v>
      </c>
    </row>
    <row r="258" spans="2:107" x14ac:dyDescent="0.25">
      <c r="B258" s="9">
        <f t="shared" si="241"/>
        <v>207</v>
      </c>
      <c r="C258" s="9">
        <v>112.65760473346899</v>
      </c>
      <c r="D258" s="9"/>
      <c r="E258" s="9">
        <f t="shared" si="203"/>
        <v>112.65760473346899</v>
      </c>
      <c r="F258" s="36">
        <f t="shared" si="242"/>
        <v>0</v>
      </c>
      <c r="G258" s="37">
        <f t="shared" si="187"/>
        <v>0</v>
      </c>
      <c r="H258" s="36" t="e">
        <f t="shared" si="188"/>
        <v>#DIV/0!</v>
      </c>
      <c r="I258" s="37" t="e">
        <f t="shared" si="204"/>
        <v>#DIV/0!</v>
      </c>
      <c r="J258" s="37" t="e">
        <f t="shared" si="205"/>
        <v>#DIV/0!</v>
      </c>
      <c r="K258" s="37" t="e">
        <f t="shared" si="206"/>
        <v>#DIV/0!</v>
      </c>
      <c r="L258" s="39" t="e">
        <f t="shared" si="189"/>
        <v>#DIV/0!</v>
      </c>
      <c r="M258" s="39" t="e">
        <f>M257+(1000*$C$2*(B258-B257))/(BerechnungenCLT!$W$47*2*'Berechnung freier Bereich'!G258)</f>
        <v>#DIV/0!</v>
      </c>
      <c r="N258" s="17" t="e">
        <f t="shared" si="207"/>
        <v>#DIV/0!</v>
      </c>
      <c r="O258" s="173">
        <f t="shared" si="208"/>
        <v>2118.7660527771422</v>
      </c>
      <c r="P258" s="173"/>
      <c r="Q258" s="173"/>
      <c r="R258" s="37" t="e">
        <f t="shared" si="190"/>
        <v>#DIV/0!</v>
      </c>
      <c r="S258" s="37" t="e">
        <f t="shared" si="191"/>
        <v>#DIV/0!</v>
      </c>
      <c r="T258" s="37" t="e">
        <f t="shared" si="192"/>
        <v>#DIV/0!</v>
      </c>
      <c r="U258" s="39" t="e">
        <f t="shared" si="193"/>
        <v>#DIV/0!</v>
      </c>
      <c r="V258" s="39" t="e">
        <f t="shared" si="209"/>
        <v>#DIV/0!</v>
      </c>
      <c r="W258" s="9" t="e">
        <f t="shared" si="210"/>
        <v>#DIV/0!</v>
      </c>
      <c r="AB258" s="129">
        <v>118.34304553274765</v>
      </c>
      <c r="AC258" s="9">
        <v>8.8125</v>
      </c>
      <c r="AD258" s="129">
        <f t="shared" si="211"/>
        <v>127.53123272498514</v>
      </c>
      <c r="AE258" s="36">
        <f t="shared" si="243"/>
        <v>1.2065400061883925E-2</v>
      </c>
      <c r="AF258" s="37">
        <f t="shared" si="212"/>
        <v>53707516.839593485</v>
      </c>
      <c r="AG258" s="36">
        <f t="shared" si="194"/>
        <v>1.9944257751654799</v>
      </c>
      <c r="AH258" s="37">
        <f t="shared" si="213"/>
        <v>-1.4659141051355271E-4</v>
      </c>
      <c r="AI258" s="37">
        <f t="shared" si="214"/>
        <v>-3.8969993082973296E-2</v>
      </c>
      <c r="AJ258" s="37">
        <f t="shared" si="215"/>
        <v>-4.2716372632487847</v>
      </c>
      <c r="AK258" s="39">
        <f t="shared" si="216"/>
        <v>1.8694983289687724E-2</v>
      </c>
      <c r="AL258" s="39">
        <f>AL257+(1000*$C$2*($B258-$B257))/(BerechnungenCLT!$W$47*2*AF258)</f>
        <v>1.1207926247508349E-2</v>
      </c>
      <c r="AM258" s="37">
        <f t="shared" si="195"/>
        <v>2.3745509051531573E-6</v>
      </c>
      <c r="AN258" s="173">
        <f t="shared" si="217"/>
        <v>1779.2534951798361</v>
      </c>
      <c r="AO258" s="173">
        <v>-259.16400057567631</v>
      </c>
      <c r="AV258" s="129">
        <v>120.45348880966463</v>
      </c>
      <c r="AW258" s="9">
        <v>8.5</v>
      </c>
      <c r="AX258" s="129">
        <f t="shared" si="218"/>
        <v>128.97307268508857</v>
      </c>
      <c r="AY258" s="36">
        <f t="shared" si="244"/>
        <v>1.1349059599476208E-2</v>
      </c>
      <c r="AZ258" s="37">
        <f t="shared" si="219"/>
        <v>51977184.949715376</v>
      </c>
      <c r="BA258" s="36">
        <f t="shared" si="196"/>
        <v>1.9953414383074808</v>
      </c>
      <c r="BB258" s="37">
        <f t="shared" si="220"/>
        <v>-1.5147147072918778E-4</v>
      </c>
      <c r="BC258" s="37">
        <f t="shared" si="221"/>
        <v>-3.5431838104167002E-2</v>
      </c>
      <c r="BD258" s="37">
        <f t="shared" si="222"/>
        <v>-3.9074080572581167</v>
      </c>
      <c r="BE258" s="39">
        <f t="shared" si="223"/>
        <v>1.95357410040728E-2</v>
      </c>
      <c r="BF258" s="39">
        <f>BF257+(1000*$C$2*($B258-$B257))/(BerechnungenCLT!$W$47*2*AZ258)</f>
        <v>1.0185033764168653E-2</v>
      </c>
      <c r="BG258" s="37">
        <f t="shared" si="197"/>
        <v>2.4813400881533278E-6</v>
      </c>
      <c r="BH258" s="173">
        <f t="shared" si="224"/>
        <v>1728.9348338240186</v>
      </c>
      <c r="BI258">
        <v>-258.18070311171073</v>
      </c>
      <c r="BP258" s="129">
        <v>93.254152213471883</v>
      </c>
      <c r="BQ258" s="9">
        <v>13.25</v>
      </c>
      <c r="BR258" s="129">
        <f t="shared" si="225"/>
        <v>106.76349368369928</v>
      </c>
      <c r="BS258" s="36">
        <f t="shared" si="245"/>
        <v>1.4431161433643749E-2</v>
      </c>
      <c r="BT258" s="37">
        <f t="shared" si="226"/>
        <v>42645738.412450001</v>
      </c>
      <c r="BU258" s="36">
        <f t="shared" si="198"/>
        <v>1.981877091701024</v>
      </c>
      <c r="BV258" s="37">
        <f t="shared" si="227"/>
        <v>-1.8461541391432283E-4</v>
      </c>
      <c r="BW258" s="37">
        <f t="shared" si="228"/>
        <v>-4.1434021174437875E-2</v>
      </c>
      <c r="BX258" s="37">
        <f t="shared" si="229"/>
        <v>-4.3508799715945345</v>
      </c>
      <c r="BY258" s="39">
        <f t="shared" si="230"/>
        <v>1.9710186577355335E-2</v>
      </c>
      <c r="BZ258" s="39">
        <f>BZ257+(1000*$C$2*($B258-$B257))/(BerechnungenCLT!$W$47*2*BT258)</f>
        <v>1.1920285411212775E-2</v>
      </c>
      <c r="CA258" s="37">
        <f t="shared" si="199"/>
        <v>2.5034973635848861E-6</v>
      </c>
      <c r="CB258" s="173">
        <f t="shared" si="231"/>
        <v>2688.6074686421011</v>
      </c>
      <c r="CC258" s="9">
        <v>-257.53237424416915</v>
      </c>
      <c r="CJ258" s="9">
        <f t="shared" si="247"/>
        <v>207</v>
      </c>
      <c r="CK258" s="129">
        <v>104.94108830149024</v>
      </c>
      <c r="CL258" s="9">
        <v>6.78125</v>
      </c>
      <c r="CM258" s="129">
        <f t="shared" si="232"/>
        <v>115.87062150487027</v>
      </c>
      <c r="CN258" s="36">
        <f t="shared" si="246"/>
        <v>1.2889097486188191E-2</v>
      </c>
      <c r="CO258" s="173">
        <f t="shared" si="233"/>
        <v>2206.0727116184289</v>
      </c>
      <c r="CP258" s="9">
        <v>-630.7803478509536</v>
      </c>
      <c r="CQ258" s="129"/>
      <c r="CR258" s="36">
        <f t="shared" si="234"/>
        <v>0.73940084090544678</v>
      </c>
      <c r="CS258" s="17">
        <f t="shared" si="200"/>
        <v>0.53154123088195715</v>
      </c>
      <c r="CT258" s="9">
        <f t="shared" si="201"/>
        <v>7.6546272680464433</v>
      </c>
      <c r="CU258" s="9">
        <f t="shared" si="235"/>
        <v>117.27826845052054</v>
      </c>
      <c r="CV258" s="9">
        <v>13.2</v>
      </c>
      <c r="CW258" s="9">
        <f t="shared" si="236"/>
        <v>126.21590316373781</v>
      </c>
      <c r="CX258">
        <f t="shared" si="237"/>
        <v>22</v>
      </c>
      <c r="CY258" s="9">
        <f t="shared" si="202"/>
        <v>509.60772415557904</v>
      </c>
      <c r="CZ258" s="17">
        <f t="shared" si="238"/>
        <v>0.4798566140824661</v>
      </c>
      <c r="DA258">
        <v>45</v>
      </c>
      <c r="DB258" s="9">
        <f t="shared" si="239"/>
        <v>8.2238105109087627</v>
      </c>
      <c r="DC258" s="9">
        <f t="shared" si="240"/>
        <v>8.9632880420603804</v>
      </c>
    </row>
    <row r="259" spans="2:107" x14ac:dyDescent="0.25">
      <c r="B259" s="9">
        <f t="shared" si="241"/>
        <v>208</v>
      </c>
      <c r="C259" s="9">
        <v>112.89631305031629</v>
      </c>
      <c r="D259" s="9"/>
      <c r="E259" s="9">
        <f t="shared" si="203"/>
        <v>112.89631305031629</v>
      </c>
      <c r="F259" s="36">
        <f t="shared" si="242"/>
        <v>0</v>
      </c>
      <c r="G259" s="37">
        <f t="shared" si="187"/>
        <v>0</v>
      </c>
      <c r="H259" s="36" t="e">
        <f t="shared" si="188"/>
        <v>#DIV/0!</v>
      </c>
      <c r="I259" s="37" t="e">
        <f t="shared" si="204"/>
        <v>#DIV/0!</v>
      </c>
      <c r="J259" s="37" t="e">
        <f t="shared" si="205"/>
        <v>#DIV/0!</v>
      </c>
      <c r="K259" s="37" t="e">
        <f t="shared" si="206"/>
        <v>#DIV/0!</v>
      </c>
      <c r="L259" s="39" t="e">
        <f t="shared" si="189"/>
        <v>#DIV/0!</v>
      </c>
      <c r="M259" s="39" t="e">
        <f>M258+(1000*$C$2*(B259-B258))/(BerechnungenCLT!$W$47*2*'Berechnung freier Bereich'!G259)</f>
        <v>#DIV/0!</v>
      </c>
      <c r="N259" s="17" t="e">
        <f t="shared" si="207"/>
        <v>#DIV/0!</v>
      </c>
      <c r="O259" s="173">
        <f t="shared" si="208"/>
        <v>2109.8156740294912</v>
      </c>
      <c r="P259" s="173"/>
      <c r="Q259" s="173"/>
      <c r="R259" s="37" t="e">
        <f t="shared" si="190"/>
        <v>#DIV/0!</v>
      </c>
      <c r="S259" s="37" t="e">
        <f t="shared" si="191"/>
        <v>#DIV/0!</v>
      </c>
      <c r="T259" s="37" t="e">
        <f t="shared" si="192"/>
        <v>#DIV/0!</v>
      </c>
      <c r="U259" s="39" t="e">
        <f t="shared" si="193"/>
        <v>#DIV/0!</v>
      </c>
      <c r="V259" s="39" t="e">
        <f t="shared" si="209"/>
        <v>#DIV/0!</v>
      </c>
      <c r="W259" s="9" t="e">
        <f t="shared" si="210"/>
        <v>#DIV/0!</v>
      </c>
      <c r="AB259" s="129">
        <v>118.63813832869539</v>
      </c>
      <c r="AC259" s="9">
        <v>8.8125</v>
      </c>
      <c r="AD259" s="129">
        <f t="shared" si="211"/>
        <v>127.80215258837042</v>
      </c>
      <c r="AE259" s="36">
        <f t="shared" si="243"/>
        <v>1.2061359526833569E-2</v>
      </c>
      <c r="AF259" s="37">
        <f t="shared" si="212"/>
        <v>53936267.909606129</v>
      </c>
      <c r="AG259" s="36">
        <f t="shared" si="194"/>
        <v>1.9944803948142289</v>
      </c>
      <c r="AH259" s="37">
        <f t="shared" si="213"/>
        <v>-1.4596969634404736E-4</v>
      </c>
      <c r="AI259" s="37">
        <f t="shared" si="214"/>
        <v>-3.9115962779317344E-2</v>
      </c>
      <c r="AJ259" s="37">
        <f t="shared" si="215"/>
        <v>-4.3106802411799299</v>
      </c>
      <c r="AK259" s="39">
        <f t="shared" si="216"/>
        <v>1.8655241405440035E-2</v>
      </c>
      <c r="AL259" s="39">
        <f>AL258+(1000*$C$2*($B259-$B258))/(BerechnungenCLT!$W$47*2*AF259)</f>
        <v>1.1250126598795809E-2</v>
      </c>
      <c r="AM259" s="37">
        <f t="shared" si="195"/>
        <v>2.3695030735637656E-6</v>
      </c>
      <c r="AN259" s="173">
        <f t="shared" si="217"/>
        <v>1771.0898666488763</v>
      </c>
      <c r="AO259" s="173">
        <v>-258.25407882735135</v>
      </c>
      <c r="AV259" s="129">
        <v>120.52140993330411</v>
      </c>
      <c r="AW259" s="9">
        <v>8.5</v>
      </c>
      <c r="AX259" s="129">
        <f t="shared" si="218"/>
        <v>129.0414210898175</v>
      </c>
      <c r="AY259" s="36">
        <f t="shared" si="244"/>
        <v>1.1355829443759742E-2</v>
      </c>
      <c r="AZ259" s="37">
        <f t="shared" si="219"/>
        <v>52064972.699596107</v>
      </c>
      <c r="BA259" s="36">
        <f t="shared" si="196"/>
        <v>1.995346049528538</v>
      </c>
      <c r="BB259" s="37">
        <f t="shared" si="220"/>
        <v>-1.5121607177482431E-4</v>
      </c>
      <c r="BC259" s="37">
        <f t="shared" si="221"/>
        <v>-3.5583054175941826E-2</v>
      </c>
      <c r="BD259" s="37">
        <f t="shared" si="222"/>
        <v>-3.9429155033981713</v>
      </c>
      <c r="BE259" s="39">
        <f t="shared" si="223"/>
        <v>1.9513136793443169E-2</v>
      </c>
      <c r="BF259" s="39">
        <f>BF258+(1000*$C$2*($B259-$B258))/(BerechnungenCLT!$W$47*2*AZ259)</f>
        <v>1.0228750860997893E-2</v>
      </c>
      <c r="BG259" s="37">
        <f t="shared" si="197"/>
        <v>2.4784690051478417E-6</v>
      </c>
      <c r="BH259" s="173">
        <f t="shared" si="224"/>
        <v>1727.0472385404717</v>
      </c>
      <c r="BI259">
        <v>-257.95659844344698</v>
      </c>
      <c r="BP259" s="129">
        <v>93.452971182193949</v>
      </c>
      <c r="BQ259" s="9">
        <v>13.125</v>
      </c>
      <c r="BR259" s="129">
        <f t="shared" si="225"/>
        <v>106.85049112714808</v>
      </c>
      <c r="BS259" s="36">
        <f t="shared" si="245"/>
        <v>1.4332160486625927E-2</v>
      </c>
      <c r="BT259" s="37">
        <f t="shared" si="226"/>
        <v>42470586.598796964</v>
      </c>
      <c r="BU259" s="36">
        <f t="shared" si="198"/>
        <v>1.9822243661482017</v>
      </c>
      <c r="BV259" s="37">
        <f t="shared" si="227"/>
        <v>-1.8537678141981227E-4</v>
      </c>
      <c r="BW259" s="37">
        <f t="shared" si="228"/>
        <v>-4.1619397955857687E-2</v>
      </c>
      <c r="BX259" s="37">
        <f t="shared" si="229"/>
        <v>-4.3924066811596827</v>
      </c>
      <c r="BY259" s="39">
        <f t="shared" si="230"/>
        <v>1.9807600138276919E-2</v>
      </c>
      <c r="BZ259" s="39">
        <f>BZ258+(1000*$C$2*($B259-$B258))/(BerechnungenCLT!$W$47*2*BT259)</f>
        <v>1.1973878489039122E-2</v>
      </c>
      <c r="CA259" s="37">
        <f t="shared" si="199"/>
        <v>2.5158703866401213E-6</v>
      </c>
      <c r="CB259" s="173">
        <f t="shared" si="231"/>
        <v>2680.9401035779269</v>
      </c>
      <c r="CC259" s="9">
        <v>-259.24363867115488</v>
      </c>
      <c r="CJ259" s="9">
        <f t="shared" si="247"/>
        <v>208</v>
      </c>
      <c r="CK259" s="129">
        <v>103.67709920698373</v>
      </c>
      <c r="CL259" s="9">
        <v>6.921875</v>
      </c>
      <c r="CM259" s="129">
        <f t="shared" si="232"/>
        <v>114.8738344559156</v>
      </c>
      <c r="CN259" s="36">
        <f t="shared" si="246"/>
        <v>1.306901539360183E-2</v>
      </c>
      <c r="CO259" s="173">
        <f t="shared" si="233"/>
        <v>2251.949729557904</v>
      </c>
      <c r="CP259" s="9">
        <v>-630.81647391348383</v>
      </c>
      <c r="CQ259" s="129"/>
      <c r="CR259" s="36">
        <f t="shared" si="234"/>
        <v>0.74371950602222237</v>
      </c>
      <c r="CS259" s="17">
        <f t="shared" si="200"/>
        <v>0.53464583726721215</v>
      </c>
      <c r="CT259" s="9">
        <f t="shared" si="201"/>
        <v>7.7679927729883325</v>
      </c>
      <c r="CU259" s="9">
        <f t="shared" si="235"/>
        <v>116.24250359448949</v>
      </c>
      <c r="CV259" s="9">
        <v>13.2</v>
      </c>
      <c r="CW259" s="9">
        <f t="shared" si="236"/>
        <v>125.0292480518994</v>
      </c>
      <c r="CX259">
        <f t="shared" si="237"/>
        <v>22</v>
      </c>
      <c r="CY259" s="9">
        <f t="shared" si="202"/>
        <v>515.82065459765249</v>
      </c>
      <c r="CZ259" s="17">
        <f t="shared" si="238"/>
        <v>0.4857068310712358</v>
      </c>
      <c r="DA259">
        <v>45</v>
      </c>
      <c r="DB259" s="9">
        <f t="shared" si="239"/>
        <v>8.3240718693050297</v>
      </c>
      <c r="DC259" s="9">
        <f t="shared" si="240"/>
        <v>9.0678721151346391</v>
      </c>
    </row>
    <row r="260" spans="2:107" x14ac:dyDescent="0.25">
      <c r="B260" s="9">
        <f t="shared" si="241"/>
        <v>209</v>
      </c>
      <c r="C260" s="9">
        <v>113.13537606663249</v>
      </c>
      <c r="D260" s="9"/>
      <c r="E260" s="9">
        <f t="shared" si="203"/>
        <v>113.13537606663249</v>
      </c>
      <c r="F260" s="36">
        <f t="shared" si="242"/>
        <v>0</v>
      </c>
      <c r="G260" s="37">
        <f t="shared" si="187"/>
        <v>0</v>
      </c>
      <c r="H260" s="36" t="e">
        <f t="shared" si="188"/>
        <v>#DIV/0!</v>
      </c>
      <c r="I260" s="37" t="e">
        <f t="shared" si="204"/>
        <v>#DIV/0!</v>
      </c>
      <c r="J260" s="37" t="e">
        <f t="shared" si="205"/>
        <v>#DIV/0!</v>
      </c>
      <c r="K260" s="37" t="e">
        <f t="shared" si="206"/>
        <v>#DIV/0!</v>
      </c>
      <c r="L260" s="39" t="e">
        <f t="shared" si="189"/>
        <v>#DIV/0!</v>
      </c>
      <c r="M260" s="39" t="e">
        <f>M259+(1000*$C$2*(B260-B259))/(BerechnungenCLT!$W$47*2*'Berechnung freier Bereich'!G260)</f>
        <v>#DIV/0!</v>
      </c>
      <c r="N260" s="17" t="e">
        <f t="shared" si="207"/>
        <v>#DIV/0!</v>
      </c>
      <c r="O260" s="173">
        <f t="shared" si="208"/>
        <v>2100.9087163234817</v>
      </c>
      <c r="P260" s="173"/>
      <c r="Q260" s="173"/>
      <c r="R260" s="37" t="e">
        <f t="shared" si="190"/>
        <v>#DIV/0!</v>
      </c>
      <c r="S260" s="37" t="e">
        <f t="shared" si="191"/>
        <v>#DIV/0!</v>
      </c>
      <c r="T260" s="37" t="e">
        <f t="shared" si="192"/>
        <v>#DIV/0!</v>
      </c>
      <c r="U260" s="39" t="e">
        <f t="shared" si="193"/>
        <v>#DIV/0!</v>
      </c>
      <c r="V260" s="39" t="e">
        <f t="shared" si="209"/>
        <v>#DIV/0!</v>
      </c>
      <c r="W260" s="9" t="e">
        <f t="shared" si="210"/>
        <v>#DIV/0!</v>
      </c>
      <c r="AB260" s="129">
        <v>118.92338795591871</v>
      </c>
      <c r="AC260" s="9">
        <v>8.8125</v>
      </c>
      <c r="AD260" s="129">
        <f t="shared" si="211"/>
        <v>128.06403835193413</v>
      </c>
      <c r="AE260" s="36">
        <f t="shared" si="243"/>
        <v>1.2057318619189463E-2</v>
      </c>
      <c r="AF260" s="37">
        <f t="shared" si="212"/>
        <v>54157166.735307716</v>
      </c>
      <c r="AG260" s="36">
        <f t="shared" si="194"/>
        <v>1.9945326991199093</v>
      </c>
      <c r="AH260" s="37">
        <f t="shared" si="213"/>
        <v>-1.4537430820884428E-4</v>
      </c>
      <c r="AI260" s="37">
        <f t="shared" si="214"/>
        <v>-3.9261337087526188E-2</v>
      </c>
      <c r="AJ260" s="37">
        <f t="shared" si="215"/>
        <v>-4.3498688911133518</v>
      </c>
      <c r="AK260" s="39">
        <f t="shared" si="216"/>
        <v>1.8617220981843326E-2</v>
      </c>
      <c r="AL260" s="39">
        <f>AL259+(1000*$C$2*($B260-$B259))/(BerechnungenCLT!$W$47*2*AF260)</f>
        <v>1.1292154821284709E-2</v>
      </c>
      <c r="AM260" s="37">
        <f t="shared" si="195"/>
        <v>2.364673893999017E-6</v>
      </c>
      <c r="AN260" s="173">
        <f t="shared" si="217"/>
        <v>1763.2517944822869</v>
      </c>
      <c r="AO260" s="173">
        <v>-257.37267464053502</v>
      </c>
      <c r="AV260" s="129">
        <v>120.59006887245582</v>
      </c>
      <c r="AW260" s="9">
        <v>8.5</v>
      </c>
      <c r="AX260" s="129">
        <f t="shared" si="218"/>
        <v>129.11050279707524</v>
      </c>
      <c r="AY260" s="36">
        <f t="shared" si="244"/>
        <v>1.1362660835034637E-2</v>
      </c>
      <c r="AZ260" s="37">
        <f t="shared" si="219"/>
        <v>52153755.424064174</v>
      </c>
      <c r="BA260" s="36">
        <f t="shared" si="196"/>
        <v>1.9953507130533177</v>
      </c>
      <c r="BB260" s="37">
        <f t="shared" si="220"/>
        <v>-1.5095865263546675E-4</v>
      </c>
      <c r="BC260" s="37">
        <f t="shared" si="221"/>
        <v>-3.5734012828577293E-2</v>
      </c>
      <c r="BD260" s="37">
        <f t="shared" si="222"/>
        <v>-3.9785740369004308</v>
      </c>
      <c r="BE260" s="39">
        <f t="shared" si="223"/>
        <v>1.949034754333414E-2</v>
      </c>
      <c r="BF260" s="39">
        <f>BF259+(1000*$C$2*($B260-$B259))/(BerechnungenCLT!$W$47*2*AZ260)</f>
        <v>1.0272393537050895E-2</v>
      </c>
      <c r="BG260" s="37">
        <f t="shared" si="197"/>
        <v>2.4755744192776304E-6</v>
      </c>
      <c r="BH260" s="173">
        <f t="shared" si="224"/>
        <v>1725.1424051627623</v>
      </c>
      <c r="BI260">
        <v>-257.73904903777674</v>
      </c>
      <c r="BP260" s="129">
        <v>93.657807625598906</v>
      </c>
      <c r="BQ260" s="9">
        <v>13.125</v>
      </c>
      <c r="BR260" s="129">
        <f t="shared" si="225"/>
        <v>107.07239674021201</v>
      </c>
      <c r="BS260" s="36">
        <f t="shared" si="245"/>
        <v>1.4380993689710129E-2</v>
      </c>
      <c r="BT260" s="37">
        <f t="shared" si="226"/>
        <v>42796743.996316463</v>
      </c>
      <c r="BU260" s="36">
        <f t="shared" si="198"/>
        <v>1.982254532975936</v>
      </c>
      <c r="BV260" s="37">
        <f t="shared" si="227"/>
        <v>-1.8396401019138352E-4</v>
      </c>
      <c r="BW260" s="37">
        <f t="shared" si="228"/>
        <v>-4.1803361966049071E-2</v>
      </c>
      <c r="BX260" s="37">
        <f t="shared" si="229"/>
        <v>-4.4341180611206363</v>
      </c>
      <c r="BY260" s="39">
        <f t="shared" si="230"/>
        <v>1.9697467485132222E-2</v>
      </c>
      <c r="BZ260" s="39">
        <f>BZ259+(1000*$C$2*($B260-$B259))/(BerechnungenCLT!$W$47*2*BT260)</f>
        <v>1.2027063129747205E-2</v>
      </c>
      <c r="CA260" s="37">
        <f t="shared" si="199"/>
        <v>2.5018818429137458E-6</v>
      </c>
      <c r="CB260" s="173">
        <f t="shared" si="231"/>
        <v>2669.5531398680741</v>
      </c>
      <c r="CC260" s="9">
        <v>-258.1425331665526</v>
      </c>
      <c r="CJ260" s="9">
        <f t="shared" si="247"/>
        <v>209</v>
      </c>
      <c r="CK260" s="129">
        <v>102.40564814162065</v>
      </c>
      <c r="CL260" s="9">
        <v>7.078125</v>
      </c>
      <c r="CM260" s="129">
        <f t="shared" si="232"/>
        <v>113.86629294639815</v>
      </c>
      <c r="CN260" s="36">
        <f t="shared" si="246"/>
        <v>1.3237562543851653E-2</v>
      </c>
      <c r="CO260" s="173">
        <f t="shared" si="233"/>
        <v>2299.6601922566056</v>
      </c>
      <c r="CP260" s="9">
        <v>-629.96080129744826</v>
      </c>
      <c r="CQ260" s="129"/>
      <c r="CR260" s="36">
        <f t="shared" si="234"/>
        <v>0.74812395917297159</v>
      </c>
      <c r="CS260" s="17">
        <f t="shared" si="200"/>
        <v>0.537812115041855</v>
      </c>
      <c r="CT260" s="9">
        <f t="shared" si="201"/>
        <v>7.8965774128563258</v>
      </c>
      <c r="CU260" s="9">
        <f t="shared" si="235"/>
        <v>115.19150158475357</v>
      </c>
      <c r="CV260" s="9">
        <v>13.2</v>
      </c>
      <c r="CW260" s="9">
        <f t="shared" si="236"/>
        <v>123.7786122278812</v>
      </c>
      <c r="CX260">
        <f t="shared" si="237"/>
        <v>22</v>
      </c>
      <c r="CY260" s="9">
        <f t="shared" si="202"/>
        <v>522.2249958886473</v>
      </c>
      <c r="CZ260" s="17">
        <f t="shared" si="238"/>
        <v>0.49173728426426294</v>
      </c>
      <c r="DA260">
        <v>45</v>
      </c>
      <c r="DB260" s="9">
        <f t="shared" si="239"/>
        <v>8.427422126233731</v>
      </c>
      <c r="DC260" s="9">
        <f t="shared" si="240"/>
        <v>9.1756391668572466</v>
      </c>
    </row>
    <row r="261" spans="2:107" x14ac:dyDescent="0.25">
      <c r="B261" s="9">
        <f t="shared" si="241"/>
        <v>210</v>
      </c>
      <c r="C261" s="9">
        <v>113.37475304552079</v>
      </c>
      <c r="D261" s="9"/>
      <c r="E261" s="9">
        <f t="shared" si="203"/>
        <v>113.37475304552079</v>
      </c>
      <c r="F261" s="36">
        <f t="shared" si="242"/>
        <v>0</v>
      </c>
      <c r="G261" s="37">
        <f t="shared" si="187"/>
        <v>0</v>
      </c>
      <c r="H261" s="36" t="e">
        <f t="shared" si="188"/>
        <v>#DIV/0!</v>
      </c>
      <c r="I261" s="37" t="e">
        <f t="shared" si="204"/>
        <v>#DIV/0!</v>
      </c>
      <c r="J261" s="37" t="e">
        <f t="shared" si="205"/>
        <v>#DIV/0!</v>
      </c>
      <c r="K261" s="37" t="e">
        <f t="shared" si="206"/>
        <v>#DIV/0!</v>
      </c>
      <c r="L261" s="39" t="e">
        <f t="shared" si="189"/>
        <v>#DIV/0!</v>
      </c>
      <c r="M261" s="39" t="e">
        <f>M260+(1000*$C$2*(B261-B260))/(BerechnungenCLT!$W$47*2*'Berechnung freier Bereich'!G261)</f>
        <v>#DIV/0!</v>
      </c>
      <c r="N261" s="17" t="e">
        <f t="shared" si="207"/>
        <v>#DIV/0!</v>
      </c>
      <c r="O261" s="173">
        <f t="shared" si="208"/>
        <v>2092.0464563898668</v>
      </c>
      <c r="P261" s="173"/>
      <c r="Q261" s="173"/>
      <c r="R261" s="37" t="e">
        <f t="shared" si="190"/>
        <v>#DIV/0!</v>
      </c>
      <c r="S261" s="37" t="e">
        <f t="shared" si="191"/>
        <v>#DIV/0!</v>
      </c>
      <c r="T261" s="37" t="e">
        <f t="shared" si="192"/>
        <v>#DIV/0!</v>
      </c>
      <c r="U261" s="39" t="e">
        <f t="shared" si="193"/>
        <v>#DIV/0!</v>
      </c>
      <c r="V261" s="39" t="e">
        <f t="shared" si="209"/>
        <v>#DIV/0!</v>
      </c>
      <c r="W261" s="9" t="e">
        <f t="shared" si="210"/>
        <v>#DIV/0!</v>
      </c>
      <c r="AB261" s="129">
        <v>119.19881569104658</v>
      </c>
      <c r="AC261" s="9">
        <v>8.75</v>
      </c>
      <c r="AD261" s="129">
        <f t="shared" si="211"/>
        <v>128.25224482110198</v>
      </c>
      <c r="AE261" s="36">
        <f t="shared" si="243"/>
        <v>1.1964683638375733E-2</v>
      </c>
      <c r="AF261" s="37">
        <f t="shared" si="212"/>
        <v>53941361.472033575</v>
      </c>
      <c r="AG261" s="36">
        <f t="shared" si="194"/>
        <v>1.9946563718139958</v>
      </c>
      <c r="AH261" s="37">
        <f t="shared" si="213"/>
        <v>-1.4595591275126153E-4</v>
      </c>
      <c r="AI261" s="37">
        <f t="shared" si="214"/>
        <v>-3.9407293000277448E-2</v>
      </c>
      <c r="AJ261" s="37">
        <f t="shared" si="215"/>
        <v>-4.3892032061572532</v>
      </c>
      <c r="AK261" s="39">
        <f t="shared" si="216"/>
        <v>1.8719173455262195E-2</v>
      </c>
      <c r="AL261" s="39">
        <f>AL260+(1000*$C$2*($B261-$B260))/(BerechnungenCLT!$W$47*2*AF261)</f>
        <v>1.1334351187687141E-2</v>
      </c>
      <c r="AM261" s="37">
        <f t="shared" si="195"/>
        <v>2.3776234288709156E-6</v>
      </c>
      <c r="AN261" s="173">
        <f t="shared" si="217"/>
        <v>1756.6505862509007</v>
      </c>
      <c r="AO261" s="173">
        <v>-258.48500532251302</v>
      </c>
      <c r="AV261" s="129">
        <v>120.65945014829272</v>
      </c>
      <c r="AW261" s="9">
        <v>8.5</v>
      </c>
      <c r="AX261" s="129">
        <f t="shared" si="218"/>
        <v>129.18030204429061</v>
      </c>
      <c r="AY261" s="36">
        <f t="shared" si="244"/>
        <v>1.1369551972986079E-2</v>
      </c>
      <c r="AZ261" s="37">
        <f t="shared" si="219"/>
        <v>52243514.909166351</v>
      </c>
      <c r="BA261" s="36">
        <f t="shared" si="196"/>
        <v>1.9953554277768453</v>
      </c>
      <c r="BB261" s="37">
        <f t="shared" si="220"/>
        <v>-1.5069929085715153E-4</v>
      </c>
      <c r="BC261" s="37">
        <f t="shared" si="221"/>
        <v>-3.5884712119434448E-2</v>
      </c>
      <c r="BD261" s="37">
        <f t="shared" si="222"/>
        <v>-4.0143833993744362</v>
      </c>
      <c r="BE261" s="39">
        <f t="shared" si="223"/>
        <v>1.9467379910787237E-2</v>
      </c>
      <c r="BF261" s="39">
        <f>BF260+(1000*$C$2*($B261-$B260))/(BerechnungenCLT!$W$47*2*AZ261)</f>
        <v>1.0315961230703921E-2</v>
      </c>
      <c r="BG261" s="37">
        <f t="shared" si="197"/>
        <v>2.4726571760895315E-6</v>
      </c>
      <c r="BH261" s="173">
        <f t="shared" si="224"/>
        <v>1723.2208587227301</v>
      </c>
      <c r="BI261">
        <v>-257.52684825099175</v>
      </c>
      <c r="BP261" s="129">
        <v>93.86902950468135</v>
      </c>
      <c r="BQ261" s="9">
        <v>13.0625</v>
      </c>
      <c r="BR261" s="129">
        <f t="shared" si="225"/>
        <v>107.23824919598646</v>
      </c>
      <c r="BS261" s="36">
        <f t="shared" si="245"/>
        <v>1.4359279312988332E-2</v>
      </c>
      <c r="BT261" s="37">
        <f t="shared" si="226"/>
        <v>42890822.665704608</v>
      </c>
      <c r="BU261" s="36">
        <f t="shared" si="198"/>
        <v>1.9824391717973653</v>
      </c>
      <c r="BV261" s="37">
        <f t="shared" si="227"/>
        <v>-1.8356049521502118E-4</v>
      </c>
      <c r="BW261" s="37">
        <f t="shared" si="228"/>
        <v>-4.1986922461264092E-2</v>
      </c>
      <c r="BX261" s="37">
        <f t="shared" si="229"/>
        <v>-4.4760132033342925</v>
      </c>
      <c r="BY261" s="39">
        <f t="shared" si="230"/>
        <v>1.9684706128407121E-2</v>
      </c>
      <c r="BZ261" s="39">
        <f>BZ260+(1000*$C$2*($B261-$B260))/(BerechnungenCLT!$W$47*2*BT261)</f>
        <v>1.2080131112860057E-2</v>
      </c>
      <c r="CA261" s="37">
        <f t="shared" si="199"/>
        <v>2.5002609539996977E-6</v>
      </c>
      <c r="CB261" s="173">
        <f t="shared" si="231"/>
        <v>2659.5517487758289</v>
      </c>
      <c r="CC261" s="9">
        <v>-258.40591520250621</v>
      </c>
      <c r="CJ261" s="9">
        <f t="shared" si="247"/>
        <v>210</v>
      </c>
      <c r="CK261" s="129">
        <v>101.13219147420089</v>
      </c>
      <c r="CL261" s="9">
        <v>7.21875</v>
      </c>
      <c r="CM261" s="129">
        <f t="shared" si="232"/>
        <v>112.80094970353916</v>
      </c>
      <c r="CN261" s="36">
        <f t="shared" si="246"/>
        <v>1.3332190286882152E-2</v>
      </c>
      <c r="CO261" s="173">
        <f t="shared" si="233"/>
        <v>2350.2165917295074</v>
      </c>
      <c r="CP261" s="9">
        <v>-631.2682889524084</v>
      </c>
      <c r="CQ261" s="129"/>
      <c r="CR261" s="36">
        <f t="shared" si="234"/>
        <v>0.75282398662141392</v>
      </c>
      <c r="CS261" s="17">
        <f t="shared" si="200"/>
        <v>0.54119087556918233</v>
      </c>
      <c r="CT261" s="9">
        <f t="shared" si="201"/>
        <v>8.0031837111901218</v>
      </c>
      <c r="CU261" s="9">
        <f t="shared" si="235"/>
        <v>114.06894864003372</v>
      </c>
      <c r="CV261" s="9">
        <v>13.2</v>
      </c>
      <c r="CW261" s="9">
        <f t="shared" si="236"/>
        <v>122.46934937927659</v>
      </c>
      <c r="CX261">
        <f t="shared" si="237"/>
        <v>22</v>
      </c>
      <c r="CY261" s="9">
        <f t="shared" si="202"/>
        <v>528.8008536171659</v>
      </c>
      <c r="CZ261" s="17">
        <f t="shared" si="238"/>
        <v>0.49792924069412986</v>
      </c>
      <c r="DA261">
        <v>45</v>
      </c>
      <c r="DB261" s="9">
        <f t="shared" si="239"/>
        <v>8.533540235011694</v>
      </c>
      <c r="DC261" s="9">
        <f t="shared" si="240"/>
        <v>9.2864609108568814</v>
      </c>
    </row>
    <row r="262" spans="2:107" x14ac:dyDescent="0.25">
      <c r="B262" s="9">
        <f t="shared" si="241"/>
        <v>211</v>
      </c>
      <c r="C262" s="9">
        <v>113.61440325008438</v>
      </c>
      <c r="D262" s="9"/>
      <c r="E262" s="9">
        <f t="shared" si="203"/>
        <v>113.61440325008438</v>
      </c>
      <c r="F262" s="36">
        <f t="shared" si="242"/>
        <v>0</v>
      </c>
      <c r="G262" s="37">
        <f t="shared" si="187"/>
        <v>0</v>
      </c>
      <c r="H262" s="36" t="e">
        <f t="shared" si="188"/>
        <v>#DIV/0!</v>
      </c>
      <c r="I262" s="37" t="e">
        <f t="shared" si="204"/>
        <v>#DIV/0!</v>
      </c>
      <c r="J262" s="37" t="e">
        <f t="shared" si="205"/>
        <v>#DIV/0!</v>
      </c>
      <c r="K262" s="37" t="e">
        <f t="shared" si="206"/>
        <v>#DIV/0!</v>
      </c>
      <c r="L262" s="39" t="e">
        <f t="shared" si="189"/>
        <v>#DIV/0!</v>
      </c>
      <c r="M262" s="39" t="e">
        <f>M261+(1000*$C$2*(B262-B261))/(BerechnungenCLT!$W$47*2*'Berechnung freier Bereich'!G262)</f>
        <v>#DIV/0!</v>
      </c>
      <c r="N262" s="17" t="e">
        <f t="shared" si="207"/>
        <v>#DIV/0!</v>
      </c>
      <c r="O262" s="173">
        <f t="shared" si="208"/>
        <v>2083.2301341476968</v>
      </c>
      <c r="P262" s="173"/>
      <c r="Q262" s="173"/>
      <c r="R262" s="37" t="e">
        <f t="shared" si="190"/>
        <v>#DIV/0!</v>
      </c>
      <c r="S262" s="37" t="e">
        <f t="shared" si="191"/>
        <v>#DIV/0!</v>
      </c>
      <c r="T262" s="37" t="e">
        <f t="shared" si="192"/>
        <v>#DIV/0!</v>
      </c>
      <c r="U262" s="39" t="e">
        <f t="shared" si="193"/>
        <v>#DIV/0!</v>
      </c>
      <c r="V262" s="39" t="e">
        <f t="shared" si="209"/>
        <v>#DIV/0!</v>
      </c>
      <c r="W262" s="9" t="e">
        <f t="shared" si="210"/>
        <v>#DIV/0!</v>
      </c>
      <c r="AB262" s="129">
        <v>119.46444281070789</v>
      </c>
      <c r="AC262" s="9">
        <v>8.75</v>
      </c>
      <c r="AD262" s="129">
        <f t="shared" si="211"/>
        <v>128.49628286588464</v>
      </c>
      <c r="AE262" s="36">
        <f t="shared" si="243"/>
        <v>1.1960736720793669E-2</v>
      </c>
      <c r="AF262" s="37">
        <f t="shared" si="212"/>
        <v>54145283.86415039</v>
      </c>
      <c r="AG262" s="36">
        <f t="shared" si="194"/>
        <v>1.9947035723652411</v>
      </c>
      <c r="AH262" s="37">
        <f t="shared" si="213"/>
        <v>-1.4540621244963403E-4</v>
      </c>
      <c r="AI262" s="37">
        <f t="shared" si="214"/>
        <v>-3.9552699212727083E-2</v>
      </c>
      <c r="AJ262" s="37">
        <f t="shared" si="215"/>
        <v>-4.4286832022637554</v>
      </c>
      <c r="AK262" s="39">
        <f t="shared" si="216"/>
        <v>1.8684157805385092E-2</v>
      </c>
      <c r="AL262" s="39">
        <f>AL261+(1000*$C$2*($B262-$B261))/(BerechnungenCLT!$W$47*2*AF262)</f>
        <v>1.1376388633803976E-2</v>
      </c>
      <c r="AM262" s="37">
        <f t="shared" si="195"/>
        <v>2.3731759018621022E-6</v>
      </c>
      <c r="AN262" s="173">
        <f t="shared" si="217"/>
        <v>1749.4366737099035</v>
      </c>
      <c r="AO262" s="173">
        <v>-257.65031978850681</v>
      </c>
      <c r="AV262" s="129">
        <v>120.7295382819878</v>
      </c>
      <c r="AW262" s="9">
        <v>8.5</v>
      </c>
      <c r="AX262" s="129">
        <f t="shared" si="218"/>
        <v>129.25080307503481</v>
      </c>
      <c r="AY262" s="36">
        <f t="shared" si="244"/>
        <v>1.1376501064438218E-2</v>
      </c>
      <c r="AZ262" s="37">
        <f t="shared" si="219"/>
        <v>52334232.912195042</v>
      </c>
      <c r="BA262" s="36">
        <f t="shared" si="196"/>
        <v>1.995360192591588</v>
      </c>
      <c r="BB262" s="37">
        <f t="shared" si="220"/>
        <v>-1.5043806339734835E-4</v>
      </c>
      <c r="BC262" s="37">
        <f t="shared" si="221"/>
        <v>-3.6035150182831793E-2</v>
      </c>
      <c r="BD262" s="37">
        <f t="shared" si="222"/>
        <v>-4.0503433305255694</v>
      </c>
      <c r="BE262" s="39">
        <f t="shared" si="223"/>
        <v>1.9444240507160274E-2</v>
      </c>
      <c r="BF262" s="39">
        <f>BF261+(1000*$C$2*($B262-$B261))/(BerechnungenCLT!$W$47*2*AZ262)</f>
        <v>1.0359453402581912E-2</v>
      </c>
      <c r="BG262" s="37">
        <f t="shared" si="197"/>
        <v>2.469718115327845E-6</v>
      </c>
      <c r="BH262" s="173">
        <f t="shared" si="224"/>
        <v>1721.2831219071024</v>
      </c>
      <c r="BI262">
        <v>-257.31879144703925</v>
      </c>
      <c r="BP262" s="129">
        <v>94.087004780435763</v>
      </c>
      <c r="BQ262" s="9">
        <v>13</v>
      </c>
      <c r="BR262" s="129">
        <f t="shared" si="225"/>
        <v>107.41228059558442</v>
      </c>
      <c r="BS262" s="36">
        <f t="shared" si="245"/>
        <v>1.4339978870429546E-2</v>
      </c>
      <c r="BT262" s="37">
        <f t="shared" si="226"/>
        <v>42998347.543866858</v>
      </c>
      <c r="BU262" s="36">
        <f t="shared" si="198"/>
        <v>1.9826210431240088</v>
      </c>
      <c r="BV262" s="37">
        <f t="shared" si="227"/>
        <v>-1.8310147013590015E-4</v>
      </c>
      <c r="BW262" s="37">
        <f t="shared" si="228"/>
        <v>-4.2170023931399993E-2</v>
      </c>
      <c r="BX262" s="37">
        <f t="shared" si="229"/>
        <v>-4.5180916765306245</v>
      </c>
      <c r="BY262" s="39">
        <f t="shared" si="230"/>
        <v>1.9667346487701326E-2</v>
      </c>
      <c r="BZ262" s="39">
        <f>BZ261+(1000*$C$2*($B262-$B261))/(BerechnungenCLT!$W$47*2*BT262)</f>
        <v>1.2133066390212235E-2</v>
      </c>
      <c r="CA262" s="37">
        <f t="shared" si="199"/>
        <v>2.4980560121758762E-6</v>
      </c>
      <c r="CB262" s="173">
        <f t="shared" si="231"/>
        <v>2649.2137675651738</v>
      </c>
      <c r="CC262" s="9">
        <v>-258.63896894391547</v>
      </c>
      <c r="CJ262" s="9">
        <f t="shared" si="247"/>
        <v>211</v>
      </c>
      <c r="CK262" s="129">
        <v>99.862185573524329</v>
      </c>
      <c r="CL262" s="9">
        <v>7.375</v>
      </c>
      <c r="CM262" s="129">
        <f t="shared" si="232"/>
        <v>111.73197278607697</v>
      </c>
      <c r="CN262" s="36">
        <f t="shared" si="246"/>
        <v>1.3413601540750386E-2</v>
      </c>
      <c r="CO262" s="173">
        <f t="shared" si="233"/>
        <v>2402.4628267283852</v>
      </c>
      <c r="CP262" s="9">
        <v>-631.62998546507481</v>
      </c>
      <c r="CQ262" s="129"/>
      <c r="CR262" s="36">
        <f t="shared" si="234"/>
        <v>0.75758435590933848</v>
      </c>
      <c r="CS262" s="17">
        <f t="shared" si="200"/>
        <v>0.54461301469964041</v>
      </c>
      <c r="CT262" s="9">
        <f t="shared" si="201"/>
        <v>8.1250353564180475</v>
      </c>
      <c r="CU262" s="9">
        <f t="shared" si="235"/>
        <v>112.93912669557844</v>
      </c>
      <c r="CV262" s="9">
        <v>13.2</v>
      </c>
      <c r="CW262" s="9">
        <f t="shared" si="236"/>
        <v>121.10709285565244</v>
      </c>
      <c r="CX262">
        <f t="shared" si="237"/>
        <v>22</v>
      </c>
      <c r="CY262" s="9">
        <f t="shared" si="202"/>
        <v>535.52592377780388</v>
      </c>
      <c r="CZ262" s="17">
        <f t="shared" si="238"/>
        <v>0.50426169847250835</v>
      </c>
      <c r="DA262">
        <v>45</v>
      </c>
      <c r="DB262" s="9">
        <f t="shared" si="239"/>
        <v>8.6420662640574584</v>
      </c>
      <c r="DC262" s="9">
        <f t="shared" si="240"/>
        <v>9.399750416857982</v>
      </c>
    </row>
    <row r="263" spans="2:107" x14ac:dyDescent="0.25">
      <c r="B263" s="9">
        <f t="shared" si="241"/>
        <v>212</v>
      </c>
      <c r="C263" s="9">
        <v>113.85428594342645</v>
      </c>
      <c r="D263" s="9"/>
      <c r="E263" s="9">
        <f t="shared" si="203"/>
        <v>113.85428594342645</v>
      </c>
      <c r="F263" s="36">
        <f t="shared" si="242"/>
        <v>0</v>
      </c>
      <c r="G263" s="37">
        <f t="shared" si="187"/>
        <v>0</v>
      </c>
      <c r="H263" s="36" t="e">
        <f t="shared" si="188"/>
        <v>#DIV/0!</v>
      </c>
      <c r="I263" s="37" t="e">
        <f t="shared" si="204"/>
        <v>#DIV/0!</v>
      </c>
      <c r="J263" s="37" t="e">
        <f t="shared" si="205"/>
        <v>#DIV/0!</v>
      </c>
      <c r="K263" s="37" t="e">
        <f t="shared" si="206"/>
        <v>#DIV/0!</v>
      </c>
      <c r="L263" s="39" t="e">
        <f t="shared" si="189"/>
        <v>#DIV/0!</v>
      </c>
      <c r="M263" s="39" t="e">
        <f>M262+(1000*$C$2*(B263-B262))/(BerechnungenCLT!$W$47*2*'Berechnung freier Bereich'!G263)</f>
        <v>#DIV/0!</v>
      </c>
      <c r="N263" s="17" t="e">
        <f t="shared" si="207"/>
        <v>#DIV/0!</v>
      </c>
      <c r="O263" s="173">
        <f t="shared" si="208"/>
        <v>2074.4609533825637</v>
      </c>
      <c r="P263" s="173"/>
      <c r="Q263" s="173"/>
      <c r="R263" s="37" t="e">
        <f t="shared" si="190"/>
        <v>#DIV/0!</v>
      </c>
      <c r="S263" s="37" t="e">
        <f t="shared" si="191"/>
        <v>#DIV/0!</v>
      </c>
      <c r="T263" s="37" t="e">
        <f t="shared" si="192"/>
        <v>#DIV/0!</v>
      </c>
      <c r="U263" s="39" t="e">
        <f t="shared" si="193"/>
        <v>#DIV/0!</v>
      </c>
      <c r="V263" s="39" t="e">
        <f t="shared" si="209"/>
        <v>#DIV/0!</v>
      </c>
      <c r="W263" s="9" t="e">
        <f t="shared" si="210"/>
        <v>#DIV/0!</v>
      </c>
      <c r="AB263" s="129">
        <v>119.72029059153162</v>
      </c>
      <c r="AC263" s="9">
        <v>8.6875</v>
      </c>
      <c r="AD263" s="129">
        <f t="shared" si="211"/>
        <v>128.66698224844126</v>
      </c>
      <c r="AE263" s="36">
        <f t="shared" si="243"/>
        <v>1.1868357046688064E-2</v>
      </c>
      <c r="AF263" s="37">
        <f t="shared" si="212"/>
        <v>53910511.410508879</v>
      </c>
      <c r="AG263" s="36">
        <f t="shared" si="194"/>
        <v>1.9948205728844692</v>
      </c>
      <c r="AH263" s="37">
        <f t="shared" si="213"/>
        <v>-1.4603943540334664E-4</v>
      </c>
      <c r="AI263" s="37">
        <f t="shared" si="214"/>
        <v>-3.9698738648130429E-2</v>
      </c>
      <c r="AJ263" s="37">
        <f t="shared" si="215"/>
        <v>-4.4683089211941844</v>
      </c>
      <c r="AK263" s="39">
        <f t="shared" si="216"/>
        <v>1.8790453442614787E-2</v>
      </c>
      <c r="AL263" s="39">
        <f>AL262+(1000*$C$2*($B263-$B262))/(BerechnungenCLT!$W$47*2*AF263)</f>
        <v>1.1418609146898131E-2</v>
      </c>
      <c r="AM263" s="37">
        <f t="shared" si="195"/>
        <v>2.38667708545165E-6</v>
      </c>
      <c r="AN263" s="173">
        <f t="shared" si="217"/>
        <v>1743.4333345276211</v>
      </c>
      <c r="AO263" s="173">
        <v>-258.82224746527874</v>
      </c>
      <c r="AV263" s="129">
        <v>120.80031779471405</v>
      </c>
      <c r="AW263" s="9">
        <v>8.4375</v>
      </c>
      <c r="AX263" s="129">
        <f t="shared" si="218"/>
        <v>129.25933078354529</v>
      </c>
      <c r="AY263" s="36">
        <f t="shared" si="244"/>
        <v>1.1296973302123713E-2</v>
      </c>
      <c r="AZ263" s="37">
        <f t="shared" si="219"/>
        <v>52000452.174870491</v>
      </c>
      <c r="BA263" s="36">
        <f t="shared" si="196"/>
        <v>1.9954305158696783</v>
      </c>
      <c r="BB263" s="37">
        <f t="shared" si="220"/>
        <v>-1.5140369591826536E-4</v>
      </c>
      <c r="BC263" s="37">
        <f t="shared" si="221"/>
        <v>-3.6186553878750062E-2</v>
      </c>
      <c r="BD263" s="37">
        <f t="shared" si="222"/>
        <v>-4.0864541825563601</v>
      </c>
      <c r="BE263" s="39">
        <f t="shared" si="223"/>
        <v>1.9570340412550367E-2</v>
      </c>
      <c r="BF263" s="39">
        <f>BF262+(1000*$C$2*($B263-$B262))/(BerechnungenCLT!$W$47*2*AZ263)</f>
        <v>1.0403224742209222E-2</v>
      </c>
      <c r="BG263" s="37">
        <f t="shared" si="197"/>
        <v>2.4857347460915077E-6</v>
      </c>
      <c r="BH263" s="173">
        <f t="shared" si="224"/>
        <v>1720.1914740957523</v>
      </c>
      <c r="BI263">
        <v>-259.147973516901</v>
      </c>
      <c r="BP263" s="129">
        <v>94.312101413856681</v>
      </c>
      <c r="BQ263" s="9">
        <v>13</v>
      </c>
      <c r="BR263" s="129">
        <f t="shared" si="225"/>
        <v>107.65909590860682</v>
      </c>
      <c r="BS263" s="36">
        <f t="shared" si="245"/>
        <v>1.4396990413447887E-2</v>
      </c>
      <c r="BT263" s="37">
        <f t="shared" si="226"/>
        <v>43371470.130618371</v>
      </c>
      <c r="BU263" s="36">
        <f t="shared" si="198"/>
        <v>1.9826455673435286</v>
      </c>
      <c r="BV263" s="37">
        <f t="shared" si="227"/>
        <v>-1.8152625735271897E-4</v>
      </c>
      <c r="BW263" s="37">
        <f t="shared" si="228"/>
        <v>-4.235155018875271E-2</v>
      </c>
      <c r="BX263" s="37">
        <f t="shared" si="229"/>
        <v>-4.5603524635907009</v>
      </c>
      <c r="BY263" s="39">
        <f t="shared" si="230"/>
        <v>1.9542952750266813E-2</v>
      </c>
      <c r="BZ263" s="39">
        <f>BZ262+(1000*$C$2*($B263-$B262))/(BerechnungenCLT!$W$47*2*BT263)</f>
        <v>1.2185546268022813E-2</v>
      </c>
      <c r="CA263" s="37">
        <f t="shared" si="199"/>
        <v>2.4822560910289313E-6</v>
      </c>
      <c r="CB263" s="173">
        <f t="shared" si="231"/>
        <v>2636.8482908854662</v>
      </c>
      <c r="CC263" s="9">
        <v>-257.43174505806081</v>
      </c>
      <c r="CJ263" s="9">
        <f t="shared" si="247"/>
        <v>212</v>
      </c>
      <c r="CK263" s="129">
        <v>98.601086808390775</v>
      </c>
      <c r="CL263" s="9">
        <v>7.546875</v>
      </c>
      <c r="CM263" s="129">
        <f t="shared" si="232"/>
        <v>110.66275168852977</v>
      </c>
      <c r="CN263" s="36">
        <f t="shared" si="246"/>
        <v>1.3480321164265681E-2</v>
      </c>
      <c r="CO263" s="173">
        <f t="shared" si="233"/>
        <v>2456.2674286696988</v>
      </c>
      <c r="CP263" s="9">
        <v>-631.06861192156521</v>
      </c>
      <c r="CQ263" s="129"/>
      <c r="CR263" s="36">
        <f t="shared" si="234"/>
        <v>0.76239015888430828</v>
      </c>
      <c r="CS263" s="17">
        <f t="shared" si="200"/>
        <v>0.54806781524539505</v>
      </c>
      <c r="CT263" s="9">
        <f t="shared" si="201"/>
        <v>8.2619794011669008</v>
      </c>
      <c r="CU263" s="9">
        <f t="shared" si="235"/>
        <v>111.805655160654</v>
      </c>
      <c r="CV263" s="9">
        <v>13.2</v>
      </c>
      <c r="CW263" s="9">
        <f t="shared" si="236"/>
        <v>119.69776277265872</v>
      </c>
      <c r="CX263">
        <f t="shared" si="237"/>
        <v>22</v>
      </c>
      <c r="CY263" s="9">
        <f t="shared" si="202"/>
        <v>542.37525072777544</v>
      </c>
      <c r="CZ263" s="17">
        <f t="shared" si="238"/>
        <v>0.51071115887737806</v>
      </c>
      <c r="DA263">
        <v>45</v>
      </c>
      <c r="DB263" s="9">
        <f t="shared" si="239"/>
        <v>8.7525974909087818</v>
      </c>
      <c r="DC263" s="9">
        <f t="shared" si="240"/>
        <v>9.515094849327026</v>
      </c>
    </row>
    <row r="264" spans="2:107" x14ac:dyDescent="0.25">
      <c r="B264" s="9">
        <f t="shared" si="241"/>
        <v>213</v>
      </c>
      <c r="C264" s="9">
        <v>114.09436038865019</v>
      </c>
      <c r="D264" s="9"/>
      <c r="E264" s="9">
        <f t="shared" si="203"/>
        <v>114.09436038865019</v>
      </c>
      <c r="F264" s="36">
        <f t="shared" si="242"/>
        <v>0</v>
      </c>
      <c r="G264" s="37">
        <f t="shared" si="187"/>
        <v>0</v>
      </c>
      <c r="H264" s="36" t="e">
        <f t="shared" si="188"/>
        <v>#DIV/0!</v>
      </c>
      <c r="I264" s="37" t="e">
        <f t="shared" si="204"/>
        <v>#DIV/0!</v>
      </c>
      <c r="J264" s="37" t="e">
        <f t="shared" si="205"/>
        <v>#DIV/0!</v>
      </c>
      <c r="K264" s="37" t="e">
        <f t="shared" si="206"/>
        <v>#DIV/0!</v>
      </c>
      <c r="L264" s="39" t="e">
        <f t="shared" si="189"/>
        <v>#DIV/0!</v>
      </c>
      <c r="M264" s="39" t="e">
        <f>M263+(1000*$C$2*(B264-B263))/(BerechnungenCLT!$W$47*2*'Berechnung freier Bereich'!G264)</f>
        <v>#DIV/0!</v>
      </c>
      <c r="N264" s="17" t="e">
        <f t="shared" si="207"/>
        <v>#DIV/0!</v>
      </c>
      <c r="O264" s="173">
        <f t="shared" si="208"/>
        <v>2065.7400824296924</v>
      </c>
      <c r="P264" s="173"/>
      <c r="Q264" s="173"/>
      <c r="R264" s="37" t="e">
        <f t="shared" si="190"/>
        <v>#DIV/0!</v>
      </c>
      <c r="S264" s="37" t="e">
        <f t="shared" si="191"/>
        <v>#DIV/0!</v>
      </c>
      <c r="T264" s="37" t="e">
        <f t="shared" si="192"/>
        <v>#DIV/0!</v>
      </c>
      <c r="U264" s="39" t="e">
        <f t="shared" si="193"/>
        <v>#DIV/0!</v>
      </c>
      <c r="V264" s="39" t="e">
        <f t="shared" si="209"/>
        <v>#DIV/0!</v>
      </c>
      <c r="W264" s="9" t="e">
        <f t="shared" si="210"/>
        <v>#DIV/0!</v>
      </c>
      <c r="AB264" s="129">
        <v>119.96638031014669</v>
      </c>
      <c r="AC264" s="9">
        <v>8.6875</v>
      </c>
      <c r="AD264" s="129">
        <f t="shared" si="211"/>
        <v>128.89323660338394</v>
      </c>
      <c r="AE264" s="36">
        <f t="shared" si="243"/>
        <v>1.1864563519590398E-2</v>
      </c>
      <c r="AF264" s="37">
        <f t="shared" si="212"/>
        <v>54097871.186509907</v>
      </c>
      <c r="AG264" s="36">
        <f t="shared" si="194"/>
        <v>1.9948629875395412</v>
      </c>
      <c r="AH264" s="37">
        <f t="shared" si="213"/>
        <v>-1.4553364995736941E-4</v>
      </c>
      <c r="AI264" s="37">
        <f t="shared" si="214"/>
        <v>-3.9844272298087798E-2</v>
      </c>
      <c r="AJ264" s="37">
        <f t="shared" si="215"/>
        <v>-4.5080804266672931</v>
      </c>
      <c r="AK264" s="39">
        <f t="shared" si="216"/>
        <v>1.8758303177709271E-2</v>
      </c>
      <c r="AL264" s="39">
        <f>AL263+(1000*$C$2*($B264-$B263))/(BerechnungenCLT!$W$47*2*AF264)</f>
        <v>1.1460683435645514E-2</v>
      </c>
      <c r="AM264" s="37">
        <f t="shared" si="195"/>
        <v>2.3825935064802577E-6</v>
      </c>
      <c r="AN264" s="173">
        <f t="shared" si="217"/>
        <v>1736.8214229814216</v>
      </c>
      <c r="AO264" s="173">
        <v>-258.03036977641455</v>
      </c>
      <c r="AV264" s="129">
        <v>120.87177320764441</v>
      </c>
      <c r="AW264" s="9">
        <v>8.4375</v>
      </c>
      <c r="AX264" s="129">
        <f t="shared" si="218"/>
        <v>129.33118518117186</v>
      </c>
      <c r="AY264" s="36">
        <f t="shared" si="244"/>
        <v>1.1303980773419075E-2</v>
      </c>
      <c r="AZ264" s="37">
        <f t="shared" si="219"/>
        <v>52092302.526639141</v>
      </c>
      <c r="BA264" s="36">
        <f t="shared" si="196"/>
        <v>1.9954353101398459</v>
      </c>
      <c r="BB264" s="37">
        <f t="shared" si="220"/>
        <v>-1.5113673742239058E-4</v>
      </c>
      <c r="BC264" s="37">
        <f t="shared" si="221"/>
        <v>-3.6337690616172452E-2</v>
      </c>
      <c r="BD264" s="37">
        <f t="shared" si="222"/>
        <v>-4.1227163048038209</v>
      </c>
      <c r="BE264" s="39">
        <f t="shared" si="223"/>
        <v>1.9546693375253343E-2</v>
      </c>
      <c r="BF264" s="39">
        <f>BF263+(1000*$C$2*($B264-$B263))/(BerechnungenCLT!$W$47*2*AZ264)</f>
        <v>1.0446918903198861E-2</v>
      </c>
      <c r="BG264" s="37">
        <f t="shared" si="197"/>
        <v>2.4827312080327807E-6</v>
      </c>
      <c r="BH264" s="173">
        <f t="shared" si="224"/>
        <v>1718.221475694311</v>
      </c>
      <c r="BI264">
        <v>-258.94293603430896</v>
      </c>
      <c r="BP264" s="129">
        <v>94.544687365938614</v>
      </c>
      <c r="BQ264" s="9">
        <v>12.875</v>
      </c>
      <c r="BR264" s="129">
        <f t="shared" si="225"/>
        <v>107.78662923284985</v>
      </c>
      <c r="BS264" s="36">
        <f t="shared" si="245"/>
        <v>1.4309141508117091E-2</v>
      </c>
      <c r="BT264" s="37">
        <f t="shared" si="226"/>
        <v>43257072.109402724</v>
      </c>
      <c r="BU264" s="36">
        <f t="shared" si="198"/>
        <v>1.9829763073787838</v>
      </c>
      <c r="BV264" s="37">
        <f t="shared" si="227"/>
        <v>-1.8200632323853093E-4</v>
      </c>
      <c r="BW264" s="37">
        <f t="shared" si="228"/>
        <v>-4.2533556511991241E-2</v>
      </c>
      <c r="BX264" s="37">
        <f t="shared" si="229"/>
        <v>-4.602795016941073</v>
      </c>
      <c r="BY264" s="39">
        <f t="shared" si="230"/>
        <v>1.9617848080945757E-2</v>
      </c>
      <c r="BZ264" s="39">
        <f>BZ263+(1000*$C$2*($B264-$B263))/(BerechnungenCLT!$W$47*2*BT264)</f>
        <v>1.223816493456509E-2</v>
      </c>
      <c r="CA264" s="37">
        <f t="shared" si="199"/>
        <v>2.4917689519124998E-6</v>
      </c>
      <c r="CB264" s="173">
        <f t="shared" si="231"/>
        <v>2627.4702582642635</v>
      </c>
      <c r="CC264" s="9">
        <v>-259.00662944300916</v>
      </c>
      <c r="CJ264" s="9">
        <f t="shared" si="247"/>
        <v>213</v>
      </c>
      <c r="CK264" s="129">
        <v>97.354351547600075</v>
      </c>
      <c r="CL264" s="9">
        <v>7.71875</v>
      </c>
      <c r="CM264" s="129">
        <f t="shared" si="232"/>
        <v>109.57174882596613</v>
      </c>
      <c r="CN264" s="36">
        <f t="shared" si="246"/>
        <v>1.350183398298296E-2</v>
      </c>
      <c r="CO264" s="173">
        <f t="shared" si="233"/>
        <v>2512.0800652669604</v>
      </c>
      <c r="CP264" s="9">
        <v>-631.03665884060263</v>
      </c>
      <c r="CQ264" s="129"/>
      <c r="CR264" s="36">
        <f t="shared" si="234"/>
        <v>0.76733946479413828</v>
      </c>
      <c r="CS264" s="17">
        <f t="shared" si="200"/>
        <v>0.5516257773273705</v>
      </c>
      <c r="CT264" s="9">
        <f t="shared" si="201"/>
        <v>8.395637387430348</v>
      </c>
      <c r="CU264" s="9">
        <f t="shared" si="235"/>
        <v>110.64314019438095</v>
      </c>
      <c r="CV264" s="9">
        <v>13.2</v>
      </c>
      <c r="CW264" s="9">
        <f t="shared" si="236"/>
        <v>118.2475847880123</v>
      </c>
      <c r="CX264">
        <f t="shared" si="237"/>
        <v>22</v>
      </c>
      <c r="CY264" s="9">
        <f t="shared" si="202"/>
        <v>549.32099417851271</v>
      </c>
      <c r="CZ264" s="17">
        <f t="shared" si="238"/>
        <v>0.51725140694775207</v>
      </c>
      <c r="DA264">
        <v>45</v>
      </c>
      <c r="DB264" s="9">
        <f t="shared" si="239"/>
        <v>8.8646846420423273</v>
      </c>
      <c r="DC264" s="9">
        <f t="shared" si="240"/>
        <v>9.6321333601089432</v>
      </c>
    </row>
    <row r="265" spans="2:107" x14ac:dyDescent="0.25">
      <c r="B265" s="9">
        <f t="shared" si="241"/>
        <v>214</v>
      </c>
      <c r="C265" s="9">
        <v>114.33458584885877</v>
      </c>
      <c r="D265" s="9"/>
      <c r="E265" s="9">
        <f t="shared" si="203"/>
        <v>114.33458584885877</v>
      </c>
      <c r="F265" s="36">
        <f t="shared" si="242"/>
        <v>0</v>
      </c>
      <c r="G265" s="37">
        <f t="shared" si="187"/>
        <v>0</v>
      </c>
      <c r="H265" s="36" t="e">
        <f t="shared" si="188"/>
        <v>#DIV/0!</v>
      </c>
      <c r="I265" s="37" t="e">
        <f t="shared" si="204"/>
        <v>#DIV/0!</v>
      </c>
      <c r="J265" s="37" t="e">
        <f t="shared" si="205"/>
        <v>#DIV/0!</v>
      </c>
      <c r="K265" s="37" t="e">
        <f t="shared" si="206"/>
        <v>#DIV/0!</v>
      </c>
      <c r="L265" s="39" t="e">
        <f t="shared" si="189"/>
        <v>#DIV/0!</v>
      </c>
      <c r="M265" s="39" t="e">
        <f>M264+(1000*$C$2*(B265-B264))/(BerechnungenCLT!$W$47*2*'Berechnung freier Bereich'!G265)</f>
        <v>#DIV/0!</v>
      </c>
      <c r="N265" s="17" t="e">
        <f t="shared" si="207"/>
        <v>#DIV/0!</v>
      </c>
      <c r="O265" s="173">
        <f t="shared" si="208"/>
        <v>2057.0686548611266</v>
      </c>
      <c r="P265" s="173"/>
      <c r="Q265" s="173"/>
      <c r="R265" s="37" t="e">
        <f t="shared" si="190"/>
        <v>#DIV/0!</v>
      </c>
      <c r="S265" s="37" t="e">
        <f t="shared" si="191"/>
        <v>#DIV/0!</v>
      </c>
      <c r="T265" s="37" t="e">
        <f t="shared" si="192"/>
        <v>#DIV/0!</v>
      </c>
      <c r="U265" s="39" t="e">
        <f t="shared" si="193"/>
        <v>#DIV/0!</v>
      </c>
      <c r="V265" s="39" t="e">
        <f t="shared" si="209"/>
        <v>#DIV/0!</v>
      </c>
      <c r="W265" s="9" t="e">
        <f t="shared" si="210"/>
        <v>#DIV/0!</v>
      </c>
      <c r="AB265" s="129">
        <v>120.20273324318202</v>
      </c>
      <c r="AC265" s="9">
        <v>8.6875</v>
      </c>
      <c r="AD265" s="129">
        <f t="shared" si="211"/>
        <v>129.11055414180953</v>
      </c>
      <c r="AE265" s="36">
        <f t="shared" si="243"/>
        <v>1.1860846783957974E-2</v>
      </c>
      <c r="AF265" s="37">
        <f t="shared" si="212"/>
        <v>54277733.109020025</v>
      </c>
      <c r="AG265" s="36">
        <f t="shared" si="194"/>
        <v>1.9949033936936262</v>
      </c>
      <c r="AH265" s="37">
        <f t="shared" si="213"/>
        <v>-1.4505139027974669E-4</v>
      </c>
      <c r="AI265" s="37">
        <f t="shared" si="214"/>
        <v>-3.9989323688367544E-2</v>
      </c>
      <c r="AJ265" s="37">
        <f t="shared" si="215"/>
        <v>-4.5479972246605209</v>
      </c>
      <c r="AK265" s="39">
        <f t="shared" si="216"/>
        <v>1.8727665378057978E-2</v>
      </c>
      <c r="AL265" s="39">
        <f>AL264+(1000*$C$2*($B265-$B264))/(BerechnungenCLT!$W$47*2*AF265)</f>
        <v>1.1502618301428286E-2</v>
      </c>
      <c r="AM265" s="37">
        <f t="shared" si="195"/>
        <v>2.3787020338981987E-6</v>
      </c>
      <c r="AN265" s="173">
        <f t="shared" si="217"/>
        <v>1730.5062546368317</v>
      </c>
      <c r="AO265" s="173">
        <v>-257.26159145755179</v>
      </c>
      <c r="AV265" s="129">
        <v>120.94388904195191</v>
      </c>
      <c r="AW265" s="9">
        <v>8.4375</v>
      </c>
      <c r="AX265" s="129">
        <f t="shared" si="218"/>
        <v>129.40369417302722</v>
      </c>
      <c r="AY265" s="36">
        <f t="shared" si="244"/>
        <v>1.1311040478584401E-2</v>
      </c>
      <c r="AZ265" s="37">
        <f t="shared" si="219"/>
        <v>52185049.4354662</v>
      </c>
      <c r="BA265" s="36">
        <f t="shared" si="196"/>
        <v>1.9954401505149866</v>
      </c>
      <c r="BB265" s="37">
        <f t="shared" si="220"/>
        <v>-1.5086812667356933E-4</v>
      </c>
      <c r="BC265" s="37">
        <f t="shared" si="221"/>
        <v>-3.6488558742846018E-2</v>
      </c>
      <c r="BD265" s="37">
        <f t="shared" si="222"/>
        <v>-4.1591294294833299</v>
      </c>
      <c r="BE265" s="39">
        <f t="shared" si="223"/>
        <v>1.9522892924524096E-2</v>
      </c>
      <c r="BF265" s="39">
        <f>BF264+(1000*$C$2*($B265-$B264))/(BerechnungenCLT!$W$47*2*AZ265)</f>
        <v>1.0490535407878705E-2</v>
      </c>
      <c r="BG265" s="37">
        <f t="shared" si="197"/>
        <v>2.4797081841045723E-6</v>
      </c>
      <c r="BH265" s="173">
        <f t="shared" si="224"/>
        <v>1716.2368293795651</v>
      </c>
      <c r="BI265">
        <v>-258.73844428890936</v>
      </c>
      <c r="BP265" s="129">
        <v>94.78513059767613</v>
      </c>
      <c r="BQ265" s="9">
        <v>12.875</v>
      </c>
      <c r="BR265" s="129">
        <f t="shared" si="225"/>
        <v>108.05222936514744</v>
      </c>
      <c r="BS265" s="36">
        <f t="shared" si="245"/>
        <v>1.4372181916996372E-2</v>
      </c>
      <c r="BT265" s="37">
        <f t="shared" si="226"/>
        <v>43665024.67854248</v>
      </c>
      <c r="BU265" s="36">
        <f t="shared" si="198"/>
        <v>1.9829965916206302</v>
      </c>
      <c r="BV265" s="37">
        <f t="shared" si="227"/>
        <v>-1.8030587882766753E-4</v>
      </c>
      <c r="BW265" s="37">
        <f t="shared" si="228"/>
        <v>-4.271386239081891E-2</v>
      </c>
      <c r="BX265" s="37">
        <f t="shared" si="229"/>
        <v>-4.645418726392478</v>
      </c>
      <c r="BY265" s="39">
        <f t="shared" si="230"/>
        <v>1.9482452174971614E-2</v>
      </c>
      <c r="BZ265" s="39">
        <f>BZ264+(1000*$C$2*($B265-$B264))/(BerechnungenCLT!$W$47*2*BT265)</f>
        <v>1.2290291996662879E-2</v>
      </c>
      <c r="CA265" s="37">
        <f t="shared" si="199"/>
        <v>2.4745715858542871E-6</v>
      </c>
      <c r="CB265" s="173">
        <f t="shared" si="231"/>
        <v>2614.3764641741755</v>
      </c>
      <c r="CC265" s="9">
        <v>-257.71589000905078</v>
      </c>
      <c r="CJ265" s="9">
        <f t="shared" si="247"/>
        <v>214</v>
      </c>
      <c r="CK265" s="129">
        <v>96.127436159952111</v>
      </c>
      <c r="CL265" s="9">
        <v>7.90625</v>
      </c>
      <c r="CM265" s="129">
        <f t="shared" si="232"/>
        <v>108.48735200483436</v>
      </c>
      <c r="CN265" s="36">
        <f t="shared" si="246"/>
        <v>1.3506764453703989E-2</v>
      </c>
      <c r="CO265" s="173">
        <f t="shared" si="233"/>
        <v>2569.1531103631123</v>
      </c>
      <c r="CP265" s="9">
        <v>-630.06815717032907</v>
      </c>
      <c r="CQ265" s="129"/>
      <c r="CR265" s="36">
        <f t="shared" si="234"/>
        <v>0.77230426661972351</v>
      </c>
      <c r="CS265" s="17">
        <f t="shared" si="200"/>
        <v>0.55519487912907384</v>
      </c>
      <c r="CT265" s="9">
        <f t="shared" si="201"/>
        <v>8.5442971077857415</v>
      </c>
      <c r="CU265" s="9">
        <f t="shared" si="235"/>
        <v>109.48481711880146</v>
      </c>
      <c r="CV265" s="9">
        <v>13.2</v>
      </c>
      <c r="CW265" s="9">
        <f t="shared" si="236"/>
        <v>116.76312174445118</v>
      </c>
      <c r="CX265">
        <f t="shared" si="237"/>
        <v>22</v>
      </c>
      <c r="CY265" s="9">
        <f t="shared" si="202"/>
        <v>556.33221186452522</v>
      </c>
      <c r="CZ265" s="17">
        <f t="shared" si="238"/>
        <v>0.5238533068404192</v>
      </c>
      <c r="DA265">
        <v>45</v>
      </c>
      <c r="DB265" s="9">
        <f t="shared" si="239"/>
        <v>8.9778283856856156</v>
      </c>
      <c r="DC265" s="9">
        <f t="shared" si="240"/>
        <v>9.7502534688250311</v>
      </c>
    </row>
    <row r="266" spans="2:107" x14ac:dyDescent="0.25">
      <c r="B266" s="9">
        <f t="shared" si="241"/>
        <v>215</v>
      </c>
      <c r="C266" s="9">
        <v>114.57492158715536</v>
      </c>
      <c r="D266" s="9"/>
      <c r="E266" s="9">
        <f t="shared" si="203"/>
        <v>114.57492158715536</v>
      </c>
      <c r="F266" s="36">
        <f t="shared" si="242"/>
        <v>0</v>
      </c>
      <c r="G266" s="37">
        <f t="shared" si="187"/>
        <v>0</v>
      </c>
      <c r="H266" s="36" t="e">
        <f t="shared" si="188"/>
        <v>#DIV/0!</v>
      </c>
      <c r="I266" s="37" t="e">
        <f t="shared" si="204"/>
        <v>#DIV/0!</v>
      </c>
      <c r="J266" s="37" t="e">
        <f t="shared" si="205"/>
        <v>#DIV/0!</v>
      </c>
      <c r="K266" s="37" t="e">
        <f t="shared" si="206"/>
        <v>#DIV/0!</v>
      </c>
      <c r="L266" s="39" t="e">
        <f t="shared" si="189"/>
        <v>#DIV/0!</v>
      </c>
      <c r="M266" s="39" t="e">
        <f>M265+(1000*$C$2*(B266-B265))/(BerechnungenCLT!$W$47*2*'Berechnung freier Bereich'!G266)</f>
        <v>#DIV/0!</v>
      </c>
      <c r="N266" s="17" t="e">
        <f t="shared" si="207"/>
        <v>#DIV/0!</v>
      </c>
      <c r="O266" s="173">
        <f t="shared" si="208"/>
        <v>2048.447770176273</v>
      </c>
      <c r="P266" s="173"/>
      <c r="Q266" s="173"/>
      <c r="R266" s="37" t="e">
        <f t="shared" si="190"/>
        <v>#DIV/0!</v>
      </c>
      <c r="S266" s="37" t="e">
        <f t="shared" si="191"/>
        <v>#DIV/0!</v>
      </c>
      <c r="T266" s="37" t="e">
        <f t="shared" si="192"/>
        <v>#DIV/0!</v>
      </c>
      <c r="U266" s="39" t="e">
        <f t="shared" si="193"/>
        <v>#DIV/0!</v>
      </c>
      <c r="V266" s="39" t="e">
        <f t="shared" si="209"/>
        <v>#DIV/0!</v>
      </c>
      <c r="W266" s="9" t="e">
        <f t="shared" si="210"/>
        <v>#DIV/0!</v>
      </c>
      <c r="AB266" s="129">
        <v>120.42937066726655</v>
      </c>
      <c r="AC266" s="9">
        <v>8.625</v>
      </c>
      <c r="AD266" s="129">
        <f t="shared" si="211"/>
        <v>129.25500216289191</v>
      </c>
      <c r="AE266" s="36">
        <f t="shared" si="243"/>
        <v>1.176890198133216E-2</v>
      </c>
      <c r="AF266" s="37">
        <f t="shared" si="212"/>
        <v>54015952.519600615</v>
      </c>
      <c r="AG266" s="36">
        <f t="shared" si="194"/>
        <v>1.9950116661029349</v>
      </c>
      <c r="AH266" s="37">
        <f t="shared" si="213"/>
        <v>-1.4575436109989022E-4</v>
      </c>
      <c r="AI266" s="37">
        <f t="shared" si="214"/>
        <v>-4.0135078049467435E-2</v>
      </c>
      <c r="AJ266" s="37">
        <f t="shared" si="215"/>
        <v>-4.5880594255294387</v>
      </c>
      <c r="AK266" s="39">
        <f t="shared" si="216"/>
        <v>1.883948025921724E-2</v>
      </c>
      <c r="AL266" s="39">
        <f>AL265+(1000*$C$2*($B266-$B265))/(BerechnungenCLT!$W$47*2*AF266)</f>
        <v>1.1544756398541245E-2</v>
      </c>
      <c r="AM266" s="37">
        <f t="shared" si="195"/>
        <v>2.3929042464999489E-6</v>
      </c>
      <c r="AN266" s="173">
        <f t="shared" si="217"/>
        <v>1725.3662574680293</v>
      </c>
      <c r="AO266" s="173">
        <v>-258.50621720575941</v>
      </c>
      <c r="AV266" s="129">
        <v>121.01664981880951</v>
      </c>
      <c r="AW266" s="9">
        <v>8.4375</v>
      </c>
      <c r="AX266" s="129">
        <f t="shared" si="218"/>
        <v>129.4768420290809</v>
      </c>
      <c r="AY266" s="36">
        <f t="shared" si="244"/>
        <v>1.1318150666214843E-2</v>
      </c>
      <c r="AZ266" s="37">
        <f t="shared" si="219"/>
        <v>52278674.669134662</v>
      </c>
      <c r="BA266" s="36">
        <f t="shared" si="196"/>
        <v>1.9954450358947304</v>
      </c>
      <c r="BB266" s="37">
        <f t="shared" si="220"/>
        <v>-1.5059793880629207E-4</v>
      </c>
      <c r="BC266" s="37">
        <f t="shared" si="221"/>
        <v>-3.663915668165231E-2</v>
      </c>
      <c r="BD266" s="37">
        <f t="shared" si="222"/>
        <v>-4.1956932871955788</v>
      </c>
      <c r="BE266" s="39">
        <f t="shared" si="223"/>
        <v>1.949894553272747E-2</v>
      </c>
      <c r="BF266" s="39">
        <f>BF265+(1000*$C$2*($B266-$B265))/(BerechnungenCLT!$W$47*2*AZ266)</f>
        <v>1.0534073800298277E-2</v>
      </c>
      <c r="BG266" s="37">
        <f t="shared" si="197"/>
        <v>2.4766664963969344E-6</v>
      </c>
      <c r="BH266" s="173">
        <f t="shared" si="224"/>
        <v>1714.2380482010037</v>
      </c>
      <c r="BI266">
        <v>-258.53328961125948</v>
      </c>
      <c r="BP266" s="129">
        <v>95.033799070063665</v>
      </c>
      <c r="BQ266" s="9">
        <v>12.75</v>
      </c>
      <c r="BR266" s="129">
        <f t="shared" si="225"/>
        <v>108.19896015618423</v>
      </c>
      <c r="BS266" s="36">
        <f t="shared" si="245"/>
        <v>1.4289554361491742E-2</v>
      </c>
      <c r="BT266" s="37">
        <f t="shared" si="226"/>
        <v>43579858.291373327</v>
      </c>
      <c r="BU266" s="36">
        <f t="shared" si="198"/>
        <v>1.9833199266591939</v>
      </c>
      <c r="BV266" s="37">
        <f t="shared" si="227"/>
        <v>-1.8065824344947154E-4</v>
      </c>
      <c r="BW266" s="37">
        <f t="shared" si="228"/>
        <v>-4.2894520634268379E-2</v>
      </c>
      <c r="BX266" s="37">
        <f t="shared" si="229"/>
        <v>-4.6882229179050219</v>
      </c>
      <c r="BY266" s="39">
        <f t="shared" si="230"/>
        <v>1.9547034084875601E-2</v>
      </c>
      <c r="BZ266" s="39">
        <f>BZ265+(1000*$C$2*($B266-$B265))/(BerechnungenCLT!$W$47*2*BT266)</f>
        <v>1.2342520928608958E-2</v>
      </c>
      <c r="CA266" s="37">
        <f t="shared" si="199"/>
        <v>2.4827744834040068E-6</v>
      </c>
      <c r="CB266" s="173">
        <f t="shared" si="231"/>
        <v>2604.2135656991868</v>
      </c>
      <c r="CC266" s="9">
        <v>-259.2308723781926</v>
      </c>
      <c r="CJ266" s="9">
        <f t="shared" si="247"/>
        <v>215</v>
      </c>
      <c r="CK266" s="129">
        <v>94.925797014246697</v>
      </c>
      <c r="CL266" s="9">
        <v>8.078125</v>
      </c>
      <c r="CM266" s="129">
        <f t="shared" si="232"/>
        <v>107.36459376008038</v>
      </c>
      <c r="CN266" s="36">
        <f t="shared" si="246"/>
        <v>1.3438550225050914E-2</v>
      </c>
      <c r="CO266" s="173">
        <f t="shared" si="233"/>
        <v>2628.5335046558894</v>
      </c>
      <c r="CP266" s="9">
        <v>-630.91526496214692</v>
      </c>
      <c r="CQ266" s="129"/>
      <c r="CR266" s="36">
        <f t="shared" si="234"/>
        <v>0.77749219497294286</v>
      </c>
      <c r="CS266" s="17">
        <f t="shared" si="200"/>
        <v>0.55892438235660702</v>
      </c>
      <c r="CT266" s="9">
        <f t="shared" si="201"/>
        <v>8.6717902331689274</v>
      </c>
      <c r="CU266" s="9">
        <f t="shared" si="235"/>
        <v>108.27872682566878</v>
      </c>
      <c r="CV266" s="9">
        <v>13.2</v>
      </c>
      <c r="CW266" s="9">
        <f t="shared" si="236"/>
        <v>115.25132020743877</v>
      </c>
      <c r="CX266">
        <f t="shared" si="237"/>
        <v>22</v>
      </c>
      <c r="CY266" s="9">
        <f t="shared" si="202"/>
        <v>563.37466591621944</v>
      </c>
      <c r="CZ266" s="17">
        <f t="shared" si="238"/>
        <v>0.53048461950679793</v>
      </c>
      <c r="DA266">
        <v>45</v>
      </c>
      <c r="DB266" s="9">
        <f t="shared" si="239"/>
        <v>9.0914762071523771</v>
      </c>
      <c r="DC266" s="9">
        <f t="shared" si="240"/>
        <v>9.8690897828046431</v>
      </c>
    </row>
    <row r="267" spans="2:107" x14ac:dyDescent="0.25">
      <c r="B267" s="9">
        <f t="shared" si="241"/>
        <v>216</v>
      </c>
      <c r="C267" s="9">
        <v>114.81532686664319</v>
      </c>
      <c r="D267" s="9"/>
      <c r="E267" s="9">
        <f t="shared" si="203"/>
        <v>114.81532686664319</v>
      </c>
      <c r="F267" s="36">
        <f t="shared" si="242"/>
        <v>0</v>
      </c>
      <c r="G267" s="37">
        <f t="shared" si="187"/>
        <v>0</v>
      </c>
      <c r="H267" s="36" t="e">
        <f t="shared" si="188"/>
        <v>#DIV/0!</v>
      </c>
      <c r="I267" s="37" t="e">
        <f t="shared" si="204"/>
        <v>#DIV/0!</v>
      </c>
      <c r="J267" s="37" t="e">
        <f t="shared" si="205"/>
        <v>#DIV/0!</v>
      </c>
      <c r="K267" s="37" t="e">
        <f t="shared" si="206"/>
        <v>#DIV/0!</v>
      </c>
      <c r="L267" s="39" t="e">
        <f t="shared" si="189"/>
        <v>#DIV/0!</v>
      </c>
      <c r="M267" s="39" t="e">
        <f>M266+(1000*$C$2*(B267-B266))/(BerechnungenCLT!$W$47*2*'Berechnung freier Bereich'!G267)</f>
        <v>#DIV/0!</v>
      </c>
      <c r="N267" s="17" t="e">
        <f t="shared" si="207"/>
        <v>#DIV/0!</v>
      </c>
      <c r="O267" s="173">
        <f t="shared" si="208"/>
        <v>2039.878494495119</v>
      </c>
      <c r="P267" s="173"/>
      <c r="Q267" s="173"/>
      <c r="R267" s="37" t="e">
        <f t="shared" si="190"/>
        <v>#DIV/0!</v>
      </c>
      <c r="S267" s="37" t="e">
        <f t="shared" si="191"/>
        <v>#DIV/0!</v>
      </c>
      <c r="T267" s="37" t="e">
        <f t="shared" si="192"/>
        <v>#DIV/0!</v>
      </c>
      <c r="U267" s="39" t="e">
        <f t="shared" si="193"/>
        <v>#DIV/0!</v>
      </c>
      <c r="V267" s="39" t="e">
        <f t="shared" si="209"/>
        <v>#DIV/0!</v>
      </c>
      <c r="W267" s="9" t="e">
        <f t="shared" si="210"/>
        <v>#DIV/0!</v>
      </c>
      <c r="AB267" s="129">
        <v>120.64631385902921</v>
      </c>
      <c r="AC267" s="9">
        <v>8.625</v>
      </c>
      <c r="AD267" s="129">
        <f t="shared" si="211"/>
        <v>129.45463475336885</v>
      </c>
      <c r="AE267" s="36">
        <f t="shared" si="243"/>
        <v>1.1765415281962371E-2</v>
      </c>
      <c r="AF267" s="37">
        <f t="shared" si="212"/>
        <v>54179798.807762921</v>
      </c>
      <c r="AG267" s="36">
        <f t="shared" si="194"/>
        <v>1.9950476866452569</v>
      </c>
      <c r="AH267" s="37">
        <f t="shared" si="213"/>
        <v>-1.4531358221965814E-4</v>
      </c>
      <c r="AI267" s="37">
        <f t="shared" si="214"/>
        <v>-4.028039163168709E-2</v>
      </c>
      <c r="AJ267" s="37">
        <f t="shared" si="215"/>
        <v>-4.6282671603700161</v>
      </c>
      <c r="AK267" s="39">
        <f t="shared" si="216"/>
        <v>1.881151671094948E-2</v>
      </c>
      <c r="AL267" s="39">
        <f>AL266+(1000*$C$2*($B267-$B266))/(BerechnungenCLT!$W$47*2*AF267)</f>
        <v>1.1586767064933638E-2</v>
      </c>
      <c r="AM267" s="37">
        <f t="shared" si="195"/>
        <v>2.3893524450448954E-6</v>
      </c>
      <c r="AN267" s="173">
        <f t="shared" si="217"/>
        <v>1719.6233986755547</v>
      </c>
      <c r="AO267" s="173">
        <v>-257.77442544750795</v>
      </c>
      <c r="AV267" s="129">
        <v>121.09004005939019</v>
      </c>
      <c r="AW267" s="9">
        <v>8.4375</v>
      </c>
      <c r="AX267" s="129">
        <f t="shared" si="218"/>
        <v>129.55061302538402</v>
      </c>
      <c r="AY267" s="36">
        <f t="shared" si="244"/>
        <v>1.1325309592031482E-2</v>
      </c>
      <c r="AZ267" s="37">
        <f t="shared" si="219"/>
        <v>52373159.956613898</v>
      </c>
      <c r="BA267" s="36">
        <f t="shared" si="196"/>
        <v>1.9954499651771822</v>
      </c>
      <c r="BB267" s="37">
        <f t="shared" si="220"/>
        <v>-1.5032624831532912E-4</v>
      </c>
      <c r="BC267" s="37">
        <f t="shared" si="221"/>
        <v>-3.6789482929967636E-2</v>
      </c>
      <c r="BD267" s="37">
        <f t="shared" si="222"/>
        <v>-4.232407607001389</v>
      </c>
      <c r="BE267" s="39">
        <f t="shared" si="223"/>
        <v>1.947485762305699E-2</v>
      </c>
      <c r="BF267" s="39">
        <f>BF266+(1000*$C$2*($B267-$B266))/(BerechnungenCLT!$W$47*2*AZ267)</f>
        <v>1.0577533646043798E-2</v>
      </c>
      <c r="BG267" s="37">
        <f t="shared" si="197"/>
        <v>2.4736069607544054E-6</v>
      </c>
      <c r="BH267" s="173">
        <f t="shared" si="224"/>
        <v>1712.2256425547914</v>
      </c>
      <c r="BI267">
        <v>-258.32626466386301</v>
      </c>
      <c r="BP267" s="129">
        <v>95.291060744095802</v>
      </c>
      <c r="BQ267" s="9">
        <v>12.75</v>
      </c>
      <c r="BR267" s="129">
        <f t="shared" si="225"/>
        <v>108.4851522990981</v>
      </c>
      <c r="BS267" s="36">
        <f t="shared" si="245"/>
        <v>1.4359250586144054E-2</v>
      </c>
      <c r="BT267" s="37">
        <f t="shared" si="226"/>
        <v>44026759.966018692</v>
      </c>
      <c r="BU267" s="36">
        <f t="shared" si="198"/>
        <v>1.9833356788849588</v>
      </c>
      <c r="BV267" s="37">
        <f t="shared" si="227"/>
        <v>-1.7882443892698626E-4</v>
      </c>
      <c r="BW267" s="37">
        <f t="shared" si="228"/>
        <v>-4.3073345073195365E-2</v>
      </c>
      <c r="BX267" s="37">
        <f t="shared" si="229"/>
        <v>-4.7312068507587535</v>
      </c>
      <c r="BY267" s="39">
        <f t="shared" si="230"/>
        <v>1.9399796491794873E-2</v>
      </c>
      <c r="BZ267" s="39">
        <f>BZ266+(1000*$C$2*($B267-$B266))/(BerechnungenCLT!$W$47*2*BT267)</f>
        <v>1.2394219701234442E-2</v>
      </c>
      <c r="CA267" s="37">
        <f t="shared" si="199"/>
        <v>2.4640730406423397E-6</v>
      </c>
      <c r="CB267" s="173">
        <f t="shared" si="231"/>
        <v>2590.3416561248637</v>
      </c>
      <c r="CC267" s="9">
        <v>-257.85002279355507</v>
      </c>
      <c r="CJ267" s="9">
        <f t="shared" si="247"/>
        <v>216</v>
      </c>
      <c r="CK267" s="129">
        <v>93.754890479283688</v>
      </c>
      <c r="CL267" s="9">
        <v>8.265625</v>
      </c>
      <c r="CM267" s="129">
        <f t="shared" si="232"/>
        <v>106.25645068188959</v>
      </c>
      <c r="CN267" s="36">
        <f t="shared" si="246"/>
        <v>1.3354192512221336E-2</v>
      </c>
      <c r="CO267" s="173">
        <f t="shared" si="233"/>
        <v>2688.7769713048656</v>
      </c>
      <c r="CP267" s="9">
        <v>-630.73534569424919</v>
      </c>
      <c r="CQ267" s="129"/>
      <c r="CR267" s="36">
        <f t="shared" si="234"/>
        <v>0.78265961811711116</v>
      </c>
      <c r="CS267" s="17">
        <f t="shared" si="200"/>
        <v>0.56263914477853727</v>
      </c>
      <c r="CT267" s="9">
        <f t="shared" si="201"/>
        <v>8.8144862404696003</v>
      </c>
      <c r="CU267" s="9">
        <f t="shared" si="235"/>
        <v>107.08659018623531</v>
      </c>
      <c r="CV267" s="9">
        <v>13.2</v>
      </c>
      <c r="CW267" s="9">
        <f t="shared" si="236"/>
        <v>113.719574901139</v>
      </c>
      <c r="CX267">
        <f t="shared" si="237"/>
        <v>22</v>
      </c>
      <c r="CY267" s="9">
        <f t="shared" si="202"/>
        <v>570.41066238084841</v>
      </c>
      <c r="CZ267" s="17">
        <f t="shared" si="238"/>
        <v>0.53710985158271973</v>
      </c>
      <c r="DA267">
        <v>45</v>
      </c>
      <c r="DB267" s="9">
        <f t="shared" si="239"/>
        <v>9.205019819106866</v>
      </c>
      <c r="DC267" s="9">
        <f t="shared" si="240"/>
        <v>9.9878056655782608</v>
      </c>
    </row>
    <row r="268" spans="2:107" x14ac:dyDescent="0.25">
      <c r="B268" s="9">
        <f t="shared" si="241"/>
        <v>217</v>
      </c>
      <c r="C268" s="9">
        <v>115.05576095042541</v>
      </c>
      <c r="D268" s="9"/>
      <c r="E268" s="9">
        <f t="shared" si="203"/>
        <v>115.05576095042541</v>
      </c>
      <c r="F268" s="36">
        <f t="shared" si="242"/>
        <v>0</v>
      </c>
      <c r="G268" s="37">
        <f>(PI()/4)*(E268^4-C268^4)</f>
        <v>0</v>
      </c>
      <c r="H268" s="36" t="e">
        <f t="shared" si="188"/>
        <v>#DIV/0!</v>
      </c>
      <c r="I268" s="37" t="e">
        <f t="shared" si="204"/>
        <v>#DIV/0!</v>
      </c>
      <c r="J268" s="37" t="e">
        <f t="shared" si="205"/>
        <v>#DIV/0!</v>
      </c>
      <c r="K268" s="37" t="e">
        <f t="shared" si="206"/>
        <v>#DIV/0!</v>
      </c>
      <c r="L268" s="39" t="e">
        <f t="shared" si="189"/>
        <v>#DIV/0!</v>
      </c>
      <c r="M268" s="39" t="e">
        <f>M267+(1000*$C$2*(B268-B267))/(BerechnungenCLT!$W$47*2*'Berechnung freier Bereich'!G268)</f>
        <v>#DIV/0!</v>
      </c>
      <c r="N268" s="17" t="e">
        <f t="shared" si="207"/>
        <v>#DIV/0!</v>
      </c>
      <c r="O268" s="173">
        <f t="shared" si="208"/>
        <v>2031.3618612534597</v>
      </c>
      <c r="P268" s="173"/>
      <c r="Q268" s="173"/>
      <c r="R268" s="37" t="e">
        <f t="shared" si="190"/>
        <v>#DIV/0!</v>
      </c>
      <c r="S268" s="37" t="e">
        <f t="shared" si="191"/>
        <v>#DIV/0!</v>
      </c>
      <c r="T268" s="37" t="e">
        <f t="shared" si="192"/>
        <v>#DIV/0!</v>
      </c>
      <c r="U268" s="39" t="e">
        <f t="shared" si="193"/>
        <v>#DIV/0!</v>
      </c>
      <c r="V268" s="39" t="e">
        <f t="shared" si="209"/>
        <v>#DIV/0!</v>
      </c>
      <c r="W268" s="9" t="e">
        <f t="shared" si="210"/>
        <v>#DIV/0!</v>
      </c>
      <c r="AB268" s="129">
        <v>120.85358409509894</v>
      </c>
      <c r="AC268" s="9">
        <v>8.5625</v>
      </c>
      <c r="AD268" s="129">
        <f t="shared" si="211"/>
        <v>129.58167889066445</v>
      </c>
      <c r="AE268" s="36">
        <f t="shared" si="243"/>
        <v>1.1673839794567565E-2</v>
      </c>
      <c r="AF268" s="37">
        <f t="shared" si="212"/>
        <v>53900522.271706752</v>
      </c>
      <c r="AG268" s="36">
        <f t="shared" si="194"/>
        <v>1.9951502736745101</v>
      </c>
      <c r="AH268" s="37">
        <f t="shared" si="213"/>
        <v>-1.4606650022812651E-4</v>
      </c>
      <c r="AI268" s="37">
        <f t="shared" si="214"/>
        <v>-4.0426458131915213E-2</v>
      </c>
      <c r="AJ268" s="37">
        <f t="shared" si="215"/>
        <v>-4.6686205852518174</v>
      </c>
      <c r="AK268" s="39">
        <f t="shared" si="216"/>
        <v>1.8927542329244255E-2</v>
      </c>
      <c r="AL268" s="39">
        <f>AL267+(1000*$C$2*($B268-$B267))/(BerechnungenCLT!$W$47*2*AF268)</f>
        <v>1.1628995402563581E-2</v>
      </c>
      <c r="AM268" s="37">
        <f t="shared" si="195"/>
        <v>2.4040894861362772E-6</v>
      </c>
      <c r="AN268" s="173">
        <f t="shared" si="217"/>
        <v>1715.0352980304401</v>
      </c>
      <c r="AO268" s="173">
        <v>-259.07139050735464</v>
      </c>
      <c r="AV268" s="129">
        <v>121.16404428486695</v>
      </c>
      <c r="AW268" s="9">
        <v>8.4375</v>
      </c>
      <c r="AX268" s="129">
        <f t="shared" si="218"/>
        <v>129.62499144406578</v>
      </c>
      <c r="AY268" s="36">
        <f t="shared" si="244"/>
        <v>1.1332515518893966E-2</v>
      </c>
      <c r="AZ268" s="37">
        <f t="shared" si="219"/>
        <v>52468486.986196823</v>
      </c>
      <c r="BA268" s="36">
        <f t="shared" si="196"/>
        <v>1.9954549372590691</v>
      </c>
      <c r="BB268" s="37">
        <f t="shared" si="220"/>
        <v>-1.5005312904806277E-4</v>
      </c>
      <c r="BC268" s="37">
        <f t="shared" si="221"/>
        <v>-3.6939536059015697E-2</v>
      </c>
      <c r="BD268" s="37">
        <f t="shared" si="222"/>
        <v>-4.2692721164958805</v>
      </c>
      <c r="BE268" s="39">
        <f t="shared" si="223"/>
        <v>1.9450635569010437E-2</v>
      </c>
      <c r="BF268" s="39">
        <f>BF267+(1000*$C$2*($B268-$B267))/(BerechnungenCLT!$W$47*2*AZ268)</f>
        <v>1.0620914532051027E-2</v>
      </c>
      <c r="BG268" s="37">
        <f t="shared" si="197"/>
        <v>2.4705303867093967E-6</v>
      </c>
      <c r="BH268" s="173">
        <f t="shared" si="224"/>
        <v>1710.2001201297621</v>
      </c>
      <c r="BI268">
        <v>-258.11616355216597</v>
      </c>
      <c r="BP268" s="129">
        <v>95.557283580767063</v>
      </c>
      <c r="BQ268" s="9">
        <v>12.6875</v>
      </c>
      <c r="BR268" s="129">
        <f t="shared" si="225"/>
        <v>108.71764566563748</v>
      </c>
      <c r="BS268" s="36">
        <f t="shared" si="245"/>
        <v>1.4357595084954263E-2</v>
      </c>
      <c r="BT268" s="37">
        <f t="shared" si="226"/>
        <v>44235583.49567917</v>
      </c>
      <c r="BU268" s="36">
        <f t="shared" si="198"/>
        <v>1.9835005975163122</v>
      </c>
      <c r="BV268" s="37">
        <f t="shared" si="227"/>
        <v>-1.779802599295523E-4</v>
      </c>
      <c r="BW268" s="37">
        <f t="shared" si="228"/>
        <v>-4.3251325333124917E-2</v>
      </c>
      <c r="BX268" s="37">
        <f t="shared" si="229"/>
        <v>-4.7743691859619135</v>
      </c>
      <c r="BY268" s="39">
        <f t="shared" si="230"/>
        <v>1.9349594834499124E-2</v>
      </c>
      <c r="BZ268" s="39">
        <f>BZ267+(1000*$C$2*($B268-$B267))/(BerechnungenCLT!$W$47*2*BT268)</f>
        <v>1.2445674418750314E-2</v>
      </c>
      <c r="CA268" s="37">
        <f t="shared" si="199"/>
        <v>2.4576966567256145E-6</v>
      </c>
      <c r="CB268" s="173">
        <f t="shared" si="231"/>
        <v>2577.7089908553567</v>
      </c>
      <c r="CC268" s="9">
        <v>-257.85653375053585</v>
      </c>
      <c r="CJ268" s="9">
        <f t="shared" si="247"/>
        <v>217</v>
      </c>
      <c r="CK268" s="129">
        <v>92.620172923862924</v>
      </c>
      <c r="CL268" s="9">
        <v>8.453125</v>
      </c>
      <c r="CM268" s="129">
        <f t="shared" si="232"/>
        <v>105.14337661818686</v>
      </c>
      <c r="CN268" s="36">
        <f t="shared" si="246"/>
        <v>1.3226973609471709E-2</v>
      </c>
      <c r="CO268" s="173">
        <f t="shared" si="233"/>
        <v>2750.2459073133523</v>
      </c>
      <c r="CP268" s="9">
        <v>-630.84450314323431</v>
      </c>
      <c r="CQ268" s="129"/>
      <c r="CR268" s="36">
        <f t="shared" si="234"/>
        <v>0.78789661822419077</v>
      </c>
      <c r="CS268" s="17">
        <f t="shared" si="200"/>
        <v>0.56640392475855084</v>
      </c>
      <c r="CT268" s="9">
        <f t="shared" si="201"/>
        <v>8.9545195191965892</v>
      </c>
      <c r="CU268" s="9">
        <f t="shared" si="235"/>
        <v>105.88618660799732</v>
      </c>
      <c r="CV268" s="9">
        <v>13.2</v>
      </c>
      <c r="CW268" s="9">
        <f t="shared" si="236"/>
        <v>112.17581521769816</v>
      </c>
      <c r="CX268">
        <f t="shared" si="237"/>
        <v>22</v>
      </c>
      <c r="CY268" s="9">
        <f t="shared" si="202"/>
        <v>577.39893471904406</v>
      </c>
      <c r="CZ268" s="17">
        <f t="shared" si="238"/>
        <v>0.54369014568648222</v>
      </c>
      <c r="DA268">
        <v>45</v>
      </c>
      <c r="DB268" s="9">
        <f t="shared" si="239"/>
        <v>9.3177932814855513</v>
      </c>
      <c r="DC268" s="9">
        <f t="shared" si="240"/>
        <v>10.105819814911889</v>
      </c>
    </row>
    <row r="269" spans="2:107" x14ac:dyDescent="0.25">
      <c r="B269" s="9">
        <f t="shared" si="241"/>
        <v>218</v>
      </c>
      <c r="C269" s="9">
        <v>115.29618310160524</v>
      </c>
      <c r="D269" s="9"/>
      <c r="E269" s="9">
        <f t="shared" si="203"/>
        <v>115.29618310160524</v>
      </c>
      <c r="F269" s="36">
        <f t="shared" si="242"/>
        <v>0</v>
      </c>
      <c r="G269" s="37">
        <f t="shared" ref="G269:G298" si="248">(PI()/4)*(E269^4-C269^4)</f>
        <v>0</v>
      </c>
      <c r="H269" s="36" t="e">
        <f t="shared" si="188"/>
        <v>#DIV/0!</v>
      </c>
      <c r="I269" s="37" t="e">
        <f t="shared" si="204"/>
        <v>#DIV/0!</v>
      </c>
      <c r="J269" s="37" t="e">
        <f t="shared" si="205"/>
        <v>#DIV/0!</v>
      </c>
      <c r="K269" s="37" t="e">
        <f t="shared" si="206"/>
        <v>#DIV/0!</v>
      </c>
      <c r="L269" s="39" t="e">
        <f t="shared" si="189"/>
        <v>#DIV/0!</v>
      </c>
      <c r="M269" s="39" t="e">
        <f>M268+(1000*$C$2*(B269-B268))/(BerechnungenCLT!$W$47*2*'Berechnung freier Bereich'!G269)</f>
        <v>#DIV/0!</v>
      </c>
      <c r="N269" s="17" t="e">
        <f t="shared" si="207"/>
        <v>#DIV/0!</v>
      </c>
      <c r="O269" s="173">
        <f t="shared" si="208"/>
        <v>2022.898871899496</v>
      </c>
      <c r="P269" s="173"/>
      <c r="Q269" s="173"/>
      <c r="R269" s="37" t="e">
        <f t="shared" si="190"/>
        <v>#DIV/0!</v>
      </c>
      <c r="S269" s="37" t="e">
        <f t="shared" si="191"/>
        <v>#DIV/0!</v>
      </c>
      <c r="T269" s="37" t="e">
        <f t="shared" si="192"/>
        <v>#DIV/0!</v>
      </c>
      <c r="U269" s="39" t="e">
        <f t="shared" si="193"/>
        <v>#DIV/0!</v>
      </c>
      <c r="V269" s="39" t="e">
        <f t="shared" si="209"/>
        <v>#DIV/0!</v>
      </c>
      <c r="W269" s="9" t="e">
        <f t="shared" si="210"/>
        <v>#DIV/0!</v>
      </c>
      <c r="AB269" s="129">
        <v>121.05120265210468</v>
      </c>
      <c r="AC269" s="9">
        <v>8.5625</v>
      </c>
      <c r="AD269" s="129">
        <f t="shared" si="211"/>
        <v>129.76368649887345</v>
      </c>
      <c r="AE269" s="36">
        <f t="shared" si="243"/>
        <v>1.1670624447058324E-2</v>
      </c>
      <c r="AF269" s="37">
        <f t="shared" si="212"/>
        <v>54048735.061798811</v>
      </c>
      <c r="AG269" s="36">
        <f t="shared" si="194"/>
        <v>1.9951821659906879</v>
      </c>
      <c r="AH269" s="37">
        <f t="shared" si="213"/>
        <v>-1.4566595572855517E-4</v>
      </c>
      <c r="AI269" s="37">
        <f t="shared" si="214"/>
        <v>-4.0572124087643768E-2</v>
      </c>
      <c r="AJ269" s="37">
        <f t="shared" si="215"/>
        <v>-4.7091198763615969</v>
      </c>
      <c r="AK269" s="39">
        <f t="shared" si="216"/>
        <v>1.8902151412719014E-2</v>
      </c>
      <c r="AL269" s="39">
        <f>AL268+(1000*$C$2*($B269-$B268))/(BerechnungenCLT!$W$47*2*AF269)</f>
        <v>1.1671107941373554E-2</v>
      </c>
      <c r="AM269" s="37">
        <f t="shared" si="195"/>
        <v>2.4008644485482018E-6</v>
      </c>
      <c r="AN269" s="173">
        <f t="shared" si="217"/>
        <v>1709.8475713088239</v>
      </c>
      <c r="AO269" s="173">
        <v>-258.37290486005384</v>
      </c>
      <c r="AV269" s="129">
        <v>121.23864701641271</v>
      </c>
      <c r="AW269" s="9">
        <v>8.4375</v>
      </c>
      <c r="AX269" s="129">
        <f t="shared" si="218"/>
        <v>129.69996157333054</v>
      </c>
      <c r="AY269" s="36">
        <f t="shared" si="244"/>
        <v>1.1339766716815474E-2</v>
      </c>
      <c r="AZ269" s="37">
        <f t="shared" si="219"/>
        <v>52564637.403703369</v>
      </c>
      <c r="BA269" s="36">
        <f t="shared" si="196"/>
        <v>1.9954599510359206</v>
      </c>
      <c r="BB269" s="37">
        <f t="shared" si="220"/>
        <v>-1.4977865419731228E-4</v>
      </c>
      <c r="BC269" s="37">
        <f t="shared" si="221"/>
        <v>-3.7089314713213008E-2</v>
      </c>
      <c r="BD269" s="37">
        <f t="shared" si="222"/>
        <v>-4.3062865418819944</v>
      </c>
      <c r="BE269" s="39">
        <f t="shared" si="223"/>
        <v>1.9426285693896567E-2</v>
      </c>
      <c r="BF269" s="39">
        <f>BF268+(1000*$C$2*($B269-$B268))/(BerechnungenCLT!$W$47*2*AZ269)</f>
        <v>1.0664216066416021E-2</v>
      </c>
      <c r="BG269" s="37">
        <f t="shared" si="197"/>
        <v>2.4674375774195432E-6</v>
      </c>
      <c r="BH269" s="173">
        <f t="shared" si="224"/>
        <v>1708.1619858558076</v>
      </c>
      <c r="BI269">
        <v>-257.90178202136917</v>
      </c>
      <c r="BP269" s="129">
        <v>95.83283554107193</v>
      </c>
      <c r="BQ269" s="9">
        <v>12.625</v>
      </c>
      <c r="BR269" s="129">
        <f t="shared" si="225"/>
        <v>108.96142132916287</v>
      </c>
      <c r="BS269" s="36">
        <f t="shared" si="245"/>
        <v>1.4359341157096661E-2</v>
      </c>
      <c r="BT269" s="37">
        <f t="shared" si="226"/>
        <v>44464383.452309564</v>
      </c>
      <c r="BU269" s="36">
        <f t="shared" si="198"/>
        <v>1.9836623508010951</v>
      </c>
      <c r="BV269" s="37">
        <f t="shared" si="227"/>
        <v>-1.7706442859239627E-4</v>
      </c>
      <c r="BW269" s="37">
        <f t="shared" si="228"/>
        <v>-4.3428389761717312E-2</v>
      </c>
      <c r="BX269" s="37">
        <f t="shared" si="229"/>
        <v>-4.8177090435093346</v>
      </c>
      <c r="BY269" s="39">
        <f t="shared" si="230"/>
        <v>1.9293191806263564E-2</v>
      </c>
      <c r="BZ269" s="39">
        <f>BZ268+(1000*$C$2*($B269-$B268))/(BerechnungenCLT!$W$47*2*BT269)</f>
        <v>1.2496864366213799E-2</v>
      </c>
      <c r="CA269" s="37">
        <f t="shared" si="199"/>
        <v>2.450532603157083E-6</v>
      </c>
      <c r="CB269" s="173">
        <f t="shared" si="231"/>
        <v>2564.6521975144392</v>
      </c>
      <c r="CC269" s="9">
        <v>-257.82047224109522</v>
      </c>
      <c r="CJ269" s="9">
        <f t="shared" si="247"/>
        <v>218</v>
      </c>
      <c r="CK269" s="129">
        <v>91.527100716784304</v>
      </c>
      <c r="CL269" s="9">
        <v>8.640625</v>
      </c>
      <c r="CM269" s="129">
        <f t="shared" si="232"/>
        <v>104.03081736127447</v>
      </c>
      <c r="CN269" s="36">
        <f t="shared" si="246"/>
        <v>1.3059102253262895E-2</v>
      </c>
      <c r="CO269" s="173">
        <f t="shared" si="233"/>
        <v>2812.6339436420908</v>
      </c>
      <c r="CP269" s="9">
        <v>-631.15516934700383</v>
      </c>
      <c r="CQ269" s="129"/>
      <c r="CR269" s="36">
        <f t="shared" si="234"/>
        <v>0.79317729958513616</v>
      </c>
      <c r="CS269" s="17">
        <f t="shared" si="200"/>
        <v>0.57020010636290919</v>
      </c>
      <c r="CT269" s="9">
        <f t="shared" si="201"/>
        <v>9.0922027936283065</v>
      </c>
      <c r="CU269" s="9">
        <f t="shared" si="235"/>
        <v>104.6842886986456</v>
      </c>
      <c r="CV269" s="9">
        <v>13.2</v>
      </c>
      <c r="CW269" s="9">
        <f t="shared" si="236"/>
        <v>110.62861938091686</v>
      </c>
      <c r="CX269">
        <f t="shared" si="237"/>
        <v>22</v>
      </c>
      <c r="CY269" s="9">
        <f t="shared" si="202"/>
        <v>584.2945833629484</v>
      </c>
      <c r="CZ269" s="17">
        <f t="shared" si="238"/>
        <v>0.55018322350560112</v>
      </c>
      <c r="DA269">
        <v>45</v>
      </c>
      <c r="DB269" s="9">
        <f t="shared" si="239"/>
        <v>9.429072026114552</v>
      </c>
      <c r="DC269" s="9">
        <f t="shared" si="240"/>
        <v>10.222381458263694</v>
      </c>
    </row>
    <row r="270" spans="2:107" x14ac:dyDescent="0.25">
      <c r="B270" s="9">
        <f t="shared" si="241"/>
        <v>219</v>
      </c>
      <c r="C270" s="9">
        <v>115.53655258328584</v>
      </c>
      <c r="D270" s="9"/>
      <c r="E270" s="9">
        <f t="shared" si="203"/>
        <v>115.53655258328584</v>
      </c>
      <c r="F270" s="36">
        <f t="shared" si="242"/>
        <v>0</v>
      </c>
      <c r="G270" s="37">
        <f t="shared" si="248"/>
        <v>0</v>
      </c>
      <c r="H270" s="36" t="e">
        <f t="shared" si="188"/>
        <v>#DIV/0!</v>
      </c>
      <c r="I270" s="37" t="e">
        <f t="shared" si="204"/>
        <v>#DIV/0!</v>
      </c>
      <c r="J270" s="37" t="e">
        <f t="shared" si="205"/>
        <v>#DIV/0!</v>
      </c>
      <c r="K270" s="37" t="e">
        <f t="shared" si="206"/>
        <v>#DIV/0!</v>
      </c>
      <c r="L270" s="39" t="e">
        <f t="shared" si="189"/>
        <v>#DIV/0!</v>
      </c>
      <c r="M270" s="39" t="e">
        <f>M269+(1000*$C$2*(B270-B269))/(BerechnungenCLT!$W$47*2*'Berechnung freier Bereich'!G270)</f>
        <v>#DIV/0!</v>
      </c>
      <c r="N270" s="17" t="e">
        <f t="shared" si="207"/>
        <v>#DIV/0!</v>
      </c>
      <c r="O270" s="173">
        <f t="shared" si="208"/>
        <v>2014.4904965912162</v>
      </c>
      <c r="P270" s="173"/>
      <c r="Q270" s="173"/>
      <c r="R270" s="37" t="e">
        <f t="shared" si="190"/>
        <v>#DIV/0!</v>
      </c>
      <c r="S270" s="37" t="e">
        <f t="shared" si="191"/>
        <v>#DIV/0!</v>
      </c>
      <c r="T270" s="37" t="e">
        <f t="shared" si="192"/>
        <v>#DIV/0!</v>
      </c>
      <c r="U270" s="39" t="e">
        <f t="shared" si="193"/>
        <v>#DIV/0!</v>
      </c>
      <c r="V270" s="39" t="e">
        <f t="shared" si="209"/>
        <v>#DIV/0!</v>
      </c>
      <c r="W270" s="9" t="e">
        <f t="shared" si="210"/>
        <v>#DIV/0!</v>
      </c>
      <c r="AB270" s="129">
        <v>121.23919080667534</v>
      </c>
      <c r="AC270" s="9">
        <v>8.5625</v>
      </c>
      <c r="AD270" s="129">
        <f t="shared" si="211"/>
        <v>129.93684949692269</v>
      </c>
      <c r="AE270" s="36">
        <f t="shared" si="243"/>
        <v>1.1667541787860402E-2</v>
      </c>
      <c r="AF270" s="37">
        <f t="shared" si="212"/>
        <v>54189771.283172719</v>
      </c>
      <c r="AG270" s="36">
        <f t="shared" si="194"/>
        <v>1.9952122914013311</v>
      </c>
      <c r="AH270" s="37">
        <f t="shared" si="213"/>
        <v>-1.4528684034400372E-4</v>
      </c>
      <c r="AI270" s="37">
        <f t="shared" si="214"/>
        <v>-4.0717410927987772E-2</v>
      </c>
      <c r="AJ270" s="37">
        <f t="shared" si="215"/>
        <v>-4.7497646438694128</v>
      </c>
      <c r="AK270" s="39">
        <f t="shared" si="216"/>
        <v>1.8878114307662248E-2</v>
      </c>
      <c r="AL270" s="39">
        <f>AL269+(1000*$C$2*($B270-$B269))/(BerechnungenCLT!$W$47*2*AF270)</f>
        <v>1.1713110876595883E-2</v>
      </c>
      <c r="AM270" s="37">
        <f t="shared" si="195"/>
        <v>2.397811365874344E-6</v>
      </c>
      <c r="AN270" s="173">
        <f t="shared" si="217"/>
        <v>1704.9341291075023</v>
      </c>
      <c r="AO270" s="173">
        <v>-257.69250271898909</v>
      </c>
      <c r="AV270" s="129">
        <v>121.31383277520052</v>
      </c>
      <c r="AW270" s="9">
        <v>8.4375</v>
      </c>
      <c r="AX270" s="129">
        <f t="shared" si="218"/>
        <v>129.77550770745438</v>
      </c>
      <c r="AY270" s="36">
        <f t="shared" si="244"/>
        <v>1.1347061462977976E-2</v>
      </c>
      <c r="AZ270" s="37">
        <f t="shared" si="219"/>
        <v>52661592.810740225</v>
      </c>
      <c r="BA270" s="36">
        <f t="shared" si="196"/>
        <v>1.9954650054022738</v>
      </c>
      <c r="BB270" s="37">
        <f t="shared" si="220"/>
        <v>-1.4950289629467301E-4</v>
      </c>
      <c r="BC270" s="37">
        <f t="shared" si="221"/>
        <v>-3.7238817609507681E-2</v>
      </c>
      <c r="BD270" s="37">
        <f t="shared" si="222"/>
        <v>-4.343450608043355</v>
      </c>
      <c r="BE270" s="39">
        <f t="shared" si="223"/>
        <v>1.9401814270376089E-2</v>
      </c>
      <c r="BF270" s="39">
        <f>BF269+(1000*$C$2*($B270-$B269))/(BerechnungenCLT!$W$47*2*AZ270)</f>
        <v>1.070743787820398E-2</v>
      </c>
      <c r="BG270" s="37">
        <f t="shared" si="197"/>
        <v>2.4643293296093947E-6</v>
      </c>
      <c r="BH270" s="173">
        <f t="shared" si="224"/>
        <v>1706.1117418546369</v>
      </c>
      <c r="BI270">
        <v>-257.6819177393138</v>
      </c>
      <c r="BP270" s="129">
        <v>96.118084586004983</v>
      </c>
      <c r="BQ270" s="9">
        <v>12.5</v>
      </c>
      <c r="BR270" s="129">
        <f t="shared" si="225"/>
        <v>109.15175739483428</v>
      </c>
      <c r="BS270" s="36">
        <f t="shared" si="245"/>
        <v>1.4288635464501648E-2</v>
      </c>
      <c r="BT270" s="37">
        <f t="shared" si="226"/>
        <v>44447726.266890511</v>
      </c>
      <c r="BU270" s="36">
        <f t="shared" si="198"/>
        <v>1.9839703848666395</v>
      </c>
      <c r="BV270" s="37">
        <f t="shared" si="227"/>
        <v>-1.771307850804756E-4</v>
      </c>
      <c r="BW270" s="37">
        <f t="shared" si="228"/>
        <v>-4.3605520546797789E-2</v>
      </c>
      <c r="BX270" s="37">
        <f t="shared" si="229"/>
        <v>-4.861225998663592</v>
      </c>
      <c r="BY270" s="39">
        <f t="shared" si="230"/>
        <v>1.9334136480260604E-2</v>
      </c>
      <c r="BZ270" s="39">
        <f>BZ269+(1000*$C$2*($B270-$B269))/(BerechnungenCLT!$W$47*2*BT270)</f>
        <v>1.2548073497570771E-2</v>
      </c>
      <c r="CA270" s="37">
        <f t="shared" si="199"/>
        <v>2.4557332075756223E-6</v>
      </c>
      <c r="CB270" s="173">
        <f t="shared" si="231"/>
        <v>2552.7819936172227</v>
      </c>
      <c r="CC270" s="9">
        <v>-259.19345101001511</v>
      </c>
      <c r="CJ270" s="9">
        <f t="shared" si="247"/>
        <v>219</v>
      </c>
      <c r="CK270" s="129">
        <v>90.481130226847597</v>
      </c>
      <c r="CL270" s="9">
        <v>8.828125</v>
      </c>
      <c r="CM270" s="129">
        <f t="shared" si="232"/>
        <v>102.92492969302982</v>
      </c>
      <c r="CN270" s="36">
        <f t="shared" si="246"/>
        <v>1.2853514013875736E-2</v>
      </c>
      <c r="CO270" s="173">
        <f t="shared" si="233"/>
        <v>2875.5695010002028</v>
      </c>
      <c r="CP270" s="9">
        <v>-631.57289335574853</v>
      </c>
      <c r="CQ270" s="129"/>
      <c r="CR270" s="36">
        <f t="shared" si="234"/>
        <v>0.79847133660556935</v>
      </c>
      <c r="CS270" s="17">
        <f t="shared" si="200"/>
        <v>0.57400588909738615</v>
      </c>
      <c r="CT270" s="9">
        <f t="shared" si="201"/>
        <v>9.2279105504113197</v>
      </c>
      <c r="CU270" s="9">
        <f t="shared" si="235"/>
        <v>103.48845266294651</v>
      </c>
      <c r="CV270" s="9">
        <v>13.2</v>
      </c>
      <c r="CW270" s="9">
        <f t="shared" si="236"/>
        <v>109.08736348176927</v>
      </c>
      <c r="CX270">
        <f t="shared" si="237"/>
        <v>22</v>
      </c>
      <c r="CY270" s="9">
        <f t="shared" si="202"/>
        <v>591.0490844406346</v>
      </c>
      <c r="CZ270" s="17">
        <f t="shared" si="238"/>
        <v>0.55654339401189701</v>
      </c>
      <c r="DA270">
        <v>45</v>
      </c>
      <c r="DB270" s="9">
        <f t="shared" si="239"/>
        <v>9.5380729975002634</v>
      </c>
      <c r="DC270" s="9">
        <f t="shared" si="240"/>
        <v>10.336671702725022</v>
      </c>
    </row>
    <row r="271" spans="2:107" x14ac:dyDescent="0.25">
      <c r="B271" s="9">
        <f t="shared" si="241"/>
        <v>220</v>
      </c>
      <c r="C271" s="9">
        <v>115.77682865857039</v>
      </c>
      <c r="D271" s="9"/>
      <c r="E271" s="9">
        <f t="shared" si="203"/>
        <v>115.77682865857039</v>
      </c>
      <c r="F271" s="36">
        <f t="shared" si="242"/>
        <v>0</v>
      </c>
      <c r="G271" s="37">
        <f t="shared" si="248"/>
        <v>0</v>
      </c>
      <c r="H271" s="36" t="e">
        <f t="shared" si="188"/>
        <v>#DIV/0!</v>
      </c>
      <c r="I271" s="37" t="e">
        <f t="shared" si="204"/>
        <v>#DIV/0!</v>
      </c>
      <c r="J271" s="37" t="e">
        <f t="shared" si="205"/>
        <v>#DIV/0!</v>
      </c>
      <c r="K271" s="37" t="e">
        <f t="shared" si="206"/>
        <v>#DIV/0!</v>
      </c>
      <c r="L271" s="39" t="e">
        <f t="shared" si="189"/>
        <v>#DIV/0!</v>
      </c>
      <c r="M271" s="39" t="e">
        <f>M270+(1000*$C$2*(B271-B270))/(BerechnungenCLT!$W$47*2*'Berechnung freier Bereich'!G271)</f>
        <v>#DIV/0!</v>
      </c>
      <c r="N271" s="17" t="e">
        <f t="shared" si="207"/>
        <v>#DIV/0!</v>
      </c>
      <c r="O271" s="173">
        <f t="shared" si="208"/>
        <v>2006.1376748939792</v>
      </c>
      <c r="P271" s="173"/>
      <c r="Q271" s="173"/>
      <c r="R271" s="37" t="e">
        <f t="shared" si="190"/>
        <v>#DIV/0!</v>
      </c>
      <c r="S271" s="37" t="e">
        <f t="shared" si="191"/>
        <v>#DIV/0!</v>
      </c>
      <c r="T271" s="37" t="e">
        <f t="shared" si="192"/>
        <v>#DIV/0!</v>
      </c>
      <c r="U271" s="39" t="e">
        <f t="shared" si="193"/>
        <v>#DIV/0!</v>
      </c>
      <c r="V271" s="39" t="e">
        <f t="shared" si="209"/>
        <v>#DIV/0!</v>
      </c>
      <c r="W271" s="9" t="e">
        <f t="shared" si="210"/>
        <v>#DIV/0!</v>
      </c>
      <c r="AB271" s="129">
        <v>121.41756983543988</v>
      </c>
      <c r="AC271" s="9">
        <v>8.5</v>
      </c>
      <c r="AD271" s="129">
        <f t="shared" si="211"/>
        <v>130.03780393328452</v>
      </c>
      <c r="AE271" s="36">
        <f t="shared" si="243"/>
        <v>1.1576539962861735E-2</v>
      </c>
      <c r="AF271" s="37">
        <f t="shared" si="212"/>
        <v>53885485.218490697</v>
      </c>
      <c r="AG271" s="36">
        <f t="shared" si="194"/>
        <v>1.995307425123606</v>
      </c>
      <c r="AH271" s="37">
        <f t="shared" si="213"/>
        <v>-1.4610726092143951E-4</v>
      </c>
      <c r="AI271" s="37">
        <f t="shared" si="214"/>
        <v>-4.0863518188909209E-2</v>
      </c>
      <c r="AJ271" s="37">
        <f t="shared" si="215"/>
        <v>-4.7905551084278617</v>
      </c>
      <c r="AK271" s="39">
        <f t="shared" si="216"/>
        <v>1.8999467348931397E-2</v>
      </c>
      <c r="AL271" s="39">
        <f>AL270+(1000*$C$2*($B271-$B270))/(BerechnungenCLT!$W$47*2*AF271)</f>
        <v>1.1755350998285256E-2</v>
      </c>
      <c r="AM271" s="37">
        <f t="shared" si="195"/>
        <v>2.4132250717612972E-6</v>
      </c>
      <c r="AN271" s="173">
        <f t="shared" si="217"/>
        <v>1701.1483230739475</v>
      </c>
      <c r="AO271" s="173">
        <v>-259.05071649711249</v>
      </c>
      <c r="AV271" s="129">
        <v>121.38958608240334</v>
      </c>
      <c r="AW271" s="9">
        <v>8.4375</v>
      </c>
      <c r="AX271" s="129">
        <f t="shared" si="218"/>
        <v>129.85161414678223</v>
      </c>
      <c r="AY271" s="36">
        <f t="shared" si="244"/>
        <v>1.1354398041750076E-2</v>
      </c>
      <c r="AZ271" s="37">
        <f t="shared" si="219"/>
        <v>52759334.76302892</v>
      </c>
      <c r="BA271" s="36">
        <f t="shared" si="196"/>
        <v>1.9954700992517949</v>
      </c>
      <c r="BB271" s="37">
        <f t="shared" si="220"/>
        <v>-1.4922592720432548E-4</v>
      </c>
      <c r="BC271" s="37">
        <f t="shared" si="221"/>
        <v>-3.7388043536712004E-2</v>
      </c>
      <c r="BD271" s="37">
        <f t="shared" si="222"/>
        <v>-4.3807640386164648</v>
      </c>
      <c r="BE271" s="39">
        <f t="shared" si="223"/>
        <v>1.9377227520031886E-2</v>
      </c>
      <c r="BF271" s="39">
        <f>BF270+(1000*$C$2*($B271-$B270))/(BerechnungenCLT!$W$47*2*AZ271)</f>
        <v>1.0750579617256287E-2</v>
      </c>
      <c r="BG271" s="37">
        <f t="shared" si="197"/>
        <v>2.4612064335158314E-6</v>
      </c>
      <c r="BH271" s="173">
        <f t="shared" si="224"/>
        <v>1704.0498873928971</v>
      </c>
      <c r="BI271">
        <v>-257.45537066551452</v>
      </c>
      <c r="BP271" s="129">
        <v>96.413398676560689</v>
      </c>
      <c r="BQ271" s="9">
        <v>12.5</v>
      </c>
      <c r="BR271" s="129">
        <f t="shared" si="225"/>
        <v>109.48460562775243</v>
      </c>
      <c r="BS271" s="36">
        <f t="shared" si="245"/>
        <v>1.4373635319723108E-2</v>
      </c>
      <c r="BT271" s="37">
        <f t="shared" si="226"/>
        <v>44986143.685195424</v>
      </c>
      <c r="BU271" s="36">
        <f t="shared" si="198"/>
        <v>1.9839761153677717</v>
      </c>
      <c r="BV271" s="37">
        <f t="shared" si="227"/>
        <v>-1.7501079229619219E-4</v>
      </c>
      <c r="BW271" s="37">
        <f t="shared" si="228"/>
        <v>-4.378053133909398E-2</v>
      </c>
      <c r="BX271" s="37">
        <f t="shared" si="229"/>
        <v>-4.9049190246065377</v>
      </c>
      <c r="BY271" s="39">
        <f t="shared" si="230"/>
        <v>1.9160987575149096E-2</v>
      </c>
      <c r="BZ271" s="39">
        <f>BZ270+(1000*$C$2*($B271-$B270))/(BerechnungenCLT!$W$47*2*BT271)</f>
        <v>1.2598669731576688E-2</v>
      </c>
      <c r="CA271" s="37">
        <f t="shared" si="199"/>
        <v>2.4337406289791168E-6</v>
      </c>
      <c r="CB271" s="173">
        <f t="shared" si="231"/>
        <v>2537.2294838458747</v>
      </c>
      <c r="CC271" s="9">
        <v>-257.6143468446059</v>
      </c>
      <c r="CJ271" s="9">
        <f t="shared" si="247"/>
        <v>220</v>
      </c>
      <c r="CK271" s="129">
        <v>89.487717822852716</v>
      </c>
      <c r="CL271" s="9">
        <v>9.03125</v>
      </c>
      <c r="CM271" s="129">
        <f t="shared" si="232"/>
        <v>101.85416502768965</v>
      </c>
      <c r="CN271" s="36">
        <f t="shared" si="246"/>
        <v>1.2637285147544671E-2</v>
      </c>
      <c r="CO271" s="173">
        <f t="shared" si="233"/>
        <v>2937.9468678576714</v>
      </c>
      <c r="CP271" s="9">
        <v>-630.76002281199544</v>
      </c>
      <c r="CQ271" s="129"/>
      <c r="CR271" s="36">
        <f t="shared" si="234"/>
        <v>0.80363927522779199</v>
      </c>
      <c r="CS271" s="17">
        <f t="shared" si="200"/>
        <v>0.57772102208670595</v>
      </c>
      <c r="CT271" s="9">
        <f t="shared" si="201"/>
        <v>9.3795271295956741</v>
      </c>
      <c r="CU271" s="9">
        <f t="shared" si="235"/>
        <v>102.33105922680905</v>
      </c>
      <c r="CV271" s="9">
        <v>13.2</v>
      </c>
      <c r="CW271" s="9">
        <f t="shared" si="236"/>
        <v>107.56241436030295</v>
      </c>
      <c r="CX271">
        <f t="shared" si="237"/>
        <v>22</v>
      </c>
      <c r="CY271" s="9">
        <f t="shared" si="202"/>
        <v>597.61038141119161</v>
      </c>
      <c r="CZ271" s="17">
        <f t="shared" si="238"/>
        <v>0.56272163974688472</v>
      </c>
      <c r="DA271">
        <v>45</v>
      </c>
      <c r="DB271" s="9">
        <f t="shared" si="239"/>
        <v>9.643956131593395</v>
      </c>
      <c r="DC271" s="9">
        <f t="shared" si="240"/>
        <v>10.44772625021823</v>
      </c>
    </row>
    <row r="272" spans="2:107" x14ac:dyDescent="0.25">
      <c r="B272" s="9">
        <f t="shared" si="241"/>
        <v>221</v>
      </c>
      <c r="C272" s="9">
        <v>116.0169705905621</v>
      </c>
      <c r="D272" s="9"/>
      <c r="E272" s="9">
        <f t="shared" si="203"/>
        <v>116.0169705905621</v>
      </c>
      <c r="F272" s="36">
        <f t="shared" si="242"/>
        <v>0</v>
      </c>
      <c r="G272" s="37">
        <f t="shared" si="248"/>
        <v>0</v>
      </c>
      <c r="H272" s="36" t="e">
        <f t="shared" si="188"/>
        <v>#DIV/0!</v>
      </c>
      <c r="I272" s="37" t="e">
        <f t="shared" si="204"/>
        <v>#DIV/0!</v>
      </c>
      <c r="J272" s="37" t="e">
        <f t="shared" si="205"/>
        <v>#DIV/0!</v>
      </c>
      <c r="K272" s="37" t="e">
        <f t="shared" si="206"/>
        <v>#DIV/0!</v>
      </c>
      <c r="L272" s="39" t="e">
        <f t="shared" si="189"/>
        <v>#DIV/0!</v>
      </c>
      <c r="M272" s="39" t="e">
        <f>M271+(1000*$C$2*(B272-B271))/(BerechnungenCLT!$W$47*2*'Berechnung freier Bereich'!G272)</f>
        <v>#DIV/0!</v>
      </c>
      <c r="N272" s="17" t="e">
        <f t="shared" si="207"/>
        <v>#DIV/0!</v>
      </c>
      <c r="O272" s="173">
        <f t="shared" si="208"/>
        <v>1997.8413164777628</v>
      </c>
      <c r="P272" s="173"/>
      <c r="Q272" s="173"/>
      <c r="R272" s="37" t="e">
        <f t="shared" si="190"/>
        <v>#DIV/0!</v>
      </c>
      <c r="S272" s="37" t="e">
        <f t="shared" si="191"/>
        <v>#DIV/0!</v>
      </c>
      <c r="T272" s="37" t="e">
        <f t="shared" si="192"/>
        <v>#DIV/0!</v>
      </c>
      <c r="U272" s="39" t="e">
        <f t="shared" si="193"/>
        <v>#DIV/0!</v>
      </c>
      <c r="V272" s="39" t="e">
        <f t="shared" si="209"/>
        <v>#DIV/0!</v>
      </c>
      <c r="W272" s="9" t="e">
        <f t="shared" si="210"/>
        <v>#DIV/0!</v>
      </c>
      <c r="AB272" s="129">
        <v>121.58636101502721</v>
      </c>
      <c r="AC272" s="9">
        <v>8.5</v>
      </c>
      <c r="AD272" s="129">
        <f t="shared" si="211"/>
        <v>130.19343463815355</v>
      </c>
      <c r="AE272" s="36">
        <f t="shared" si="243"/>
        <v>1.157377908921535E-2</v>
      </c>
      <c r="AF272" s="37">
        <f t="shared" si="212"/>
        <v>54011378.036399812</v>
      </c>
      <c r="AG272" s="36">
        <f t="shared" si="194"/>
        <v>1.9953337445376325</v>
      </c>
      <c r="AH272" s="37">
        <f t="shared" si="213"/>
        <v>-1.45766705737271E-4</v>
      </c>
      <c r="AI272" s="37">
        <f t="shared" si="214"/>
        <v>-4.1009284894646482E-2</v>
      </c>
      <c r="AJ272" s="37">
        <f t="shared" si="215"/>
        <v>-4.8314915099696396</v>
      </c>
      <c r="AK272" s="39">
        <f t="shared" si="216"/>
        <v>1.8977868075824356E-2</v>
      </c>
      <c r="AL272" s="39">
        <f>AL271+(1000*$C$2*($B272-$B271))/(BerechnungenCLT!$W$47*2*AF272)</f>
        <v>1.1797492664276188E-2</v>
      </c>
      <c r="AM272" s="37">
        <f t="shared" si="195"/>
        <v>2.4104816313039167E-6</v>
      </c>
      <c r="AN272" s="173">
        <f t="shared" si="217"/>
        <v>1696.7672393229846</v>
      </c>
      <c r="AO272" s="173">
        <v>-258.39810004154231</v>
      </c>
      <c r="AV272" s="129">
        <v>121.46589145919414</v>
      </c>
      <c r="AW272" s="9">
        <v>8.40625</v>
      </c>
      <c r="AX272" s="129">
        <f t="shared" si="218"/>
        <v>129.89692307276684</v>
      </c>
      <c r="AY272" s="36">
        <f t="shared" si="244"/>
        <v>1.1318282834521451E-2</v>
      </c>
      <c r="AZ272" s="37">
        <f t="shared" si="219"/>
        <v>52641954.989798859</v>
      </c>
      <c r="BA272" s="36">
        <f t="shared" si="196"/>
        <v>1.9955075116163219</v>
      </c>
      <c r="BB272" s="37">
        <f t="shared" si="220"/>
        <v>-1.4955866761069307E-4</v>
      </c>
      <c r="BC272" s="37">
        <f t="shared" si="221"/>
        <v>-3.7537602204322694E-2</v>
      </c>
      <c r="BD272" s="37">
        <f t="shared" si="222"/>
        <v>-4.418226861486982</v>
      </c>
      <c r="BE272" s="39">
        <f t="shared" si="223"/>
        <v>1.9427210741491702E-2</v>
      </c>
      <c r="BF272" s="39">
        <f>BF271+(1000*$C$2*($B272-$B271))/(BerechnungenCLT!$W$47*2*AZ272)</f>
        <v>1.0793817552727358E-2</v>
      </c>
      <c r="BG272" s="37">
        <f t="shared" si="197"/>
        <v>2.4675550727160249E-6</v>
      </c>
      <c r="BH272" s="173">
        <f t="shared" si="224"/>
        <v>1702.4013801807687</v>
      </c>
      <c r="BI272">
        <v>-258.24161599865056</v>
      </c>
      <c r="BP272" s="129">
        <v>96.719145773733587</v>
      </c>
      <c r="BQ272" s="9">
        <v>12.375</v>
      </c>
      <c r="BR272" s="129">
        <f t="shared" si="225"/>
        <v>109.6993509196968</v>
      </c>
      <c r="BS272" s="36">
        <f t="shared" si="245"/>
        <v>1.4309648345240258E-2</v>
      </c>
      <c r="BT272" s="37">
        <f t="shared" si="226"/>
        <v>45009190.701533094</v>
      </c>
      <c r="BU272" s="36">
        <f t="shared" si="198"/>
        <v>1.9842762607378095</v>
      </c>
      <c r="BV272" s="37">
        <f t="shared" si="227"/>
        <v>-1.7492117778576772E-4</v>
      </c>
      <c r="BW272" s="37">
        <f t="shared" si="228"/>
        <v>-4.3955452516879746E-2</v>
      </c>
      <c r="BX272" s="37">
        <f t="shared" si="229"/>
        <v>-4.9487870165345242</v>
      </c>
      <c r="BY272" s="39">
        <f t="shared" si="230"/>
        <v>1.9188739665207604E-2</v>
      </c>
      <c r="BZ272" s="39">
        <f>BZ271+(1000*$C$2*($B272-$B271))/(BerechnungenCLT!$W$47*2*BT272)</f>
        <v>1.2649240057713266E-2</v>
      </c>
      <c r="CA272" s="37">
        <f t="shared" si="199"/>
        <v>2.4372655719837289E-6</v>
      </c>
      <c r="CB272" s="173">
        <f t="shared" si="231"/>
        <v>2524.4501673262203</v>
      </c>
      <c r="CC272" s="9">
        <v>-258.90587404552491</v>
      </c>
      <c r="CJ272" s="9">
        <f t="shared" si="247"/>
        <v>221</v>
      </c>
      <c r="CK272" s="129">
        <v>88.552319873599487</v>
      </c>
      <c r="CL272" s="9">
        <v>9.21875</v>
      </c>
      <c r="CM272" s="129">
        <f t="shared" si="232"/>
        <v>100.78326638454249</v>
      </c>
      <c r="CN272" s="36">
        <f t="shared" si="246"/>
        <v>1.2367761727536312E-2</v>
      </c>
      <c r="CO272" s="173">
        <f t="shared" si="233"/>
        <v>3000.5407299550575</v>
      </c>
      <c r="CP272" s="9">
        <v>-631.09621562128643</v>
      </c>
      <c r="CQ272" s="129"/>
      <c r="CR272" s="36">
        <f t="shared" si="234"/>
        <v>0.80884840003913605</v>
      </c>
      <c r="CS272" s="17">
        <f t="shared" si="200"/>
        <v>0.58146576304568143</v>
      </c>
      <c r="CT272" s="9">
        <f t="shared" si="201"/>
        <v>9.5125979060704395</v>
      </c>
      <c r="CU272" s="9">
        <f t="shared" si="235"/>
        <v>101.17312813602724</v>
      </c>
      <c r="CV272" s="9">
        <v>13.2</v>
      </c>
      <c r="CW272" s="9">
        <f t="shared" si="236"/>
        <v>106.06537684384463</v>
      </c>
      <c r="CX272">
        <f t="shared" si="237"/>
        <v>22</v>
      </c>
      <c r="CY272" s="9">
        <f t="shared" si="202"/>
        <v>603.92307345610243</v>
      </c>
      <c r="CZ272" s="17">
        <f t="shared" si="238"/>
        <v>0.56866579421478569</v>
      </c>
      <c r="DA272">
        <v>45</v>
      </c>
      <c r="DB272" s="9">
        <f t="shared" si="239"/>
        <v>9.7458273959606885</v>
      </c>
      <c r="DC272" s="9">
        <f t="shared" si="240"/>
        <v>10.554802218039654</v>
      </c>
    </row>
    <row r="273" spans="2:107" x14ac:dyDescent="0.25">
      <c r="B273" s="9">
        <f t="shared" si="241"/>
        <v>222</v>
      </c>
      <c r="C273" s="9">
        <v>116.25693764236412</v>
      </c>
      <c r="D273" s="9"/>
      <c r="E273" s="9">
        <f t="shared" si="203"/>
        <v>116.25693764236412</v>
      </c>
      <c r="F273" s="36">
        <f t="shared" si="242"/>
        <v>0</v>
      </c>
      <c r="G273" s="37">
        <f t="shared" si="248"/>
        <v>0</v>
      </c>
      <c r="H273" s="36" t="e">
        <f t="shared" si="188"/>
        <v>#DIV/0!</v>
      </c>
      <c r="I273" s="37" t="e">
        <f t="shared" si="204"/>
        <v>#DIV/0!</v>
      </c>
      <c r="J273" s="37" t="e">
        <f t="shared" si="205"/>
        <v>#DIV/0!</v>
      </c>
      <c r="K273" s="37" t="e">
        <f t="shared" si="206"/>
        <v>#DIV/0!</v>
      </c>
      <c r="L273" s="39" t="e">
        <f t="shared" si="189"/>
        <v>#DIV/0!</v>
      </c>
      <c r="M273" s="39" t="e">
        <f>M272+(1000*$C$2*(B273-B272))/(BerechnungenCLT!$W$47*2*'Berechnung freier Bereich'!G273)</f>
        <v>#DIV/0!</v>
      </c>
      <c r="N273" s="17" t="e">
        <f t="shared" si="207"/>
        <v>#DIV/0!</v>
      </c>
      <c r="O273" s="173">
        <f t="shared" si="208"/>
        <v>1989.6023018135672</v>
      </c>
      <c r="P273" s="173"/>
      <c r="Q273" s="173"/>
      <c r="R273" s="37" t="e">
        <f t="shared" si="190"/>
        <v>#DIV/0!</v>
      </c>
      <c r="S273" s="37" t="e">
        <f t="shared" si="191"/>
        <v>#DIV/0!</v>
      </c>
      <c r="T273" s="37" t="e">
        <f t="shared" si="192"/>
        <v>#DIV/0!</v>
      </c>
      <c r="U273" s="39" t="e">
        <f t="shared" si="193"/>
        <v>#DIV/0!</v>
      </c>
      <c r="V273" s="39" t="e">
        <f t="shared" si="209"/>
        <v>#DIV/0!</v>
      </c>
      <c r="W273" s="9" t="e">
        <f t="shared" si="210"/>
        <v>#DIV/0!</v>
      </c>
      <c r="AB273" s="129">
        <v>121.74558562206627</v>
      </c>
      <c r="AC273" s="9">
        <v>8.5</v>
      </c>
      <c r="AD273" s="129">
        <f t="shared" si="211"/>
        <v>130.3402747670446</v>
      </c>
      <c r="AE273" s="36">
        <f t="shared" si="243"/>
        <v>1.1571174799403845E-2</v>
      </c>
      <c r="AF273" s="37">
        <f t="shared" si="212"/>
        <v>54130253.235117428</v>
      </c>
      <c r="AG273" s="36">
        <f t="shared" si="194"/>
        <v>1.9953584115683902</v>
      </c>
      <c r="AH273" s="37">
        <f t="shared" si="213"/>
        <v>-1.4544658814913289E-4</v>
      </c>
      <c r="AI273" s="37">
        <f t="shared" si="214"/>
        <v>-4.1154731482795616E-2</v>
      </c>
      <c r="AJ273" s="37">
        <f t="shared" si="215"/>
        <v>-4.8725735181583607</v>
      </c>
      <c r="AK273" s="39">
        <f t="shared" si="216"/>
        <v>1.8957548263287154E-2</v>
      </c>
      <c r="AL273" s="39">
        <f>AL272+(1000*$C$2*($B273-$B272))/(BerechnungenCLT!$W$47*2*AF273)</f>
        <v>1.1839541783149389E-2</v>
      </c>
      <c r="AM273" s="37">
        <f t="shared" si="195"/>
        <v>2.4079007020511282E-6</v>
      </c>
      <c r="AN273" s="173">
        <f t="shared" si="217"/>
        <v>1692.6495521576308</v>
      </c>
      <c r="AO273" s="173">
        <v>-257.76066872506618</v>
      </c>
      <c r="AV273" s="129">
        <v>121.5427334267459</v>
      </c>
      <c r="AW273" s="9">
        <v>8.40625</v>
      </c>
      <c r="AX273" s="129">
        <f t="shared" si="218"/>
        <v>129.97410179591654</v>
      </c>
      <c r="AY273" s="36">
        <f t="shared" si="244"/>
        <v>1.1325670384286753E-2</v>
      </c>
      <c r="AZ273" s="37">
        <f t="shared" si="219"/>
        <v>52740820.86927025</v>
      </c>
      <c r="BA273" s="36">
        <f t="shared" si="196"/>
        <v>1.9955126449326341</v>
      </c>
      <c r="BB273" s="37">
        <f t="shared" si="220"/>
        <v>-1.4927831078343491E-4</v>
      </c>
      <c r="BC273" s="37">
        <f t="shared" si="221"/>
        <v>-3.768688051510613E-2</v>
      </c>
      <c r="BD273" s="37">
        <f t="shared" si="222"/>
        <v>-4.4558391028466966</v>
      </c>
      <c r="BE273" s="39">
        <f t="shared" si="223"/>
        <v>1.9402314361688634E-2</v>
      </c>
      <c r="BF273" s="39">
        <f>BF272+(1000*$C$2*($B273-$B272))/(BerechnungenCLT!$W$47*2*AZ273)</f>
        <v>1.0836974436056152E-2</v>
      </c>
      <c r="BG273" s="37">
        <f t="shared" si="197"/>
        <v>2.4643928489108276E-6</v>
      </c>
      <c r="BH273" s="173">
        <f t="shared" si="224"/>
        <v>1700.3170286239704</v>
      </c>
      <c r="BI273">
        <v>-257.99712760668473</v>
      </c>
      <c r="BP273" s="129">
        <v>97.035693838518227</v>
      </c>
      <c r="BQ273" s="9">
        <v>12.3125</v>
      </c>
      <c r="BR273" s="129">
        <f t="shared" si="225"/>
        <v>109.99250695683236</v>
      </c>
      <c r="BS273" s="36">
        <f t="shared" si="245"/>
        <v>1.4326051126296134E-2</v>
      </c>
      <c r="BT273" s="37">
        <f t="shared" si="226"/>
        <v>45325682.193269454</v>
      </c>
      <c r="BU273" s="36">
        <f t="shared" si="198"/>
        <v>1.9844241564295566</v>
      </c>
      <c r="BV273" s="37">
        <f t="shared" si="227"/>
        <v>-1.7369977169070578E-4</v>
      </c>
      <c r="BW273" s="37">
        <f t="shared" si="228"/>
        <v>-4.412915228857045E-2</v>
      </c>
      <c r="BX273" s="37">
        <f t="shared" si="229"/>
        <v>-4.9928293189372495</v>
      </c>
      <c r="BY273" s="39">
        <f t="shared" si="230"/>
        <v>1.9105673346090146E-2</v>
      </c>
      <c r="BZ273" s="39">
        <f>BZ272+(1000*$C$2*($B273-$B272))/(BerechnungenCLT!$W$47*2*BT273)</f>
        <v>1.2699457271062961E-2</v>
      </c>
      <c r="CA273" s="37">
        <f t="shared" si="199"/>
        <v>2.4267148696807807E-6</v>
      </c>
      <c r="CB273" s="173">
        <f t="shared" si="231"/>
        <v>2509.6029033361719</v>
      </c>
      <c r="CC273" s="9">
        <v>-258.68966230155547</v>
      </c>
      <c r="CJ273" s="9">
        <f t="shared" si="247"/>
        <v>222</v>
      </c>
      <c r="CK273" s="129">
        <v>87.680392747887737</v>
      </c>
      <c r="CL273" s="9">
        <v>9.40625</v>
      </c>
      <c r="CM273" s="129">
        <f t="shared" si="232"/>
        <v>99.743918065145536</v>
      </c>
      <c r="CN273" s="36">
        <f t="shared" si="246"/>
        <v>1.2075328566254848E-2</v>
      </c>
      <c r="CO273" s="173">
        <f t="shared" si="233"/>
        <v>3062.0493000657466</v>
      </c>
      <c r="CP273" s="9">
        <v>-631.19528881767144</v>
      </c>
      <c r="CQ273" s="129"/>
      <c r="CR273" s="36">
        <f t="shared" si="234"/>
        <v>0.81394192507536234</v>
      </c>
      <c r="CS273" s="17">
        <f t="shared" si="200"/>
        <v>0.5851274015203799</v>
      </c>
      <c r="CT273" s="9">
        <f t="shared" si="201"/>
        <v>9.6453353326735787</v>
      </c>
      <c r="CU273" s="9">
        <f t="shared" si="235"/>
        <v>100.05054525065439</v>
      </c>
      <c r="CV273" s="9">
        <v>13.2</v>
      </c>
      <c r="CW273" s="9">
        <f t="shared" si="236"/>
        <v>104.60940634924884</v>
      </c>
      <c r="CX273">
        <f t="shared" si="237"/>
        <v>22</v>
      </c>
      <c r="CY273" s="9">
        <f t="shared" si="202"/>
        <v>609.92871386311663</v>
      </c>
      <c r="CZ273" s="17">
        <f t="shared" si="238"/>
        <v>0.57432082284662578</v>
      </c>
      <c r="DA273">
        <v>45</v>
      </c>
      <c r="DB273" s="9">
        <f t="shared" si="239"/>
        <v>9.842743604963955</v>
      </c>
      <c r="DC273" s="9">
        <f t="shared" si="240"/>
        <v>10.656804493946785</v>
      </c>
    </row>
    <row r="274" spans="2:107" x14ac:dyDescent="0.25">
      <c r="B274" s="9">
        <f t="shared" si="241"/>
        <v>223</v>
      </c>
      <c r="C274" s="9">
        <v>116.49668907707969</v>
      </c>
      <c r="D274" s="9"/>
      <c r="E274" s="9">
        <f t="shared" si="203"/>
        <v>116.49668907707969</v>
      </c>
      <c r="F274" s="36">
        <f t="shared" si="242"/>
        <v>0</v>
      </c>
      <c r="G274" s="37">
        <f t="shared" si="248"/>
        <v>0</v>
      </c>
      <c r="H274" s="36" t="e">
        <f t="shared" si="188"/>
        <v>#DIV/0!</v>
      </c>
      <c r="I274" s="37" t="e">
        <f t="shared" si="204"/>
        <v>#DIV/0!</v>
      </c>
      <c r="J274" s="37" t="e">
        <f t="shared" si="205"/>
        <v>#DIV/0!</v>
      </c>
      <c r="K274" s="37" t="e">
        <f t="shared" si="206"/>
        <v>#DIV/0!</v>
      </c>
      <c r="L274" s="39" t="e">
        <f t="shared" si="189"/>
        <v>#DIV/0!</v>
      </c>
      <c r="M274" s="39" t="e">
        <f>M273+(1000*$C$2*(B274-B273))/(BerechnungenCLT!$W$47*2*'Berechnung freier Bereich'!G274)</f>
        <v>#DIV/0!</v>
      </c>
      <c r="N274" s="17" t="e">
        <f t="shared" si="207"/>
        <v>#DIV/0!</v>
      </c>
      <c r="O274" s="173">
        <f t="shared" si="208"/>
        <v>1981.4214828684885</v>
      </c>
      <c r="P274" s="173"/>
      <c r="Q274" s="173"/>
      <c r="R274" s="37" t="e">
        <f t="shared" si="190"/>
        <v>#DIV/0!</v>
      </c>
      <c r="S274" s="37" t="e">
        <f t="shared" si="191"/>
        <v>#DIV/0!</v>
      </c>
      <c r="T274" s="37" t="e">
        <f t="shared" si="192"/>
        <v>#DIV/0!</v>
      </c>
      <c r="U274" s="39" t="e">
        <f t="shared" si="193"/>
        <v>#DIV/0!</v>
      </c>
      <c r="V274" s="39" t="e">
        <f t="shared" si="209"/>
        <v>#DIV/0!</v>
      </c>
      <c r="W274" s="9" t="e">
        <f t="shared" si="210"/>
        <v>#DIV/0!</v>
      </c>
      <c r="AB274" s="129">
        <v>121.89526493318601</v>
      </c>
      <c r="AC274" s="9">
        <v>8.4375</v>
      </c>
      <c r="AD274" s="129">
        <f t="shared" si="211"/>
        <v>130.41523295270102</v>
      </c>
      <c r="AE274" s="36">
        <f t="shared" si="243"/>
        <v>1.1480798092298548E-2</v>
      </c>
      <c r="AF274" s="37">
        <f t="shared" si="212"/>
        <v>53802039.646794759</v>
      </c>
      <c r="AG274" s="36">
        <f t="shared" si="194"/>
        <v>1.9954467346777793</v>
      </c>
      <c r="AH274" s="37">
        <f t="shared" si="213"/>
        <v>-1.4633386950350363E-4</v>
      </c>
      <c r="AI274" s="37">
        <f t="shared" si="214"/>
        <v>-4.1301065352299118E-2</v>
      </c>
      <c r="AJ274" s="37">
        <f t="shared" si="215"/>
        <v>-4.9138014165759083</v>
      </c>
      <c r="AK274" s="39">
        <f t="shared" si="216"/>
        <v>1.9084165680169577E-2</v>
      </c>
      <c r="AL274" s="39">
        <f>AL273+(1000*$C$2*($B274-$B273))/(BerechnungenCLT!$W$47*2*AF274)</f>
        <v>1.18818474181748E-2</v>
      </c>
      <c r="AM274" s="37">
        <f t="shared" si="195"/>
        <v>2.4239830647474434E-6</v>
      </c>
      <c r="AN274" s="173">
        <f t="shared" si="217"/>
        <v>1689.6368888173201</v>
      </c>
      <c r="AO274" s="173">
        <v>-259.17322184280636</v>
      </c>
      <c r="AV274" s="129">
        <v>121.62009650623158</v>
      </c>
      <c r="AW274" s="9">
        <v>8.40625</v>
      </c>
      <c r="AX274" s="129">
        <f t="shared" si="218"/>
        <v>130.05179379083103</v>
      </c>
      <c r="AY274" s="36">
        <f t="shared" si="244"/>
        <v>1.1333094529663032E-2</v>
      </c>
      <c r="AZ274" s="37">
        <f t="shared" si="219"/>
        <v>52840414.818133891</v>
      </c>
      <c r="BA274" s="36">
        <f t="shared" si="196"/>
        <v>1.995517814155398</v>
      </c>
      <c r="BB274" s="37">
        <f t="shared" si="220"/>
        <v>-1.4899695007682828E-4</v>
      </c>
      <c r="BC274" s="37">
        <f t="shared" si="221"/>
        <v>-3.7835877465182959E-2</v>
      </c>
      <c r="BD274" s="37">
        <f t="shared" si="222"/>
        <v>-4.4936004818368414</v>
      </c>
      <c r="BE274" s="39">
        <f t="shared" si="223"/>
        <v>1.9377320626854416E-2</v>
      </c>
      <c r="BF274" s="39">
        <f>BF273+(1000*$C$2*($B274-$B273))/(BerechnungenCLT!$W$47*2*AZ274)</f>
        <v>1.0880049977017629E-2</v>
      </c>
      <c r="BG274" s="37">
        <f t="shared" si="197"/>
        <v>2.4612182595167584E-6</v>
      </c>
      <c r="BH274" s="173">
        <f t="shared" si="224"/>
        <v>1698.222543078567</v>
      </c>
      <c r="BI274">
        <v>-257.74233462725641</v>
      </c>
      <c r="BP274" s="129">
        <v>97.363410831909079</v>
      </c>
      <c r="BQ274" s="9">
        <v>12.25</v>
      </c>
      <c r="BR274" s="129">
        <f t="shared" si="225"/>
        <v>110.29916256474456</v>
      </c>
      <c r="BS274" s="36">
        <f t="shared" si="245"/>
        <v>1.4346590343055365E-2</v>
      </c>
      <c r="BT274" s="37">
        <f t="shared" si="226"/>
        <v>45667600.181879088</v>
      </c>
      <c r="BU274" s="36">
        <f t="shared" si="198"/>
        <v>1.9845686195260461</v>
      </c>
      <c r="BV274" s="37">
        <f t="shared" si="227"/>
        <v>-1.7239926375243219E-4</v>
      </c>
      <c r="BW274" s="37">
        <f t="shared" si="228"/>
        <v>-4.4301551552322883E-2</v>
      </c>
      <c r="BX274" s="37">
        <f t="shared" si="229"/>
        <v>-5.0370446708576964</v>
      </c>
      <c r="BY274" s="39">
        <f t="shared" si="230"/>
        <v>1.9015494418671793E-2</v>
      </c>
      <c r="BZ274" s="39">
        <f>BZ273+(1000*$C$2*($B274-$B273))/(BerechnungenCLT!$W$47*2*BT274)</f>
        <v>1.2749298503005407E-2</v>
      </c>
      <c r="CA274" s="37">
        <f t="shared" si="199"/>
        <v>2.4152607565420371E-6</v>
      </c>
      <c r="CB274" s="173">
        <f t="shared" si="231"/>
        <v>2494.2935327495934</v>
      </c>
      <c r="CC274" s="9">
        <v>-258.423367374919</v>
      </c>
      <c r="CJ274" s="9">
        <f t="shared" si="247"/>
        <v>223</v>
      </c>
      <c r="CK274" s="129">
        <v>86.877392814517364</v>
      </c>
      <c r="CL274" s="9">
        <v>9.59375</v>
      </c>
      <c r="CM274" s="129">
        <f t="shared" si="232"/>
        <v>98.747625428825657</v>
      </c>
      <c r="CN274" s="36">
        <f t="shared" si="246"/>
        <v>1.176777979597368E-2</v>
      </c>
      <c r="CO274" s="173">
        <f t="shared" si="233"/>
        <v>3121.6988552973658</v>
      </c>
      <c r="CP274" s="9">
        <v>-630.91477096684935</v>
      </c>
      <c r="CQ274" s="129"/>
      <c r="CR274" s="36">
        <f t="shared" si="234"/>
        <v>0.81885853591409064</v>
      </c>
      <c r="CS274" s="17">
        <f t="shared" si="200"/>
        <v>0.58866185973628471</v>
      </c>
      <c r="CT274" s="9">
        <f t="shared" si="201"/>
        <v>9.7785339831236033</v>
      </c>
      <c r="CU274" s="9">
        <f t="shared" si="235"/>
        <v>98.976256450384028</v>
      </c>
      <c r="CV274" s="9">
        <v>13.2</v>
      </c>
      <c r="CW274" s="9">
        <f t="shared" si="236"/>
        <v>103.20959560371548</v>
      </c>
      <c r="CX274">
        <f t="shared" si="237"/>
        <v>22</v>
      </c>
      <c r="CY274" s="9">
        <f t="shared" si="202"/>
        <v>615.56623014584409</v>
      </c>
      <c r="CZ274" s="17">
        <f t="shared" si="238"/>
        <v>0.57962921859307359</v>
      </c>
      <c r="DA274">
        <v>45</v>
      </c>
      <c r="DB274" s="9">
        <f t="shared" si="239"/>
        <v>9.9337191994531011</v>
      </c>
      <c r="DC274" s="9">
        <f t="shared" si="240"/>
        <v>10.752685849946245</v>
      </c>
    </row>
    <row r="275" spans="2:107" x14ac:dyDescent="0.25">
      <c r="B275" s="9">
        <f t="shared" si="241"/>
        <v>224</v>
      </c>
      <c r="C275" s="9">
        <v>116.73618415781196</v>
      </c>
      <c r="D275" s="9"/>
      <c r="E275" s="9">
        <f t="shared" si="203"/>
        <v>116.73618415781196</v>
      </c>
      <c r="F275" s="36">
        <f t="shared" si="242"/>
        <v>0</v>
      </c>
      <c r="G275" s="37">
        <f t="shared" si="248"/>
        <v>0</v>
      </c>
      <c r="H275" s="36" t="e">
        <f t="shared" si="188"/>
        <v>#DIV/0!</v>
      </c>
      <c r="I275" s="37" t="e">
        <f t="shared" si="204"/>
        <v>#DIV/0!</v>
      </c>
      <c r="J275" s="37" t="e">
        <f t="shared" si="205"/>
        <v>#DIV/0!</v>
      </c>
      <c r="K275" s="37" t="e">
        <f t="shared" si="206"/>
        <v>#DIV/0!</v>
      </c>
      <c r="L275" s="39" t="e">
        <f t="shared" si="189"/>
        <v>#DIV/0!</v>
      </c>
      <c r="M275" s="39" t="e">
        <f>M274+(1000*$C$2*(B275-B274))/(BerechnungenCLT!$W$47*2*'Berechnung freier Bereich'!G275)</f>
        <v>#DIV/0!</v>
      </c>
      <c r="N275" s="17" t="e">
        <f t="shared" si="207"/>
        <v>#DIV/0!</v>
      </c>
      <c r="O275" s="173">
        <f t="shared" si="208"/>
        <v>1973.2996837990036</v>
      </c>
      <c r="P275" s="173"/>
      <c r="Q275" s="173"/>
      <c r="R275" s="37" t="e">
        <f t="shared" si="190"/>
        <v>#DIV/0!</v>
      </c>
      <c r="S275" s="37" t="e">
        <f t="shared" si="191"/>
        <v>#DIV/0!</v>
      </c>
      <c r="T275" s="37" t="e">
        <f t="shared" si="192"/>
        <v>#DIV/0!</v>
      </c>
      <c r="U275" s="39" t="e">
        <f t="shared" si="193"/>
        <v>#DIV/0!</v>
      </c>
      <c r="V275" s="39" t="e">
        <f t="shared" si="209"/>
        <v>#DIV/0!</v>
      </c>
      <c r="W275" s="9" t="e">
        <f t="shared" si="210"/>
        <v>#DIV/0!</v>
      </c>
      <c r="AB275" s="129">
        <v>122.03542022501534</v>
      </c>
      <c r="AC275" s="9">
        <v>8.4375</v>
      </c>
      <c r="AD275" s="129">
        <f t="shared" si="211"/>
        <v>130.54462993347448</v>
      </c>
      <c r="AE275" s="36">
        <f t="shared" si="243"/>
        <v>1.1478550946866501E-2</v>
      </c>
      <c r="AF275" s="37">
        <f t="shared" si="212"/>
        <v>53906219.484613836</v>
      </c>
      <c r="AG275" s="36">
        <f t="shared" si="194"/>
        <v>1.995467879128175</v>
      </c>
      <c r="AH275" s="37">
        <f t="shared" si="213"/>
        <v>-1.4605106282668473E-4</v>
      </c>
      <c r="AI275" s="37">
        <f t="shared" si="214"/>
        <v>-4.1447116415125801E-2</v>
      </c>
      <c r="AJ275" s="37">
        <f t="shared" si="215"/>
        <v>-4.9551755074596207</v>
      </c>
      <c r="AK275" s="39">
        <f t="shared" si="216"/>
        <v>1.906618194810019E-2</v>
      </c>
      <c r="AL275" s="39">
        <f>AL274+(1000*$C$2*($B275-$B274))/(BerechnungenCLT!$W$47*2*AF275)</f>
        <v>1.1924071292797831E-2</v>
      </c>
      <c r="AM275" s="37">
        <f t="shared" si="195"/>
        <v>2.4216988537052786E-6</v>
      </c>
      <c r="AN275" s="173">
        <f t="shared" si="217"/>
        <v>1686.0324676580683</v>
      </c>
      <c r="AO275" s="173">
        <v>-258.55817919164599</v>
      </c>
      <c r="AV275" s="129">
        <v>121.69796521882421</v>
      </c>
      <c r="AW275" s="9">
        <v>8.40625</v>
      </c>
      <c r="AX275" s="129">
        <f t="shared" si="218"/>
        <v>130.12998338282671</v>
      </c>
      <c r="AY275" s="36">
        <f t="shared" si="244"/>
        <v>1.1340553590274426E-2</v>
      </c>
      <c r="AZ275" s="37">
        <f t="shared" si="219"/>
        <v>52940718.267772608</v>
      </c>
      <c r="BA275" s="36">
        <f t="shared" si="196"/>
        <v>1.9955230181842523</v>
      </c>
      <c r="BB275" s="37">
        <f t="shared" si="220"/>
        <v>-1.4871465492543342E-4</v>
      </c>
      <c r="BC275" s="37">
        <f t="shared" si="221"/>
        <v>-3.7984592120108393E-2</v>
      </c>
      <c r="BD275" s="37">
        <f t="shared" si="222"/>
        <v>-4.5315107166294872</v>
      </c>
      <c r="BE275" s="39">
        <f t="shared" si="223"/>
        <v>1.9352235574229458E-2</v>
      </c>
      <c r="BF275" s="39">
        <f>BF274+(1000*$C$2*($B275-$B274))/(BerechnungenCLT!$W$47*2*AZ275)</f>
        <v>1.0923043905460521E-2</v>
      </c>
      <c r="BG275" s="37">
        <f t="shared" si="197"/>
        <v>2.4580320713563624E-6</v>
      </c>
      <c r="BH275" s="173">
        <f t="shared" si="224"/>
        <v>1696.1184111496198</v>
      </c>
      <c r="BI275">
        <v>-257.47604690103719</v>
      </c>
      <c r="BP275" s="129">
        <v>97.70266471490072</v>
      </c>
      <c r="BQ275" s="9">
        <v>12.1875</v>
      </c>
      <c r="BR275" s="129">
        <f t="shared" si="225"/>
        <v>110.61976157121596</v>
      </c>
      <c r="BS275" s="36">
        <f t="shared" si="245"/>
        <v>1.4371421770467033E-2</v>
      </c>
      <c r="BT275" s="37">
        <f t="shared" si="226"/>
        <v>46036191.652444281</v>
      </c>
      <c r="BU275" s="36">
        <f t="shared" si="198"/>
        <v>1.9847096015070971</v>
      </c>
      <c r="BV275" s="37">
        <f t="shared" si="227"/>
        <v>-1.7101893892820249E-4</v>
      </c>
      <c r="BW275" s="37">
        <f t="shared" si="228"/>
        <v>-4.4472570491251084E-2</v>
      </c>
      <c r="BX275" s="37">
        <f t="shared" si="229"/>
        <v>-5.0814317318794835</v>
      </c>
      <c r="BY275" s="39">
        <f t="shared" si="230"/>
        <v>1.8918074248400103E-2</v>
      </c>
      <c r="BZ275" s="39">
        <f>BZ274+(1000*$C$2*($B275-$B274))/(BerechnungenCLT!$W$47*2*BT275)</f>
        <v>1.279874067819887E-2</v>
      </c>
      <c r="CA275" s="37">
        <f t="shared" si="199"/>
        <v>2.4028868939975106E-6</v>
      </c>
      <c r="CB275" s="173">
        <f t="shared" si="231"/>
        <v>2478.5174090198652</v>
      </c>
      <c r="CC275" s="9">
        <v>-258.10573487699889</v>
      </c>
      <c r="CJ275" s="9">
        <f t="shared" si="247"/>
        <v>224</v>
      </c>
      <c r="CK275" s="129">
        <v>86.148776442288153</v>
      </c>
      <c r="CL275" s="9">
        <v>9.78125</v>
      </c>
      <c r="CM275" s="129">
        <f t="shared" si="232"/>
        <v>97.808218750859822</v>
      </c>
      <c r="CN275" s="36">
        <f t="shared" si="246"/>
        <v>1.1454941589549895E-2</v>
      </c>
      <c r="CO275" s="173">
        <f t="shared" si="233"/>
        <v>3178.5672888751446</v>
      </c>
      <c r="CP275" s="9">
        <v>-630.09370053032114</v>
      </c>
      <c r="CQ275" s="129"/>
      <c r="CR275" s="36">
        <f t="shared" si="234"/>
        <v>0.82352408078524597</v>
      </c>
      <c r="CS275" s="17">
        <f t="shared" si="200"/>
        <v>0.5920158313932713</v>
      </c>
      <c r="CT275" s="9">
        <f t="shared" si="201"/>
        <v>9.913163954058918</v>
      </c>
      <c r="CU275" s="9">
        <f t="shared" si="235"/>
        <v>97.96546277765043</v>
      </c>
      <c r="CV275" s="9">
        <v>13.2</v>
      </c>
      <c r="CW275" s="9">
        <f t="shared" si="236"/>
        <v>101.88343596669925</v>
      </c>
      <c r="CX275">
        <f t="shared" si="237"/>
        <v>22</v>
      </c>
      <c r="CY275" s="9">
        <f t="shared" si="202"/>
        <v>620.77247510947564</v>
      </c>
      <c r="CZ275" s="17">
        <f t="shared" si="238"/>
        <v>0.58453152081871529</v>
      </c>
      <c r="DA275">
        <v>45</v>
      </c>
      <c r="DB275" s="9">
        <f t="shared" si="239"/>
        <v>10.01773513960633</v>
      </c>
      <c r="DC275" s="9">
        <f t="shared" si="240"/>
        <v>10.841359510762958</v>
      </c>
    </row>
    <row r="276" spans="2:107" x14ac:dyDescent="0.25">
      <c r="B276" s="9">
        <f t="shared" si="241"/>
        <v>225</v>
      </c>
      <c r="C276" s="9">
        <v>116.97538214766411</v>
      </c>
      <c r="D276" s="9"/>
      <c r="E276" s="9">
        <f t="shared" si="203"/>
        <v>116.97538214766411</v>
      </c>
      <c r="F276" s="36">
        <f t="shared" si="242"/>
        <v>0</v>
      </c>
      <c r="G276" s="37">
        <f t="shared" si="248"/>
        <v>0</v>
      </c>
      <c r="H276" s="36" t="e">
        <f t="shared" si="188"/>
        <v>#DIV/0!</v>
      </c>
      <c r="I276" s="37" t="e">
        <f t="shared" si="204"/>
        <v>#DIV/0!</v>
      </c>
      <c r="J276" s="37" t="e">
        <f t="shared" si="205"/>
        <v>#DIV/0!</v>
      </c>
      <c r="K276" s="37" t="e">
        <f t="shared" si="206"/>
        <v>#DIV/0!</v>
      </c>
      <c r="L276" s="39" t="e">
        <f t="shared" si="189"/>
        <v>#DIV/0!</v>
      </c>
      <c r="M276" s="39" t="e">
        <f>M275+(1000*$C$2*(B276-B275))/(BerechnungenCLT!$W$47*2*'Berechnung freier Bereich'!G276)</f>
        <v>#DIV/0!</v>
      </c>
      <c r="N276" s="17" t="e">
        <f t="shared" si="207"/>
        <v>#DIV/0!</v>
      </c>
      <c r="O276" s="173">
        <f t="shared" si="208"/>
        <v>1965.2377016420419</v>
      </c>
      <c r="P276" s="173"/>
      <c r="Q276" s="173"/>
      <c r="R276" s="37" t="e">
        <f t="shared" si="190"/>
        <v>#DIV/0!</v>
      </c>
      <c r="S276" s="37" t="e">
        <f t="shared" si="191"/>
        <v>#DIV/0!</v>
      </c>
      <c r="T276" s="37" t="e">
        <f t="shared" si="192"/>
        <v>#DIV/0!</v>
      </c>
      <c r="U276" s="39" t="e">
        <f t="shared" si="193"/>
        <v>#DIV/0!</v>
      </c>
      <c r="V276" s="39" t="e">
        <f t="shared" si="209"/>
        <v>#DIV/0!</v>
      </c>
      <c r="W276" s="9" t="e">
        <f t="shared" si="210"/>
        <v>#DIV/0!</v>
      </c>
      <c r="AB276" s="129">
        <v>122.16607277418322</v>
      </c>
      <c r="AC276" s="9">
        <v>8.4375</v>
      </c>
      <c r="AD276" s="129">
        <f t="shared" si="211"/>
        <v>130.66528857257865</v>
      </c>
      <c r="AE276" s="36">
        <f t="shared" si="243"/>
        <v>1.1476477073855962E-2</v>
      </c>
      <c r="AF276" s="37">
        <f t="shared" si="212"/>
        <v>54003519.764198259</v>
      </c>
      <c r="AG276" s="36">
        <f t="shared" si="194"/>
        <v>1.9954874695655567</v>
      </c>
      <c r="AH276" s="37">
        <f t="shared" si="213"/>
        <v>-1.4578791684455823E-4</v>
      </c>
      <c r="AI276" s="37">
        <f t="shared" si="214"/>
        <v>-4.1592904331970361E-2</v>
      </c>
      <c r="AJ276" s="37">
        <f t="shared" si="215"/>
        <v>-4.9966955178331691</v>
      </c>
      <c r="AK276" s="39">
        <f t="shared" si="216"/>
        <v>1.9049420224889299E-2</v>
      </c>
      <c r="AL276" s="39">
        <f>AL275+(1000*$C$2*($B276-$B275))/(BerechnungenCLT!$W$47*2*AF276)</f>
        <v>1.196621909099429E-2</v>
      </c>
      <c r="AM276" s="37">
        <f t="shared" si="195"/>
        <v>2.419569856615225E-6</v>
      </c>
      <c r="AN276" s="173">
        <f t="shared" si="217"/>
        <v>1682.6823434086848</v>
      </c>
      <c r="AO276" s="173">
        <v>-257.95550778999473</v>
      </c>
      <c r="AV276" s="129">
        <v>121.77632408569674</v>
      </c>
      <c r="AW276" s="9">
        <v>8.375</v>
      </c>
      <c r="AX276" s="129">
        <f t="shared" si="218"/>
        <v>130.17730794853867</v>
      </c>
      <c r="AY276" s="36">
        <f t="shared" si="244"/>
        <v>1.1304453398783821E-2</v>
      </c>
      <c r="AZ276" s="37">
        <f t="shared" si="219"/>
        <v>52824388.464821935</v>
      </c>
      <c r="BA276" s="36">
        <f t="shared" si="196"/>
        <v>1.995560283337569</v>
      </c>
      <c r="BB276" s="37">
        <f t="shared" si="220"/>
        <v>-1.4904215415459865E-4</v>
      </c>
      <c r="BC276" s="37">
        <f t="shared" si="221"/>
        <v>-3.8133634274262994E-2</v>
      </c>
      <c r="BD276" s="37">
        <f t="shared" si="222"/>
        <v>-4.5695698298266727</v>
      </c>
      <c r="BE276" s="39">
        <f t="shared" si="223"/>
        <v>1.940190639869676E-2</v>
      </c>
      <c r="BF276" s="39">
        <f>BF275+(1000*$C$2*($B276-$B275))/(BerechnungenCLT!$W$47*2*AZ276)</f>
        <v>1.096613251507946E-2</v>
      </c>
      <c r="BG276" s="37">
        <f t="shared" si="197"/>
        <v>2.4643410313255102E-6</v>
      </c>
      <c r="BH276" s="173">
        <f t="shared" si="224"/>
        <v>1694.4266648320145</v>
      </c>
      <c r="BI276">
        <v>-258.22115205688584</v>
      </c>
      <c r="BP276" s="129">
        <v>98.05382344848762</v>
      </c>
      <c r="BQ276" s="9">
        <v>12.0625</v>
      </c>
      <c r="BR276" s="129">
        <f t="shared" si="225"/>
        <v>110.88824685608625</v>
      </c>
      <c r="BS276" s="36">
        <f t="shared" si="245"/>
        <v>1.4321913626902905E-2</v>
      </c>
      <c r="BT276" s="37">
        <f t="shared" si="226"/>
        <v>46147639.554367006</v>
      </c>
      <c r="BU276" s="36">
        <f t="shared" si="198"/>
        <v>1.9849924998947581</v>
      </c>
      <c r="BV276" s="37">
        <f t="shared" si="227"/>
        <v>-1.7060592317882391E-4</v>
      </c>
      <c r="BW276" s="37">
        <f t="shared" si="228"/>
        <v>-4.4643176414429907E-2</v>
      </c>
      <c r="BX276" s="37">
        <f t="shared" si="229"/>
        <v>-5.1259896053323244</v>
      </c>
      <c r="BY276" s="39">
        <f t="shared" si="230"/>
        <v>1.8918191724563913E-2</v>
      </c>
      <c r="BZ276" s="39">
        <f>BZ275+(1000*$C$2*($B276-$B275))/(BerechnungenCLT!$W$47*2*BT276)</f>
        <v>1.2848063449090291E-2</v>
      </c>
      <c r="CA276" s="37">
        <f t="shared" si="199"/>
        <v>2.4029018152802305E-6</v>
      </c>
      <c r="CB276" s="173">
        <f t="shared" si="231"/>
        <v>2463.8384965058967</v>
      </c>
      <c r="CC276" s="9">
        <v>-259.23594499336201</v>
      </c>
      <c r="CJ276" s="9">
        <f t="shared" si="247"/>
        <v>225</v>
      </c>
      <c r="CK276" s="129">
        <v>85.5</v>
      </c>
      <c r="CL276" s="9">
        <v>9.9375</v>
      </c>
      <c r="CM276" s="129">
        <f t="shared" si="232"/>
        <v>96.912468260135853</v>
      </c>
      <c r="CN276" s="36">
        <f t="shared" si="246"/>
        <v>1.111815941280162E-2</v>
      </c>
      <c r="CO276" s="173">
        <f t="shared" si="233"/>
        <v>3232.6224447641453</v>
      </c>
      <c r="CP276" s="9">
        <v>-630.73354559317534</v>
      </c>
      <c r="CQ276" s="129"/>
      <c r="CR276" s="36">
        <f t="shared" si="234"/>
        <v>0.82799874995799039</v>
      </c>
      <c r="CS276" s="17">
        <f t="shared" si="200"/>
        <v>0.59523258613344376</v>
      </c>
      <c r="CT276" s="9">
        <f t="shared" si="201"/>
        <v>10.017092711156241</v>
      </c>
      <c r="CU276" s="9">
        <f t="shared" si="235"/>
        <v>97.003874477978243</v>
      </c>
      <c r="CV276" s="9">
        <v>13.2</v>
      </c>
      <c r="CW276" s="9">
        <f t="shared" si="236"/>
        <v>100.65920312289744</v>
      </c>
      <c r="CX276">
        <f t="shared" si="237"/>
        <v>22</v>
      </c>
      <c r="CY276" s="9">
        <f t="shared" si="202"/>
        <v>625.48291438283161</v>
      </c>
      <c r="CZ276" s="17">
        <f t="shared" si="238"/>
        <v>0.58896696269569837</v>
      </c>
      <c r="DA276">
        <v>45</v>
      </c>
      <c r="DB276" s="9">
        <f t="shared" si="239"/>
        <v>10.09375</v>
      </c>
      <c r="DC276" s="9">
        <f t="shared" si="240"/>
        <v>10.921825263834407</v>
      </c>
    </row>
    <row r="277" spans="2:107" x14ac:dyDescent="0.25">
      <c r="B277" s="9">
        <f t="shared" si="241"/>
        <v>226</v>
      </c>
      <c r="C277" s="9">
        <v>117.21424230973935</v>
      </c>
      <c r="D277" s="9"/>
      <c r="E277" s="9">
        <f t="shared" si="203"/>
        <v>117.21424230973935</v>
      </c>
      <c r="F277" s="36">
        <f t="shared" si="242"/>
        <v>0</v>
      </c>
      <c r="G277" s="37">
        <f t="shared" si="248"/>
        <v>0</v>
      </c>
      <c r="H277" s="36" t="e">
        <f t="shared" si="188"/>
        <v>#DIV/0!</v>
      </c>
      <c r="I277" s="37" t="e">
        <f t="shared" si="204"/>
        <v>#DIV/0!</v>
      </c>
      <c r="J277" s="37" t="e">
        <f t="shared" si="205"/>
        <v>#DIV/0!</v>
      </c>
      <c r="K277" s="37" t="e">
        <f t="shared" si="206"/>
        <v>#DIV/0!</v>
      </c>
      <c r="L277" s="39" t="e">
        <f t="shared" si="189"/>
        <v>#DIV/0!</v>
      </c>
      <c r="M277" s="39" t="e">
        <f>M276+(1000*$C$2*(B277-B276))/(BerechnungenCLT!$W$47*2*'Berechnung freier Bereich'!G277)</f>
        <v>#DIV/0!</v>
      </c>
      <c r="N277" s="17" t="e">
        <f t="shared" si="207"/>
        <v>#DIV/0!</v>
      </c>
      <c r="O277" s="173">
        <f t="shared" si="208"/>
        <v>1957.2363070034323</v>
      </c>
      <c r="P277" s="173"/>
      <c r="Q277" s="173"/>
      <c r="R277" s="37" t="e">
        <f t="shared" si="190"/>
        <v>#DIV/0!</v>
      </c>
      <c r="S277" s="37" t="e">
        <f t="shared" si="191"/>
        <v>#DIV/0!</v>
      </c>
      <c r="T277" s="37" t="e">
        <f t="shared" si="192"/>
        <v>#DIV/0!</v>
      </c>
      <c r="U277" s="39" t="e">
        <f t="shared" si="193"/>
        <v>#DIV/0!</v>
      </c>
      <c r="V277" s="39" t="e">
        <f t="shared" si="209"/>
        <v>#DIV/0!</v>
      </c>
      <c r="W277" s="9" t="e">
        <f t="shared" si="210"/>
        <v>#DIV/0!</v>
      </c>
      <c r="AB277" s="129">
        <v>122.28724385731854</v>
      </c>
      <c r="AC277" s="9">
        <v>8.4375</v>
      </c>
      <c r="AD277" s="129">
        <f t="shared" si="211"/>
        <v>130.77722777125086</v>
      </c>
      <c r="AE277" s="36">
        <f t="shared" si="243"/>
        <v>1.1474581083307761E-2</v>
      </c>
      <c r="AF277" s="37">
        <f t="shared" si="212"/>
        <v>54093965.091817796</v>
      </c>
      <c r="AG277" s="36">
        <f t="shared" si="194"/>
        <v>1.9955055283632819</v>
      </c>
      <c r="AH277" s="37">
        <f t="shared" si="213"/>
        <v>-1.4554415886010294E-4</v>
      </c>
      <c r="AI277" s="37">
        <f t="shared" si="214"/>
        <v>-4.1738448490830464E-2</v>
      </c>
      <c r="AJ277" s="37">
        <f t="shared" si="215"/>
        <v>-5.0383611942445699</v>
      </c>
      <c r="AK277" s="39">
        <f t="shared" si="216"/>
        <v>1.90338616140228E-2</v>
      </c>
      <c r="AL277" s="39">
        <f>AL276+(1000*$C$2*($B277-$B276))/(BerechnungenCLT!$W$47*2*AF277)</f>
        <v>1.200829641790232E-2</v>
      </c>
      <c r="AM277" s="37">
        <f t="shared" si="195"/>
        <v>2.417593673328859E-6</v>
      </c>
      <c r="AN277" s="173">
        <f t="shared" si="217"/>
        <v>1679.5837662596639</v>
      </c>
      <c r="AO277" s="173">
        <v>-257.36425231982588</v>
      </c>
      <c r="AV277" s="129">
        <v>121.85515762802217</v>
      </c>
      <c r="AW277" s="9">
        <v>8.375</v>
      </c>
      <c r="AX277" s="129">
        <f t="shared" si="218"/>
        <v>130.25644460374781</v>
      </c>
      <c r="AY277" s="36">
        <f t="shared" si="244"/>
        <v>1.1311949206508229E-2</v>
      </c>
      <c r="AZ277" s="37">
        <f t="shared" si="219"/>
        <v>52925650.601273879</v>
      </c>
      <c r="BA277" s="36">
        <f t="shared" si="196"/>
        <v>1.9955655166437072</v>
      </c>
      <c r="BB277" s="37">
        <f t="shared" si="220"/>
        <v>-1.4875699323962385E-4</v>
      </c>
      <c r="BC277" s="37">
        <f t="shared" si="221"/>
        <v>-3.8282391267502616E-2</v>
      </c>
      <c r="BD277" s="37">
        <f t="shared" si="222"/>
        <v>-4.6077778425975557</v>
      </c>
      <c r="BE277" s="39">
        <f t="shared" si="223"/>
        <v>1.9376557049337152E-2</v>
      </c>
      <c r="BF277" s="39">
        <f>BF276+(1000*$C$2*($B277-$B276))/(BerechnungenCLT!$W$47*2*AZ277)</f>
        <v>1.100913868367751E-2</v>
      </c>
      <c r="BG277" s="37">
        <f t="shared" si="197"/>
        <v>2.461121273407882E-6</v>
      </c>
      <c r="BH277" s="173">
        <f t="shared" si="224"/>
        <v>1692.3039140068381</v>
      </c>
      <c r="BI277">
        <v>-257.92714146087656</v>
      </c>
      <c r="BP277" s="129">
        <v>98.417254993664329</v>
      </c>
      <c r="BQ277" s="9">
        <v>12.0625</v>
      </c>
      <c r="BR277" s="129">
        <f t="shared" si="225"/>
        <v>111.30455805495455</v>
      </c>
      <c r="BS277" s="36">
        <f t="shared" si="245"/>
        <v>1.4434589552749306E-2</v>
      </c>
      <c r="BT277" s="37">
        <f t="shared" si="226"/>
        <v>46858627.510502733</v>
      </c>
      <c r="BU277" s="36">
        <f t="shared" si="198"/>
        <v>1.984980952195702</v>
      </c>
      <c r="BV277" s="37">
        <f t="shared" si="227"/>
        <v>-1.6801731222135672E-4</v>
      </c>
      <c r="BW277" s="37">
        <f t="shared" si="228"/>
        <v>-4.4811193726651266E-2</v>
      </c>
      <c r="BX277" s="37">
        <f t="shared" si="229"/>
        <v>-5.1707167904028646</v>
      </c>
      <c r="BY277" s="39">
        <f t="shared" si="230"/>
        <v>1.8701092682379423E-2</v>
      </c>
      <c r="BZ277" s="39">
        <f>BZ276+(1000*$C$2*($B277-$B276))/(BerechnungenCLT!$W$47*2*BT277)</f>
        <v>1.2896637843472836E-2</v>
      </c>
      <c r="CA277" s="37">
        <f t="shared" si="199"/>
        <v>2.3753268921503755E-6</v>
      </c>
      <c r="CB277" s="173">
        <f t="shared" si="231"/>
        <v>2445.5515215935211</v>
      </c>
      <c r="CC277" s="9">
        <v>-257.31185734346019</v>
      </c>
      <c r="CJ277" s="9">
        <f t="shared" si="247"/>
        <v>226</v>
      </c>
      <c r="CK277" s="129">
        <v>84.935306468973323</v>
      </c>
      <c r="CL277" s="9">
        <v>10.09375</v>
      </c>
      <c r="CM277" s="129">
        <f t="shared" si="232"/>
        <v>96.136976368033856</v>
      </c>
      <c r="CN277" s="36">
        <f t="shared" si="246"/>
        <v>1.0832620813935949E-2</v>
      </c>
      <c r="CO277" s="173">
        <f t="shared" si="233"/>
        <v>3280.6512868129817</v>
      </c>
      <c r="CP277" s="9">
        <v>-630.19595783395971</v>
      </c>
      <c r="CQ277" s="129"/>
      <c r="CR277" s="36">
        <f t="shared" si="234"/>
        <v>0.83189242453412759</v>
      </c>
      <c r="CS277" s="17">
        <f t="shared" si="200"/>
        <v>0.598031674885249</v>
      </c>
      <c r="CT277" s="9">
        <f t="shared" si="201"/>
        <v>10.126971955393634</v>
      </c>
      <c r="CU277" s="9">
        <f t="shared" si="235"/>
        <v>96.17384486365944</v>
      </c>
      <c r="CV277" s="9">
        <v>13.2</v>
      </c>
      <c r="CW277" s="9">
        <f t="shared" si="236"/>
        <v>99.584177569168901</v>
      </c>
      <c r="CX277">
        <f t="shared" si="237"/>
        <v>22</v>
      </c>
      <c r="CY277" s="9">
        <f t="shared" si="202"/>
        <v>629.64144597827271</v>
      </c>
      <c r="CZ277" s="17">
        <f t="shared" si="238"/>
        <v>0.59288271749366539</v>
      </c>
      <c r="DA277">
        <v>45</v>
      </c>
      <c r="DB277" s="9">
        <f t="shared" si="239"/>
        <v>10.160858433062318</v>
      </c>
      <c r="DC277" s="9">
        <f t="shared" si="240"/>
        <v>10.992810335844187</v>
      </c>
    </row>
    <row r="278" spans="2:107" x14ac:dyDescent="0.25">
      <c r="B278" s="9">
        <f t="shared" si="241"/>
        <v>227</v>
      </c>
      <c r="C278" s="9">
        <v>117.45272390714084</v>
      </c>
      <c r="D278" s="9"/>
      <c r="E278" s="9">
        <f t="shared" si="203"/>
        <v>117.45272390714084</v>
      </c>
      <c r="F278" s="36">
        <f t="shared" si="242"/>
        <v>0</v>
      </c>
      <c r="G278" s="37">
        <f t="shared" si="248"/>
        <v>0</v>
      </c>
      <c r="H278" s="36" t="e">
        <f t="shared" si="188"/>
        <v>#DIV/0!</v>
      </c>
      <c r="I278" s="37" t="e">
        <f t="shared" si="204"/>
        <v>#DIV/0!</v>
      </c>
      <c r="J278" s="37" t="e">
        <f t="shared" si="205"/>
        <v>#DIV/0!</v>
      </c>
      <c r="K278" s="37" t="e">
        <f t="shared" si="206"/>
        <v>#DIV/0!</v>
      </c>
      <c r="L278" s="39" t="e">
        <f t="shared" si="189"/>
        <v>#DIV/0!</v>
      </c>
      <c r="M278" s="39" t="e">
        <f>M277+(1000*$C$2*(B278-B277))/(BerechnungenCLT!$W$47*2*'Berechnung freier Bereich'!G278)</f>
        <v>#DIV/0!</v>
      </c>
      <c r="N278" s="17" t="e">
        <f t="shared" si="207"/>
        <v>#DIV/0!</v>
      </c>
      <c r="O278" s="173">
        <f t="shared" si="208"/>
        <v>1949.2962447433636</v>
      </c>
      <c r="P278" s="173"/>
      <c r="Q278" s="173"/>
      <c r="R278" s="37" t="e">
        <f t="shared" si="190"/>
        <v>#DIV/0!</v>
      </c>
      <c r="S278" s="37" t="e">
        <f t="shared" si="191"/>
        <v>#DIV/0!</v>
      </c>
      <c r="T278" s="37" t="e">
        <f t="shared" si="192"/>
        <v>#DIV/0!</v>
      </c>
      <c r="U278" s="39" t="e">
        <f t="shared" si="193"/>
        <v>#DIV/0!</v>
      </c>
      <c r="V278" s="39" t="e">
        <f t="shared" si="209"/>
        <v>#DIV/0!</v>
      </c>
      <c r="W278" s="9" t="e">
        <f t="shared" si="210"/>
        <v>#DIV/0!</v>
      </c>
      <c r="AB278" s="129">
        <v>122.39895475105028</v>
      </c>
      <c r="AC278" s="9">
        <v>8.375</v>
      </c>
      <c r="AD278" s="129">
        <f t="shared" si="211"/>
        <v>130.81764021503921</v>
      </c>
      <c r="AE278" s="36">
        <f t="shared" si="243"/>
        <v>1.1385057868691439E-2</v>
      </c>
      <c r="AF278" s="37">
        <f t="shared" si="212"/>
        <v>53735395.560676888</v>
      </c>
      <c r="AG278" s="36">
        <f t="shared" si="194"/>
        <v>1.9955858751204019</v>
      </c>
      <c r="AH278" s="37">
        <f t="shared" si="213"/>
        <v>-1.465153567131798E-4</v>
      </c>
      <c r="AI278" s="37">
        <f t="shared" si="214"/>
        <v>-4.1884963847543644E-2</v>
      </c>
      <c r="AJ278" s="37">
        <f t="shared" si="215"/>
        <v>-5.080172900413757</v>
      </c>
      <c r="AK278" s="39">
        <f t="shared" si="216"/>
        <v>1.9166793220482883E-2</v>
      </c>
      <c r="AL278" s="39">
        <f>AL277+(1000*$C$2*($B278-$B277))/(BerechnungenCLT!$W$47*2*AF278)</f>
        <v>1.205065452151672E-2</v>
      </c>
      <c r="AM278" s="37">
        <f t="shared" si="195"/>
        <v>2.4344780353821467E-6</v>
      </c>
      <c r="AN278" s="173">
        <f t="shared" si="217"/>
        <v>1677.5663065471833</v>
      </c>
      <c r="AO278" s="173">
        <v>-258.82991147771725</v>
      </c>
      <c r="AV278" s="129">
        <v>121.93445036697345</v>
      </c>
      <c r="AW278" s="9">
        <v>8.375</v>
      </c>
      <c r="AX278" s="129">
        <f t="shared" si="218"/>
        <v>130.33603190008364</v>
      </c>
      <c r="AY278" s="36">
        <f t="shared" si="244"/>
        <v>1.1319474823656245E-2</v>
      </c>
      <c r="AZ278" s="37">
        <f t="shared" si="219"/>
        <v>53027563.657660551</v>
      </c>
      <c r="BA278" s="36">
        <f t="shared" si="196"/>
        <v>1.9955707812323897</v>
      </c>
      <c r="BB278" s="37">
        <f t="shared" si="220"/>
        <v>-1.4847109890855833E-4</v>
      </c>
      <c r="BC278" s="37">
        <f t="shared" si="221"/>
        <v>-3.8430862366411175E-2</v>
      </c>
      <c r="BD278" s="37">
        <f t="shared" si="222"/>
        <v>-4.6461344694145126</v>
      </c>
      <c r="BE278" s="39">
        <f t="shared" si="223"/>
        <v>1.9351133883586332E-2</v>
      </c>
      <c r="BF278" s="39">
        <f>BF277+(1000*$C$2*($B278-$B277))/(BerechnungenCLT!$W$47*2*AZ278)</f>
        <v>1.1052062199221509E-2</v>
      </c>
      <c r="BG278" s="37">
        <f t="shared" si="197"/>
        <v>2.4578921396713051E-6</v>
      </c>
      <c r="BH278" s="173">
        <f t="shared" si="224"/>
        <v>1690.1729580986485</v>
      </c>
      <c r="BI278">
        <v>-257.61804266227733</v>
      </c>
      <c r="BP278" s="129">
        <v>98.793327311425372</v>
      </c>
      <c r="BQ278" s="9">
        <v>11.9375</v>
      </c>
      <c r="BR278" s="129">
        <f t="shared" si="225"/>
        <v>111.6025711137319</v>
      </c>
      <c r="BS278" s="36">
        <f t="shared" si="245"/>
        <v>1.4393272742528081E-2</v>
      </c>
      <c r="BT278" s="37">
        <f t="shared" si="226"/>
        <v>47022092.650545895</v>
      </c>
      <c r="BU278" s="36">
        <f t="shared" si="198"/>
        <v>1.9852557383953389</v>
      </c>
      <c r="BV278" s="37">
        <f t="shared" si="227"/>
        <v>-1.674332256372897E-4</v>
      </c>
      <c r="BW278" s="37">
        <f t="shared" si="228"/>
        <v>-4.4978626952288554E-2</v>
      </c>
      <c r="BX278" s="37">
        <f t="shared" si="229"/>
        <v>-5.2156117007423344</v>
      </c>
      <c r="BY278" s="39">
        <f t="shared" si="230"/>
        <v>1.8685978470987144E-2</v>
      </c>
      <c r="BZ278" s="39">
        <f>BZ277+(1000*$C$2*($B278-$B277))/(BerechnungenCLT!$W$47*2*BT278)</f>
        <v>1.29450433763749E-2</v>
      </c>
      <c r="CA278" s="37">
        <f t="shared" si="199"/>
        <v>2.3734071544439498E-6</v>
      </c>
      <c r="CB278" s="173">
        <f t="shared" si="231"/>
        <v>2429.9060674076391</v>
      </c>
      <c r="CC278" s="9">
        <v>-258.34282845959262</v>
      </c>
      <c r="CJ278" s="9">
        <f t="shared" si="247"/>
        <v>227</v>
      </c>
      <c r="CK278" s="129">
        <v>84.454085280610911</v>
      </c>
      <c r="CL278" s="9">
        <v>10.21875</v>
      </c>
      <c r="CM278" s="129">
        <f t="shared" si="232"/>
        <v>95.45839532095448</v>
      </c>
      <c r="CN278" s="36">
        <f t="shared" si="246"/>
        <v>1.0573600646479584E-2</v>
      </c>
      <c r="CO278" s="173">
        <f t="shared" si="233"/>
        <v>3323.0849280049365</v>
      </c>
      <c r="CP278" s="9">
        <v>-630.53870951315014</v>
      </c>
      <c r="CQ278" s="129"/>
      <c r="CR278" s="36">
        <f t="shared" si="234"/>
        <v>0.83531402672916677</v>
      </c>
      <c r="CS278" s="17">
        <f t="shared" si="200"/>
        <v>0.60049139976209986</v>
      </c>
      <c r="CT278" s="9">
        <f t="shared" si="201"/>
        <v>10.210387696524966</v>
      </c>
      <c r="CU278" s="9">
        <f t="shared" si="235"/>
        <v>95.44939017060922</v>
      </c>
      <c r="CV278" s="9">
        <v>13.2</v>
      </c>
      <c r="CW278" s="9">
        <f t="shared" si="236"/>
        <v>98.668827057495079</v>
      </c>
      <c r="CX278">
        <f t="shared" si="237"/>
        <v>22</v>
      </c>
      <c r="CY278" s="9">
        <f t="shared" si="202"/>
        <v>633.22915643501551</v>
      </c>
      <c r="CZ278" s="17">
        <f t="shared" si="238"/>
        <v>0.59626097592750993</v>
      </c>
      <c r="DA278">
        <v>45</v>
      </c>
      <c r="DB278" s="9">
        <f t="shared" si="239"/>
        <v>10.218755222231177</v>
      </c>
      <c r="DC278" s="9">
        <f t="shared" si="240"/>
        <v>11.05411281019831</v>
      </c>
    </row>
    <row r="279" spans="2:107" x14ac:dyDescent="0.25">
      <c r="B279" s="9">
        <f t="shared" si="241"/>
        <v>228</v>
      </c>
      <c r="C279" s="9">
        <v>117.69078620297181</v>
      </c>
      <c r="D279" s="9"/>
      <c r="E279" s="9">
        <f t="shared" si="203"/>
        <v>117.69078620297181</v>
      </c>
      <c r="F279" s="36">
        <f t="shared" si="242"/>
        <v>0</v>
      </c>
      <c r="G279" s="37">
        <f t="shared" si="248"/>
        <v>0</v>
      </c>
      <c r="H279" s="36" t="e">
        <f t="shared" si="188"/>
        <v>#DIV/0!</v>
      </c>
      <c r="I279" s="37" t="e">
        <f t="shared" si="204"/>
        <v>#DIV/0!</v>
      </c>
      <c r="J279" s="37" t="e">
        <f t="shared" si="205"/>
        <v>#DIV/0!</v>
      </c>
      <c r="K279" s="37" t="e">
        <f t="shared" si="206"/>
        <v>#DIV/0!</v>
      </c>
      <c r="L279" s="39" t="e">
        <f t="shared" si="189"/>
        <v>#DIV/0!</v>
      </c>
      <c r="M279" s="39" t="e">
        <f>M278+(1000*$C$2*(B279-B278))/(BerechnungenCLT!$W$47*2*'Berechnung freier Bereich'!G279)</f>
        <v>#DIV/0!</v>
      </c>
      <c r="N279" s="17" t="e">
        <f t="shared" si="207"/>
        <v>#DIV/0!</v>
      </c>
      <c r="O279" s="173">
        <f t="shared" si="208"/>
        <v>1941.4182346584835</v>
      </c>
      <c r="P279" s="173"/>
      <c r="Q279" s="173"/>
      <c r="R279" s="37" t="e">
        <f t="shared" si="190"/>
        <v>#DIV/0!</v>
      </c>
      <c r="S279" s="37" t="e">
        <f t="shared" si="191"/>
        <v>#DIV/0!</v>
      </c>
      <c r="T279" s="37" t="e">
        <f t="shared" si="192"/>
        <v>#DIV/0!</v>
      </c>
      <c r="U279" s="39" t="e">
        <f t="shared" si="193"/>
        <v>#DIV/0!</v>
      </c>
      <c r="V279" s="39" t="e">
        <f t="shared" si="209"/>
        <v>#DIV/0!</v>
      </c>
      <c r="W279" s="9" t="e">
        <f t="shared" si="210"/>
        <v>#DIV/0!</v>
      </c>
      <c r="AB279" s="129">
        <v>122.50122673200737</v>
      </c>
      <c r="AC279" s="9">
        <v>8.375</v>
      </c>
      <c r="AD279" s="129">
        <f t="shared" si="211"/>
        <v>130.91225357261004</v>
      </c>
      <c r="AE279" s="36">
        <f t="shared" si="243"/>
        <v>1.1383544938812737E-2</v>
      </c>
      <c r="AF279" s="37">
        <f t="shared" si="212"/>
        <v>53811638.555781946</v>
      </c>
      <c r="AG279" s="36">
        <f t="shared" si="194"/>
        <v>1.9956007219623382</v>
      </c>
      <c r="AH279" s="37">
        <f t="shared" si="213"/>
        <v>-1.4630776649804226E-4</v>
      </c>
      <c r="AI279" s="37">
        <f t="shared" si="214"/>
        <v>-4.2031271614041688E-2</v>
      </c>
      <c r="AJ279" s="37">
        <f t="shared" si="215"/>
        <v>-5.1221310181445494</v>
      </c>
      <c r="AK279" s="39">
        <f t="shared" si="216"/>
        <v>1.915347942743393E-2</v>
      </c>
      <c r="AL279" s="39">
        <f>AL278+(1000*$C$2*($B279-$B278))/(BerechnungenCLT!$W$47*2*AF279)</f>
        <v>1.209295261007168E-2</v>
      </c>
      <c r="AM279" s="37">
        <f t="shared" si="195"/>
        <v>2.432786978543767E-6</v>
      </c>
      <c r="AN279" s="173">
        <f t="shared" si="217"/>
        <v>1674.9606053521429</v>
      </c>
      <c r="AO279" s="173">
        <v>-258.25394038461906</v>
      </c>
      <c r="AV279" s="129">
        <v>122.01418682372356</v>
      </c>
      <c r="AW279" s="9">
        <v>8.375</v>
      </c>
      <c r="AX279" s="129">
        <f t="shared" si="218"/>
        <v>130.41605418760653</v>
      </c>
      <c r="AY279" s="36">
        <f t="shared" si="244"/>
        <v>1.1327028605248998E-2</v>
      </c>
      <c r="AZ279" s="37">
        <f t="shared" si="219"/>
        <v>53130108.920597114</v>
      </c>
      <c r="BA279" s="36">
        <f t="shared" si="196"/>
        <v>1.9955760760115746</v>
      </c>
      <c r="BB279" s="37">
        <f t="shared" si="220"/>
        <v>-1.4818453808296671E-4</v>
      </c>
      <c r="BC279" s="37">
        <f t="shared" si="221"/>
        <v>-3.8579046904494145E-2</v>
      </c>
      <c r="BD279" s="37">
        <f t="shared" si="222"/>
        <v>-4.6846394240499656</v>
      </c>
      <c r="BE279" s="39">
        <f t="shared" si="223"/>
        <v>1.9325642748393629E-2</v>
      </c>
      <c r="BF279" s="39">
        <f>BF278+(1000*$C$2*($B279-$B278))/(BerechnungenCLT!$W$47*2*AZ279)</f>
        <v>1.1094902869025548E-2</v>
      </c>
      <c r="BG279" s="37">
        <f t="shared" si="197"/>
        <v>2.4546543727684275E-6</v>
      </c>
      <c r="BH279" s="173">
        <f t="shared" si="224"/>
        <v>1688.0342724733634</v>
      </c>
      <c r="BI279">
        <v>-257.29268846945484</v>
      </c>
      <c r="BP279" s="129">
        <v>99.182408362765273</v>
      </c>
      <c r="BQ279" s="9">
        <v>11.875</v>
      </c>
      <c r="BR279" s="129">
        <f t="shared" si="225"/>
        <v>111.98304277156835</v>
      </c>
      <c r="BS279" s="36">
        <f t="shared" si="245"/>
        <v>1.4436208729331578E-2</v>
      </c>
      <c r="BT279" s="37">
        <f t="shared" si="226"/>
        <v>47506488.858627297</v>
      </c>
      <c r="BU279" s="36">
        <f t="shared" si="198"/>
        <v>1.9853819803638615</v>
      </c>
      <c r="BV279" s="37">
        <f t="shared" si="227"/>
        <v>-1.6572600581208025E-4</v>
      </c>
      <c r="BW279" s="37">
        <f t="shared" si="228"/>
        <v>-4.5144352958100632E-2</v>
      </c>
      <c r="BX279" s="37">
        <f t="shared" si="229"/>
        <v>-5.2606731906975286</v>
      </c>
      <c r="BY279" s="39">
        <f t="shared" si="230"/>
        <v>1.8558502397215366E-2</v>
      </c>
      <c r="BZ279" s="39">
        <f>BZ278+(1000*$C$2*($B279-$B278))/(BerechnungenCLT!$W$47*2*BT279)</f>
        <v>1.299295534603642E-2</v>
      </c>
      <c r="CA279" s="37">
        <f t="shared" si="199"/>
        <v>2.357215729093647E-6</v>
      </c>
      <c r="CB279" s="173">
        <f t="shared" si="231"/>
        <v>2412.2276691308875</v>
      </c>
      <c r="CC279" s="9">
        <v>-257.81310278547505</v>
      </c>
      <c r="CJ279" s="9">
        <f t="shared" si="247"/>
        <v>228</v>
      </c>
      <c r="CK279" s="129">
        <v>84.054512478836145</v>
      </c>
      <c r="CL279" s="9">
        <v>10.3125</v>
      </c>
      <c r="CM279" s="129">
        <f t="shared" si="232"/>
        <v>94.881355809316048</v>
      </c>
      <c r="CN279" s="36">
        <f t="shared" si="246"/>
        <v>1.0346609337697569E-2</v>
      </c>
      <c r="CO279" s="173">
        <f t="shared" si="233"/>
        <v>3359.4579829432892</v>
      </c>
      <c r="CP279" s="9">
        <v>-631.64540243401495</v>
      </c>
      <c r="CQ279" s="129"/>
      <c r="CR279" s="36">
        <f t="shared" si="234"/>
        <v>0.8382339172571216</v>
      </c>
      <c r="CS279" s="17">
        <f t="shared" si="200"/>
        <v>0.602590453643847</v>
      </c>
      <c r="CT279" s="9">
        <f t="shared" si="201"/>
        <v>10.268167978075933</v>
      </c>
      <c r="CU279" s="9">
        <f t="shared" si="235"/>
        <v>94.83481269601711</v>
      </c>
      <c r="CV279" s="9">
        <v>13.2</v>
      </c>
      <c r="CW279" s="9">
        <f t="shared" si="236"/>
        <v>97.912871941850426</v>
      </c>
      <c r="CX279">
        <f t="shared" si="237"/>
        <v>22</v>
      </c>
      <c r="CY279" s="9">
        <f t="shared" si="202"/>
        <v>636.23935946564893</v>
      </c>
      <c r="CZ279" s="17">
        <f t="shared" si="238"/>
        <v>0.59909544205804988</v>
      </c>
      <c r="DA279">
        <v>45</v>
      </c>
      <c r="DB279" s="9">
        <f t="shared" si="239"/>
        <v>10.267332467335367</v>
      </c>
      <c r="DC279" s="9">
        <f t="shared" si="240"/>
        <v>11.105592040888855</v>
      </c>
    </row>
    <row r="280" spans="2:107" x14ac:dyDescent="0.25">
      <c r="B280" s="9">
        <f t="shared" si="241"/>
        <v>229</v>
      </c>
      <c r="C280" s="9">
        <v>117.92838846033538</v>
      </c>
      <c r="D280" s="9"/>
      <c r="E280" s="9">
        <f t="shared" si="203"/>
        <v>117.92838846033538</v>
      </c>
      <c r="F280" s="36">
        <f t="shared" si="242"/>
        <v>0</v>
      </c>
      <c r="G280" s="37">
        <f t="shared" si="248"/>
        <v>0</v>
      </c>
      <c r="H280" s="36" t="e">
        <f t="shared" si="188"/>
        <v>#DIV/0!</v>
      </c>
      <c r="I280" s="37" t="e">
        <f t="shared" si="204"/>
        <v>#DIV/0!</v>
      </c>
      <c r="J280" s="37" t="e">
        <f t="shared" si="205"/>
        <v>#DIV/0!</v>
      </c>
      <c r="K280" s="37" t="e">
        <f t="shared" si="206"/>
        <v>#DIV/0!</v>
      </c>
      <c r="L280" s="39" t="e">
        <f t="shared" si="189"/>
        <v>#DIV/0!</v>
      </c>
      <c r="M280" s="39" t="e">
        <f>M279+(1000*$C$2*(B280-B279))/(BerechnungenCLT!$W$47*2*'Berechnung freier Bereich'!G280)</f>
        <v>#DIV/0!</v>
      </c>
      <c r="N280" s="17" t="e">
        <f t="shared" si="207"/>
        <v>#DIV/0!</v>
      </c>
      <c r="O280" s="173">
        <f t="shared" si="208"/>
        <v>1933.6029721603343</v>
      </c>
      <c r="P280" s="173"/>
      <c r="Q280" s="173"/>
      <c r="R280" s="37" t="e">
        <f t="shared" si="190"/>
        <v>#DIV/0!</v>
      </c>
      <c r="S280" s="37" t="e">
        <f t="shared" si="191"/>
        <v>#DIV/0!</v>
      </c>
      <c r="T280" s="37" t="e">
        <f t="shared" si="192"/>
        <v>#DIV/0!</v>
      </c>
      <c r="U280" s="39" t="e">
        <f t="shared" si="193"/>
        <v>#DIV/0!</v>
      </c>
      <c r="V280" s="39" t="e">
        <f t="shared" si="209"/>
        <v>#DIV/0!</v>
      </c>
      <c r="W280" s="9" t="e">
        <f t="shared" si="210"/>
        <v>#DIV/0!</v>
      </c>
      <c r="AB280" s="129">
        <v>122.5940810768187</v>
      </c>
      <c r="AC280" s="9">
        <v>8.375</v>
      </c>
      <c r="AD280" s="129">
        <f t="shared" si="211"/>
        <v>130.99819738716775</v>
      </c>
      <c r="AE280" s="36">
        <f t="shared" si="243"/>
        <v>1.1382217340426121E-2</v>
      </c>
      <c r="AF280" s="37">
        <f t="shared" si="212"/>
        <v>53881134.476733685</v>
      </c>
      <c r="AG280" s="36">
        <f t="shared" si="194"/>
        <v>1.9956141169936454</v>
      </c>
      <c r="AH280" s="37">
        <f t="shared" si="213"/>
        <v>-1.4611905864929487E-4</v>
      </c>
      <c r="AI280" s="37">
        <f t="shared" si="214"/>
        <v>-4.2177390672690981E-2</v>
      </c>
      <c r="AJ280" s="37">
        <f t="shared" si="215"/>
        <v>-5.1642353492879156</v>
      </c>
      <c r="AK280" s="39">
        <f t="shared" si="216"/>
        <v>1.9141333286967471E-2</v>
      </c>
      <c r="AL280" s="39">
        <f>AL279+(1000*$C$2*($B280-$B279))/(BerechnungenCLT!$W$47*2*AF280)</f>
        <v>1.2135196142525562E-2</v>
      </c>
      <c r="AM280" s="37">
        <f t="shared" si="195"/>
        <v>2.431244231572998E-6</v>
      </c>
      <c r="AN280" s="173">
        <f t="shared" si="217"/>
        <v>1672.5995374269094</v>
      </c>
      <c r="AO280" s="173">
        <v>-257.68666457146242</v>
      </c>
      <c r="AV280" s="129">
        <v>122.09435151944552</v>
      </c>
      <c r="AW280" s="9">
        <v>8.3125</v>
      </c>
      <c r="AX280" s="129">
        <f t="shared" si="218"/>
        <v>130.43379325294873</v>
      </c>
      <c r="AY280" s="36">
        <f t="shared" si="244"/>
        <v>1.1247229600375152E-2</v>
      </c>
      <c r="AZ280" s="37">
        <f t="shared" si="219"/>
        <v>52795827.375303134</v>
      </c>
      <c r="BA280" s="36">
        <f t="shared" si="196"/>
        <v>1.9956448373419433</v>
      </c>
      <c r="BB280" s="37">
        <f t="shared" si="220"/>
        <v>-1.4912278185793255E-4</v>
      </c>
      <c r="BC280" s="37">
        <f t="shared" si="221"/>
        <v>-3.8728169686352079E-2</v>
      </c>
      <c r="BD280" s="37">
        <f t="shared" si="222"/>
        <v>-4.7232930323453886</v>
      </c>
      <c r="BE280" s="39">
        <f t="shared" si="223"/>
        <v>1.9450650098162148E-2</v>
      </c>
      <c r="BF280" s="39">
        <f>BF279+(1000*$C$2*($B280-$B279))/(BerechnungenCLT!$W$47*2*AZ280)</f>
        <v>1.1138014788396371E-2</v>
      </c>
      <c r="BG280" s="37">
        <f t="shared" si="197"/>
        <v>2.4705322321355104E-6</v>
      </c>
      <c r="BH280" s="173">
        <f t="shared" si="224"/>
        <v>1686.725643147425</v>
      </c>
      <c r="BI280">
        <v>-259.0108875284015</v>
      </c>
      <c r="BP280" s="129">
        <v>99.584866108678526</v>
      </c>
      <c r="BQ280" s="9">
        <v>11.75</v>
      </c>
      <c r="BR280" s="129">
        <f t="shared" si="225"/>
        <v>112.31193564998519</v>
      </c>
      <c r="BS280" s="36">
        <f t="shared" si="245"/>
        <v>1.4402955304410322E-2</v>
      </c>
      <c r="BT280" s="37">
        <f t="shared" si="226"/>
        <v>47722744.580787651</v>
      </c>
      <c r="BU280" s="36">
        <f t="shared" si="198"/>
        <v>1.9856476548590445</v>
      </c>
      <c r="BV280" s="37">
        <f t="shared" si="227"/>
        <v>-1.6497501805178973E-4</v>
      </c>
      <c r="BW280" s="37">
        <f t="shared" si="228"/>
        <v>-4.5309327976152419E-2</v>
      </c>
      <c r="BX280" s="37">
        <f t="shared" si="229"/>
        <v>-5.3059000311646551</v>
      </c>
      <c r="BY280" s="39">
        <f t="shared" si="230"/>
        <v>1.8528663611287754E-2</v>
      </c>
      <c r="BZ280" s="39">
        <f>BZ279+(1000*$C$2*($B280-$B279))/(BerechnungenCLT!$W$47*2*BT280)</f>
        <v>1.304065020250191E-2</v>
      </c>
      <c r="CA280" s="37">
        <f t="shared" si="199"/>
        <v>2.3534257435646318E-6</v>
      </c>
      <c r="CB280" s="173">
        <f t="shared" si="231"/>
        <v>2395.605051867255</v>
      </c>
      <c r="CC280" s="9">
        <v>-258.76031009232236</v>
      </c>
      <c r="CJ280" s="9">
        <f t="shared" si="247"/>
        <v>229</v>
      </c>
      <c r="CK280" s="129">
        <v>83.734764107572374</v>
      </c>
      <c r="CL280" s="9">
        <v>10.40625</v>
      </c>
      <c r="CM280" s="129">
        <f t="shared" si="232"/>
        <v>94.440777859933064</v>
      </c>
      <c r="CN280" s="36">
        <f t="shared" si="246"/>
        <v>1.0187665558753448E-2</v>
      </c>
      <c r="CO280" s="173">
        <f t="shared" si="233"/>
        <v>3388.1907061046927</v>
      </c>
      <c r="CP280" s="9">
        <v>-631.30856126606545</v>
      </c>
      <c r="CQ280" s="129"/>
      <c r="CR280" s="36">
        <f t="shared" si="234"/>
        <v>0.84046946237061926</v>
      </c>
      <c r="CS280" s="17">
        <f t="shared" si="200"/>
        <v>0.6041975445958474</v>
      </c>
      <c r="CT280" s="9">
        <f t="shared" si="201"/>
        <v>10.3339546078038</v>
      </c>
      <c r="CU280" s="9">
        <f t="shared" si="235"/>
        <v>94.366399917534523</v>
      </c>
      <c r="CV280" s="9">
        <v>13.2</v>
      </c>
      <c r="CW280" s="9">
        <f t="shared" si="236"/>
        <v>97.315004975431691</v>
      </c>
      <c r="CX280">
        <f t="shared" si="237"/>
        <v>22</v>
      </c>
      <c r="CY280" s="9">
        <f t="shared" si="202"/>
        <v>638.6688939737021</v>
      </c>
      <c r="CZ280" s="17">
        <f t="shared" si="238"/>
        <v>0.60138313933493603</v>
      </c>
      <c r="DA280">
        <v>45</v>
      </c>
      <c r="DB280" s="9">
        <f t="shared" si="239"/>
        <v>10.306539156082188</v>
      </c>
      <c r="DC280" s="9">
        <f t="shared" si="240"/>
        <v>11.147023702534847</v>
      </c>
    </row>
    <row r="281" spans="2:107" x14ac:dyDescent="0.25">
      <c r="B281" s="9">
        <f t="shared" si="241"/>
        <v>230</v>
      </c>
      <c r="C281" s="9">
        <v>118.16548994233479</v>
      </c>
      <c r="D281" s="9"/>
      <c r="E281" s="9">
        <f t="shared" si="203"/>
        <v>118.16548994233479</v>
      </c>
      <c r="F281" s="36">
        <f t="shared" si="242"/>
        <v>0</v>
      </c>
      <c r="G281" s="37">
        <f t="shared" si="248"/>
        <v>0</v>
      </c>
      <c r="H281" s="36" t="e">
        <f t="shared" si="188"/>
        <v>#DIV/0!</v>
      </c>
      <c r="I281" s="37" t="e">
        <f t="shared" si="204"/>
        <v>#DIV/0!</v>
      </c>
      <c r="J281" s="37" t="e">
        <f t="shared" si="205"/>
        <v>#DIV/0!</v>
      </c>
      <c r="K281" s="37" t="e">
        <f t="shared" si="206"/>
        <v>#DIV/0!</v>
      </c>
      <c r="L281" s="39" t="e">
        <f t="shared" si="189"/>
        <v>#DIV/0!</v>
      </c>
      <c r="M281" s="39" t="e">
        <f>M280+(1000*$C$2*(B281-B280))/(BerechnungenCLT!$W$47*2*'Berechnung freier Bereich'!G281)</f>
        <v>#DIV/0!</v>
      </c>
      <c r="N281" s="17" t="e">
        <f t="shared" si="207"/>
        <v>#DIV/0!</v>
      </c>
      <c r="O281" s="173">
        <f t="shared" si="208"/>
        <v>1925.8511289497928</v>
      </c>
      <c r="P281" s="173"/>
      <c r="Q281" s="173"/>
      <c r="R281" s="37" t="e">
        <f t="shared" si="190"/>
        <v>#DIV/0!</v>
      </c>
      <c r="S281" s="37" t="e">
        <f t="shared" si="191"/>
        <v>#DIV/0!</v>
      </c>
      <c r="T281" s="37" t="e">
        <f t="shared" si="192"/>
        <v>#DIV/0!</v>
      </c>
      <c r="U281" s="39" t="e">
        <f t="shared" si="193"/>
        <v>#DIV/0!</v>
      </c>
      <c r="V281" s="39" t="e">
        <f t="shared" si="209"/>
        <v>#DIV/0!</v>
      </c>
      <c r="W281" s="9" t="e">
        <f t="shared" si="210"/>
        <v>#DIV/0!</v>
      </c>
      <c r="AB281" s="129">
        <v>122.67753906211324</v>
      </c>
      <c r="AC281" s="9">
        <v>8.3125</v>
      </c>
      <c r="AD281" s="129">
        <f t="shared" si="211"/>
        <v>131.01281849882656</v>
      </c>
      <c r="AE281" s="36">
        <f t="shared" si="243"/>
        <v>1.1293353399220673E-2</v>
      </c>
      <c r="AF281" s="37">
        <f t="shared" si="212"/>
        <v>53500828.803786121</v>
      </c>
      <c r="AG281" s="36">
        <f t="shared" si="194"/>
        <v>1.9956888851436159</v>
      </c>
      <c r="AH281" s="37">
        <f t="shared" si="213"/>
        <v>-1.4715773240767506E-4</v>
      </c>
      <c r="AI281" s="37">
        <f t="shared" si="214"/>
        <v>-4.232454840509866E-2</v>
      </c>
      <c r="AJ281" s="37">
        <f t="shared" si="215"/>
        <v>-5.2064863188268102</v>
      </c>
      <c r="AK281" s="39">
        <f t="shared" si="216"/>
        <v>1.9279549286625619E-2</v>
      </c>
      <c r="AL281" s="39">
        <f>AL280+(1000*$C$2*($B281-$B280))/(BerechnungenCLT!$W$47*2*AF281)</f>
        <v>1.217773995920675E-2</v>
      </c>
      <c r="AM281" s="37">
        <f t="shared" si="195"/>
        <v>2.4487997929773213E-6</v>
      </c>
      <c r="AN281" s="173">
        <f t="shared" si="217"/>
        <v>1671.3065017538186</v>
      </c>
      <c r="AO281" s="173">
        <v>-259.19030126536194</v>
      </c>
      <c r="AV281" s="129">
        <v>122.17492897531228</v>
      </c>
      <c r="AW281" s="9">
        <v>8.3125</v>
      </c>
      <c r="AX281" s="129">
        <f t="shared" si="218"/>
        <v>130.51463659784548</v>
      </c>
      <c r="AY281" s="36">
        <f t="shared" si="244"/>
        <v>1.1254777871957417E-2</v>
      </c>
      <c r="AZ281" s="37">
        <f t="shared" si="219"/>
        <v>52898753.006068237</v>
      </c>
      <c r="BA281" s="36">
        <f t="shared" si="196"/>
        <v>1.995650113825804</v>
      </c>
      <c r="BB281" s="37">
        <f t="shared" si="220"/>
        <v>-1.4883263217553051E-4</v>
      </c>
      <c r="BC281" s="37">
        <f t="shared" si="221"/>
        <v>-3.8877002318527608E-2</v>
      </c>
      <c r="BD281" s="37">
        <f t="shared" si="222"/>
        <v>-4.7620956183478285</v>
      </c>
      <c r="BE281" s="39">
        <f t="shared" si="223"/>
        <v>1.9424836902290171E-2</v>
      </c>
      <c r="BF281" s="39">
        <f>BF280+(1000*$C$2*($B281-$B280))/(BerechnungenCLT!$W$47*2*AZ281)</f>
        <v>1.1181042824476141E-2</v>
      </c>
      <c r="BG281" s="37">
        <f t="shared" si="197"/>
        <v>2.4672535585644826E-6</v>
      </c>
      <c r="BH281" s="173">
        <f t="shared" si="224"/>
        <v>1684.5713346539965</v>
      </c>
      <c r="BI281">
        <v>-258.64662667187451</v>
      </c>
      <c r="BP281" s="129">
        <v>100.00106851015968</v>
      </c>
      <c r="BQ281" s="9">
        <v>11.6875</v>
      </c>
      <c r="BR281" s="129">
        <f t="shared" si="225"/>
        <v>112.72473083163021</v>
      </c>
      <c r="BS281" s="36">
        <f t="shared" si="245"/>
        <v>1.4455432596133501E-2</v>
      </c>
      <c r="BT281" s="37">
        <f t="shared" si="226"/>
        <v>48270683.058363587</v>
      </c>
      <c r="BU281" s="36">
        <f t="shared" si="198"/>
        <v>1.9857662862510599</v>
      </c>
      <c r="BV281" s="37">
        <f t="shared" si="227"/>
        <v>-1.6310232525976805E-4</v>
      </c>
      <c r="BW281" s="37">
        <f t="shared" si="228"/>
        <v>-4.5472430301412188E-2</v>
      </c>
      <c r="BX281" s="37">
        <f t="shared" si="229"/>
        <v>-5.3512909103034376</v>
      </c>
      <c r="BY281" s="39">
        <f t="shared" si="230"/>
        <v>1.8385665712920354E-2</v>
      </c>
      <c r="BZ281" s="39">
        <f>BZ280+(1000*$C$2*($B281-$B280))/(BerechnungenCLT!$W$47*2*BT281)</f>
        <v>1.3087803656911657E-2</v>
      </c>
      <c r="CA281" s="37">
        <f t="shared" si="199"/>
        <v>2.3352628073511182E-6</v>
      </c>
      <c r="CB281" s="173">
        <f t="shared" si="231"/>
        <v>2376.9699718241354</v>
      </c>
      <c r="CC281" s="9">
        <v>-258.12043047690827</v>
      </c>
      <c r="CJ281" s="9">
        <f t="shared" si="247"/>
        <v>230</v>
      </c>
      <c r="CK281" s="129">
        <v>83.493016210743008</v>
      </c>
      <c r="CL281" s="9">
        <v>10.46875</v>
      </c>
      <c r="CM281" s="129">
        <f t="shared" si="232"/>
        <v>94.104290563767307</v>
      </c>
      <c r="CN281" s="36">
        <f t="shared" si="246"/>
        <v>1.0064743535086216E-2</v>
      </c>
      <c r="CO281" s="173">
        <f t="shared" si="233"/>
        <v>3410.2896957087723</v>
      </c>
      <c r="CP281" s="9">
        <v>-631.63259198250921</v>
      </c>
      <c r="CQ281" s="129"/>
      <c r="CR281" s="36">
        <f t="shared" si="234"/>
        <v>0.84218033693960093</v>
      </c>
      <c r="CS281" s="17">
        <f t="shared" si="200"/>
        <v>0.60542745985151247</v>
      </c>
      <c r="CT281" s="9">
        <f t="shared" si="201"/>
        <v>10.374901068313854</v>
      </c>
      <c r="CU281" s="9">
        <f t="shared" si="235"/>
        <v>94.009163947709041</v>
      </c>
      <c r="CV281" s="9">
        <v>13.2</v>
      </c>
      <c r="CW281" s="9">
        <f t="shared" si="236"/>
        <v>96.872724529302602</v>
      </c>
      <c r="CX281">
        <f t="shared" si="237"/>
        <v>22</v>
      </c>
      <c r="CY281" s="9">
        <f t="shared" si="202"/>
        <v>640.51811285326414</v>
      </c>
      <c r="CZ281" s="17">
        <f t="shared" si="238"/>
        <v>0.60312440005015455</v>
      </c>
      <c r="DA281">
        <v>45</v>
      </c>
      <c r="DB281" s="9">
        <f t="shared" si="239"/>
        <v>10.336380983310987</v>
      </c>
      <c r="DC281" s="9">
        <f t="shared" si="240"/>
        <v>11.178566780248754</v>
      </c>
    </row>
    <row r="282" spans="2:107" x14ac:dyDescent="0.25">
      <c r="B282" s="9">
        <f t="shared" si="241"/>
        <v>231</v>
      </c>
      <c r="C282" s="9">
        <v>118.4020499120732</v>
      </c>
      <c r="D282" s="9"/>
      <c r="E282" s="9">
        <f t="shared" si="203"/>
        <v>118.4020499120732</v>
      </c>
      <c r="F282" s="36">
        <f t="shared" si="242"/>
        <v>0</v>
      </c>
      <c r="G282" s="37">
        <f t="shared" si="248"/>
        <v>0</v>
      </c>
      <c r="H282" s="36" t="e">
        <f t="shared" si="188"/>
        <v>#DIV/0!</v>
      </c>
      <c r="I282" s="37" t="e">
        <f t="shared" si="204"/>
        <v>#DIV/0!</v>
      </c>
      <c r="J282" s="37" t="e">
        <f t="shared" si="205"/>
        <v>#DIV/0!</v>
      </c>
      <c r="K282" s="37" t="e">
        <f t="shared" si="206"/>
        <v>#DIV/0!</v>
      </c>
      <c r="L282" s="39" t="e">
        <f t="shared" si="189"/>
        <v>#DIV/0!</v>
      </c>
      <c r="M282" s="39" t="e">
        <f>M281+(1000*$C$2*(B282-B281))/(BerechnungenCLT!$W$47*2*'Berechnung freier Bereich'!G282)</f>
        <v>#DIV/0!</v>
      </c>
      <c r="N282" s="17" t="e">
        <f t="shared" si="207"/>
        <v>#DIV/0!</v>
      </c>
      <c r="O282" s="173">
        <f t="shared" si="208"/>
        <v>1918.1633536872575</v>
      </c>
      <c r="P282" s="173"/>
      <c r="Q282" s="173"/>
      <c r="R282" s="37" t="e">
        <f t="shared" si="190"/>
        <v>#DIV/0!</v>
      </c>
      <c r="S282" s="37" t="e">
        <f t="shared" si="191"/>
        <v>#DIV/0!</v>
      </c>
      <c r="T282" s="37" t="e">
        <f t="shared" si="192"/>
        <v>#DIV/0!</v>
      </c>
      <c r="U282" s="39" t="e">
        <f t="shared" si="193"/>
        <v>#DIV/0!</v>
      </c>
      <c r="V282" s="39" t="e">
        <f t="shared" si="209"/>
        <v>#DIV/0!</v>
      </c>
      <c r="W282" s="9" t="e">
        <f t="shared" si="210"/>
        <v>#DIV/0!</v>
      </c>
      <c r="AB282" s="129">
        <v>122.75162196451991</v>
      </c>
      <c r="AC282" s="9">
        <v>8.3125</v>
      </c>
      <c r="AD282" s="129">
        <f t="shared" si="211"/>
        <v>131.08151785053752</v>
      </c>
      <c r="AE282" s="36">
        <f t="shared" si="243"/>
        <v>1.1292411332650862E-2</v>
      </c>
      <c r="AF282" s="37">
        <f t="shared" si="212"/>
        <v>53556461.132758006</v>
      </c>
      <c r="AG282" s="36">
        <f t="shared" si="194"/>
        <v>1.9956992778524962</v>
      </c>
      <c r="AH282" s="37">
        <f t="shared" si="213"/>
        <v>-1.4700487078823821E-4</v>
      </c>
      <c r="AI282" s="37">
        <f t="shared" si="214"/>
        <v>-4.2471553275886899E-2</v>
      </c>
      <c r="AJ282" s="37">
        <f t="shared" si="215"/>
        <v>-5.2488843696673033</v>
      </c>
      <c r="AK282" s="39">
        <f t="shared" si="216"/>
        <v>1.9269621594344408E-2</v>
      </c>
      <c r="AL282" s="39">
        <f>AL281+(1000*$C$2*($B282-$B281))/(BerechnungenCLT!$W$47*2*AF282)</f>
        <v>1.2220239583057508E-2</v>
      </c>
      <c r="AM282" s="37">
        <f t="shared" si="195"/>
        <v>2.4475388231049687E-6</v>
      </c>
      <c r="AN282" s="173">
        <f t="shared" si="217"/>
        <v>1669.4267961031953</v>
      </c>
      <c r="AO282" s="173">
        <v>-258.6330777171317</v>
      </c>
      <c r="AV282" s="129">
        <v>122.25590371249685</v>
      </c>
      <c r="AW282" s="9">
        <v>8.3125</v>
      </c>
      <c r="AX282" s="129">
        <f t="shared" si="218"/>
        <v>130.59586808876654</v>
      </c>
      <c r="AY282" s="36">
        <f t="shared" si="244"/>
        <v>1.1262349249620048E-2</v>
      </c>
      <c r="AZ282" s="37">
        <f t="shared" si="219"/>
        <v>53002249.858840913</v>
      </c>
      <c r="BA282" s="36">
        <f t="shared" si="196"/>
        <v>1.9956554168455298</v>
      </c>
      <c r="BB282" s="37">
        <f t="shared" si="220"/>
        <v>-1.4854200849330826E-4</v>
      </c>
      <c r="BC282" s="37">
        <f t="shared" si="221"/>
        <v>-3.902554432702092E-2</v>
      </c>
      <c r="BD282" s="37">
        <f t="shared" si="222"/>
        <v>-4.8010468916706026</v>
      </c>
      <c r="BE282" s="39">
        <f t="shared" si="223"/>
        <v>1.9398972546832524E-2</v>
      </c>
      <c r="BF282" s="39">
        <f>BF281+(1000*$C$2*($B282-$B281))/(BerechnungenCLT!$W$47*2*AZ282)</f>
        <v>1.1223986840229846E-2</v>
      </c>
      <c r="BG282" s="37">
        <f t="shared" si="197"/>
        <v>2.4639683869378763E-6</v>
      </c>
      <c r="BH282" s="173">
        <f t="shared" si="224"/>
        <v>1682.4106986817212</v>
      </c>
      <c r="BI282">
        <v>-258.26251484677641</v>
      </c>
      <c r="BP282" s="129">
        <v>100.43138352820326</v>
      </c>
      <c r="BQ282" s="9">
        <v>11.5625</v>
      </c>
      <c r="BR282" s="129">
        <f t="shared" si="225"/>
        <v>113.08607955098866</v>
      </c>
      <c r="BS282" s="36">
        <f t="shared" si="245"/>
        <v>1.4430584168999717E-2</v>
      </c>
      <c r="BT282" s="37">
        <f t="shared" si="226"/>
        <v>48543899.826442815</v>
      </c>
      <c r="BU282" s="36">
        <f t="shared" si="198"/>
        <v>1.9860230308708184</v>
      </c>
      <c r="BV282" s="37">
        <f t="shared" si="227"/>
        <v>-1.6218434606293791E-4</v>
      </c>
      <c r="BW282" s="37">
        <f t="shared" si="228"/>
        <v>-4.5634614647475126E-2</v>
      </c>
      <c r="BX282" s="37">
        <f t="shared" si="229"/>
        <v>-5.3968444327778808</v>
      </c>
      <c r="BY282" s="39">
        <f t="shared" si="230"/>
        <v>1.8340791860798469E-2</v>
      </c>
      <c r="BZ282" s="39">
        <f>BZ281+(1000*$C$2*($B282-$B281))/(BerechnungenCLT!$W$47*2*BT282)</f>
        <v>1.3134691720315251E-2</v>
      </c>
      <c r="CA282" s="37">
        <f t="shared" si="199"/>
        <v>2.3295631367751887E-6</v>
      </c>
      <c r="CB282" s="173">
        <f t="shared" si="231"/>
        <v>2359.3763532058783</v>
      </c>
      <c r="CC282" s="9">
        <v>-258.97973725110126</v>
      </c>
      <c r="CJ282" s="9">
        <f t="shared" si="247"/>
        <v>231</v>
      </c>
      <c r="CK282" s="129">
        <v>83.327444832271397</v>
      </c>
      <c r="CL282" s="9">
        <v>10.53125</v>
      </c>
      <c r="CM282" s="129">
        <f t="shared" si="232"/>
        <v>93.902418659472119</v>
      </c>
      <c r="CN282" s="36">
        <f t="shared" si="246"/>
        <v>1.0009560254312556E-2</v>
      </c>
      <c r="CO282" s="173">
        <f t="shared" si="233"/>
        <v>3424.4451772268926</v>
      </c>
      <c r="CP282" s="9">
        <v>-630.49026103889332</v>
      </c>
      <c r="CQ282" s="129"/>
      <c r="CR282" s="36">
        <f t="shared" si="234"/>
        <v>0.84320818057144575</v>
      </c>
      <c r="CS282" s="17">
        <f t="shared" si="200"/>
        <v>0.60616635713022793</v>
      </c>
      <c r="CT282" s="9">
        <f t="shared" si="201"/>
        <v>10.424118603207944</v>
      </c>
      <c r="CU282" s="9">
        <f t="shared" si="235"/>
        <v>93.794842472680671</v>
      </c>
      <c r="CV282" s="9">
        <v>13.2</v>
      </c>
      <c r="CW282" s="9">
        <f t="shared" si="236"/>
        <v>96.582248822210815</v>
      </c>
      <c r="CX282">
        <f t="shared" si="237"/>
        <v>22</v>
      </c>
      <c r="CY282" s="9">
        <f t="shared" si="202"/>
        <v>641.79082038791387</v>
      </c>
      <c r="CZ282" s="17">
        <f t="shared" si="238"/>
        <v>0.60432280639163272</v>
      </c>
      <c r="DA282">
        <v>45</v>
      </c>
      <c r="DB282" s="9">
        <f t="shared" si="239"/>
        <v>10.356919340766439</v>
      </c>
      <c r="DC282" s="9">
        <f t="shared" si="240"/>
        <v>11.20012891602128</v>
      </c>
    </row>
    <row r="283" spans="2:107" x14ac:dyDescent="0.25">
      <c r="B283" s="9">
        <f t="shared" si="241"/>
        <v>232</v>
      </c>
      <c r="C283" s="9">
        <v>118.6380276326538</v>
      </c>
      <c r="D283" s="9"/>
      <c r="E283" s="9">
        <f t="shared" si="203"/>
        <v>118.6380276326538</v>
      </c>
      <c r="F283" s="36">
        <f t="shared" si="242"/>
        <v>0</v>
      </c>
      <c r="G283" s="37">
        <f t="shared" si="248"/>
        <v>0</v>
      </c>
      <c r="H283" s="36" t="e">
        <f t="shared" si="188"/>
        <v>#DIV/0!</v>
      </c>
      <c r="I283" s="37" t="e">
        <f t="shared" si="204"/>
        <v>#DIV/0!</v>
      </c>
      <c r="J283" s="37" t="e">
        <f t="shared" si="205"/>
        <v>#DIV/0!</v>
      </c>
      <c r="K283" s="37" t="e">
        <f t="shared" si="206"/>
        <v>#DIV/0!</v>
      </c>
      <c r="L283" s="39" t="e">
        <f t="shared" si="189"/>
        <v>#DIV/0!</v>
      </c>
      <c r="M283" s="39" t="e">
        <f>M282+(1000*$C$2*(B283-B282))/(BerechnungenCLT!$W$47*2*'Berechnung freier Bereich'!G283)</f>
        <v>#DIV/0!</v>
      </c>
      <c r="N283" s="17" t="e">
        <f t="shared" si="207"/>
        <v>#DIV/0!</v>
      </c>
      <c r="O283" s="173">
        <f t="shared" si="208"/>
        <v>1910.5402726583063</v>
      </c>
      <c r="P283" s="173"/>
      <c r="Q283" s="173"/>
      <c r="R283" s="37" t="e">
        <f t="shared" si="190"/>
        <v>#DIV/0!</v>
      </c>
      <c r="S283" s="37" t="e">
        <f t="shared" si="191"/>
        <v>#DIV/0!</v>
      </c>
      <c r="T283" s="37" t="e">
        <f t="shared" si="192"/>
        <v>#DIV/0!</v>
      </c>
      <c r="U283" s="39" t="e">
        <f t="shared" si="193"/>
        <v>#DIV/0!</v>
      </c>
      <c r="V283" s="39" t="e">
        <f t="shared" si="209"/>
        <v>#DIV/0!</v>
      </c>
      <c r="W283" s="9" t="e">
        <f t="shared" si="210"/>
        <v>#DIV/0!</v>
      </c>
      <c r="AB283" s="129">
        <v>122.81635106066764</v>
      </c>
      <c r="AC283" s="9">
        <v>8.3125</v>
      </c>
      <c r="AD283" s="129">
        <f t="shared" si="211"/>
        <v>131.1415959055152</v>
      </c>
      <c r="AE283" s="36">
        <f t="shared" si="243"/>
        <v>1.1291655418031165E-2</v>
      </c>
      <c r="AF283" s="37">
        <f t="shared" si="212"/>
        <v>53605430.824781403</v>
      </c>
      <c r="AG283" s="36">
        <f t="shared" si="194"/>
        <v>1.9957082860537536</v>
      </c>
      <c r="AH283" s="37">
        <f t="shared" si="213"/>
        <v>-1.4687057873727103E-4</v>
      </c>
      <c r="AI283" s="37">
        <f t="shared" si="214"/>
        <v>-4.2618423854624173E-2</v>
      </c>
      <c r="AJ283" s="37">
        <f t="shared" si="215"/>
        <v>-5.2914293582325591</v>
      </c>
      <c r="AK283" s="39">
        <f t="shared" si="216"/>
        <v>1.9260842087172349E-2</v>
      </c>
      <c r="AL283" s="39">
        <f>AL282+(1000*$C$2*($B283-$B282))/(BerechnungenCLT!$W$47*2*AF283)</f>
        <v>1.2262700382605223E-2</v>
      </c>
      <c r="AM283" s="37">
        <f t="shared" si="195"/>
        <v>2.4464236904311827E-6</v>
      </c>
      <c r="AN283" s="173">
        <f t="shared" si="217"/>
        <v>1667.7863260431466</v>
      </c>
      <c r="AO283" s="173">
        <v>-258.08187812445448</v>
      </c>
      <c r="AV283" s="129">
        <v>122.33726025217216</v>
      </c>
      <c r="AW283" s="9">
        <v>8.3125</v>
      </c>
      <c r="AX283" s="129">
        <f t="shared" si="218"/>
        <v>130.67747210084121</v>
      </c>
      <c r="AY283" s="36">
        <f t="shared" si="244"/>
        <v>1.1269942130066364E-2</v>
      </c>
      <c r="AZ283" s="37">
        <f t="shared" si="219"/>
        <v>53106299.135309979</v>
      </c>
      <c r="BA283" s="36">
        <f t="shared" si="196"/>
        <v>1.9956607453270776</v>
      </c>
      <c r="BB283" s="37">
        <f t="shared" si="220"/>
        <v>-1.482509754377076E-4</v>
      </c>
      <c r="BC283" s="37">
        <f t="shared" si="221"/>
        <v>-3.9173795302458625E-2</v>
      </c>
      <c r="BD283" s="37">
        <f t="shared" si="222"/>
        <v>-4.8401465614853425</v>
      </c>
      <c r="BE283" s="39">
        <f t="shared" si="223"/>
        <v>1.9373062706683531E-2</v>
      </c>
      <c r="BF283" s="39">
        <f>BF282+(1000*$C$2*($B283-$B282))/(BerechnungenCLT!$W$47*2*AZ283)</f>
        <v>1.1266846717306208E-2</v>
      </c>
      <c r="BG283" s="37">
        <f t="shared" si="197"/>
        <v>2.4606774380547023E-6</v>
      </c>
      <c r="BH283" s="173">
        <f t="shared" si="224"/>
        <v>1680.2441980893486</v>
      </c>
      <c r="BI283">
        <v>-257.85742206887051</v>
      </c>
      <c r="BP283" s="129">
        <v>100.87617912380374</v>
      </c>
      <c r="BQ283" s="9">
        <v>11.5</v>
      </c>
      <c r="BR283" s="129">
        <f t="shared" si="225"/>
        <v>113.53283028240318</v>
      </c>
      <c r="BS283" s="36">
        <f t="shared" si="245"/>
        <v>1.4493078172168975E-2</v>
      </c>
      <c r="BT283" s="37">
        <f t="shared" si="226"/>
        <v>49160749.354686707</v>
      </c>
      <c r="BU283" s="36">
        <f t="shared" si="198"/>
        <v>1.9861341611875964</v>
      </c>
      <c r="BV283" s="37">
        <f t="shared" si="227"/>
        <v>-1.6014932140056607E-4</v>
      </c>
      <c r="BW283" s="37">
        <f t="shared" si="228"/>
        <v>-4.579476396887569E-2</v>
      </c>
      <c r="BX283" s="37">
        <f t="shared" si="229"/>
        <v>-5.4425591220860561</v>
      </c>
      <c r="BY283" s="39">
        <f t="shared" si="230"/>
        <v>1.8182205726412506E-2</v>
      </c>
      <c r="BZ283" s="39">
        <f>BZ282+(1000*$C$2*($B283-$B282))/(BerechnungenCLT!$W$47*2*BT283)</f>
        <v>1.3180991450949909E-2</v>
      </c>
      <c r="CA283" s="37">
        <f t="shared" si="199"/>
        <v>2.3094202544245717E-6</v>
      </c>
      <c r="CB283" s="173">
        <f t="shared" si="231"/>
        <v>2339.7958327809033</v>
      </c>
      <c r="CC283" s="9">
        <v>-258.22627596501434</v>
      </c>
      <c r="CJ283" s="9">
        <f t="shared" si="247"/>
        <v>232</v>
      </c>
      <c r="CK283" s="129">
        <v>83.23622601608092</v>
      </c>
      <c r="CL283" s="9">
        <v>10.5625</v>
      </c>
      <c r="CM283" s="129">
        <f t="shared" si="232"/>
        <v>93.800570722102321</v>
      </c>
      <c r="CN283" s="36">
        <f t="shared" si="246"/>
        <v>9.9886064080039524E-3</v>
      </c>
      <c r="CO283" s="173">
        <f t="shared" si="233"/>
        <v>3431.9182792103366</v>
      </c>
      <c r="CP283" s="9">
        <v>-629.99674148580925</v>
      </c>
      <c r="CQ283" s="129"/>
      <c r="CR283" s="36">
        <f t="shared" si="234"/>
        <v>0.84372714492757206</v>
      </c>
      <c r="CS283" s="17">
        <f t="shared" si="200"/>
        <v>0.60653943075603212</v>
      </c>
      <c r="CT283" s="9">
        <f t="shared" si="201"/>
        <v>10.448619955508098</v>
      </c>
      <c r="CU283" s="9">
        <f t="shared" si="235"/>
        <v>93.686670788833737</v>
      </c>
      <c r="CV283" s="9">
        <v>13.2</v>
      </c>
      <c r="CW283" s="9">
        <f t="shared" si="236"/>
        <v>96.438531352836662</v>
      </c>
      <c r="CX283">
        <f t="shared" si="237"/>
        <v>22</v>
      </c>
      <c r="CY283" s="9">
        <f t="shared" si="202"/>
        <v>642.4941607684159</v>
      </c>
      <c r="CZ283" s="17">
        <f t="shared" si="238"/>
        <v>0.60498508546931817</v>
      </c>
      <c r="DA283">
        <v>45</v>
      </c>
      <c r="DB283" s="9">
        <f t="shared" si="239"/>
        <v>10.368269518049374</v>
      </c>
      <c r="DC283" s="9">
        <f t="shared" si="240"/>
        <v>11.211996668247972</v>
      </c>
    </row>
    <row r="284" spans="2:107" x14ac:dyDescent="0.25">
      <c r="B284" s="9">
        <f t="shared" si="241"/>
        <v>233</v>
      </c>
      <c r="C284" s="9">
        <v>118.87338236717981</v>
      </c>
      <c r="D284" s="9"/>
      <c r="E284" s="9">
        <f t="shared" si="203"/>
        <v>118.87338236717981</v>
      </c>
      <c r="F284" s="36">
        <f t="shared" si="242"/>
        <v>0</v>
      </c>
      <c r="G284" s="37">
        <f t="shared" si="248"/>
        <v>0</v>
      </c>
      <c r="H284" s="36" t="e">
        <f t="shared" si="188"/>
        <v>#DIV/0!</v>
      </c>
      <c r="I284" s="37" t="e">
        <f t="shared" si="204"/>
        <v>#DIV/0!</v>
      </c>
      <c r="J284" s="37" t="e">
        <f t="shared" si="205"/>
        <v>#DIV/0!</v>
      </c>
      <c r="K284" s="37" t="e">
        <f t="shared" si="206"/>
        <v>#DIV/0!</v>
      </c>
      <c r="L284" s="39" t="e">
        <f t="shared" si="189"/>
        <v>#DIV/0!</v>
      </c>
      <c r="M284" s="39" t="e">
        <f>M283+(1000*$C$2*(B284-B283))/(BerechnungenCLT!$W$47*2*'Berechnung freier Bereich'!G284)</f>
        <v>#DIV/0!</v>
      </c>
      <c r="N284" s="17" t="e">
        <f t="shared" si="207"/>
        <v>#DIV/0!</v>
      </c>
      <c r="O284" s="173">
        <f t="shared" si="208"/>
        <v>1902.9824904345962</v>
      </c>
      <c r="P284" s="173"/>
      <c r="Q284" s="173"/>
      <c r="R284" s="37" t="e">
        <f t="shared" si="190"/>
        <v>#DIV/0!</v>
      </c>
      <c r="S284" s="37" t="e">
        <f t="shared" si="191"/>
        <v>#DIV/0!</v>
      </c>
      <c r="T284" s="37" t="e">
        <f t="shared" si="192"/>
        <v>#DIV/0!</v>
      </c>
      <c r="U284" s="39" t="e">
        <f t="shared" si="193"/>
        <v>#DIV/0!</v>
      </c>
      <c r="V284" s="39" t="e">
        <f t="shared" si="209"/>
        <v>#DIV/0!</v>
      </c>
      <c r="W284" s="9" t="e">
        <f t="shared" si="210"/>
        <v>#DIV/0!</v>
      </c>
      <c r="AB284" s="129">
        <v>122.8717476271854</v>
      </c>
      <c r="AC284" s="9">
        <v>8.3125</v>
      </c>
      <c r="AD284" s="129">
        <f t="shared" si="211"/>
        <v>131.19307022219621</v>
      </c>
      <c r="AE284" s="36">
        <f t="shared" si="243"/>
        <v>1.1291085140375839E-2</v>
      </c>
      <c r="AF284" s="37">
        <f t="shared" si="212"/>
        <v>53647744.685215287</v>
      </c>
      <c r="AG284" s="36">
        <f t="shared" si="194"/>
        <v>1.9957159231037049</v>
      </c>
      <c r="AH284" s="37">
        <f t="shared" si="213"/>
        <v>-1.4675473675347474E-4</v>
      </c>
      <c r="AI284" s="37">
        <f t="shared" si="214"/>
        <v>-4.2765178591377649E-2</v>
      </c>
      <c r="AJ284" s="37">
        <f t="shared" si="215"/>
        <v>-5.3341211594555604</v>
      </c>
      <c r="AK284" s="39">
        <f t="shared" si="216"/>
        <v>1.9253204484338531E-2</v>
      </c>
      <c r="AL284" s="39">
        <f>AL283+(1000*$C$2*($B284-$B283))/(BerechnungenCLT!$W$47*2*AF284)</f>
        <v>1.2305127691829039E-2</v>
      </c>
      <c r="AM284" s="37">
        <f t="shared" si="195"/>
        <v>2.4454535972012917E-6</v>
      </c>
      <c r="AN284" s="173">
        <f t="shared" si="217"/>
        <v>1666.383531970243</v>
      </c>
      <c r="AO284" s="173">
        <v>-257.53580586803213</v>
      </c>
      <c r="AV284" s="129">
        <v>122.41898311551121</v>
      </c>
      <c r="AW284" s="9">
        <v>8.3125</v>
      </c>
      <c r="AX284" s="129">
        <f t="shared" si="218"/>
        <v>130.75943301514044</v>
      </c>
      <c r="AY284" s="36">
        <f t="shared" si="244"/>
        <v>1.1277554917399266E-2</v>
      </c>
      <c r="AZ284" s="37">
        <f t="shared" si="219"/>
        <v>53210881.975889415</v>
      </c>
      <c r="BA284" s="36">
        <f t="shared" si="196"/>
        <v>1.995666098197356</v>
      </c>
      <c r="BB284" s="37">
        <f t="shared" si="220"/>
        <v>-1.4795959691598018E-4</v>
      </c>
      <c r="BC284" s="37">
        <f t="shared" si="221"/>
        <v>-3.9321754899374603E-2</v>
      </c>
      <c r="BD284" s="37">
        <f t="shared" si="222"/>
        <v>-4.8793943365862589</v>
      </c>
      <c r="BE284" s="39">
        <f t="shared" si="223"/>
        <v>1.9347113001882292E-2</v>
      </c>
      <c r="BF284" s="39">
        <f>BF283+(1000*$C$2*($B284-$B283))/(BerechnungenCLT!$W$47*2*AZ284)</f>
        <v>1.1309622355829758E-2</v>
      </c>
      <c r="BG284" s="37">
        <f t="shared" si="197"/>
        <v>2.4573814257465107E-6</v>
      </c>
      <c r="BH284" s="173">
        <f t="shared" si="224"/>
        <v>1678.072292468549</v>
      </c>
      <c r="BI284">
        <v>-257.43023343617347</v>
      </c>
      <c r="BP284" s="129">
        <v>101.33582325795571</v>
      </c>
      <c r="BQ284" s="9">
        <v>11.375</v>
      </c>
      <c r="BR284" s="129">
        <f t="shared" si="225"/>
        <v>113.92817237241772</v>
      </c>
      <c r="BS284" s="36">
        <f t="shared" si="245"/>
        <v>1.4476945750334431E-2</v>
      </c>
      <c r="BT284" s="37">
        <f t="shared" si="226"/>
        <v>49495352.316718899</v>
      </c>
      <c r="BU284" s="36">
        <f t="shared" si="198"/>
        <v>1.9863822310489274</v>
      </c>
      <c r="BV284" s="37">
        <f t="shared" si="227"/>
        <v>-1.5906666545814188E-4</v>
      </c>
      <c r="BW284" s="37">
        <f t="shared" si="228"/>
        <v>-4.595383063433383E-2</v>
      </c>
      <c r="BX284" s="37">
        <f t="shared" si="229"/>
        <v>-5.4884334193876612</v>
      </c>
      <c r="BY284" s="39">
        <f t="shared" si="230"/>
        <v>1.8122174481020891E-2</v>
      </c>
      <c r="BZ284" s="39">
        <f>BZ283+(1000*$C$2*($B284-$B283))/(BerechnungenCLT!$W$47*2*BT284)</f>
        <v>1.322697818195356E-2</v>
      </c>
      <c r="CA284" s="37">
        <f t="shared" si="199"/>
        <v>2.3017953613784913E-6</v>
      </c>
      <c r="CB284" s="173">
        <f t="shared" si="231"/>
        <v>2321.2463264791213</v>
      </c>
      <c r="CC284" s="9">
        <v>-258.99425661230003</v>
      </c>
      <c r="CJ284" s="9">
        <f t="shared" si="247"/>
        <v>233</v>
      </c>
      <c r="CK284" s="129">
        <v>83.217535806094972</v>
      </c>
      <c r="CL284" s="9">
        <v>10.5625</v>
      </c>
      <c r="CM284" s="129">
        <f t="shared" si="232"/>
        <v>93.794314587150041</v>
      </c>
      <c r="CN284" s="36">
        <f t="shared" si="246"/>
        <v>9.9989536915012743E-3</v>
      </c>
      <c r="CO284" s="173">
        <f t="shared" si="233"/>
        <v>3432.8856703742163</v>
      </c>
      <c r="CP284" s="9">
        <v>-630.17432534165994</v>
      </c>
      <c r="CQ284" s="129"/>
      <c r="CR284" s="36">
        <f t="shared" si="234"/>
        <v>0.84375903161445542</v>
      </c>
      <c r="CS284" s="17">
        <f t="shared" si="200"/>
        <v>0.60656235349003107</v>
      </c>
      <c r="CT284" s="9">
        <f t="shared" si="201"/>
        <v>10.448225089366938</v>
      </c>
      <c r="CU284" s="9">
        <f t="shared" si="235"/>
        <v>93.679885195434935</v>
      </c>
      <c r="CV284" s="9">
        <v>13.2</v>
      </c>
      <c r="CW284" s="9">
        <f t="shared" si="236"/>
        <v>96.435380057922359</v>
      </c>
      <c r="CX284">
        <f t="shared" si="237"/>
        <v>22</v>
      </c>
      <c r="CY284" s="9">
        <f t="shared" si="202"/>
        <v>642.63846149377616</v>
      </c>
      <c r="CZ284" s="17">
        <f t="shared" si="238"/>
        <v>0.60512096185854636</v>
      </c>
      <c r="DA284">
        <v>45</v>
      </c>
      <c r="DB284" s="9">
        <f t="shared" si="239"/>
        <v>10.370598175496461</v>
      </c>
      <c r="DC284" s="9">
        <f t="shared" si="240"/>
        <v>11.214358138463155</v>
      </c>
    </row>
    <row r="285" spans="2:107" x14ac:dyDescent="0.25">
      <c r="B285" s="9">
        <f t="shared" si="241"/>
        <v>234</v>
      </c>
      <c r="C285" s="9">
        <v>119.10807337875437</v>
      </c>
      <c r="D285" s="9"/>
      <c r="E285" s="9">
        <f t="shared" si="203"/>
        <v>119.10807337875437</v>
      </c>
      <c r="F285" s="36">
        <f t="shared" si="242"/>
        <v>0</v>
      </c>
      <c r="G285" s="37">
        <f t="shared" si="248"/>
        <v>0</v>
      </c>
      <c r="H285" s="36" t="e">
        <f t="shared" si="188"/>
        <v>#DIV/0!</v>
      </c>
      <c r="I285" s="37" t="e">
        <f t="shared" si="204"/>
        <v>#DIV/0!</v>
      </c>
      <c r="J285" s="37" t="e">
        <f t="shared" si="205"/>
        <v>#DIV/0!</v>
      </c>
      <c r="K285" s="37" t="e">
        <f t="shared" si="206"/>
        <v>#DIV/0!</v>
      </c>
      <c r="L285" s="39" t="e">
        <f t="shared" si="189"/>
        <v>#DIV/0!</v>
      </c>
      <c r="M285" s="39" t="e">
        <f>M284+(1000*$C$2*(B285-B284))/(BerechnungenCLT!$W$47*2*'Berechnung freier Bereich'!G285)</f>
        <v>#DIV/0!</v>
      </c>
      <c r="N285" s="17" t="e">
        <f t="shared" si="207"/>
        <v>#DIV/0!</v>
      </c>
      <c r="O285" s="173">
        <f t="shared" si="208"/>
        <v>1895.4905905297851</v>
      </c>
      <c r="P285" s="173"/>
      <c r="Q285" s="173"/>
      <c r="R285" s="37" t="e">
        <f t="shared" si="190"/>
        <v>#DIV/0!</v>
      </c>
      <c r="S285" s="37" t="e">
        <f t="shared" si="191"/>
        <v>#DIV/0!</v>
      </c>
      <c r="T285" s="37" t="e">
        <f t="shared" si="192"/>
        <v>#DIV/0!</v>
      </c>
      <c r="U285" s="39" t="e">
        <f t="shared" si="193"/>
        <v>#DIV/0!</v>
      </c>
      <c r="V285" s="39" t="e">
        <f t="shared" si="209"/>
        <v>#DIV/0!</v>
      </c>
      <c r="W285" s="9" t="e">
        <f t="shared" si="210"/>
        <v>#DIV/0!</v>
      </c>
      <c r="AB285" s="129">
        <v>122.91783294070207</v>
      </c>
      <c r="AC285" s="9">
        <v>8.25</v>
      </c>
      <c r="AD285" s="129">
        <f t="shared" si="211"/>
        <v>131.17341587610838</v>
      </c>
      <c r="AE285" s="36">
        <f t="shared" si="243"/>
        <v>1.1203049283071335E-2</v>
      </c>
      <c r="AF285" s="37">
        <f t="shared" si="212"/>
        <v>53239622.892741665</v>
      </c>
      <c r="AG285" s="36">
        <f t="shared" si="194"/>
        <v>1.9957841145701205</v>
      </c>
      <c r="AH285" s="37">
        <f t="shared" si="213"/>
        <v>-1.4787972229926807E-4</v>
      </c>
      <c r="AI285" s="37">
        <f t="shared" si="214"/>
        <v>-4.2913058313676915E-2</v>
      </c>
      <c r="AJ285" s="37">
        <f t="shared" si="215"/>
        <v>-5.3769602779080881</v>
      </c>
      <c r="AK285" s="39">
        <f t="shared" si="216"/>
        <v>1.9397888312805308E-2</v>
      </c>
      <c r="AL285" s="39">
        <f>AL284+(1000*$C$2*($B285-$B284))/(BerechnungenCLT!$W$47*2*AF285)</f>
        <v>1.2347880238320692E-2</v>
      </c>
      <c r="AM285" s="37">
        <f t="shared" si="195"/>
        <v>2.463830672511989E-6</v>
      </c>
      <c r="AN285" s="173">
        <f t="shared" si="217"/>
        <v>1666.0368703808092</v>
      </c>
      <c r="AO285" s="173">
        <v>-259.07010999984709</v>
      </c>
      <c r="AV285" s="129">
        <v>122.50105682368701</v>
      </c>
      <c r="AW285" s="9">
        <v>8.25</v>
      </c>
      <c r="AX285" s="129">
        <f t="shared" si="218"/>
        <v>130.7790233510427</v>
      </c>
      <c r="AY285" s="36">
        <f t="shared" si="244"/>
        <v>1.1197562496337412E-2</v>
      </c>
      <c r="AZ285" s="37">
        <f t="shared" si="219"/>
        <v>52874991.991646856</v>
      </c>
      <c r="BA285" s="36">
        <f t="shared" si="196"/>
        <v>1.9957341082748212</v>
      </c>
      <c r="BB285" s="37">
        <f t="shared" si="220"/>
        <v>-1.4889951472598183E-4</v>
      </c>
      <c r="BC285" s="37">
        <f t="shared" si="221"/>
        <v>-3.9470654414100588E-2</v>
      </c>
      <c r="BD285" s="37">
        <f t="shared" si="222"/>
        <v>-4.9187905412429966</v>
      </c>
      <c r="BE285" s="39">
        <f t="shared" si="223"/>
        <v>1.9472933113308104E-2</v>
      </c>
      <c r="BF285" s="39">
        <f>BF284+(1000*$C$2*($B285-$B284))/(BerechnungenCLT!$W$47*2*AZ285)</f>
        <v>1.1352669727889493E-2</v>
      </c>
      <c r="BG285" s="37">
        <f t="shared" si="197"/>
        <v>2.4733625183660179E-6</v>
      </c>
      <c r="BH285" s="173">
        <f t="shared" si="224"/>
        <v>1676.7254405809779</v>
      </c>
      <c r="BI285">
        <v>-259.05557258588823</v>
      </c>
      <c r="BP285" s="129">
        <v>101.81068389165364</v>
      </c>
      <c r="BQ285" s="9">
        <v>11.3125</v>
      </c>
      <c r="BR285" s="129">
        <f t="shared" si="225"/>
        <v>114.41047504318786</v>
      </c>
      <c r="BS285" s="36">
        <f t="shared" si="245"/>
        <v>1.4549910818769654E-2</v>
      </c>
      <c r="BT285" s="37">
        <f t="shared" si="226"/>
        <v>50186862.217788093</v>
      </c>
      <c r="BU285" s="36">
        <f t="shared" si="198"/>
        <v>1.9864860418962897</v>
      </c>
      <c r="BV285" s="37">
        <f t="shared" si="227"/>
        <v>-1.5687493301595347E-4</v>
      </c>
      <c r="BW285" s="37">
        <f t="shared" si="228"/>
        <v>-4.611070556734978E-2</v>
      </c>
      <c r="BX285" s="37">
        <f t="shared" si="229"/>
        <v>-5.5344656874885025</v>
      </c>
      <c r="BY285" s="39">
        <f t="shared" si="230"/>
        <v>1.794813560872351E-2</v>
      </c>
      <c r="BZ285" s="39">
        <f>BZ284+(1000*$C$2*($B285-$B284))/(BerechnungenCLT!$W$47*2*BT285)</f>
        <v>1.3272331275419387E-2</v>
      </c>
      <c r="CA285" s="37">
        <f t="shared" si="199"/>
        <v>2.2796897432379529E-6</v>
      </c>
      <c r="CB285" s="173">
        <f t="shared" si="231"/>
        <v>2300.7405251020205</v>
      </c>
      <c r="CC285" s="9">
        <v>-258.1245781558456</v>
      </c>
      <c r="CJ285" s="9">
        <f t="shared" si="247"/>
        <v>234</v>
      </c>
      <c r="CK285" s="129">
        <v>83.269550246236903</v>
      </c>
      <c r="CL285" s="9">
        <v>10.53125</v>
      </c>
      <c r="CM285" s="129">
        <f t="shared" si="232"/>
        <v>93.877481521244675</v>
      </c>
      <c r="CN285" s="36">
        <f t="shared" si="246"/>
        <v>1.0036062824983297E-2</v>
      </c>
      <c r="CO285" s="173">
        <f t="shared" si="233"/>
        <v>3427.6483809391625</v>
      </c>
      <c r="CP285" s="9">
        <v>-631.0800175221159</v>
      </c>
      <c r="CQ285" s="129"/>
      <c r="CR285" s="36">
        <f t="shared" si="234"/>
        <v>0.84333522270246619</v>
      </c>
      <c r="CS285" s="17">
        <f t="shared" si="200"/>
        <v>0.60625768530699031</v>
      </c>
      <c r="CT285" s="9">
        <f t="shared" si="201"/>
        <v>10.422548287862741</v>
      </c>
      <c r="CU285" s="9">
        <f t="shared" si="235"/>
        <v>93.767988318459842</v>
      </c>
      <c r="CV285" s="9">
        <v>13.2</v>
      </c>
      <c r="CW285" s="9">
        <f t="shared" si="236"/>
        <v>96.565663512003326</v>
      </c>
      <c r="CX285">
        <f t="shared" si="237"/>
        <v>22</v>
      </c>
      <c r="CY285" s="9">
        <f t="shared" si="202"/>
        <v>642.23703648680271</v>
      </c>
      <c r="CZ285" s="17">
        <f t="shared" si="238"/>
        <v>0.60474297220979534</v>
      </c>
      <c r="DA285">
        <v>45</v>
      </c>
      <c r="DB285" s="9">
        <f t="shared" si="239"/>
        <v>10.364120166951439</v>
      </c>
      <c r="DC285" s="9">
        <f t="shared" si="240"/>
        <v>11.207460594928868</v>
      </c>
    </row>
    <row r="286" spans="2:107" x14ac:dyDescent="0.25">
      <c r="B286" s="9">
        <f t="shared" si="241"/>
        <v>235</v>
      </c>
      <c r="C286" s="9">
        <v>119.34205993048067</v>
      </c>
      <c r="D286" s="9"/>
      <c r="E286" s="9">
        <f t="shared" si="203"/>
        <v>119.34205993048067</v>
      </c>
      <c r="F286" s="36">
        <f t="shared" si="242"/>
        <v>0</v>
      </c>
      <c r="G286" s="37">
        <f t="shared" si="248"/>
        <v>0</v>
      </c>
      <c r="H286" s="36" t="e">
        <f t="shared" si="188"/>
        <v>#DIV/0!</v>
      </c>
      <c r="I286" s="37" t="e">
        <f t="shared" si="204"/>
        <v>#DIV/0!</v>
      </c>
      <c r="J286" s="37" t="e">
        <f t="shared" si="205"/>
        <v>#DIV/0!</v>
      </c>
      <c r="K286" s="37" t="e">
        <f t="shared" si="206"/>
        <v>#DIV/0!</v>
      </c>
      <c r="L286" s="39" t="e">
        <f t="shared" si="189"/>
        <v>#DIV/0!</v>
      </c>
      <c r="M286" s="39" t="e">
        <f>M285+(1000*$C$2*(B286-B285))/(BerechnungenCLT!$W$47*2*'Berechnung freier Bereich'!G286)</f>
        <v>#DIV/0!</v>
      </c>
      <c r="N286" s="17" t="e">
        <f t="shared" si="207"/>
        <v>#DIV/0!</v>
      </c>
      <c r="O286" s="173">
        <f t="shared" si="208"/>
        <v>1888.0651360502754</v>
      </c>
      <c r="P286" s="173"/>
      <c r="Q286" s="173"/>
      <c r="R286" s="37" t="e">
        <f t="shared" si="190"/>
        <v>#DIV/0!</v>
      </c>
      <c r="S286" s="37" t="e">
        <f t="shared" si="191"/>
        <v>#DIV/0!</v>
      </c>
      <c r="T286" s="37" t="e">
        <f t="shared" si="192"/>
        <v>#DIV/0!</v>
      </c>
      <c r="U286" s="39" t="e">
        <f t="shared" si="193"/>
        <v>#DIV/0!</v>
      </c>
      <c r="V286" s="39" t="e">
        <f t="shared" si="209"/>
        <v>#DIV/0!</v>
      </c>
      <c r="W286" s="9" t="e">
        <f t="shared" si="210"/>
        <v>#DIV/0!</v>
      </c>
      <c r="AB286" s="129">
        <v>122.95462827784661</v>
      </c>
      <c r="AC286" s="9">
        <v>8.25</v>
      </c>
      <c r="AD286" s="129">
        <f t="shared" si="211"/>
        <v>131.20775326353331</v>
      </c>
      <c r="AE286" s="36">
        <f t="shared" si="243"/>
        <v>1.1202849133395669E-2</v>
      </c>
      <c r="AF286" s="37">
        <f t="shared" si="212"/>
        <v>53268419.32348524</v>
      </c>
      <c r="AG286" s="36">
        <f t="shared" si="194"/>
        <v>1.9957889749874069</v>
      </c>
      <c r="AH286" s="37">
        <f t="shared" si="213"/>
        <v>-1.4779977984488981E-4</v>
      </c>
      <c r="AI286" s="37">
        <f t="shared" si="214"/>
        <v>-4.3060858093521802E-2</v>
      </c>
      <c r="AJ286" s="37">
        <f t="shared" si="215"/>
        <v>-5.4199472361116872</v>
      </c>
      <c r="AK286" s="39">
        <f t="shared" si="216"/>
        <v>1.9392477046292846E-2</v>
      </c>
      <c r="AL286" s="39">
        <f>AL285+(1000*$C$2*($B286-$B285))/(BerechnungenCLT!$W$47*2*AF286)</f>
        <v>1.2390609673168337E-2</v>
      </c>
      <c r="AM286" s="37">
        <f t="shared" si="195"/>
        <v>2.4631433582953304E-6</v>
      </c>
      <c r="AN286" s="173">
        <f t="shared" si="217"/>
        <v>1665.1044494822136</v>
      </c>
      <c r="AO286" s="173">
        <v>-258.52714857563495</v>
      </c>
      <c r="AV286" s="129">
        <v>122.58346589787253</v>
      </c>
      <c r="AW286" s="9">
        <v>8.25</v>
      </c>
      <c r="AX286" s="129">
        <f t="shared" si="218"/>
        <v>130.86164959155809</v>
      </c>
      <c r="AY286" s="36">
        <f t="shared" si="244"/>
        <v>1.1205152691461363E-2</v>
      </c>
      <c r="AZ286" s="37">
        <f t="shared" si="219"/>
        <v>52979737.357546963</v>
      </c>
      <c r="BA286" s="36">
        <f t="shared" si="196"/>
        <v>1.9957394300333671</v>
      </c>
      <c r="BB286" s="37">
        <f t="shared" si="220"/>
        <v>-1.4860512794850382E-4</v>
      </c>
      <c r="BC286" s="37">
        <f t="shared" si="221"/>
        <v>-3.961925954204909E-2</v>
      </c>
      <c r="BD286" s="37">
        <f t="shared" si="222"/>
        <v>-4.9583354982210714</v>
      </c>
      <c r="BE286" s="39">
        <f t="shared" si="223"/>
        <v>1.9446712181105764E-2</v>
      </c>
      <c r="BF286" s="39">
        <f>BF285+(1000*$C$2*($B286-$B285))/(BerechnungenCLT!$W$47*2*AZ286)</f>
        <v>1.1395631991699124E-2</v>
      </c>
      <c r="BG286" s="37">
        <f t="shared" si="197"/>
        <v>2.4700320559991761E-6</v>
      </c>
      <c r="BH286" s="173">
        <f t="shared" si="224"/>
        <v>1674.5424920953617</v>
      </c>
      <c r="BI286">
        <v>-258.57705593489834</v>
      </c>
      <c r="BP286" s="129">
        <v>102.30112898589208</v>
      </c>
      <c r="BQ286" s="9">
        <v>11.1875</v>
      </c>
      <c r="BR286" s="129">
        <f t="shared" si="225"/>
        <v>114.84130569785411</v>
      </c>
      <c r="BS286" s="36">
        <f t="shared" si="245"/>
        <v>1.454277059980136E-2</v>
      </c>
      <c r="BT286" s="37">
        <f t="shared" si="226"/>
        <v>50587554.677278884</v>
      </c>
      <c r="BU286" s="36">
        <f t="shared" si="198"/>
        <v>1.9867257666885467</v>
      </c>
      <c r="BV286" s="37">
        <f t="shared" si="227"/>
        <v>-1.556323625231985E-4</v>
      </c>
      <c r="BW286" s="37">
        <f t="shared" si="228"/>
        <v>-4.6266337929872982E-2</v>
      </c>
      <c r="BX286" s="37">
        <f t="shared" si="229"/>
        <v>-5.5806542092371139</v>
      </c>
      <c r="BY286" s="39">
        <f t="shared" si="230"/>
        <v>1.7873023721005892E-2</v>
      </c>
      <c r="BZ286" s="39">
        <f>BZ285+(1000*$C$2*($B286-$B285))/(BerechnungenCLT!$W$47*2*BT286)</f>
        <v>1.3317325137396713E-2</v>
      </c>
      <c r="CA286" s="37">
        <f t="shared" si="199"/>
        <v>2.2701493762740512E-6</v>
      </c>
      <c r="CB286" s="173">
        <f t="shared" si="231"/>
        <v>2281.259119010419</v>
      </c>
      <c r="CC286" s="9">
        <v>-258.79857386426005</v>
      </c>
      <c r="CJ286" s="9">
        <f t="shared" si="247"/>
        <v>235</v>
      </c>
      <c r="CK286" s="129">
        <v>83.390445380430094</v>
      </c>
      <c r="CL286" s="9">
        <v>10.5</v>
      </c>
      <c r="CM286" s="129">
        <f t="shared" si="232"/>
        <v>94.074296800410409</v>
      </c>
      <c r="CN286" s="36">
        <f t="shared" si="246"/>
        <v>1.0126018493518589E-2</v>
      </c>
      <c r="CO286" s="173">
        <f t="shared" si="233"/>
        <v>3415.3865111494288</v>
      </c>
      <c r="CP286" s="9">
        <v>-630.6939239267133</v>
      </c>
      <c r="CQ286" s="129"/>
      <c r="CR286" s="36">
        <f t="shared" si="234"/>
        <v>0.84233298515202271</v>
      </c>
      <c r="CS286" s="17">
        <f t="shared" si="200"/>
        <v>0.60553719575419718</v>
      </c>
      <c r="CT286" s="9">
        <f t="shared" si="201"/>
        <v>10.403985162551978</v>
      </c>
      <c r="CU286" s="9">
        <f t="shared" si="235"/>
        <v>93.976600775895335</v>
      </c>
      <c r="CV286" s="9">
        <v>13.2</v>
      </c>
      <c r="CW286" s="9">
        <f t="shared" si="236"/>
        <v>96.821572879833923</v>
      </c>
      <c r="CX286">
        <f t="shared" si="237"/>
        <v>22</v>
      </c>
      <c r="CY286" s="9">
        <f t="shared" si="202"/>
        <v>641.30595460619031</v>
      </c>
      <c r="CZ286" s="17">
        <f t="shared" si="238"/>
        <v>0.60386624727513216</v>
      </c>
      <c r="DA286">
        <v>45</v>
      </c>
      <c r="DB286" s="9">
        <f t="shared" si="239"/>
        <v>10.349094804121657</v>
      </c>
      <c r="DC286" s="9">
        <f t="shared" si="240"/>
        <v>11.191437615759884</v>
      </c>
    </row>
    <row r="287" spans="2:107" x14ac:dyDescent="0.25">
      <c r="B287" s="9">
        <f t="shared" si="241"/>
        <v>236</v>
      </c>
      <c r="C287" s="9">
        <v>119.5753012854619</v>
      </c>
      <c r="D287" s="9"/>
      <c r="E287" s="9">
        <f t="shared" si="203"/>
        <v>119.5753012854619</v>
      </c>
      <c r="F287" s="36">
        <f t="shared" si="242"/>
        <v>0</v>
      </c>
      <c r="G287" s="37">
        <f t="shared" si="248"/>
        <v>0</v>
      </c>
      <c r="H287" s="36" t="e">
        <f t="shared" si="188"/>
        <v>#DIV/0!</v>
      </c>
      <c r="I287" s="37" t="e">
        <f t="shared" si="204"/>
        <v>#DIV/0!</v>
      </c>
      <c r="J287" s="37" t="e">
        <f t="shared" si="205"/>
        <v>#DIV/0!</v>
      </c>
      <c r="K287" s="37" t="e">
        <f t="shared" si="206"/>
        <v>#DIV/0!</v>
      </c>
      <c r="L287" s="39" t="e">
        <f t="shared" si="189"/>
        <v>#DIV/0!</v>
      </c>
      <c r="M287" s="39" t="e">
        <f>M286+(1000*$C$2*(B287-B286))/(BerechnungenCLT!$W$47*2*'Berechnung freier Bereich'!G287)</f>
        <v>#DIV/0!</v>
      </c>
      <c r="N287" s="17" t="e">
        <f t="shared" si="207"/>
        <v>#DIV/0!</v>
      </c>
      <c r="O287" s="173">
        <f t="shared" si="208"/>
        <v>1880.7066703406097</v>
      </c>
      <c r="P287" s="173"/>
      <c r="Q287" s="173"/>
      <c r="R287" s="37" t="e">
        <f t="shared" si="190"/>
        <v>#DIV/0!</v>
      </c>
      <c r="S287" s="37" t="e">
        <f t="shared" si="191"/>
        <v>#DIV/0!</v>
      </c>
      <c r="T287" s="37" t="e">
        <f t="shared" si="192"/>
        <v>#DIV/0!</v>
      </c>
      <c r="U287" s="39" t="e">
        <f t="shared" si="193"/>
        <v>#DIV/0!</v>
      </c>
      <c r="V287" s="39" t="e">
        <f t="shared" si="209"/>
        <v>#DIV/0!</v>
      </c>
      <c r="W287" s="9" t="e">
        <f t="shared" si="210"/>
        <v>#DIV/0!</v>
      </c>
      <c r="AB287" s="129">
        <v>122.98215491524795</v>
      </c>
      <c r="AC287" s="9">
        <v>8.25</v>
      </c>
      <c r="AD287" s="129">
        <f t="shared" si="211"/>
        <v>131.23353308504488</v>
      </c>
      <c r="AE287" s="36">
        <f t="shared" si="243"/>
        <v>1.1202827112936152E-2</v>
      </c>
      <c r="AF287" s="37">
        <f t="shared" si="212"/>
        <v>53290614.014115289</v>
      </c>
      <c r="AG287" s="36">
        <f t="shared" si="194"/>
        <v>1.995792516855462</v>
      </c>
      <c r="AH287" s="37">
        <f t="shared" si="213"/>
        <v>-1.4773822359432799E-4</v>
      </c>
      <c r="AI287" s="37">
        <f t="shared" si="214"/>
        <v>-4.3208596317116127E-2</v>
      </c>
      <c r="AJ287" s="37">
        <f t="shared" si="215"/>
        <v>-5.4630819633170065</v>
      </c>
      <c r="AK287" s="39">
        <f t="shared" si="216"/>
        <v>1.9388209053992002E-2</v>
      </c>
      <c r="AL287" s="39">
        <f>AL286+(1000*$C$2*($B287-$B286))/(BerechnungenCLT!$W$47*2*AF287)</f>
        <v>1.2433321311888E-2</v>
      </c>
      <c r="AM287" s="37">
        <f t="shared" si="195"/>
        <v>2.4626012575175911E-6</v>
      </c>
      <c r="AN287" s="173">
        <f t="shared" si="217"/>
        <v>1664.4062115685992</v>
      </c>
      <c r="AO287" s="173">
        <v>-257.98670364280503</v>
      </c>
      <c r="AV287" s="129">
        <v>122.66619485924072</v>
      </c>
      <c r="AW287" s="9">
        <v>8.25</v>
      </c>
      <c r="AX287" s="129">
        <f t="shared" si="218"/>
        <v>130.94458598686595</v>
      </c>
      <c r="AY287" s="36">
        <f t="shared" si="244"/>
        <v>1.1212757943007396E-2</v>
      </c>
      <c r="AZ287" s="37">
        <f t="shared" si="219"/>
        <v>53084955.608872943</v>
      </c>
      <c r="BA287" s="36">
        <f t="shared" si="196"/>
        <v>1.9957447726645798</v>
      </c>
      <c r="BB287" s="37">
        <f t="shared" si="220"/>
        <v>-1.4831058175323109E-4</v>
      </c>
      <c r="BC287" s="37">
        <f t="shared" si="221"/>
        <v>-3.9767570123802318E-2</v>
      </c>
      <c r="BD287" s="37">
        <f t="shared" si="222"/>
        <v>-4.9980289130539974</v>
      </c>
      <c r="BE287" s="39">
        <f t="shared" si="223"/>
        <v>1.9420467725148081E-2</v>
      </c>
      <c r="BF287" s="39">
        <f>BF286+(1000*$C$2*($B287-$B286))/(BerechnungenCLT!$W$47*2*AZ287)</f>
        <v>1.1438509101170408E-2</v>
      </c>
      <c r="BG287" s="37">
        <f t="shared" si="197"/>
        <v>2.4666986057529843E-6</v>
      </c>
      <c r="BH287" s="173">
        <f t="shared" si="224"/>
        <v>1672.3554945925498</v>
      </c>
      <c r="BI287">
        <v>-258.07300333920955</v>
      </c>
      <c r="BP287" s="129">
        <v>102.80752650166554</v>
      </c>
      <c r="BQ287" s="9">
        <v>11.125</v>
      </c>
      <c r="BR287" s="129">
        <f t="shared" si="225"/>
        <v>115.36071740798681</v>
      </c>
      <c r="BS287" s="36">
        <f t="shared" si="245"/>
        <v>1.4626636332786729E-2</v>
      </c>
      <c r="BT287" s="37">
        <f t="shared" si="226"/>
        <v>51359890.428966634</v>
      </c>
      <c r="BU287" s="36">
        <f t="shared" si="198"/>
        <v>1.9868225132781758</v>
      </c>
      <c r="BV287" s="37">
        <f t="shared" si="227"/>
        <v>-1.5329200632904855E-4</v>
      </c>
      <c r="BW287" s="37">
        <f t="shared" si="228"/>
        <v>-4.641962993620203E-2</v>
      </c>
      <c r="BX287" s="37">
        <f t="shared" si="229"/>
        <v>-5.6269971931701512</v>
      </c>
      <c r="BY287" s="39">
        <f t="shared" si="230"/>
        <v>1.7683875823028695E-2</v>
      </c>
      <c r="BZ287" s="39">
        <f>BZ286+(1000*$C$2*($B287-$B286))/(BerechnungenCLT!$W$47*2*BT287)</f>
        <v>1.3361642394188137E-2</v>
      </c>
      <c r="CA287" s="37">
        <f t="shared" si="199"/>
        <v>2.2461246790924645E-6</v>
      </c>
      <c r="CB287" s="173">
        <f t="shared" si="231"/>
        <v>2259.8569658498209</v>
      </c>
      <c r="CC287" s="9">
        <v>-257.81088021545713</v>
      </c>
      <c r="CJ287" s="9">
        <f t="shared" si="247"/>
        <v>236</v>
      </c>
      <c r="CK287" s="129">
        <v>83.57839725259791</v>
      </c>
      <c r="CL287" s="9">
        <v>10.4375</v>
      </c>
      <c r="CM287" s="129">
        <f t="shared" si="232"/>
        <v>94.345236128186613</v>
      </c>
      <c r="CN287" s="36">
        <f t="shared" si="246"/>
        <v>1.0231060356790195E-2</v>
      </c>
      <c r="CO287" s="173">
        <f t="shared" si="233"/>
        <v>3397.7916627534728</v>
      </c>
      <c r="CP287" s="9">
        <v>-631.20196923498577</v>
      </c>
      <c r="CQ287" s="129"/>
      <c r="CR287" s="36">
        <f t="shared" si="234"/>
        <v>0.84095494128485515</v>
      </c>
      <c r="CS287" s="17">
        <f t="shared" si="200"/>
        <v>0.60454654617302195</v>
      </c>
      <c r="CT287" s="9">
        <f t="shared" si="201"/>
        <v>10.359003851140463</v>
      </c>
      <c r="CU287" s="9">
        <f t="shared" si="235"/>
        <v>94.264263156965058</v>
      </c>
      <c r="CV287" s="9">
        <v>13.2</v>
      </c>
      <c r="CW287" s="9">
        <f t="shared" si="236"/>
        <v>97.194902465318464</v>
      </c>
      <c r="CX287">
        <f t="shared" si="237"/>
        <v>22</v>
      </c>
      <c r="CY287" s="9">
        <f t="shared" si="202"/>
        <v>639.86377984856358</v>
      </c>
      <c r="CZ287" s="17">
        <f t="shared" si="238"/>
        <v>0.60250826727736684</v>
      </c>
      <c r="DA287">
        <v>45</v>
      </c>
      <c r="DB287" s="9">
        <f t="shared" si="239"/>
        <v>10.325821664080481</v>
      </c>
      <c r="DC287" s="9">
        <f t="shared" si="240"/>
        <v>11.166794718677105</v>
      </c>
    </row>
    <row r="288" spans="2:107" x14ac:dyDescent="0.25">
      <c r="B288" s="9">
        <f t="shared" si="241"/>
        <v>237</v>
      </c>
      <c r="C288" s="9">
        <v>119.80775670680129</v>
      </c>
      <c r="D288" s="9"/>
      <c r="E288" s="9">
        <f t="shared" si="203"/>
        <v>119.80775670680129</v>
      </c>
      <c r="F288" s="36">
        <f t="shared" si="242"/>
        <v>0</v>
      </c>
      <c r="G288" s="37">
        <f t="shared" si="248"/>
        <v>0</v>
      </c>
      <c r="H288" s="36" t="e">
        <f t="shared" si="188"/>
        <v>#DIV/0!</v>
      </c>
      <c r="I288" s="37" t="e">
        <f t="shared" si="204"/>
        <v>#DIV/0!</v>
      </c>
      <c r="J288" s="37" t="e">
        <f t="shared" si="205"/>
        <v>#DIV/0!</v>
      </c>
      <c r="K288" s="37" t="e">
        <f t="shared" si="206"/>
        <v>#DIV/0!</v>
      </c>
      <c r="L288" s="39" t="e">
        <f t="shared" si="189"/>
        <v>#DIV/0!</v>
      </c>
      <c r="M288" s="39" t="e">
        <f>M287+(1000*$C$2*(B288-B287))/(BerechnungenCLT!$W$47*2*'Berechnung freier Bereich'!G288)</f>
        <v>#DIV/0!</v>
      </c>
      <c r="N288" s="17" t="e">
        <f t="shared" si="207"/>
        <v>#DIV/0!</v>
      </c>
      <c r="O288" s="173">
        <f t="shared" si="208"/>
        <v>1873.4157176233555</v>
      </c>
      <c r="P288" s="173"/>
      <c r="Q288" s="173"/>
      <c r="R288" s="37" t="e">
        <f t="shared" si="190"/>
        <v>#DIV/0!</v>
      </c>
      <c r="S288" s="37" t="e">
        <f t="shared" si="191"/>
        <v>#DIV/0!</v>
      </c>
      <c r="T288" s="37" t="e">
        <f t="shared" si="192"/>
        <v>#DIV/0!</v>
      </c>
      <c r="U288" s="39" t="e">
        <f t="shared" si="193"/>
        <v>#DIV/0!</v>
      </c>
      <c r="V288" s="39" t="e">
        <f t="shared" si="209"/>
        <v>#DIV/0!</v>
      </c>
      <c r="W288" s="9" t="e">
        <f t="shared" si="210"/>
        <v>#DIV/0!</v>
      </c>
      <c r="AB288" s="129">
        <v>123.00043412953502</v>
      </c>
      <c r="AC288" s="9">
        <v>8.25</v>
      </c>
      <c r="AD288" s="129">
        <f t="shared" si="211"/>
        <v>131.25077219950936</v>
      </c>
      <c r="AE288" s="36">
        <f t="shared" si="243"/>
        <v>1.1202980009530081E-2</v>
      </c>
      <c r="AF288" s="37">
        <f t="shared" si="212"/>
        <v>53306203.999404848</v>
      </c>
      <c r="AG288" s="36">
        <f t="shared" si="194"/>
        <v>1.9957947491555799</v>
      </c>
      <c r="AH288" s="37">
        <f t="shared" si="213"/>
        <v>-1.4769501592693215E-4</v>
      </c>
      <c r="AI288" s="37">
        <f t="shared" si="214"/>
        <v>-4.3356291333043057E-2</v>
      </c>
      <c r="AJ288" s="37">
        <f t="shared" si="215"/>
        <v>-5.5063644071420859</v>
      </c>
      <c r="AK288" s="39">
        <f t="shared" si="216"/>
        <v>1.9385084890428679E-2</v>
      </c>
      <c r="AL288" s="39">
        <f>AL287+(1000*$C$2*($B288-$B287))/(BerechnungenCLT!$W$47*2*AF288)</f>
        <v>1.2476020459119443E-2</v>
      </c>
      <c r="AM288" s="37">
        <f t="shared" si="195"/>
        <v>2.4622044406121049E-6</v>
      </c>
      <c r="AN288" s="173">
        <f t="shared" si="217"/>
        <v>1663.9412163491045</v>
      </c>
      <c r="AO288" s="173">
        <v>-257.44790692066942</v>
      </c>
      <c r="AV288" s="129">
        <v>122.74922822896458</v>
      </c>
      <c r="AW288" s="9">
        <v>8.25</v>
      </c>
      <c r="AX288" s="129">
        <f t="shared" si="218"/>
        <v>131.0278169426544</v>
      </c>
      <c r="AY288" s="36">
        <f t="shared" si="244"/>
        <v>1.1220376696861481E-2</v>
      </c>
      <c r="AZ288" s="37">
        <f t="shared" si="219"/>
        <v>53190627.787858009</v>
      </c>
      <c r="BA288" s="36">
        <f t="shared" si="196"/>
        <v>1.9957501351153664</v>
      </c>
      <c r="BB288" s="37">
        <f t="shared" si="220"/>
        <v>-1.4801593769670832E-4</v>
      </c>
      <c r="BC288" s="37">
        <f t="shared" si="221"/>
        <v>-3.9915586061499024E-2</v>
      </c>
      <c r="BD288" s="37">
        <f t="shared" si="222"/>
        <v>-5.0378704911466485</v>
      </c>
      <c r="BE288" s="39">
        <f t="shared" si="223"/>
        <v>1.9394205189119638E-2</v>
      </c>
      <c r="BF288" s="39">
        <f>BF287+(1000*$C$2*($B288-$B287))/(BerechnungenCLT!$W$47*2*AZ288)</f>
        <v>1.1481301028011315E-2</v>
      </c>
      <c r="BG288" s="37">
        <f t="shared" si="197"/>
        <v>2.4633628590592517E-6</v>
      </c>
      <c r="BH288" s="173">
        <f t="shared" si="224"/>
        <v>1670.1648947796332</v>
      </c>
      <c r="BI288">
        <v>-257.54236824903131</v>
      </c>
      <c r="BP288" s="129">
        <v>103.33024439996852</v>
      </c>
      <c r="BQ288" s="9">
        <v>11</v>
      </c>
      <c r="BR288" s="129">
        <f t="shared" si="225"/>
        <v>115.82848628994503</v>
      </c>
      <c r="BS288" s="36">
        <f t="shared" si="245"/>
        <v>1.4628725686823517E-2</v>
      </c>
      <c r="BT288" s="37">
        <f t="shared" si="226"/>
        <v>51831678.297468945</v>
      </c>
      <c r="BU288" s="36">
        <f t="shared" si="198"/>
        <v>1.9870542961958371</v>
      </c>
      <c r="BV288" s="37">
        <f t="shared" si="227"/>
        <v>-1.5189669536671844E-4</v>
      </c>
      <c r="BW288" s="37">
        <f t="shared" si="228"/>
        <v>-4.6571526631568751E-2</v>
      </c>
      <c r="BX288" s="37">
        <f t="shared" si="229"/>
        <v>-5.6734927714540362</v>
      </c>
      <c r="BY288" s="39">
        <f t="shared" si="230"/>
        <v>1.7593964296771906E-2</v>
      </c>
      <c r="BZ288" s="39">
        <f>BZ287+(1000*$C$2*($B288-$B287))/(BerechnungenCLT!$W$47*2*BT288)</f>
        <v>1.340555626168548E-2</v>
      </c>
      <c r="CA288" s="37">
        <f t="shared" si="199"/>
        <v>2.2347045300210006E-6</v>
      </c>
      <c r="CB288" s="173">
        <f t="shared" si="231"/>
        <v>2239.4763009495373</v>
      </c>
      <c r="CC288" s="9">
        <v>-258.38904395175751</v>
      </c>
      <c r="CJ288" s="9">
        <f t="shared" si="247"/>
        <v>237</v>
      </c>
      <c r="CK288" s="129">
        <v>83.831581906663757</v>
      </c>
      <c r="CL288" s="9">
        <v>10.375</v>
      </c>
      <c r="CM288" s="129">
        <f t="shared" si="232"/>
        <v>94.714118326638129</v>
      </c>
      <c r="CN288" s="36">
        <f t="shared" si="246"/>
        <v>1.0377155371494249E-2</v>
      </c>
      <c r="CO288" s="173">
        <f t="shared" si="233"/>
        <v>3374.1565766416593</v>
      </c>
      <c r="CP288" s="9">
        <v>-630.58729135360045</v>
      </c>
      <c r="CQ288" s="129"/>
      <c r="CR288" s="36">
        <f t="shared" si="234"/>
        <v>0.83908188076738233</v>
      </c>
      <c r="CS288" s="17">
        <f t="shared" si="200"/>
        <v>0.6032000385172358</v>
      </c>
      <c r="CT288" s="9">
        <f t="shared" si="201"/>
        <v>10.319959553222288</v>
      </c>
      <c r="CU288" s="9">
        <f t="shared" si="235"/>
        <v>94.656385346721976</v>
      </c>
      <c r="CV288" s="9">
        <v>13.2</v>
      </c>
      <c r="CW288" s="9">
        <f t="shared" si="236"/>
        <v>97.677314990390187</v>
      </c>
      <c r="CX288">
        <f t="shared" si="237"/>
        <v>22</v>
      </c>
      <c r="CY288" s="9">
        <f t="shared" si="202"/>
        <v>637.93128989590355</v>
      </c>
      <c r="CZ288" s="17">
        <f t="shared" si="238"/>
        <v>0.60068859688879817</v>
      </c>
      <c r="DA288">
        <v>45</v>
      </c>
      <c r="DB288" s="9">
        <f t="shared" si="239"/>
        <v>10.294636047317617</v>
      </c>
      <c r="DC288" s="9">
        <f t="shared" si="240"/>
        <v>11.133741904383477</v>
      </c>
    </row>
    <row r="289" spans="2:107" x14ac:dyDescent="0.25">
      <c r="B289" s="9">
        <f t="shared" si="241"/>
        <v>238</v>
      </c>
      <c r="C289" s="9">
        <v>120.03938545760197</v>
      </c>
      <c r="D289" s="9"/>
      <c r="E289" s="9">
        <f t="shared" si="203"/>
        <v>120.03938545760197</v>
      </c>
      <c r="F289" s="36">
        <f t="shared" si="242"/>
        <v>0</v>
      </c>
      <c r="G289" s="37">
        <f t="shared" si="248"/>
        <v>0</v>
      </c>
      <c r="H289" s="36" t="e">
        <f t="shared" si="188"/>
        <v>#DIV/0!</v>
      </c>
      <c r="I289" s="37" t="e">
        <f t="shared" si="204"/>
        <v>#DIV/0!</v>
      </c>
      <c r="J289" s="37" t="e">
        <f t="shared" si="205"/>
        <v>#DIV/0!</v>
      </c>
      <c r="K289" s="37" t="e">
        <f t="shared" si="206"/>
        <v>#DIV/0!</v>
      </c>
      <c r="L289" s="39" t="e">
        <f t="shared" si="189"/>
        <v>#DIV/0!</v>
      </c>
      <c r="M289" s="39" t="e">
        <f>M288+(1000*$C$2*(B289-B288))/(BerechnungenCLT!$W$47*2*'Berechnung freier Bereich'!G289)</f>
        <v>#DIV/0!</v>
      </c>
      <c r="N289" s="17" t="e">
        <f t="shared" si="207"/>
        <v>#DIV/0!</v>
      </c>
      <c r="O289" s="173">
        <f t="shared" si="208"/>
        <v>1866.1927836333405</v>
      </c>
      <c r="P289" s="173"/>
      <c r="Q289" s="173"/>
      <c r="R289" s="37" t="e">
        <f t="shared" si="190"/>
        <v>#DIV/0!</v>
      </c>
      <c r="S289" s="37" t="e">
        <f t="shared" si="191"/>
        <v>#DIV/0!</v>
      </c>
      <c r="T289" s="37" t="e">
        <f t="shared" si="192"/>
        <v>#DIV/0!</v>
      </c>
      <c r="U289" s="39" t="e">
        <f t="shared" si="193"/>
        <v>#DIV/0!</v>
      </c>
      <c r="V289" s="39" t="e">
        <f t="shared" si="209"/>
        <v>#DIV/0!</v>
      </c>
      <c r="W289" s="9" t="e">
        <f t="shared" si="210"/>
        <v>#DIV/0!</v>
      </c>
      <c r="AB289" s="129">
        <v>123.00948719733678</v>
      </c>
      <c r="AC289" s="9">
        <v>8.1875</v>
      </c>
      <c r="AD289" s="129">
        <f t="shared" si="211"/>
        <v>131.1969872916726</v>
      </c>
      <c r="AE289" s="36">
        <f t="shared" si="243"/>
        <v>1.1115697504658257E-2</v>
      </c>
      <c r="AF289" s="37">
        <f t="shared" si="212"/>
        <v>52871461.137707792</v>
      </c>
      <c r="AG289" s="36">
        <f t="shared" si="194"/>
        <v>1.9958570085089975</v>
      </c>
      <c r="AH289" s="37">
        <f t="shared" si="213"/>
        <v>-1.4890945851090442E-4</v>
      </c>
      <c r="AI289" s="37">
        <f t="shared" si="214"/>
        <v>-4.3505200791553962E-2</v>
      </c>
      <c r="AJ289" s="37">
        <f t="shared" si="215"/>
        <v>-5.5497951532043848</v>
      </c>
      <c r="AK289" s="39">
        <f t="shared" si="216"/>
        <v>1.9536472335864974E-2</v>
      </c>
      <c r="AL289" s="39">
        <f>AL288+(1000*$C$2*($B289-$B288))/(BerechnungenCLT!$W$47*2*AF289)</f>
        <v>1.2519070705962284E-2</v>
      </c>
      <c r="AM289" s="37">
        <f t="shared" si="195"/>
        <v>2.481432978558318E-6</v>
      </c>
      <c r="AN289" s="173">
        <f t="shared" si="217"/>
        <v>1664.5268639111036</v>
      </c>
      <c r="AO289" s="173">
        <v>-258.9997129575122</v>
      </c>
      <c r="AV289" s="129">
        <v>122.83255052821708</v>
      </c>
      <c r="AW289" s="9">
        <v>8.1875</v>
      </c>
      <c r="AX289" s="129">
        <f t="shared" si="218"/>
        <v>131.04860886790408</v>
      </c>
      <c r="AY289" s="36">
        <f t="shared" si="244"/>
        <v>1.114019470561016E-2</v>
      </c>
      <c r="AZ289" s="37">
        <f t="shared" si="219"/>
        <v>52852971.866083987</v>
      </c>
      <c r="BA289" s="36">
        <f t="shared" si="196"/>
        <v>1.9958174201227445</v>
      </c>
      <c r="BB289" s="37">
        <f t="shared" si="220"/>
        <v>-1.4896155070796645E-4</v>
      </c>
      <c r="BC289" s="37">
        <f t="shared" si="221"/>
        <v>-4.0064547612206992E-2</v>
      </c>
      <c r="BD289" s="37">
        <f t="shared" si="222"/>
        <v>-5.0778605579835014</v>
      </c>
      <c r="BE289" s="39">
        <f t="shared" si="223"/>
        <v>1.9521203995084755E-2</v>
      </c>
      <c r="BF289" s="39">
        <f>BF288+(1000*$C$2*($B289-$B288))/(BerechnungenCLT!$W$47*2*AZ289)</f>
        <v>1.1524366334891069E-2</v>
      </c>
      <c r="BG289" s="37">
        <f t="shared" si="197"/>
        <v>2.4794936640450037E-6</v>
      </c>
      <c r="BH289" s="173">
        <f t="shared" si="224"/>
        <v>1668.7953385010894</v>
      </c>
      <c r="BI289">
        <v>-259.07470134067165</v>
      </c>
      <c r="BP289" s="129">
        <v>103.8696506417956</v>
      </c>
      <c r="BQ289" s="9">
        <v>10.875</v>
      </c>
      <c r="BR289" s="129">
        <f t="shared" si="225"/>
        <v>116.31499686674022</v>
      </c>
      <c r="BS289" s="36">
        <f t="shared" si="245"/>
        <v>1.4635002851071111E-2</v>
      </c>
      <c r="BT289" s="37">
        <f t="shared" si="226"/>
        <v>52337531.089920051</v>
      </c>
      <c r="BU289" s="36">
        <f t="shared" si="198"/>
        <v>1.9872818907688812</v>
      </c>
      <c r="BV289" s="37">
        <f t="shared" si="227"/>
        <v>-1.5042858317427786E-4</v>
      </c>
      <c r="BW289" s="37">
        <f t="shared" si="228"/>
        <v>-4.6721955214743031E-2</v>
      </c>
      <c r="BX289" s="37">
        <f t="shared" si="229"/>
        <v>-5.7201395123771919</v>
      </c>
      <c r="BY289" s="39">
        <f t="shared" si="230"/>
        <v>1.7497100180584299E-2</v>
      </c>
      <c r="BZ289" s="39">
        <f>BZ288+(1000*$C$2*($B289-$B288))/(BerechnungenCLT!$W$47*2*BT289)</f>
        <v>1.3449045692797722E-2</v>
      </c>
      <c r="CA289" s="37">
        <f t="shared" si="199"/>
        <v>2.2224012949120922E-6</v>
      </c>
      <c r="CB289" s="173">
        <f t="shared" si="231"/>
        <v>2218.6559216527135</v>
      </c>
      <c r="CC289" s="9">
        <v>-258.92918175300719</v>
      </c>
      <c r="CJ289" s="9">
        <f t="shared" si="247"/>
        <v>238</v>
      </c>
      <c r="CK289" s="129">
        <v>84.148175386550975</v>
      </c>
      <c r="CL289" s="9">
        <v>10.28125</v>
      </c>
      <c r="CM289" s="129">
        <f t="shared" si="232"/>
        <v>95.140071587929967</v>
      </c>
      <c r="CN289" s="36">
        <f t="shared" si="246"/>
        <v>1.0525027361373819E-2</v>
      </c>
      <c r="CO289" s="173">
        <f t="shared" si="233"/>
        <v>3346.2653942403258</v>
      </c>
      <c r="CP289" s="9">
        <v>-631.07728687915619</v>
      </c>
      <c r="CQ289" s="129"/>
      <c r="CR289" s="36">
        <f t="shared" si="234"/>
        <v>0.83692363538571579</v>
      </c>
      <c r="CS289" s="17">
        <f t="shared" si="200"/>
        <v>0.60164851687531895</v>
      </c>
      <c r="CT289" s="9">
        <f t="shared" si="201"/>
        <v>10.25307937604102</v>
      </c>
      <c r="CU289" s="9">
        <f t="shared" si="235"/>
        <v>95.109953793451155</v>
      </c>
      <c r="CV289" s="9">
        <v>13.2</v>
      </c>
      <c r="CW289" s="9">
        <f t="shared" si="236"/>
        <v>98.260567348443018</v>
      </c>
      <c r="CX289">
        <f t="shared" si="237"/>
        <v>22</v>
      </c>
      <c r="CY289" s="9">
        <f t="shared" si="202"/>
        <v>635.53117977979809</v>
      </c>
      <c r="CZ289" s="17">
        <f t="shared" si="238"/>
        <v>0.59842860619566673</v>
      </c>
      <c r="DA289">
        <v>45</v>
      </c>
      <c r="DB289" s="9">
        <f t="shared" si="239"/>
        <v>10.255904195611732</v>
      </c>
      <c r="DC289" s="9">
        <f t="shared" si="240"/>
        <v>11.092861616231222</v>
      </c>
    </row>
    <row r="290" spans="2:107" x14ac:dyDescent="0.25">
      <c r="B290" s="9">
        <f t="shared" si="241"/>
        <v>239</v>
      </c>
      <c r="C290" s="9">
        <v>120.27014680096714</v>
      </c>
      <c r="D290" s="9"/>
      <c r="E290" s="9">
        <f t="shared" si="203"/>
        <v>120.27014680096714</v>
      </c>
      <c r="F290" s="36">
        <f t="shared" si="242"/>
        <v>0</v>
      </c>
      <c r="G290" s="37">
        <f t="shared" si="248"/>
        <v>0</v>
      </c>
      <c r="H290" s="36" t="e">
        <f t="shared" si="188"/>
        <v>#DIV/0!</v>
      </c>
      <c r="I290" s="37" t="e">
        <f t="shared" si="204"/>
        <v>#DIV/0!</v>
      </c>
      <c r="J290" s="37" t="e">
        <f t="shared" si="205"/>
        <v>#DIV/0!</v>
      </c>
      <c r="K290" s="37" t="e">
        <f t="shared" si="206"/>
        <v>#DIV/0!</v>
      </c>
      <c r="L290" s="39" t="e">
        <f t="shared" si="189"/>
        <v>#DIV/0!</v>
      </c>
      <c r="M290" s="39" t="e">
        <f>M289+(1000*$C$2*(B290-B289))/(BerechnungenCLT!$W$47*2*'Berechnung freier Bereich'!G290)</f>
        <v>#DIV/0!</v>
      </c>
      <c r="N290" s="17" t="e">
        <f t="shared" si="207"/>
        <v>#DIV/0!</v>
      </c>
      <c r="O290" s="173">
        <f t="shared" si="208"/>
        <v>1859.0383562461193</v>
      </c>
      <c r="P290" s="173"/>
      <c r="Q290" s="173"/>
      <c r="R290" s="37" t="e">
        <f t="shared" si="190"/>
        <v>#DIV/0!</v>
      </c>
      <c r="S290" s="37" t="e">
        <f t="shared" si="191"/>
        <v>#DIV/0!</v>
      </c>
      <c r="T290" s="37" t="e">
        <f t="shared" si="192"/>
        <v>#DIV/0!</v>
      </c>
      <c r="U290" s="39" t="e">
        <f t="shared" si="193"/>
        <v>#DIV/0!</v>
      </c>
      <c r="V290" s="39" t="e">
        <f t="shared" si="209"/>
        <v>#DIV/0!</v>
      </c>
      <c r="W290" s="9" t="e">
        <f t="shared" si="210"/>
        <v>#DIV/0!</v>
      </c>
      <c r="AB290" s="129">
        <v>123.00933539528212</v>
      </c>
      <c r="AC290" s="9">
        <v>8.1875</v>
      </c>
      <c r="AD290" s="129">
        <f t="shared" si="211"/>
        <v>131.19719215620518</v>
      </c>
      <c r="AE290" s="36">
        <f t="shared" si="243"/>
        <v>1.1116184050715973E-2</v>
      </c>
      <c r="AF290" s="37">
        <f t="shared" si="212"/>
        <v>52873802.203027867</v>
      </c>
      <c r="AG290" s="36">
        <f t="shared" si="194"/>
        <v>1.9958566498325081</v>
      </c>
      <c r="AH290" s="37">
        <f t="shared" si="213"/>
        <v>-1.4890286532572334E-4</v>
      </c>
      <c r="AI290" s="37">
        <f t="shared" si="214"/>
        <v>-4.3654103656879682E-2</v>
      </c>
      <c r="AJ290" s="37">
        <f t="shared" si="215"/>
        <v>-5.5933748054286019</v>
      </c>
      <c r="AK290" s="39">
        <f t="shared" si="216"/>
        <v>1.9535637834748466E-2</v>
      </c>
      <c r="AL290" s="39">
        <f>AL289+(1000*$C$2*($B290-$B289))/(BerechnungenCLT!$W$47*2*AF290)</f>
        <v>1.2562119046692159E-2</v>
      </c>
      <c r="AM290" s="37">
        <f t="shared" si="195"/>
        <v>2.4813269840596416E-6</v>
      </c>
      <c r="AN290" s="173">
        <f t="shared" si="217"/>
        <v>1664.5261690122622</v>
      </c>
      <c r="AO290" s="173">
        <v>-258.45713963623621</v>
      </c>
      <c r="AV290" s="129">
        <v>122.91614627817124</v>
      </c>
      <c r="AW290" s="9">
        <v>8.1875</v>
      </c>
      <c r="AX290" s="129">
        <f t="shared" si="218"/>
        <v>131.13238084005059</v>
      </c>
      <c r="AY290" s="36">
        <f t="shared" si="244"/>
        <v>1.1147777826437692E-2</v>
      </c>
      <c r="AZ290" s="37">
        <f t="shared" si="219"/>
        <v>52958633.867953025</v>
      </c>
      <c r="BA290" s="36">
        <f t="shared" si="196"/>
        <v>1.9958227417548886</v>
      </c>
      <c r="BB290" s="37">
        <f t="shared" si="220"/>
        <v>-1.4866434561599664E-4</v>
      </c>
      <c r="BC290" s="37">
        <f t="shared" si="221"/>
        <v>-4.0213211957822986E-2</v>
      </c>
      <c r="BD290" s="37">
        <f t="shared" si="222"/>
        <v>-5.1179994377685167</v>
      </c>
      <c r="BE290" s="39">
        <f t="shared" si="223"/>
        <v>1.9494709586653777E-2</v>
      </c>
      <c r="BF290" s="39">
        <f>BF289+(1000*$C$2*($B290-$B289))/(BerechnungenCLT!$W$47*2*AZ290)</f>
        <v>1.1567345718736114E-2</v>
      </c>
      <c r="BG290" s="37">
        <f t="shared" si="197"/>
        <v>2.4761284659837688E-6</v>
      </c>
      <c r="BH290" s="173">
        <f t="shared" si="224"/>
        <v>1666.5972507964641</v>
      </c>
      <c r="BI290">
        <v>-258.48307243067131</v>
      </c>
      <c r="BP290" s="129">
        <v>104.42611318814124</v>
      </c>
      <c r="BQ290" s="9">
        <v>10.8125</v>
      </c>
      <c r="BR290" s="129">
        <f t="shared" si="225"/>
        <v>116.89263062824224</v>
      </c>
      <c r="BS290" s="36">
        <f t="shared" si="245"/>
        <v>1.4735407126581338E-2</v>
      </c>
      <c r="BT290" s="37">
        <f t="shared" si="226"/>
        <v>53239676.496568725</v>
      </c>
      <c r="BU290" s="36">
        <f t="shared" si="198"/>
        <v>1.9873686210221515</v>
      </c>
      <c r="BV290" s="37">
        <f t="shared" si="227"/>
        <v>-1.4787957340807299E-4</v>
      </c>
      <c r="BW290" s="37">
        <f t="shared" si="228"/>
        <v>-4.6869834788151106E-2</v>
      </c>
      <c r="BX290" s="37">
        <f t="shared" si="229"/>
        <v>-5.7669354073786385</v>
      </c>
      <c r="BY290" s="39">
        <f t="shared" si="230"/>
        <v>1.7286032351851909E-2</v>
      </c>
      <c r="BZ290" s="39">
        <f>BZ289+(1000*$C$2*($B290-$B289))/(BerechnungenCLT!$W$47*2*BT290)</f>
        <v>1.3491798196244407E-2</v>
      </c>
      <c r="CA290" s="37">
        <f t="shared" si="199"/>
        <v>2.1955924288115447E-6</v>
      </c>
      <c r="CB290" s="173">
        <f t="shared" si="231"/>
        <v>2195.9762092716437</v>
      </c>
      <c r="CC290" s="9">
        <v>-257.76373707371283</v>
      </c>
      <c r="CJ290" s="9">
        <f t="shared" si="247"/>
        <v>239</v>
      </c>
      <c r="CK290" s="129">
        <v>84.526353736182955</v>
      </c>
      <c r="CL290" s="9">
        <v>10.1875</v>
      </c>
      <c r="CM290" s="129">
        <f t="shared" si="232"/>
        <v>95.647963072201406</v>
      </c>
      <c r="CN290" s="36">
        <f t="shared" si="246"/>
        <v>1.0701861194184785E-2</v>
      </c>
      <c r="CO290" s="173">
        <f t="shared" si="233"/>
        <v>3313.4334778568768</v>
      </c>
      <c r="CP290" s="9">
        <v>-630.63594551351048</v>
      </c>
      <c r="CQ290" s="129"/>
      <c r="CR290" s="36">
        <f t="shared" si="234"/>
        <v>0.83435683650038706</v>
      </c>
      <c r="CS290" s="17">
        <f t="shared" si="200"/>
        <v>0.59980329387386377</v>
      </c>
      <c r="CT290" s="9">
        <f t="shared" si="201"/>
        <v>10.190841001425767</v>
      </c>
      <c r="CU290" s="9">
        <f t="shared" si="235"/>
        <v>95.651610415774257</v>
      </c>
      <c r="CV290" s="9">
        <v>13.2</v>
      </c>
      <c r="CW290" s="9">
        <f t="shared" si="236"/>
        <v>98.936684360520971</v>
      </c>
      <c r="CX290">
        <f t="shared" si="237"/>
        <v>22</v>
      </c>
      <c r="CY290" s="9">
        <f t="shared" si="202"/>
        <v>632.68775731940252</v>
      </c>
      <c r="CZ290" s="17">
        <f t="shared" si="238"/>
        <v>0.59575118391657478</v>
      </c>
      <c r="DA290">
        <v>45</v>
      </c>
      <c r="DB290" s="9">
        <f t="shared" si="239"/>
        <v>10.210018377151071</v>
      </c>
      <c r="DC290" s="9">
        <f t="shared" si="240"/>
        <v>11.044414142754896</v>
      </c>
    </row>
    <row r="291" spans="2:107" x14ac:dyDescent="0.25">
      <c r="B291" s="9">
        <f t="shared" si="241"/>
        <v>240</v>
      </c>
      <c r="C291" s="9">
        <v>120.5</v>
      </c>
      <c r="D291" s="9"/>
      <c r="E291" s="9">
        <f t="shared" si="203"/>
        <v>120.5</v>
      </c>
      <c r="F291" s="36">
        <f t="shared" si="242"/>
        <v>0</v>
      </c>
      <c r="G291" s="37">
        <f t="shared" si="248"/>
        <v>0</v>
      </c>
      <c r="H291" s="36" t="e">
        <f t="shared" si="188"/>
        <v>#DIV/0!</v>
      </c>
      <c r="I291" s="37" t="e">
        <f t="shared" si="204"/>
        <v>#DIV/0!</v>
      </c>
      <c r="J291" s="37" t="e">
        <f t="shared" si="205"/>
        <v>#DIV/0!</v>
      </c>
      <c r="K291" s="37" t="e">
        <f t="shared" si="206"/>
        <v>#DIV/0!</v>
      </c>
      <c r="L291" s="39" t="e">
        <f t="shared" si="189"/>
        <v>#DIV/0!</v>
      </c>
      <c r="M291" s="39" t="e">
        <f>M290+(1000*$C$2*(B291-B290))/(BerechnungenCLT!$W$47*2*'Berechnung freier Bereich'!G291)</f>
        <v>#DIV/0!</v>
      </c>
      <c r="N291" s="17" t="e">
        <f t="shared" si="207"/>
        <v>#DIV/0!</v>
      </c>
      <c r="O291" s="173">
        <f t="shared" si="208"/>
        <v>1851.9529061005587</v>
      </c>
      <c r="P291" s="173"/>
      <c r="Q291" s="173"/>
      <c r="R291" s="37" t="e">
        <f t="shared" si="190"/>
        <v>#DIV/0!</v>
      </c>
      <c r="S291" s="37" t="e">
        <f t="shared" si="191"/>
        <v>#DIV/0!</v>
      </c>
      <c r="T291" s="37" t="e">
        <f t="shared" si="192"/>
        <v>#DIV/0!</v>
      </c>
      <c r="U291" s="39" t="e">
        <f t="shared" si="193"/>
        <v>#DIV/0!</v>
      </c>
      <c r="V291" s="39" t="e">
        <f t="shared" si="209"/>
        <v>#DIV/0!</v>
      </c>
      <c r="W291" s="9" t="e">
        <f t="shared" si="210"/>
        <v>#DIV/0!</v>
      </c>
      <c r="AB291" s="129">
        <v>123</v>
      </c>
      <c r="AC291" s="9">
        <v>8.1875</v>
      </c>
      <c r="AD291" s="129">
        <f t="shared" si="211"/>
        <v>131.18885616761702</v>
      </c>
      <c r="AE291" s="36">
        <f t="shared" si="243"/>
        <v>1.1116768042579564E-2</v>
      </c>
      <c r="AF291" s="37">
        <f t="shared" si="212"/>
        <v>52869249.674632303</v>
      </c>
      <c r="AG291" s="36">
        <f t="shared" si="194"/>
        <v>1.9958550645103359</v>
      </c>
      <c r="AH291" s="37">
        <f t="shared" si="213"/>
        <v>-1.4891568723121186E-4</v>
      </c>
      <c r="AI291" s="37">
        <f t="shared" si="214"/>
        <v>-4.3803019344110891E-2</v>
      </c>
      <c r="AJ291" s="37">
        <f t="shared" si="215"/>
        <v>-5.6371033669290975</v>
      </c>
      <c r="AK291" s="39">
        <f t="shared" si="216"/>
        <v>1.9536078673277293E-2</v>
      </c>
      <c r="AL291" s="39">
        <f>AL290+(1000*$C$2*($B291-$B290))/(BerechnungenCLT!$W$47*2*AF291)</f>
        <v>1.2605171094279891E-2</v>
      </c>
      <c r="AM291" s="37">
        <f t="shared" si="195"/>
        <v>2.4813829773446548E-6</v>
      </c>
      <c r="AN291" s="173">
        <f t="shared" si="217"/>
        <v>1664.7576150622242</v>
      </c>
      <c r="AO291" s="173">
        <v>-257.93725830009572</v>
      </c>
      <c r="AV291" s="129">
        <v>123</v>
      </c>
      <c r="AW291" s="9">
        <v>8.1875</v>
      </c>
      <c r="AX291" s="129">
        <f t="shared" si="218"/>
        <v>131.21650124509284</v>
      </c>
      <c r="AY291" s="36">
        <f t="shared" si="244"/>
        <v>1.1155510690785105E-2</v>
      </c>
      <c r="AZ291" s="37">
        <f t="shared" si="219"/>
        <v>53065403.054022372</v>
      </c>
      <c r="BA291" s="36">
        <f t="shared" si="196"/>
        <v>1.9958279811662027</v>
      </c>
      <c r="BB291" s="37">
        <f t="shared" si="220"/>
        <v>-1.4836522848382685E-4</v>
      </c>
      <c r="BC291" s="37">
        <f t="shared" si="221"/>
        <v>-4.0361577186306813E-2</v>
      </c>
      <c r="BD291" s="37">
        <f t="shared" si="222"/>
        <v>-5.1582868323405817</v>
      </c>
      <c r="BE291" s="39">
        <f t="shared" si="223"/>
        <v>1.9467966188076551E-2</v>
      </c>
      <c r="BF291" s="39">
        <f>BF290+(1000*$C$2*($B291-$B290))/(BerechnungenCLT!$W$47*2*AZ291)</f>
        <v>1.161023862676892E-2</v>
      </c>
      <c r="BG291" s="37">
        <f t="shared" si="197"/>
        <v>2.4727316423378525E-6</v>
      </c>
      <c r="BH291" s="173">
        <f t="shared" si="224"/>
        <v>1664.3955626333416</v>
      </c>
      <c r="BI291">
        <v>-257.8743835290017</v>
      </c>
      <c r="BP291" s="129">
        <v>105</v>
      </c>
      <c r="BQ291" s="9">
        <v>10.6875</v>
      </c>
      <c r="BR291" s="129">
        <f t="shared" si="225"/>
        <v>117.41696181348865</v>
      </c>
      <c r="BS291" s="36">
        <f t="shared" si="245"/>
        <v>1.4749661164644377E-2</v>
      </c>
      <c r="BT291" s="37">
        <f t="shared" si="226"/>
        <v>53818353.087726444</v>
      </c>
      <c r="BU291" s="36">
        <f t="shared" si="198"/>
        <v>1.9875912450103315</v>
      </c>
      <c r="BV291" s="37">
        <f t="shared" si="227"/>
        <v>-1.462895127218578E-4</v>
      </c>
      <c r="BW291" s="37">
        <f t="shared" si="228"/>
        <v>-4.7016124300872965E-2</v>
      </c>
      <c r="BX291" s="37">
        <f t="shared" si="229"/>
        <v>-5.8138783869231503</v>
      </c>
      <c r="BY291" s="39">
        <f t="shared" si="230"/>
        <v>1.717687012897624E-2</v>
      </c>
      <c r="BZ291" s="39">
        <f>BZ290+(1000*$C$2*($B291-$B290))/(BerechnungenCLT!$W$47*2*BT291)</f>
        <v>1.3534091007568637E-2</v>
      </c>
      <c r="CA291" s="37">
        <f t="shared" si="199"/>
        <v>2.1817271446804309E-6</v>
      </c>
      <c r="CB291" s="173">
        <f t="shared" si="231"/>
        <v>2174.343806761925</v>
      </c>
      <c r="CC291" s="9">
        <v>-258.20960734405361</v>
      </c>
      <c r="CJ291" s="9">
        <f t="shared" si="247"/>
        <v>240</v>
      </c>
      <c r="CK291" s="129">
        <v>84.964292999483064</v>
      </c>
      <c r="CL291" s="9">
        <v>10.0625</v>
      </c>
      <c r="CM291" s="129">
        <f t="shared" si="232"/>
        <v>96.196013969488035</v>
      </c>
      <c r="CN291" s="36">
        <f t="shared" si="246"/>
        <v>1.0866961982512337E-2</v>
      </c>
      <c r="CO291" s="173">
        <f t="shared" si="233"/>
        <v>3277.4639845865045</v>
      </c>
      <c r="CP291" s="9">
        <v>-631.53892260505302</v>
      </c>
      <c r="CQ291" s="129"/>
      <c r="CR291" s="36">
        <f t="shared" si="234"/>
        <v>0.83159537272358475</v>
      </c>
      <c r="CS291" s="17">
        <f t="shared" si="200"/>
        <v>0.59781812997661965</v>
      </c>
      <c r="CT291" s="9">
        <f t="shared" si="201"/>
        <v>10.099225328338775</v>
      </c>
      <c r="CU291" s="9">
        <f t="shared" si="235"/>
        <v>96.237006629406849</v>
      </c>
      <c r="CV291" s="9">
        <v>13.2</v>
      </c>
      <c r="CW291" s="9">
        <f t="shared" si="236"/>
        <v>99.698078520384001</v>
      </c>
      <c r="CX291">
        <f t="shared" si="237"/>
        <v>22</v>
      </c>
      <c r="CY291" s="9">
        <f t="shared" si="202"/>
        <v>629.42663667027125</v>
      </c>
      <c r="CZ291" s="17">
        <f t="shared" si="238"/>
        <v>0.59268044884206339</v>
      </c>
      <c r="DA291">
        <v>45</v>
      </c>
      <c r="DB291" s="9">
        <f t="shared" si="239"/>
        <v>10.157391941168164</v>
      </c>
      <c r="DC291" s="9">
        <f t="shared" si="240"/>
        <v>10.989035763210291</v>
      </c>
    </row>
    <row r="292" spans="2:107" x14ac:dyDescent="0.25">
      <c r="B292" s="9">
        <f t="shared" si="241"/>
        <v>241</v>
      </c>
      <c r="C292" s="9">
        <v>120.72899989947405</v>
      </c>
      <c r="D292" s="9"/>
      <c r="E292" s="9">
        <f t="shared" si="203"/>
        <v>120.72899989947405</v>
      </c>
      <c r="F292" s="36">
        <f t="shared" si="242"/>
        <v>0</v>
      </c>
      <c r="G292" s="37">
        <f t="shared" si="248"/>
        <v>0</v>
      </c>
      <c r="H292" s="36" t="e">
        <f t="shared" si="188"/>
        <v>#DIV/0!</v>
      </c>
      <c r="I292" s="37" t="e">
        <f t="shared" si="204"/>
        <v>#DIV/0!</v>
      </c>
      <c r="J292" s="37" t="e">
        <f t="shared" si="205"/>
        <v>#DIV/0!</v>
      </c>
      <c r="K292" s="37" t="e">
        <f t="shared" si="206"/>
        <v>#DIV/0!</v>
      </c>
      <c r="L292" s="39" t="e">
        <f t="shared" si="189"/>
        <v>#DIV/0!</v>
      </c>
      <c r="M292" s="39" t="e">
        <f>M291+(1000*$C$2*(B292-B291))/(BerechnungenCLT!$W$47*2*'Berechnung freier Bereich'!G292)</f>
        <v>#DIV/0!</v>
      </c>
      <c r="N292" s="17" t="e">
        <f t="shared" si="207"/>
        <v>#DIV/0!</v>
      </c>
      <c r="O292" s="173">
        <f t="shared" si="208"/>
        <v>1844.9339659276291</v>
      </c>
      <c r="P292" s="173"/>
      <c r="Q292" s="173"/>
      <c r="R292" s="37" t="e">
        <f t="shared" si="190"/>
        <v>#DIV/0!</v>
      </c>
      <c r="S292" s="37" t="e">
        <f t="shared" si="191"/>
        <v>#DIV/0!</v>
      </c>
      <c r="T292" s="37" t="e">
        <f t="shared" si="192"/>
        <v>#DIV/0!</v>
      </c>
      <c r="U292" s="39" t="e">
        <f t="shared" si="193"/>
        <v>#DIV/0!</v>
      </c>
      <c r="V292" s="39" t="e">
        <f t="shared" si="209"/>
        <v>#DIV/0!</v>
      </c>
      <c r="W292" s="9" t="e">
        <f t="shared" si="210"/>
        <v>#DIV/0!</v>
      </c>
      <c r="AB292" s="129">
        <v>122.98179821376762</v>
      </c>
      <c r="AC292" s="9">
        <v>8.1875</v>
      </c>
      <c r="AD292" s="129">
        <f t="shared" si="211"/>
        <v>131.17197380125239</v>
      </c>
      <c r="AE292" s="36">
        <f t="shared" si="243"/>
        <v>1.1117024591245627E-2</v>
      </c>
      <c r="AF292" s="37">
        <f t="shared" si="212"/>
        <v>52855908.791320145</v>
      </c>
      <c r="AG292" s="36">
        <f t="shared" si="194"/>
        <v>1.9958525877597668</v>
      </c>
      <c r="AH292" s="37">
        <f t="shared" si="213"/>
        <v>-1.4895327369698514E-4</v>
      </c>
      <c r="AI292" s="37">
        <f t="shared" si="214"/>
        <v>-4.3951972617807873E-2</v>
      </c>
      <c r="AJ292" s="37">
        <f t="shared" si="215"/>
        <v>-5.6809808629100571</v>
      </c>
      <c r="AK292" s="39">
        <f t="shared" si="216"/>
        <v>1.9538494914991711E-2</v>
      </c>
      <c r="AL292" s="39">
        <f>AL291+(1000*$C$2*($B292-$B291))/(BerechnungenCLT!$W$47*2*AF292)</f>
        <v>1.2648234008246734E-2</v>
      </c>
      <c r="AM292" s="37">
        <f t="shared" si="195"/>
        <v>2.4816898772686148E-6</v>
      </c>
      <c r="AN292" s="173">
        <f t="shared" si="217"/>
        <v>1665.2172631017006</v>
      </c>
      <c r="AO292" s="173">
        <v>-257.4764846265204</v>
      </c>
      <c r="AV292" s="129">
        <v>123.08424262782945</v>
      </c>
      <c r="AW292" s="9">
        <v>8.1875</v>
      </c>
      <c r="AX292" s="129">
        <f t="shared" si="218"/>
        <v>131.30150862951433</v>
      </c>
      <c r="AY292" s="36">
        <f t="shared" si="244"/>
        <v>1.1163976706184455E-2</v>
      </c>
      <c r="AZ292" s="37">
        <f t="shared" si="219"/>
        <v>53176347.347916245</v>
      </c>
      <c r="BA292" s="36">
        <f t="shared" si="196"/>
        <v>1.9958327477496751</v>
      </c>
      <c r="BB292" s="37">
        <f t="shared" si="220"/>
        <v>-1.4805568718711374E-4</v>
      </c>
      <c r="BC292" s="37">
        <f t="shared" si="221"/>
        <v>-4.0509632873493927E-2</v>
      </c>
      <c r="BD292" s="37">
        <f t="shared" si="222"/>
        <v>-5.1987224373704821</v>
      </c>
      <c r="BE292" s="39">
        <f t="shared" si="223"/>
        <v>1.9439935088847487E-2</v>
      </c>
      <c r="BF292" s="39">
        <f>BF291+(1000*$C$2*($B292-$B291))/(BerechnungenCLT!$W$47*2*AZ292)</f>
        <v>1.1653042045326948E-2</v>
      </c>
      <c r="BG292" s="37">
        <f t="shared" si="197"/>
        <v>2.469171260869979E-6</v>
      </c>
      <c r="BH292" s="173">
        <f t="shared" si="224"/>
        <v>1662.1815608125551</v>
      </c>
      <c r="BI292">
        <v>-257.26813204286378</v>
      </c>
      <c r="BP292" s="129">
        <v>105.59146260158936</v>
      </c>
      <c r="BQ292" s="9">
        <v>10.5625</v>
      </c>
      <c r="BR292" s="129">
        <f t="shared" si="225"/>
        <v>117.95481490599694</v>
      </c>
      <c r="BS292" s="36">
        <f t="shared" si="245"/>
        <v>1.4760548002797217E-2</v>
      </c>
      <c r="BT292" s="37">
        <f t="shared" si="226"/>
        <v>54403245.538880542</v>
      </c>
      <c r="BU292" s="36">
        <f t="shared" si="198"/>
        <v>1.9878210856583456</v>
      </c>
      <c r="BV292" s="37">
        <f t="shared" si="227"/>
        <v>-1.4471674567778731E-4</v>
      </c>
      <c r="BW292" s="37">
        <f t="shared" si="228"/>
        <v>-4.7160841046550751E-2</v>
      </c>
      <c r="BX292" s="37">
        <f t="shared" si="229"/>
        <v>-5.8609668695968624</v>
      </c>
      <c r="BY292" s="39">
        <f t="shared" si="230"/>
        <v>1.7070036950221634E-2</v>
      </c>
      <c r="BZ292" s="39">
        <f>BZ291+(1000*$C$2*($B292-$B291))/(BerechnungenCLT!$W$47*2*BT292)</f>
        <v>1.357592912642302E-2</v>
      </c>
      <c r="CA292" s="37">
        <f t="shared" si="199"/>
        <v>2.1681576850354966E-6</v>
      </c>
      <c r="CB292" s="173">
        <f t="shared" si="231"/>
        <v>2152.4305082012279</v>
      </c>
      <c r="CC292" s="9">
        <v>-258.63227877953557</v>
      </c>
      <c r="CJ292" s="9">
        <f t="shared" si="247"/>
        <v>241</v>
      </c>
      <c r="CK292" s="129">
        <v>85.460169220374695</v>
      </c>
      <c r="CL292" s="9">
        <v>9.9375</v>
      </c>
      <c r="CM292" s="129">
        <f t="shared" si="232"/>
        <v>96.811091715562014</v>
      </c>
      <c r="CN292" s="36">
        <f t="shared" si="246"/>
        <v>1.1049640547896077E-2</v>
      </c>
      <c r="CO292" s="173">
        <f t="shared" si="233"/>
        <v>3237.6330731988687</v>
      </c>
      <c r="CP292" s="9">
        <v>-631.71119500701343</v>
      </c>
      <c r="CQ292" s="129"/>
      <c r="CR292" s="36">
        <f t="shared" si="234"/>
        <v>0.82850672593026597</v>
      </c>
      <c r="CS292" s="17">
        <f t="shared" si="200"/>
        <v>0.59559776041865453</v>
      </c>
      <c r="CT292" s="9">
        <f t="shared" si="201"/>
        <v>10.010951007956896</v>
      </c>
      <c r="CU292" s="9">
        <f t="shared" si="235"/>
        <v>96.8949897481167</v>
      </c>
      <c r="CV292" s="9">
        <v>13.2</v>
      </c>
      <c r="CW292" s="9">
        <f t="shared" si="236"/>
        <v>100.53762098756691</v>
      </c>
      <c r="CX292">
        <f t="shared" si="237"/>
        <v>22</v>
      </c>
      <c r="CY292" s="9">
        <f t="shared" si="202"/>
        <v>625.77443582901469</v>
      </c>
      <c r="CZ292" s="17">
        <f t="shared" si="238"/>
        <v>0.58924146499907215</v>
      </c>
      <c r="DA292">
        <v>45</v>
      </c>
      <c r="DB292" s="9">
        <f t="shared" si="239"/>
        <v>10.098454436411847</v>
      </c>
      <c r="DC292" s="9">
        <f t="shared" si="240"/>
        <v>10.927018913975859</v>
      </c>
    </row>
    <row r="293" spans="2:107" x14ac:dyDescent="0.25">
      <c r="B293" s="9">
        <f t="shared" si="241"/>
        <v>242</v>
      </c>
      <c r="C293" s="9">
        <v>120.95758367084416</v>
      </c>
      <c r="D293" s="9"/>
      <c r="E293" s="9">
        <f t="shared" si="203"/>
        <v>120.95758367084416</v>
      </c>
      <c r="F293" s="36">
        <f t="shared" si="242"/>
        <v>0</v>
      </c>
      <c r="G293" s="37">
        <f t="shared" si="248"/>
        <v>0</v>
      </c>
      <c r="H293" s="36" t="e">
        <f t="shared" si="188"/>
        <v>#DIV/0!</v>
      </c>
      <c r="I293" s="37" t="e">
        <f t="shared" si="204"/>
        <v>#DIV/0!</v>
      </c>
      <c r="J293" s="37" t="e">
        <f t="shared" si="205"/>
        <v>#DIV/0!</v>
      </c>
      <c r="K293" s="37" t="e">
        <f t="shared" si="206"/>
        <v>#DIV/0!</v>
      </c>
      <c r="L293" s="39" t="e">
        <f t="shared" si="189"/>
        <v>#DIV/0!</v>
      </c>
      <c r="M293" s="39" t="e">
        <f>M292+(1000*$C$2*(B293-B292))/(BerechnungenCLT!$W$47*2*'Berechnung freier Bereich'!G293)</f>
        <v>#DIV/0!</v>
      </c>
      <c r="N293" s="17" t="e">
        <f t="shared" si="207"/>
        <v>#DIV/0!</v>
      </c>
      <c r="O293" s="173">
        <f t="shared" si="208"/>
        <v>1837.9674993490014</v>
      </c>
      <c r="P293" s="173"/>
      <c r="Q293" s="173"/>
      <c r="R293" s="37" t="e">
        <f t="shared" si="190"/>
        <v>#DIV/0!</v>
      </c>
      <c r="S293" s="37" t="e">
        <f t="shared" si="191"/>
        <v>#DIV/0!</v>
      </c>
      <c r="T293" s="37" t="e">
        <f t="shared" si="192"/>
        <v>#DIV/0!</v>
      </c>
      <c r="U293" s="39" t="e">
        <f t="shared" si="193"/>
        <v>#DIV/0!</v>
      </c>
      <c r="V293" s="39" t="e">
        <f t="shared" si="209"/>
        <v>#DIV/0!</v>
      </c>
      <c r="W293" s="9" t="e">
        <f t="shared" si="210"/>
        <v>#DIV/0!</v>
      </c>
      <c r="AB293" s="129">
        <v>122.95623094145533</v>
      </c>
      <c r="AC293" s="9">
        <v>8.125</v>
      </c>
      <c r="AD293" s="129">
        <f t="shared" si="211"/>
        <v>131.08516836180087</v>
      </c>
      <c r="AE293" s="36">
        <f t="shared" si="243"/>
        <v>1.1029023713908077E-2</v>
      </c>
      <c r="AF293" s="37">
        <f t="shared" si="212"/>
        <v>52390386.490039013</v>
      </c>
      <c r="AG293" s="36">
        <f t="shared" si="194"/>
        <v>1.9959106720149413</v>
      </c>
      <c r="AH293" s="37">
        <f t="shared" si="213"/>
        <v>-1.5027681939688113E-4</v>
      </c>
      <c r="AI293" s="37">
        <f t="shared" si="214"/>
        <v>-4.4102249437204755E-2</v>
      </c>
      <c r="AJ293" s="37">
        <f t="shared" si="215"/>
        <v>-5.7250079739375632</v>
      </c>
      <c r="AK293" s="39">
        <f t="shared" si="216"/>
        <v>1.9699062171516103E-2</v>
      </c>
      <c r="AL293" s="39">
        <f>AL292+(1000*$C$2*($B293-$B292))/(BerechnungenCLT!$W$47*2*AF293)</f>
        <v>1.2691679563918531E-2</v>
      </c>
      <c r="AM293" s="37">
        <f t="shared" si="195"/>
        <v>2.502084392653299E-6</v>
      </c>
      <c r="AN293" s="173">
        <f t="shared" si="217"/>
        <v>1666.6907738482967</v>
      </c>
      <c r="AO293" s="173">
        <v>-259.19388646406372</v>
      </c>
      <c r="AV293" s="129">
        <v>123.16959074759818</v>
      </c>
      <c r="AW293" s="9">
        <v>8.125</v>
      </c>
      <c r="AX293" s="129">
        <f t="shared" si="218"/>
        <v>131.32550520890129</v>
      </c>
      <c r="AY293" s="36">
        <f t="shared" si="244"/>
        <v>1.108538738509234E-2</v>
      </c>
      <c r="AZ293" s="37">
        <f t="shared" si="219"/>
        <v>52846546.315588795</v>
      </c>
      <c r="BA293" s="36">
        <f t="shared" si="196"/>
        <v>1.995898168414306</v>
      </c>
      <c r="BB293" s="37">
        <f t="shared" si="220"/>
        <v>-1.4897966277077182E-4</v>
      </c>
      <c r="BC293" s="37">
        <f t="shared" si="221"/>
        <v>-4.0658612536264696E-2</v>
      </c>
      <c r="BD293" s="37">
        <f t="shared" si="222"/>
        <v>-5.2393065600753612</v>
      </c>
      <c r="BE293" s="39">
        <f t="shared" si="223"/>
        <v>1.9564829479223351E-2</v>
      </c>
      <c r="BF293" s="39">
        <f>BF292+(1000*$C$2*($B293-$B292))/(BerechnungenCLT!$W$47*2*AZ293)</f>
        <v>1.1696112588467597E-2</v>
      </c>
      <c r="BG293" s="37">
        <f t="shared" si="197"/>
        <v>2.4850347726538678E-6</v>
      </c>
      <c r="BH293" s="173">
        <f t="shared" si="224"/>
        <v>1660.7535435290918</v>
      </c>
      <c r="BI293">
        <v>-258.77250178825705</v>
      </c>
      <c r="BP293" s="129">
        <v>106.1997867700187</v>
      </c>
      <c r="BQ293" s="9">
        <v>10.4375</v>
      </c>
      <c r="BR293" s="129">
        <f t="shared" si="225"/>
        <v>118.50406497436514</v>
      </c>
      <c r="BS293" s="36">
        <f t="shared" si="245"/>
        <v>1.4766088027039869E-2</v>
      </c>
      <c r="BT293" s="37">
        <f t="shared" si="226"/>
        <v>54985455.083315231</v>
      </c>
      <c r="BU293" s="36">
        <f t="shared" si="198"/>
        <v>1.9880600815518208</v>
      </c>
      <c r="BV293" s="37">
        <f t="shared" si="227"/>
        <v>-1.4318442280357506E-4</v>
      </c>
      <c r="BW293" s="37">
        <f t="shared" si="228"/>
        <v>-4.7304025469354326E-2</v>
      </c>
      <c r="BX293" s="37">
        <f t="shared" si="229"/>
        <v>-5.9081993028548148</v>
      </c>
      <c r="BY293" s="39">
        <f t="shared" si="230"/>
        <v>1.6967936143231829E-2</v>
      </c>
      <c r="BZ293" s="39">
        <f>BZ292+(1000*$C$2*($B293-$B292))/(BerechnungenCLT!$W$47*2*BT293)</f>
        <v>1.3617324245358947E-2</v>
      </c>
      <c r="CA293" s="37">
        <f t="shared" si="199"/>
        <v>2.1551893095147625E-6</v>
      </c>
      <c r="CB293" s="173">
        <f t="shared" si="231"/>
        <v>2130.3109024958108</v>
      </c>
      <c r="CC293" s="9">
        <v>-259.03998769637872</v>
      </c>
      <c r="CJ293" s="9">
        <f t="shared" si="247"/>
        <v>242</v>
      </c>
      <c r="CK293" s="129">
        <v>86.0121584427812</v>
      </c>
      <c r="CL293" s="9">
        <v>9.8125</v>
      </c>
      <c r="CM293" s="129">
        <f t="shared" si="232"/>
        <v>97.48721890181686</v>
      </c>
      <c r="CN293" s="36">
        <f t="shared" si="246"/>
        <v>1.1245748621250995E-2</v>
      </c>
      <c r="CO293" s="173">
        <f t="shared" si="233"/>
        <v>3194.440725348531</v>
      </c>
      <c r="CP293" s="9">
        <v>-631.2236344104017</v>
      </c>
      <c r="CQ293" s="129"/>
      <c r="CR293" s="36">
        <f t="shared" si="234"/>
        <v>0.8251247516469965</v>
      </c>
      <c r="CS293" s="17">
        <f t="shared" si="200"/>
        <v>0.59316652329544695</v>
      </c>
      <c r="CT293" s="9">
        <f t="shared" si="201"/>
        <v>9.9255432813215734</v>
      </c>
      <c r="CU293" s="9">
        <f t="shared" si="235"/>
        <v>97.619415435590398</v>
      </c>
      <c r="CV293" s="9">
        <v>13.2</v>
      </c>
      <c r="CW293" s="9">
        <f t="shared" si="236"/>
        <v>101.44867289468139</v>
      </c>
      <c r="CX293">
        <f t="shared" si="237"/>
        <v>22</v>
      </c>
      <c r="CY293" s="9">
        <f t="shared" si="202"/>
        <v>621.75848331150041</v>
      </c>
      <c r="CZ293" s="17">
        <f t="shared" si="238"/>
        <v>0.58545996545339019</v>
      </c>
      <c r="DA293">
        <v>45</v>
      </c>
      <c r="DB293" s="9">
        <f t="shared" si="239"/>
        <v>10.033646877657572</v>
      </c>
      <c r="DC293" s="9">
        <f t="shared" si="240"/>
        <v>10.858838249750265</v>
      </c>
    </row>
    <row r="294" spans="2:107" x14ac:dyDescent="0.25">
      <c r="B294" s="9">
        <f t="shared" si="241"/>
        <v>243</v>
      </c>
      <c r="C294" s="9">
        <v>121.18628406723542</v>
      </c>
      <c r="D294" s="9"/>
      <c r="E294" s="9">
        <f t="shared" si="203"/>
        <v>121.18628406723542</v>
      </c>
      <c r="F294" s="36">
        <f t="shared" si="242"/>
        <v>0</v>
      </c>
      <c r="G294" s="37">
        <f t="shared" si="248"/>
        <v>0</v>
      </c>
      <c r="H294" s="36" t="e">
        <f t="shared" si="188"/>
        <v>#DIV/0!</v>
      </c>
      <c r="I294" s="37" t="e">
        <f t="shared" si="204"/>
        <v>#DIV/0!</v>
      </c>
      <c r="J294" s="37" t="e">
        <f t="shared" si="205"/>
        <v>#DIV/0!</v>
      </c>
      <c r="K294" s="37" t="e">
        <f t="shared" si="206"/>
        <v>#DIV/0!</v>
      </c>
      <c r="L294" s="39" t="e">
        <f t="shared" si="189"/>
        <v>#DIV/0!</v>
      </c>
      <c r="M294" s="39" t="e">
        <f>M293+(1000*$C$2*(B294-B293))/(BerechnungenCLT!$W$47*2*'Berechnung freier Bereich'!G294)</f>
        <v>#DIV/0!</v>
      </c>
      <c r="N294" s="17" t="e">
        <f t="shared" si="207"/>
        <v>#DIV/0!</v>
      </c>
      <c r="O294" s="173">
        <f t="shared" si="208"/>
        <v>1831.0368922018515</v>
      </c>
      <c r="P294" s="173"/>
      <c r="Q294" s="173"/>
      <c r="R294" s="37" t="e">
        <f t="shared" si="190"/>
        <v>#DIV/0!</v>
      </c>
      <c r="S294" s="37" t="e">
        <f t="shared" si="191"/>
        <v>#DIV/0!</v>
      </c>
      <c r="T294" s="37" t="e">
        <f t="shared" si="192"/>
        <v>#DIV/0!</v>
      </c>
      <c r="U294" s="39" t="e">
        <f t="shared" si="193"/>
        <v>#DIV/0!</v>
      </c>
      <c r="V294" s="39" t="e">
        <f t="shared" si="209"/>
        <v>#DIV/0!</v>
      </c>
      <c r="W294" s="9" t="e">
        <f t="shared" si="210"/>
        <v>#DIV/0!</v>
      </c>
      <c r="AB294" s="129">
        <v>122.92509501358174</v>
      </c>
      <c r="AC294" s="9">
        <v>8.125</v>
      </c>
      <c r="AD294" s="129">
        <f t="shared" si="211"/>
        <v>131.05504387073728</v>
      </c>
      <c r="AE294" s="36">
        <f t="shared" si="243"/>
        <v>1.102773608401192E-2</v>
      </c>
      <c r="AF294" s="37">
        <f t="shared" si="212"/>
        <v>52359047.925640769</v>
      </c>
      <c r="AG294" s="36">
        <f t="shared" si="194"/>
        <v>1.9959076854865176</v>
      </c>
      <c r="AH294" s="37">
        <f t="shared" si="213"/>
        <v>-1.503667648784896E-4</v>
      </c>
      <c r="AI294" s="37">
        <f t="shared" si="214"/>
        <v>-4.4252616202083248E-2</v>
      </c>
      <c r="AJ294" s="37">
        <f t="shared" si="215"/>
        <v>-5.7691854067572068</v>
      </c>
      <c r="AK294" s="39">
        <f t="shared" si="216"/>
        <v>1.9706322967851291E-2</v>
      </c>
      <c r="AL294" s="39">
        <f>AL293+(1000*$C$2*($B294-$B293))/(BerechnungenCLT!$W$47*2*AF294)</f>
        <v>1.2735151123144597E-2</v>
      </c>
      <c r="AM294" s="37">
        <f t="shared" si="195"/>
        <v>2.5030066256525315E-6</v>
      </c>
      <c r="AN294" s="173">
        <f t="shared" si="217"/>
        <v>1667.4948878164034</v>
      </c>
      <c r="AO294" s="173">
        <v>-258.86896052555983</v>
      </c>
      <c r="AV294" s="129">
        <v>123.25690735819788</v>
      </c>
      <c r="AW294" s="9">
        <v>8.125</v>
      </c>
      <c r="AX294" s="129">
        <f t="shared" si="218"/>
        <v>131.41485519198721</v>
      </c>
      <c r="AY294" s="36">
        <f t="shared" si="244"/>
        <v>1.1095848336676539E-2</v>
      </c>
      <c r="AZ294" s="37">
        <f t="shared" si="219"/>
        <v>52969832.977757536</v>
      </c>
      <c r="BA294" s="36">
        <f t="shared" si="196"/>
        <v>1.9959018090467264</v>
      </c>
      <c r="BB294" s="37">
        <f t="shared" si="220"/>
        <v>-1.4863291436094118E-4</v>
      </c>
      <c r="BC294" s="37">
        <f t="shared" si="221"/>
        <v>-4.080724545062564E-2</v>
      </c>
      <c r="BD294" s="37">
        <f t="shared" si="222"/>
        <v>-5.2800394890688063</v>
      </c>
      <c r="BE294" s="39">
        <f t="shared" si="223"/>
        <v>1.9532572917506121E-2</v>
      </c>
      <c r="BF294" s="39">
        <f>BF293+(1000*$C$2*($B294-$B293))/(BerechnungenCLT!$W$47*2*AZ294)</f>
        <v>1.1739082885426542E-2</v>
      </c>
      <c r="BG294" s="37">
        <f t="shared" si="197"/>
        <v>2.4809376923497075E-6</v>
      </c>
      <c r="BH294" s="173">
        <f t="shared" si="224"/>
        <v>1658.4502029277048</v>
      </c>
      <c r="BI294">
        <v>-258.17447723695409</v>
      </c>
      <c r="BP294" s="129">
        <v>106.82404184562034</v>
      </c>
      <c r="BQ294" s="9">
        <v>10.375</v>
      </c>
      <c r="BR294" s="129">
        <f t="shared" si="225"/>
        <v>119.13776115007957</v>
      </c>
      <c r="BS294" s="36">
        <f t="shared" si="245"/>
        <v>1.4860145951673013E-2</v>
      </c>
      <c r="BT294" s="37">
        <f t="shared" si="226"/>
        <v>55955403.287316069</v>
      </c>
      <c r="BU294" s="36">
        <f t="shared" si="198"/>
        <v>1.9881740182728702</v>
      </c>
      <c r="BV294" s="37">
        <f t="shared" si="227"/>
        <v>-1.4070241989447071E-4</v>
      </c>
      <c r="BW294" s="37">
        <f t="shared" si="228"/>
        <v>-4.7444727889248799E-2</v>
      </c>
      <c r="BX294" s="37">
        <f t="shared" si="229"/>
        <v>-5.9555736795341163</v>
      </c>
      <c r="BY294" s="39">
        <f t="shared" si="230"/>
        <v>1.6762971294625655E-2</v>
      </c>
      <c r="BZ294" s="39">
        <f>BZ293+(1000*$C$2*($B294-$B293))/(BerechnungenCLT!$W$47*2*BT294)</f>
        <v>1.3658001808546771E-2</v>
      </c>
      <c r="CA294" s="37">
        <f t="shared" si="199"/>
        <v>2.1291556159168212E-6</v>
      </c>
      <c r="CB294" s="173">
        <f t="shared" si="231"/>
        <v>2106.65763188957</v>
      </c>
      <c r="CC294" s="9">
        <v>-257.70697009918359</v>
      </c>
      <c r="CJ294" s="9">
        <f t="shared" si="247"/>
        <v>243</v>
      </c>
      <c r="CK294" s="129">
        <v>86.618436710625971</v>
      </c>
      <c r="CL294" s="9">
        <v>9.6875</v>
      </c>
      <c r="CM294" s="129">
        <f t="shared" si="232"/>
        <v>98.218961352956214</v>
      </c>
      <c r="CN294" s="36">
        <f t="shared" si="246"/>
        <v>1.1451602677205706E-2</v>
      </c>
      <c r="CO294" s="173">
        <f t="shared" si="233"/>
        <v>3148.3596015950579</v>
      </c>
      <c r="CP294" s="9">
        <v>-630.14530207300777</v>
      </c>
      <c r="CQ294" s="129"/>
      <c r="CR294" s="36">
        <f t="shared" si="234"/>
        <v>0.82148065338222354</v>
      </c>
      <c r="CS294" s="17">
        <f t="shared" si="200"/>
        <v>0.59054685021698494</v>
      </c>
      <c r="CT294" s="9">
        <f t="shared" si="201"/>
        <v>9.842572181807947</v>
      </c>
      <c r="CU294" s="9">
        <f t="shared" si="235"/>
        <v>98.404656183036522</v>
      </c>
      <c r="CV294" s="9">
        <v>13.2</v>
      </c>
      <c r="CW294" s="9">
        <f t="shared" si="236"/>
        <v>102.42508706198177</v>
      </c>
      <c r="CX294">
        <f t="shared" si="237"/>
        <v>22</v>
      </c>
      <c r="CY294" s="9">
        <f t="shared" si="202"/>
        <v>617.40653849934415</v>
      </c>
      <c r="CZ294" s="17">
        <f t="shared" si="238"/>
        <v>0.58136208898243324</v>
      </c>
      <c r="DA294">
        <v>45</v>
      </c>
      <c r="DB294" s="9">
        <f t="shared" si="239"/>
        <v>9.9634172327902224</v>
      </c>
      <c r="DC294" s="9">
        <f t="shared" si="240"/>
        <v>10.784965648621135</v>
      </c>
    </row>
    <row r="295" spans="2:107" x14ac:dyDescent="0.25">
      <c r="B295" s="9">
        <f t="shared" si="241"/>
        <v>244</v>
      </c>
      <c r="C295" s="9">
        <v>121.41563384177306</v>
      </c>
      <c r="D295" s="9"/>
      <c r="E295" s="9">
        <f t="shared" si="203"/>
        <v>121.41563384177306</v>
      </c>
      <c r="F295" s="36">
        <f t="shared" si="242"/>
        <v>0</v>
      </c>
      <c r="G295" s="37">
        <f t="shared" si="248"/>
        <v>0</v>
      </c>
      <c r="H295" s="36" t="e">
        <f t="shared" si="188"/>
        <v>#DIV/0!</v>
      </c>
      <c r="I295" s="37" t="e">
        <f t="shared" si="204"/>
        <v>#DIV/0!</v>
      </c>
      <c r="J295" s="37" t="e">
        <f t="shared" si="205"/>
        <v>#DIV/0!</v>
      </c>
      <c r="K295" s="37" t="e">
        <f t="shared" si="206"/>
        <v>#DIV/0!</v>
      </c>
      <c r="L295" s="39" t="e">
        <f t="shared" si="189"/>
        <v>#DIV/0!</v>
      </c>
      <c r="M295" s="39" t="e">
        <f>M294+(1000*$C$2*(B295-B294))/(BerechnungenCLT!$W$47*2*'Berechnung freier Bereich'!G295)</f>
        <v>#DIV/0!</v>
      </c>
      <c r="N295" s="17" t="e">
        <f t="shared" si="207"/>
        <v>#DIV/0!</v>
      </c>
      <c r="O295" s="173">
        <f t="shared" si="208"/>
        <v>1824.1258997395532</v>
      </c>
      <c r="P295" s="173"/>
      <c r="Q295" s="173"/>
      <c r="R295" s="37" t="e">
        <f t="shared" si="190"/>
        <v>#DIV/0!</v>
      </c>
      <c r="S295" s="37" t="e">
        <f t="shared" si="191"/>
        <v>#DIV/0!</v>
      </c>
      <c r="T295" s="37" t="e">
        <f t="shared" si="192"/>
        <v>#DIV/0!</v>
      </c>
      <c r="U295" s="39" t="e">
        <f t="shared" si="193"/>
        <v>#DIV/0!</v>
      </c>
      <c r="V295" s="39" t="e">
        <f t="shared" si="209"/>
        <v>#DIV/0!</v>
      </c>
      <c r="W295" s="9" t="e">
        <f t="shared" si="210"/>
        <v>#DIV/0!</v>
      </c>
      <c r="AB295" s="129">
        <v>122.89018726066546</v>
      </c>
      <c r="AC295" s="9">
        <v>8.125</v>
      </c>
      <c r="AD295" s="129">
        <f t="shared" si="211"/>
        <v>131.02071175181263</v>
      </c>
      <c r="AE295" s="36">
        <f t="shared" si="243"/>
        <v>1.102551030745199E-2</v>
      </c>
      <c r="AF295" s="37">
        <f t="shared" si="212"/>
        <v>52319978.353768222</v>
      </c>
      <c r="AG295" s="36">
        <f t="shared" si="194"/>
        <v>1.995904877764068</v>
      </c>
      <c r="AH295" s="37">
        <f t="shared" si="213"/>
        <v>-1.5047905019114662E-4</v>
      </c>
      <c r="AI295" s="37">
        <f t="shared" si="214"/>
        <v>-4.4403095252274392E-2</v>
      </c>
      <c r="AJ295" s="37">
        <f t="shared" si="215"/>
        <v>-5.8135132624843857</v>
      </c>
      <c r="AK295" s="39">
        <f t="shared" si="216"/>
        <v>1.9715872259780765E-2</v>
      </c>
      <c r="AL295" s="39">
        <f>AL294+(1000*$C$2*($B295-$B294))/(BerechnungenCLT!$W$47*2*AF295)</f>
        <v>1.2778655144448458E-2</v>
      </c>
      <c r="AM295" s="37">
        <f t="shared" si="195"/>
        <v>2.504219532850326E-6</v>
      </c>
      <c r="AN295" s="173">
        <f t="shared" si="217"/>
        <v>1668.4044421127039</v>
      </c>
      <c r="AO295" s="173">
        <v>-258.60322844878976</v>
      </c>
      <c r="AV295" s="129">
        <v>123.34705545852016</v>
      </c>
      <c r="AW295" s="9">
        <v>8.125</v>
      </c>
      <c r="AX295" s="129">
        <f t="shared" si="218"/>
        <v>131.50775316639914</v>
      </c>
      <c r="AY295" s="36">
        <f t="shared" si="244"/>
        <v>1.1107566377492186E-2</v>
      </c>
      <c r="AZ295" s="37">
        <f t="shared" si="219"/>
        <v>53101983.798379764</v>
      </c>
      <c r="BA295" s="36">
        <f t="shared" si="196"/>
        <v>1.9959049297464431</v>
      </c>
      <c r="BB295" s="37">
        <f t="shared" si="220"/>
        <v>-1.482630230649992E-4</v>
      </c>
      <c r="BC295" s="37">
        <f t="shared" si="221"/>
        <v>-4.0955508473690637E-2</v>
      </c>
      <c r="BD295" s="37">
        <f t="shared" si="222"/>
        <v>-5.3209208660309644</v>
      </c>
      <c r="BE295" s="39">
        <f t="shared" si="223"/>
        <v>1.9497737040936058E-2</v>
      </c>
      <c r="BF295" s="39">
        <f>BF294+(1000*$C$2*($B295-$B294))/(BerechnungenCLT!$W$47*2*AZ295)</f>
        <v>1.178194624551422E-2</v>
      </c>
      <c r="BG295" s="37">
        <f t="shared" si="197"/>
        <v>2.4765129993205954E-6</v>
      </c>
      <c r="BH295" s="173">
        <f t="shared" si="224"/>
        <v>1656.068738886562</v>
      </c>
      <c r="BI295">
        <v>-257.57909651686663</v>
      </c>
      <c r="BP295" s="129">
        <v>107.46329716872663</v>
      </c>
      <c r="BQ295" s="9">
        <v>10.25</v>
      </c>
      <c r="BR295" s="129">
        <f t="shared" si="225"/>
        <v>119.70693585222908</v>
      </c>
      <c r="BS295" s="36">
        <f t="shared" si="245"/>
        <v>1.4854591814199729E-2</v>
      </c>
      <c r="BT295" s="37">
        <f t="shared" si="226"/>
        <v>56530701.736682415</v>
      </c>
      <c r="BU295" s="36">
        <f t="shared" si="198"/>
        <v>1.9884311807027395</v>
      </c>
      <c r="BV295" s="37">
        <f t="shared" si="227"/>
        <v>-1.3927052746255956E-4</v>
      </c>
      <c r="BW295" s="37">
        <f t="shared" si="228"/>
        <v>-4.7583998416711355E-2</v>
      </c>
      <c r="BX295" s="37">
        <f t="shared" si="229"/>
        <v>-6.0030880426870965</v>
      </c>
      <c r="BY295" s="39">
        <f t="shared" si="230"/>
        <v>1.6671648097066727E-2</v>
      </c>
      <c r="BZ295" s="39">
        <f>BZ294+(1000*$C$2*($B295-$B294))/(BerechnungenCLT!$W$47*2*BT295)</f>
        <v>1.3698265406609325E-2</v>
      </c>
      <c r="CA295" s="37">
        <f t="shared" si="199"/>
        <v>2.1175561628408376E-6</v>
      </c>
      <c r="CB295" s="173">
        <f t="shared" si="231"/>
        <v>2084.3045510410675</v>
      </c>
      <c r="CC295" s="9">
        <v>-258.08194358584313</v>
      </c>
      <c r="CJ295" s="9">
        <f t="shared" si="247"/>
        <v>244</v>
      </c>
      <c r="CK295" s="129">
        <v>87.277180067832361</v>
      </c>
      <c r="CL295" s="9">
        <v>9.53125</v>
      </c>
      <c r="CM295" s="129">
        <f t="shared" si="232"/>
        <v>98.963077004451776</v>
      </c>
      <c r="CN295" s="36">
        <f t="shared" si="246"/>
        <v>1.1623432777005525E-2</v>
      </c>
      <c r="CO295" s="173">
        <f t="shared" si="233"/>
        <v>3101.1080542182485</v>
      </c>
      <c r="CP295" s="9">
        <v>-630.86309921665236</v>
      </c>
      <c r="CQ295" s="129"/>
      <c r="CR295" s="36">
        <f t="shared" si="234"/>
        <v>0.81779252421019777</v>
      </c>
      <c r="CS295" s="17">
        <f t="shared" si="200"/>
        <v>0.58789552415499446</v>
      </c>
      <c r="CT295" s="9">
        <f t="shared" si="201"/>
        <v>9.727493687283614</v>
      </c>
      <c r="CU295" s="9">
        <f t="shared" si="235"/>
        <v>99.203683798320213</v>
      </c>
      <c r="CV295" s="9">
        <v>13.2</v>
      </c>
      <c r="CW295" s="9">
        <f t="shared" si="236"/>
        <v>103.46118946464561</v>
      </c>
      <c r="CX295">
        <f t="shared" si="237"/>
        <v>22</v>
      </c>
      <c r="CY295" s="9">
        <f t="shared" si="202"/>
        <v>612.74652936962514</v>
      </c>
      <c r="CZ295" s="17">
        <f t="shared" si="238"/>
        <v>0.57697413311640777</v>
      </c>
      <c r="DA295">
        <v>45</v>
      </c>
      <c r="DB295" s="9">
        <f t="shared" si="239"/>
        <v>9.8882161904092101</v>
      </c>
      <c r="DC295" s="9">
        <f t="shared" si="240"/>
        <v>10.70608346863213</v>
      </c>
    </row>
    <row r="296" spans="2:107" x14ac:dyDescent="0.25">
      <c r="B296" s="9">
        <f t="shared" si="241"/>
        <v>245</v>
      </c>
      <c r="C296" s="9">
        <v>121.64616574758217</v>
      </c>
      <c r="D296" s="9"/>
      <c r="E296" s="9">
        <f t="shared" si="203"/>
        <v>121.64616574758217</v>
      </c>
      <c r="F296" s="36">
        <f t="shared" si="242"/>
        <v>0</v>
      </c>
      <c r="G296" s="37">
        <f t="shared" si="248"/>
        <v>0</v>
      </c>
      <c r="H296" s="36" t="e">
        <f t="shared" si="188"/>
        <v>#DIV/0!</v>
      </c>
      <c r="I296" s="37" t="e">
        <f t="shared" si="204"/>
        <v>#DIV/0!</v>
      </c>
      <c r="J296" s="37" t="e">
        <f t="shared" si="205"/>
        <v>#DIV/0!</v>
      </c>
      <c r="K296" s="37" t="e">
        <f t="shared" si="206"/>
        <v>#DIV/0!</v>
      </c>
      <c r="L296" s="39" t="e">
        <f t="shared" si="189"/>
        <v>#DIV/0!</v>
      </c>
      <c r="M296" s="39" t="e">
        <f>M295+(1000*$C$2*(B296-B295))/(BerechnungenCLT!$W$47*2*'Berechnung freier Bereich'!G296)</f>
        <v>#DIV/0!</v>
      </c>
      <c r="N296" s="17" t="e">
        <f t="shared" si="207"/>
        <v>#DIV/0!</v>
      </c>
      <c r="O296" s="173">
        <f t="shared" si="208"/>
        <v>1817.2186412314127</v>
      </c>
      <c r="P296" s="173"/>
      <c r="Q296" s="173"/>
      <c r="R296" s="37" t="e">
        <f t="shared" si="190"/>
        <v>#DIV/0!</v>
      </c>
      <c r="S296" s="37" t="e">
        <f t="shared" si="191"/>
        <v>#DIV/0!</v>
      </c>
      <c r="T296" s="37" t="e">
        <f t="shared" si="192"/>
        <v>#DIV/0!</v>
      </c>
      <c r="U296" s="39" t="e">
        <f t="shared" si="193"/>
        <v>#DIV/0!</v>
      </c>
      <c r="V296" s="39" t="e">
        <f t="shared" si="209"/>
        <v>#DIV/0!</v>
      </c>
      <c r="W296" s="9" t="e">
        <f t="shared" si="210"/>
        <v>#DIV/0!</v>
      </c>
      <c r="AB296" s="129">
        <v>122.85330451322511</v>
      </c>
      <c r="AC296" s="9">
        <v>8.125</v>
      </c>
      <c r="AD296" s="129">
        <f t="shared" si="211"/>
        <v>130.98388248760594</v>
      </c>
      <c r="AE296" s="36">
        <f t="shared" si="243"/>
        <v>1.102238203458549E-2</v>
      </c>
      <c r="AF296" s="37">
        <f t="shared" si="212"/>
        <v>52274800.747346468</v>
      </c>
      <c r="AG296" s="36">
        <f t="shared" si="194"/>
        <v>1.9959024488778512</v>
      </c>
      <c r="AH296" s="37">
        <f t="shared" si="213"/>
        <v>-1.5060909914794919E-4</v>
      </c>
      <c r="AI296" s="37">
        <f t="shared" si="214"/>
        <v>-4.4553704351422342E-2</v>
      </c>
      <c r="AJ296" s="37">
        <f t="shared" si="215"/>
        <v>-5.857991662286234</v>
      </c>
      <c r="AK296" s="39">
        <f t="shared" si="216"/>
        <v>1.972736454435917E-2</v>
      </c>
      <c r="AL296" s="39">
        <f>AL295+(1000*$C$2*($B296-$B295))/(BerechnungenCLT!$W$47*2*AF296)</f>
        <v>1.2822196763361954E-2</v>
      </c>
      <c r="AM296" s="37">
        <f t="shared" si="195"/>
        <v>2.5056792300495729E-6</v>
      </c>
      <c r="AN296" s="173">
        <f t="shared" si="217"/>
        <v>1669.3735617714069</v>
      </c>
      <c r="AO296" s="173">
        <v>-258.38936435116045</v>
      </c>
      <c r="AV296" s="129">
        <v>123.44089804745676</v>
      </c>
      <c r="AW296" s="9">
        <v>8.0625</v>
      </c>
      <c r="AX296" s="129">
        <f t="shared" si="218"/>
        <v>131.54233689808149</v>
      </c>
      <c r="AY296" s="36">
        <f t="shared" si="244"/>
        <v>1.1032465526094663E-2</v>
      </c>
      <c r="AZ296" s="37">
        <f t="shared" si="219"/>
        <v>52795282.473496921</v>
      </c>
      <c r="BA296" s="36">
        <f t="shared" si="196"/>
        <v>1.9959681550802084</v>
      </c>
      <c r="BB296" s="37">
        <f t="shared" si="220"/>
        <v>-1.4912432095895398E-4</v>
      </c>
      <c r="BC296" s="37">
        <f t="shared" si="221"/>
        <v>-4.1104632794649591E-2</v>
      </c>
      <c r="BD296" s="37">
        <f t="shared" si="222"/>
        <v>-5.3619509366651341</v>
      </c>
      <c r="BE296" s="39">
        <f t="shared" si="223"/>
        <v>1.9616161667280359E-2</v>
      </c>
      <c r="BF296" s="39">
        <f>BF295+(1000*$C$2*($B296-$B295))/(BerechnungenCLT!$W$47*2*AZ296)</f>
        <v>1.1825058609844548E-2</v>
      </c>
      <c r="BG296" s="37">
        <f t="shared" si="197"/>
        <v>2.4915547513949823E-6</v>
      </c>
      <c r="BH296" s="173">
        <f t="shared" si="224"/>
        <v>1654.4009488112761</v>
      </c>
      <c r="BI296">
        <v>-259.1038372572371</v>
      </c>
      <c r="BP296" s="129">
        <v>108.11662207966994</v>
      </c>
      <c r="BQ296" s="9">
        <v>10.125</v>
      </c>
      <c r="BR296" s="129">
        <f t="shared" si="225"/>
        <v>120.28421860594014</v>
      </c>
      <c r="BS296" s="36">
        <f t="shared" si="245"/>
        <v>1.4842302968880906E-2</v>
      </c>
      <c r="BT296" s="37">
        <f t="shared" si="226"/>
        <v>57093749.791323036</v>
      </c>
      <c r="BU296" s="36">
        <f t="shared" si="198"/>
        <v>1.9886960962556623</v>
      </c>
      <c r="BV296" s="37">
        <f t="shared" si="227"/>
        <v>-1.3789706714784604E-4</v>
      </c>
      <c r="BW296" s="37">
        <f t="shared" si="228"/>
        <v>-4.7721895483859203E-2</v>
      </c>
      <c r="BX296" s="37">
        <f t="shared" si="229"/>
        <v>-6.0507409896373821</v>
      </c>
      <c r="BY296" s="39">
        <f t="shared" si="230"/>
        <v>1.6586840969929521E-2</v>
      </c>
      <c r="BZ296" s="39">
        <f>BZ295+(1000*$C$2*($B296-$B295))/(BerechnungenCLT!$W$47*2*BT296)</f>
        <v>1.3738131932476678E-2</v>
      </c>
      <c r="CA296" s="37">
        <f t="shared" si="199"/>
        <v>2.1067843510993324E-6</v>
      </c>
      <c r="CB296" s="173">
        <f t="shared" si="231"/>
        <v>2061.9048853204195</v>
      </c>
      <c r="CC296" s="9">
        <v>-258.46033625076132</v>
      </c>
      <c r="CJ296" s="9">
        <f t="shared" si="247"/>
        <v>245</v>
      </c>
      <c r="CK296" s="129">
        <v>87.986564558323764</v>
      </c>
      <c r="CL296" s="9">
        <v>9.375</v>
      </c>
      <c r="CM296" s="129">
        <f t="shared" si="232"/>
        <v>99.75160974661209</v>
      </c>
      <c r="CN296" s="36">
        <f t="shared" si="246"/>
        <v>1.1796277590578195E-2</v>
      </c>
      <c r="CO296" s="173">
        <f t="shared" si="233"/>
        <v>3051.8194986157823</v>
      </c>
      <c r="CP296" s="9">
        <v>-631.18352474148151</v>
      </c>
      <c r="CQ296" s="129"/>
      <c r="CR296" s="36">
        <f t="shared" si="234"/>
        <v>0.81390409589297796</v>
      </c>
      <c r="CS296" s="17">
        <f t="shared" si="200"/>
        <v>0.58510020683915231</v>
      </c>
      <c r="CT296" s="9">
        <f t="shared" si="201"/>
        <v>9.6137378422536557</v>
      </c>
      <c r="CU296" s="9">
        <f t="shared" si="235"/>
        <v>100.05121097352075</v>
      </c>
      <c r="CV296" s="9">
        <v>13.2</v>
      </c>
      <c r="CW296" s="9">
        <f t="shared" si="236"/>
        <v>104.55174818343372</v>
      </c>
      <c r="CX296">
        <f t="shared" si="237"/>
        <v>22</v>
      </c>
      <c r="CY296" s="9">
        <f t="shared" si="202"/>
        <v>607.80631052235879</v>
      </c>
      <c r="CZ296" s="17">
        <f t="shared" si="238"/>
        <v>0.57232232629223989</v>
      </c>
      <c r="DA296">
        <v>45</v>
      </c>
      <c r="DB296" s="9">
        <f t="shared" si="239"/>
        <v>9.8084932549893082</v>
      </c>
      <c r="DC296" s="9">
        <f t="shared" si="240"/>
        <v>10.62247838589329</v>
      </c>
    </row>
    <row r="297" spans="2:107" x14ac:dyDescent="0.25">
      <c r="B297" s="9">
        <f t="shared" si="241"/>
        <v>246</v>
      </c>
      <c r="C297" s="9">
        <v>121.87841253778799</v>
      </c>
      <c r="D297" s="9"/>
      <c r="E297" s="9">
        <f t="shared" si="203"/>
        <v>121.87841253778799</v>
      </c>
      <c r="F297" s="36">
        <f t="shared" si="242"/>
        <v>0</v>
      </c>
      <c r="G297" s="37">
        <f t="shared" si="248"/>
        <v>0</v>
      </c>
      <c r="H297" s="36" t="e">
        <f t="shared" si="188"/>
        <v>#DIV/0!</v>
      </c>
      <c r="I297" s="37" t="e">
        <f t="shared" si="204"/>
        <v>#DIV/0!</v>
      </c>
      <c r="J297" s="37" t="e">
        <f t="shared" si="205"/>
        <v>#DIV/0!</v>
      </c>
      <c r="K297" s="37" t="e">
        <f t="shared" si="206"/>
        <v>#DIV/0!</v>
      </c>
      <c r="L297" s="39" t="e">
        <f t="shared" si="189"/>
        <v>#DIV/0!</v>
      </c>
      <c r="M297" s="39" t="e">
        <f>M296+(1000*$C$2*(B297-B296))/(BerechnungenCLT!$W$47*2*'Berechnung freier Bereich'!G297)</f>
        <v>#DIV/0!</v>
      </c>
      <c r="N297" s="17" t="e">
        <f t="shared" si="207"/>
        <v>#DIV/0!</v>
      </c>
      <c r="O297" s="173">
        <f t="shared" si="208"/>
        <v>1810.2995966992326</v>
      </c>
      <c r="P297" s="173"/>
      <c r="Q297" s="173"/>
      <c r="R297" s="37" t="e">
        <f t="shared" si="190"/>
        <v>#DIV/0!</v>
      </c>
      <c r="S297" s="37" t="e">
        <f t="shared" si="191"/>
        <v>#DIV/0!</v>
      </c>
      <c r="T297" s="37" t="e">
        <f t="shared" si="192"/>
        <v>#DIV/0!</v>
      </c>
      <c r="U297" s="39" t="e">
        <f t="shared" si="193"/>
        <v>#DIV/0!</v>
      </c>
      <c r="V297" s="39" t="e">
        <f t="shared" si="209"/>
        <v>#DIV/0!</v>
      </c>
      <c r="W297" s="9" t="e">
        <f t="shared" si="210"/>
        <v>#DIV/0!</v>
      </c>
      <c r="AB297" s="129">
        <v>122.81624360177928</v>
      </c>
      <c r="AC297" s="9">
        <v>8.125</v>
      </c>
      <c r="AD297" s="129">
        <f t="shared" si="211"/>
        <v>130.9463451206592</v>
      </c>
      <c r="AE297" s="36">
        <f t="shared" si="243"/>
        <v>1.1018497023957158E-2</v>
      </c>
      <c r="AF297" s="37">
        <f t="shared" si="212"/>
        <v>52225690.932237625</v>
      </c>
      <c r="AG297" s="36">
        <f t="shared" si="194"/>
        <v>1.9959005228909121</v>
      </c>
      <c r="AH297" s="37">
        <f t="shared" si="213"/>
        <v>-1.5075072264551979E-4</v>
      </c>
      <c r="AI297" s="37">
        <f t="shared" si="214"/>
        <v>-4.470445507406786E-2</v>
      </c>
      <c r="AJ297" s="37">
        <f t="shared" si="215"/>
        <v>-5.9026207419989793</v>
      </c>
      <c r="AK297" s="39">
        <f t="shared" si="216"/>
        <v>1.9740256154729009E-2</v>
      </c>
      <c r="AL297" s="39">
        <f>AL296+(1000*$C$2*($B297-$B296))/(BerechnungenCLT!$W$47*2*AF297)</f>
        <v>1.2865779326125426E-2</v>
      </c>
      <c r="AM297" s="37">
        <f t="shared" si="195"/>
        <v>2.5073166631832777E-6</v>
      </c>
      <c r="AN297" s="173">
        <f t="shared" si="217"/>
        <v>1670.3551934504276</v>
      </c>
      <c r="AO297" s="173">
        <v>-258.21992190193492</v>
      </c>
      <c r="AV297" s="129">
        <v>123.53929812389929</v>
      </c>
      <c r="AW297" s="9">
        <v>8.0625</v>
      </c>
      <c r="AX297" s="129">
        <f t="shared" si="218"/>
        <v>131.64513333421431</v>
      </c>
      <c r="AY297" s="36">
        <f t="shared" si="244"/>
        <v>1.1047162425716206E-2</v>
      </c>
      <c r="AZ297" s="37">
        <f t="shared" si="219"/>
        <v>52949048.387979276</v>
      </c>
      <c r="BA297" s="36">
        <f t="shared" si="196"/>
        <v>1.9959701371113114</v>
      </c>
      <c r="BB297" s="37">
        <f t="shared" si="220"/>
        <v>-1.4869125864184124E-4</v>
      </c>
      <c r="BC297" s="37">
        <f t="shared" si="221"/>
        <v>-4.1253324053291435E-2</v>
      </c>
      <c r="BD297" s="37">
        <f t="shared" si="222"/>
        <v>-5.4031299150891048</v>
      </c>
      <c r="BE297" s="39">
        <f t="shared" si="223"/>
        <v>1.9574480569537336E-2</v>
      </c>
      <c r="BF297" s="39">
        <f>BF296+(1000*$C$2*($B297-$B296))/(BerechnungenCLT!$W$47*2*AZ297)</f>
        <v>1.1868045774339777E-2</v>
      </c>
      <c r="BG297" s="37">
        <f t="shared" si="197"/>
        <v>2.4862606098148681E-6</v>
      </c>
      <c r="BH297" s="173">
        <f t="shared" si="224"/>
        <v>1651.793199740008</v>
      </c>
      <c r="BI297">
        <v>-258.50067657733234</v>
      </c>
      <c r="BP297" s="129">
        <v>108.78308591878259</v>
      </c>
      <c r="BQ297" s="9">
        <v>10</v>
      </c>
      <c r="BR297" s="129">
        <f t="shared" si="225"/>
        <v>120.86859720152813</v>
      </c>
      <c r="BS297" s="36">
        <f t="shared" si="245"/>
        <v>1.4822909427148992E-2</v>
      </c>
      <c r="BT297" s="37">
        <f t="shared" si="226"/>
        <v>57641450.224434972</v>
      </c>
      <c r="BU297" s="36">
        <f t="shared" si="198"/>
        <v>1.9889681190354687</v>
      </c>
      <c r="BV297" s="37">
        <f t="shared" si="227"/>
        <v>-1.3658678985420286E-4</v>
      </c>
      <c r="BW297" s="37">
        <f t="shared" si="228"/>
        <v>-4.7858482273713407E-2</v>
      </c>
      <c r="BX297" s="37">
        <f t="shared" si="229"/>
        <v>-6.0985311785161684</v>
      </c>
      <c r="BY297" s="39">
        <f t="shared" si="230"/>
        <v>1.6509053685937414E-2</v>
      </c>
      <c r="BZ297" s="39">
        <f>BZ296+(1000*$C$2*($B297-$B296))/(BerechnungenCLT!$W$47*2*BT297)</f>
        <v>1.3777619652581872E-2</v>
      </c>
      <c r="CA297" s="37">
        <f t="shared" si="199"/>
        <v>2.0969041675896338E-6</v>
      </c>
      <c r="CB297" s="173">
        <f t="shared" si="231"/>
        <v>2039.5049250120974</v>
      </c>
      <c r="CC297" s="9">
        <v>-258.84815134407467</v>
      </c>
      <c r="CJ297" s="9">
        <f t="shared" si="247"/>
        <v>246</v>
      </c>
      <c r="CK297" s="129">
        <v>88.744766226023543</v>
      </c>
      <c r="CL297" s="9">
        <v>9.21875</v>
      </c>
      <c r="CM297" s="129">
        <f t="shared" si="232"/>
        <v>100.58050250126279</v>
      </c>
      <c r="CN297" s="36">
        <f t="shared" si="246"/>
        <v>1.1967478491453206E-2</v>
      </c>
      <c r="CO297" s="173">
        <f t="shared" si="233"/>
        <v>3000.8677757353303</v>
      </c>
      <c r="CP297" s="9">
        <v>-631.1650023410283</v>
      </c>
      <c r="CQ297" s="129"/>
      <c r="CR297" s="36">
        <f t="shared" si="234"/>
        <v>0.80983918440277403</v>
      </c>
      <c r="CS297" s="17">
        <f t="shared" si="200"/>
        <v>0.58217801911985878</v>
      </c>
      <c r="CT297" s="9">
        <f t="shared" si="201"/>
        <v>9.5009598754040674</v>
      </c>
      <c r="CU297" s="9">
        <f t="shared" si="235"/>
        <v>100.94282512195981</v>
      </c>
      <c r="CV297" s="9">
        <v>13.2</v>
      </c>
      <c r="CW297" s="9">
        <f t="shared" si="236"/>
        <v>105.6919357265695</v>
      </c>
      <c r="CX297">
        <f t="shared" si="237"/>
        <v>22</v>
      </c>
      <c r="CY297" s="9">
        <f t="shared" si="202"/>
        <v>602.61344363145065</v>
      </c>
      <c r="CZ297" s="17">
        <f t="shared" si="238"/>
        <v>0.5674326211218933</v>
      </c>
      <c r="DA297">
        <v>45</v>
      </c>
      <c r="DB297" s="9">
        <f t="shared" si="239"/>
        <v>9.7246932039010652</v>
      </c>
      <c r="DC297" s="9">
        <f t="shared" si="240"/>
        <v>10.534618964691941</v>
      </c>
    </row>
    <row r="298" spans="2:107" x14ac:dyDescent="0.25">
      <c r="B298" s="9">
        <f t="shared" si="241"/>
        <v>247</v>
      </c>
      <c r="C298" s="9">
        <v>122.11290696551563</v>
      </c>
      <c r="D298" s="9"/>
      <c r="E298" s="9">
        <f t="shared" si="203"/>
        <v>122.11290696551563</v>
      </c>
      <c r="F298" s="36">
        <f t="shared" si="242"/>
        <v>0</v>
      </c>
      <c r="G298" s="37">
        <f t="shared" si="248"/>
        <v>0</v>
      </c>
      <c r="H298" s="36" t="e">
        <f t="shared" si="188"/>
        <v>#DIV/0!</v>
      </c>
      <c r="I298" s="37" t="e">
        <f t="shared" si="204"/>
        <v>#DIV/0!</v>
      </c>
      <c r="J298" s="37" t="e">
        <f t="shared" si="205"/>
        <v>#DIV/0!</v>
      </c>
      <c r="K298" s="37" t="e">
        <f t="shared" si="206"/>
        <v>#DIV/0!</v>
      </c>
      <c r="L298" s="39" t="e">
        <f t="shared" si="189"/>
        <v>#DIV/0!</v>
      </c>
      <c r="M298" s="39" t="e">
        <f>M297+(1000*$C$2*(B298-B297))/(BerechnungenCLT!$W$47*2*'Berechnung freier Bereich'!G298)</f>
        <v>#DIV/0!</v>
      </c>
      <c r="N298" s="17" t="e">
        <f t="shared" si="207"/>
        <v>#DIV/0!</v>
      </c>
      <c r="O298" s="173">
        <f t="shared" si="208"/>
        <v>1803.3536056801756</v>
      </c>
      <c r="P298" s="173"/>
      <c r="Q298" s="173"/>
      <c r="R298" s="37" t="e">
        <f t="shared" si="190"/>
        <v>#DIV/0!</v>
      </c>
      <c r="S298" s="37" t="e">
        <f t="shared" si="191"/>
        <v>#DIV/0!</v>
      </c>
      <c r="T298" s="37" t="e">
        <f t="shared" si="192"/>
        <v>#DIV/0!</v>
      </c>
      <c r="U298" s="39" t="e">
        <f t="shared" si="193"/>
        <v>#DIV/0!</v>
      </c>
      <c r="V298" s="39" t="e">
        <f t="shared" si="209"/>
        <v>#DIV/0!</v>
      </c>
      <c r="W298" s="9" t="e">
        <f t="shared" si="210"/>
        <v>#DIV/0!</v>
      </c>
      <c r="AB298" s="129">
        <v>122.78080135684664</v>
      </c>
      <c r="AC298" s="9">
        <v>8.125</v>
      </c>
      <c r="AD298" s="129">
        <f t="shared" si="211"/>
        <v>130.90996724622988</v>
      </c>
      <c r="AE298" s="36">
        <f t="shared" si="243"/>
        <v>1.1014110885519096E-2</v>
      </c>
      <c r="AF298" s="37">
        <f t="shared" si="212"/>
        <v>52175373.426360458</v>
      </c>
      <c r="AG298" s="36">
        <f t="shared" si="194"/>
        <v>1.9958991475820895</v>
      </c>
      <c r="AH298" s="37">
        <f t="shared" si="213"/>
        <v>-1.5089610541663516E-4</v>
      </c>
      <c r="AI298" s="37">
        <f t="shared" si="214"/>
        <v>-4.4855351179484498E-2</v>
      </c>
      <c r="AJ298" s="37">
        <f t="shared" si="215"/>
        <v>-5.9474006451257555</v>
      </c>
      <c r="AK298" s="39">
        <f t="shared" si="216"/>
        <v>1.975380421767536E-2</v>
      </c>
      <c r="AL298" s="39">
        <f>AL297+(1000*$C$2*($B298-$B297))/(BerechnungenCLT!$W$47*2*AF298)</f>
        <v>1.2909403919558042E-2</v>
      </c>
      <c r="AM298" s="37">
        <f t="shared" si="195"/>
        <v>2.5090374759079445E-6</v>
      </c>
      <c r="AN298" s="173">
        <f t="shared" si="217"/>
        <v>1671.3010858938499</v>
      </c>
      <c r="AO298" s="173">
        <v>-258.08731139249204</v>
      </c>
      <c r="AV298" s="129">
        <v>123.6431186867395</v>
      </c>
      <c r="AW298" s="9">
        <v>8.0625</v>
      </c>
      <c r="AX298" s="129">
        <f t="shared" si="218"/>
        <v>131.75434191119993</v>
      </c>
      <c r="AY298" s="36">
        <f t="shared" si="244"/>
        <v>1.1063733916030397E-2</v>
      </c>
      <c r="AZ298" s="37">
        <f t="shared" si="219"/>
        <v>53117031.129158206</v>
      </c>
      <c r="BA298" s="36">
        <f t="shared" si="196"/>
        <v>1.9959715047129694</v>
      </c>
      <c r="BB298" s="37">
        <f t="shared" si="220"/>
        <v>-1.4822102217182341E-4</v>
      </c>
      <c r="BC298" s="37">
        <f t="shared" si="221"/>
        <v>-4.1401545075463259E-2</v>
      </c>
      <c r="BD298" s="37">
        <f t="shared" si="222"/>
        <v>-5.444457349653482</v>
      </c>
      <c r="BE298" s="39">
        <f t="shared" si="223"/>
        <v>1.9528763233653965E-2</v>
      </c>
      <c r="BF298" s="39">
        <f>BF297+(1000*$C$2*($B298-$B297))/(BerechnungenCLT!$W$47*2*AZ298)</f>
        <v>1.1910896991821894E-2</v>
      </c>
      <c r="BG298" s="37">
        <f t="shared" si="197"/>
        <v>2.4804538038059574E-6</v>
      </c>
      <c r="BH298" s="173">
        <f t="shared" si="224"/>
        <v>1649.0388001415233</v>
      </c>
      <c r="BI298">
        <v>-257.89214933963257</v>
      </c>
      <c r="BP298" s="129">
        <v>109.46175802639694</v>
      </c>
      <c r="BQ298" s="9">
        <v>9.9375</v>
      </c>
      <c r="BR298" s="129">
        <f t="shared" si="225"/>
        <v>121.5350255461388</v>
      </c>
      <c r="BS298" s="36">
        <f t="shared" si="245"/>
        <v>1.4894624216991606E-2</v>
      </c>
      <c r="BT298" s="37">
        <f t="shared" si="226"/>
        <v>58598603.426297747</v>
      </c>
      <c r="BU298" s="36">
        <f t="shared" si="198"/>
        <v>1.9891176913164774</v>
      </c>
      <c r="BV298" s="37">
        <f t="shared" si="227"/>
        <v>-1.3435577280606554E-4</v>
      </c>
      <c r="BW298" s="37">
        <f t="shared" si="228"/>
        <v>-4.7992838046519472E-2</v>
      </c>
      <c r="BX298" s="37">
        <f t="shared" si="229"/>
        <v>-6.1464568386762846</v>
      </c>
      <c r="BY298" s="39">
        <f t="shared" si="230"/>
        <v>1.6328932280256395E-2</v>
      </c>
      <c r="BZ298" s="39">
        <f>BZ297+(1000*$C$2*($B298-$B297))/(BerechnungenCLT!$W$47*2*BT298)</f>
        <v>1.3816462377831847E-2</v>
      </c>
      <c r="CA298" s="37">
        <f t="shared" si="199"/>
        <v>2.0740259739978133E-6</v>
      </c>
      <c r="CB298" s="173">
        <f t="shared" si="231"/>
        <v>2015.8218963010559</v>
      </c>
      <c r="CC298" s="9">
        <v>-257.45144035224996</v>
      </c>
      <c r="CJ298" s="9">
        <f t="shared" si="247"/>
        <v>247</v>
      </c>
      <c r="CK298" s="129">
        <v>89.54996111485508</v>
      </c>
      <c r="CL298" s="9">
        <v>9.0625</v>
      </c>
      <c r="CM298" s="129">
        <f t="shared" si="232"/>
        <v>101.44609051728233</v>
      </c>
      <c r="CN298" s="36">
        <f t="shared" si="246"/>
        <v>1.2134694947037696E-2</v>
      </c>
      <c r="CO298" s="173">
        <f t="shared" si="233"/>
        <v>2948.5958167568551</v>
      </c>
      <c r="CP298" s="9">
        <v>-630.86337166584576</v>
      </c>
      <c r="CQ298" s="129"/>
      <c r="CR298" s="36">
        <f t="shared" si="234"/>
        <v>0.80561952165668105</v>
      </c>
      <c r="CS298" s="17">
        <f t="shared" si="200"/>
        <v>0.57914458365984711</v>
      </c>
      <c r="CT298" s="9">
        <f t="shared" si="201"/>
        <v>9.3888471953553552</v>
      </c>
      <c r="CU298" s="9">
        <f t="shared" si="235"/>
        <v>101.8744787618138</v>
      </c>
      <c r="CV298" s="9">
        <v>13.2</v>
      </c>
      <c r="CW298" s="9">
        <f t="shared" si="236"/>
        <v>106.87728890652841</v>
      </c>
      <c r="CX298">
        <f t="shared" si="237"/>
        <v>22</v>
      </c>
      <c r="CY298" s="9">
        <f t="shared" si="202"/>
        <v>597.1950016945425</v>
      </c>
      <c r="CZ298" s="17">
        <f t="shared" si="238"/>
        <v>0.56233051007019064</v>
      </c>
      <c r="DA298">
        <v>45</v>
      </c>
      <c r="DB298" s="9">
        <f t="shared" si="239"/>
        <v>9.6372529284866193</v>
      </c>
      <c r="DC298" s="9">
        <f t="shared" si="240"/>
        <v>10.442963821095747</v>
      </c>
    </row>
    <row r="299" spans="2:107" x14ac:dyDescent="0.25">
      <c r="B299" s="9">
        <f t="shared" si="241"/>
        <v>248</v>
      </c>
      <c r="C299" s="9">
        <v>122.35018178389026</v>
      </c>
      <c r="D299" s="9"/>
      <c r="E299" s="9">
        <f t="shared" si="203"/>
        <v>122.35018178389026</v>
      </c>
      <c r="F299" s="36">
        <f t="shared" si="242"/>
        <v>0</v>
      </c>
      <c r="G299" s="37">
        <f>(PI()/4)*(E299^4-C299^4)</f>
        <v>0</v>
      </c>
      <c r="H299" s="36" t="e">
        <f t="shared" si="188"/>
        <v>#DIV/0!</v>
      </c>
      <c r="I299" s="37" t="e">
        <f t="shared" si="204"/>
        <v>#DIV/0!</v>
      </c>
      <c r="J299" s="37" t="e">
        <f t="shared" si="205"/>
        <v>#DIV/0!</v>
      </c>
      <c r="K299" s="37" t="e">
        <f t="shared" si="206"/>
        <v>#DIV/0!</v>
      </c>
      <c r="L299" s="39" t="e">
        <f t="shared" si="189"/>
        <v>#DIV/0!</v>
      </c>
      <c r="M299" s="39" t="e">
        <f>M298+(1000*$C$2*(B299-B298))/(BerechnungenCLT!$W$47*2*'Berechnung freier Bereich'!G299)</f>
        <v>#DIV/0!</v>
      </c>
      <c r="N299" s="17" t="e">
        <f t="shared" si="207"/>
        <v>#DIV/0!</v>
      </c>
      <c r="O299" s="173">
        <f t="shared" si="208"/>
        <v>1796.3658679072973</v>
      </c>
      <c r="P299" s="173"/>
      <c r="Q299" s="173"/>
      <c r="R299" s="37" t="e">
        <f t="shared" si="190"/>
        <v>#DIV/0!</v>
      </c>
      <c r="S299" s="37" t="e">
        <f t="shared" si="191"/>
        <v>#DIV/0!</v>
      </c>
      <c r="T299" s="37" t="e">
        <f t="shared" si="192"/>
        <v>#DIV/0!</v>
      </c>
      <c r="U299" s="39" t="e">
        <f t="shared" si="193"/>
        <v>#DIV/0!</v>
      </c>
      <c r="V299" s="39" t="e">
        <f t="shared" si="209"/>
        <v>#DIV/0!</v>
      </c>
      <c r="W299" s="9" t="e">
        <f t="shared" si="210"/>
        <v>#DIV/0!</v>
      </c>
      <c r="AB299" s="129">
        <v>122.74877460894574</v>
      </c>
      <c r="AC299" s="9">
        <v>8.125</v>
      </c>
      <c r="AD299" s="129">
        <f t="shared" si="211"/>
        <v>130.87669507495281</v>
      </c>
      <c r="AE299" s="36">
        <f t="shared" si="243"/>
        <v>1.1009588925372066E-2</v>
      </c>
      <c r="AF299" s="37">
        <f t="shared" si="212"/>
        <v>52127118.465024158</v>
      </c>
      <c r="AG299" s="36">
        <f t="shared" si="194"/>
        <v>1.9958982940857055</v>
      </c>
      <c r="AH299" s="37">
        <f t="shared" si="213"/>
        <v>-1.5103579251132013E-4</v>
      </c>
      <c r="AI299" s="37">
        <f t="shared" si="214"/>
        <v>-4.500638697199582E-2</v>
      </c>
      <c r="AJ299" s="37">
        <f t="shared" si="215"/>
        <v>-5.9923315142014957</v>
      </c>
      <c r="AK299" s="39">
        <f t="shared" si="216"/>
        <v>1.9767065361907886E-2</v>
      </c>
      <c r="AL299" s="39">
        <f>AL298+(1000*$C$2*($B299-$B298))/(BerechnungenCLT!$W$47*2*AF299)</f>
        <v>1.2953068897019767E-2</v>
      </c>
      <c r="AM299" s="37">
        <f t="shared" si="195"/>
        <v>2.5107218455354945E-6</v>
      </c>
      <c r="AN299" s="173">
        <f t="shared" si="217"/>
        <v>1672.1617896994605</v>
      </c>
      <c r="AO299" s="173">
        <v>-257.98378078621784</v>
      </c>
      <c r="AV299" s="129">
        <v>123.753222734869</v>
      </c>
      <c r="AW299" s="9">
        <v>8.0625</v>
      </c>
      <c r="AX299" s="129">
        <f t="shared" si="218"/>
        <v>131.87095392210134</v>
      </c>
      <c r="AY299" s="36">
        <f t="shared" si="244"/>
        <v>1.1082439942701756E-2</v>
      </c>
      <c r="AZ299" s="37">
        <f t="shared" si="219"/>
        <v>53301334.91627463</v>
      </c>
      <c r="BA299" s="36">
        <f t="shared" si="196"/>
        <v>1.9959721907679551</v>
      </c>
      <c r="BB299" s="37">
        <f t="shared" si="220"/>
        <v>-1.4770850788377706E-4</v>
      </c>
      <c r="BC299" s="37">
        <f t="shared" si="221"/>
        <v>-4.1549253583347039E-2</v>
      </c>
      <c r="BD299" s="37">
        <f t="shared" si="222"/>
        <v>-5.4859327489828873</v>
      </c>
      <c r="BE299" s="39">
        <f t="shared" si="223"/>
        <v>1.9478461837043905E-2</v>
      </c>
      <c r="BF299" s="39">
        <f>BF298+(1000*$C$2*($B299-$B298))/(BerechnungenCLT!$W$47*2*AZ299)</f>
        <v>1.1953600039625391E-2</v>
      </c>
      <c r="BG299" s="37">
        <f t="shared" si="197"/>
        <v>2.4740647514596648E-6</v>
      </c>
      <c r="BH299" s="173">
        <f t="shared" si="224"/>
        <v>1646.1149938657329</v>
      </c>
      <c r="BI299">
        <v>-257.27560876054957</v>
      </c>
      <c r="BP299" s="129">
        <v>110.15170774284526</v>
      </c>
      <c r="BQ299" s="9">
        <v>9.8125</v>
      </c>
      <c r="BR299" s="129">
        <f t="shared" si="225"/>
        <v>122.13106004502349</v>
      </c>
      <c r="BS299" s="36">
        <f t="shared" si="245"/>
        <v>1.4861037280707562E-2</v>
      </c>
      <c r="BT299" s="37">
        <f t="shared" si="226"/>
        <v>59115008.937413983</v>
      </c>
      <c r="BU299" s="36">
        <f t="shared" si="198"/>
        <v>1.989403493110965</v>
      </c>
      <c r="BV299" s="37">
        <f t="shared" si="227"/>
        <v>-1.3318209351929103E-4</v>
      </c>
      <c r="BW299" s="37">
        <f t="shared" si="228"/>
        <v>-4.8126020140038764E-2</v>
      </c>
      <c r="BX299" s="37">
        <f t="shared" si="229"/>
        <v>-6.194516267769564</v>
      </c>
      <c r="BY299" s="39">
        <f t="shared" si="230"/>
        <v>1.6265670260526464E-2</v>
      </c>
      <c r="BZ299" s="39">
        <f>BZ298+(1000*$C$2*($B299-$B298))/(BerechnungenCLT!$W$47*2*BT299)</f>
        <v>1.3854965788282646E-2</v>
      </c>
      <c r="CA299" s="37">
        <f t="shared" si="199"/>
        <v>2.065990722835306E-6</v>
      </c>
      <c r="CB299" s="173">
        <f t="shared" si="231"/>
        <v>1993.5633425300848</v>
      </c>
      <c r="CC299" s="9">
        <v>-257.85210359730911</v>
      </c>
      <c r="CJ299" s="9">
        <f t="shared" si="247"/>
        <v>248</v>
      </c>
      <c r="CK299" s="129">
        <v>90.400325268741767</v>
      </c>
      <c r="CL299" s="9">
        <v>8.90625</v>
      </c>
      <c r="CM299" s="129">
        <f t="shared" si="232"/>
        <v>102.34505296294104</v>
      </c>
      <c r="CN299" s="36">
        <f t="shared" si="246"/>
        <v>1.2295863142428627E-2</v>
      </c>
      <c r="CO299" s="173">
        <f t="shared" si="233"/>
        <v>2895.3167157474536</v>
      </c>
      <c r="CP299" s="9">
        <v>-630.33189517797621</v>
      </c>
      <c r="CQ299" s="129"/>
      <c r="CR299" s="36">
        <f t="shared" si="234"/>
        <v>0.80126496972088623</v>
      </c>
      <c r="CS299" s="17">
        <f t="shared" si="200"/>
        <v>0.57601417892152229</v>
      </c>
      <c r="CT299" s="9">
        <f t="shared" si="201"/>
        <v>9.2771153828281836</v>
      </c>
      <c r="CU299" s="9">
        <f t="shared" si="235"/>
        <v>102.84244367273334</v>
      </c>
      <c r="CV299" s="9">
        <v>13.2</v>
      </c>
      <c r="CW299" s="9">
        <f t="shared" si="236"/>
        <v>108.10366905130238</v>
      </c>
      <c r="CX299">
        <f t="shared" si="237"/>
        <v>22</v>
      </c>
      <c r="CY299" s="9">
        <f t="shared" si="202"/>
        <v>591.57739776655171</v>
      </c>
      <c r="CZ299" s="17">
        <f t="shared" si="238"/>
        <v>0.55704086418696019</v>
      </c>
      <c r="DA299">
        <v>45</v>
      </c>
      <c r="DB299" s="9">
        <f t="shared" si="239"/>
        <v>9.5465986702418402</v>
      </c>
      <c r="DC299" s="9">
        <f t="shared" si="240"/>
        <v>10.347954739335208</v>
      </c>
    </row>
    <row r="300" spans="2:107" x14ac:dyDescent="0.25">
      <c r="B300" s="9">
        <f t="shared" si="241"/>
        <v>249</v>
      </c>
      <c r="C300" s="9">
        <v>122.59076974603708</v>
      </c>
      <c r="D300" s="9"/>
      <c r="E300" s="9">
        <f t="shared" si="203"/>
        <v>122.59076974603708</v>
      </c>
      <c r="F300" s="36">
        <f t="shared" si="242"/>
        <v>0</v>
      </c>
      <c r="G300" s="37">
        <f t="shared" ref="G300:G329" si="249">(PI()/4)*(E300^4-C300^4)</f>
        <v>0</v>
      </c>
      <c r="H300" s="36" t="e">
        <f t="shared" si="188"/>
        <v>#DIV/0!</v>
      </c>
      <c r="I300" s="37" t="e">
        <f t="shared" si="204"/>
        <v>#DIV/0!</v>
      </c>
      <c r="J300" s="37" t="e">
        <f t="shared" si="205"/>
        <v>#DIV/0!</v>
      </c>
      <c r="K300" s="37" t="e">
        <f t="shared" si="206"/>
        <v>#DIV/0!</v>
      </c>
      <c r="L300" s="39" t="e">
        <f t="shared" si="189"/>
        <v>#DIV/0!</v>
      </c>
      <c r="M300" s="39" t="e">
        <f>M299+(1000*$C$2*(B300-B299))/(BerechnungenCLT!$W$47*2*'Berechnung freier Bereich'!G300)</f>
        <v>#DIV/0!</v>
      </c>
      <c r="N300" s="17" t="e">
        <f t="shared" si="207"/>
        <v>#DIV/0!</v>
      </c>
      <c r="O300" s="173">
        <f t="shared" si="208"/>
        <v>1789.3219458001658</v>
      </c>
      <c r="P300" s="173"/>
      <c r="Q300" s="173"/>
      <c r="R300" s="37" t="e">
        <f t="shared" si="190"/>
        <v>#DIV/0!</v>
      </c>
      <c r="S300" s="37" t="e">
        <f t="shared" si="191"/>
        <v>#DIV/0!</v>
      </c>
      <c r="T300" s="37" t="e">
        <f t="shared" si="192"/>
        <v>#DIV/0!</v>
      </c>
      <c r="U300" s="39" t="e">
        <f t="shared" si="193"/>
        <v>#DIV/0!</v>
      </c>
      <c r="V300" s="39" t="e">
        <f t="shared" si="209"/>
        <v>#DIV/0!</v>
      </c>
      <c r="W300" s="9" t="e">
        <f t="shared" si="210"/>
        <v>#DIV/0!</v>
      </c>
      <c r="AB300" s="129">
        <v>122.72196018859525</v>
      </c>
      <c r="AC300" s="9">
        <v>8.125</v>
      </c>
      <c r="AD300" s="129">
        <f t="shared" si="211"/>
        <v>130.84855354154507</v>
      </c>
      <c r="AE300" s="36">
        <f t="shared" si="243"/>
        <v>1.1005406113365706E-2</v>
      </c>
      <c r="AF300" s="37">
        <f t="shared" si="212"/>
        <v>52084740.868846275</v>
      </c>
      <c r="AG300" s="36">
        <f t="shared" si="194"/>
        <v>1.9958978565647301</v>
      </c>
      <c r="AH300" s="37">
        <f t="shared" si="213"/>
        <v>-1.5115867943975026E-4</v>
      </c>
      <c r="AI300" s="37">
        <f t="shared" si="214"/>
        <v>-4.5157545651435572E-2</v>
      </c>
      <c r="AJ300" s="37">
        <f t="shared" si="215"/>
        <v>-6.0374134805132114</v>
      </c>
      <c r="AK300" s="39">
        <f t="shared" si="216"/>
        <v>1.9778894559941411E-2</v>
      </c>
      <c r="AL300" s="39">
        <f>AL299+(1000*$C$2*($B300-$B299))/(BerechnungenCLT!$W$47*2*AF300)</f>
        <v>1.2996769401523599E-2</v>
      </c>
      <c r="AM300" s="37">
        <f t="shared" si="195"/>
        <v>2.5122243359342546E-6</v>
      </c>
      <c r="AN300" s="173">
        <f t="shared" si="217"/>
        <v>1672.88667843197</v>
      </c>
      <c r="AO300" s="173">
        <v>-257.90140053389842</v>
      </c>
      <c r="AV300" s="129">
        <v>123.87047326717949</v>
      </c>
      <c r="AW300" s="9">
        <v>8</v>
      </c>
      <c r="AX300" s="129">
        <f t="shared" si="218"/>
        <v>131.93298928719724</v>
      </c>
      <c r="AY300" s="36">
        <f t="shared" si="244"/>
        <v>1.1014779393847455E-2</v>
      </c>
      <c r="AZ300" s="37">
        <f t="shared" si="219"/>
        <v>53049457.959765211</v>
      </c>
      <c r="BA300" s="36">
        <f t="shared" si="196"/>
        <v>1.9960322750246982</v>
      </c>
      <c r="BB300" s="37">
        <f t="shared" si="220"/>
        <v>-1.484098226727902E-4</v>
      </c>
      <c r="BC300" s="37">
        <f t="shared" si="221"/>
        <v>-4.1697663406019832E-2</v>
      </c>
      <c r="BD300" s="37">
        <f t="shared" si="222"/>
        <v>-5.5275562074775708</v>
      </c>
      <c r="BE300" s="39">
        <f t="shared" si="223"/>
        <v>1.958015154480407E-2</v>
      </c>
      <c r="BF300" s="39">
        <f>BF299+(1000*$C$2*($B300-$B299))/(BerechnungenCLT!$W$47*2*AZ300)</f>
        <v>1.1996505839994667E-2</v>
      </c>
      <c r="BG300" s="37">
        <f t="shared" si="197"/>
        <v>2.4869809110445653E-6</v>
      </c>
      <c r="BH300" s="173">
        <f t="shared" si="224"/>
        <v>1643.8083653453125</v>
      </c>
      <c r="BI300">
        <v>-258.78097588247306</v>
      </c>
      <c r="BP300" s="129">
        <v>110.85200440846002</v>
      </c>
      <c r="BQ300" s="9">
        <v>9.6875</v>
      </c>
      <c r="BR300" s="129">
        <f t="shared" si="225"/>
        <v>122.73131477744204</v>
      </c>
      <c r="BS300" s="36">
        <f t="shared" si="245"/>
        <v>1.4819441909639814E-2</v>
      </c>
      <c r="BT300" s="37">
        <f t="shared" si="226"/>
        <v>59607156.994869255</v>
      </c>
      <c r="BU300" s="36">
        <f t="shared" si="198"/>
        <v>1.989694325166534</v>
      </c>
      <c r="BV300" s="37">
        <f t="shared" si="227"/>
        <v>-1.3208247206579696E-4</v>
      </c>
      <c r="BW300" s="37">
        <f t="shared" si="228"/>
        <v>-4.8258102612104559E-2</v>
      </c>
      <c r="BX300" s="37">
        <f t="shared" si="229"/>
        <v>-6.2427083291456356</v>
      </c>
      <c r="BY300" s="39">
        <f t="shared" si="230"/>
        <v>1.6210655455690021E-2</v>
      </c>
      <c r="BZ300" s="39">
        <f>BZ299+(1000*$C$2*($B300-$B299))/(BerechnungenCLT!$W$47*2*BT300)</f>
        <v>1.3893151294313674E-2</v>
      </c>
      <c r="CA300" s="37">
        <f t="shared" si="199"/>
        <v>2.0590029950263568E-6</v>
      </c>
      <c r="CB300" s="173">
        <f t="shared" si="231"/>
        <v>1971.4255146975677</v>
      </c>
      <c r="CC300" s="9">
        <v>-258.27892299524348</v>
      </c>
      <c r="CJ300" s="9">
        <f t="shared" si="247"/>
        <v>249</v>
      </c>
      <c r="CK300" s="129">
        <v>91.294034731606928</v>
      </c>
      <c r="CL300" s="9">
        <v>8.734375</v>
      </c>
      <c r="CM300" s="129">
        <f t="shared" si="232"/>
        <v>103.25297524537491</v>
      </c>
      <c r="CN300" s="36">
        <f t="shared" si="246"/>
        <v>1.2425562556278117E-2</v>
      </c>
      <c r="CO300" s="173">
        <f t="shared" si="233"/>
        <v>2841.9399882425014</v>
      </c>
      <c r="CP300" s="9">
        <v>-630.88638667317946</v>
      </c>
      <c r="CQ300" s="129"/>
      <c r="CR300" s="36">
        <f t="shared" si="234"/>
        <v>0.79689629817641638</v>
      </c>
      <c r="CS300" s="17">
        <f t="shared" si="200"/>
        <v>0.57287362386450758</v>
      </c>
      <c r="CT300" s="9">
        <f t="shared" si="201"/>
        <v>9.1479600066898499</v>
      </c>
      <c r="CU300" s="9">
        <f t="shared" si="235"/>
        <v>103.81924798868971</v>
      </c>
      <c r="CV300" s="9">
        <v>13.2</v>
      </c>
      <c r="CW300" s="9">
        <f t="shared" si="236"/>
        <v>109.36722425939081</v>
      </c>
      <c r="CX300">
        <f t="shared" si="237"/>
        <v>22</v>
      </c>
      <c r="CY300" s="9">
        <f t="shared" si="202"/>
        <v>585.78623824604836</v>
      </c>
      <c r="CZ300" s="17">
        <f t="shared" si="238"/>
        <v>0.55158779495861432</v>
      </c>
      <c r="DA300">
        <v>45</v>
      </c>
      <c r="DB300" s="9">
        <f t="shared" si="239"/>
        <v>9.4531436532206978</v>
      </c>
      <c r="DC300" s="9">
        <f t="shared" si="240"/>
        <v>10.250138663504227</v>
      </c>
    </row>
    <row r="301" spans="2:107" x14ac:dyDescent="0.25">
      <c r="B301" s="9">
        <f t="shared" si="241"/>
        <v>250</v>
      </c>
      <c r="C301" s="9">
        <v>122.83520360508119</v>
      </c>
      <c r="D301" s="9"/>
      <c r="E301" s="9">
        <f t="shared" si="203"/>
        <v>122.83520360508119</v>
      </c>
      <c r="F301" s="36">
        <f t="shared" si="242"/>
        <v>0</v>
      </c>
      <c r="G301" s="37">
        <f t="shared" si="249"/>
        <v>0</v>
      </c>
      <c r="H301" s="36" t="e">
        <f t="shared" si="188"/>
        <v>#DIV/0!</v>
      </c>
      <c r="I301" s="37" t="e">
        <f t="shared" si="204"/>
        <v>#DIV/0!</v>
      </c>
      <c r="J301" s="37" t="e">
        <f t="shared" si="205"/>
        <v>#DIV/0!</v>
      </c>
      <c r="K301" s="37" t="e">
        <f t="shared" si="206"/>
        <v>#DIV/0!</v>
      </c>
      <c r="L301" s="39" t="e">
        <f t="shared" si="189"/>
        <v>#DIV/0!</v>
      </c>
      <c r="M301" s="39" t="e">
        <f>M300+(1000*$C$2*(B301-B300))/(BerechnungenCLT!$W$47*2*'Berechnung freier Bereich'!G301)</f>
        <v>#DIV/0!</v>
      </c>
      <c r="N301" s="17" t="e">
        <f t="shared" si="207"/>
        <v>#DIV/0!</v>
      </c>
      <c r="O301" s="173">
        <f t="shared" si="208"/>
        <v>1782.2077686581347</v>
      </c>
      <c r="P301" s="173"/>
      <c r="Q301" s="173"/>
      <c r="R301" s="37" t="e">
        <f t="shared" si="190"/>
        <v>#DIV/0!</v>
      </c>
      <c r="S301" s="37" t="e">
        <f t="shared" si="191"/>
        <v>#DIV/0!</v>
      </c>
      <c r="T301" s="37" t="e">
        <f t="shared" si="192"/>
        <v>#DIV/0!</v>
      </c>
      <c r="U301" s="39" t="e">
        <f t="shared" si="193"/>
        <v>#DIV/0!</v>
      </c>
      <c r="V301" s="39" t="e">
        <f t="shared" si="209"/>
        <v>#DIV/0!</v>
      </c>
      <c r="W301" s="9" t="e">
        <f t="shared" si="210"/>
        <v>#DIV/0!</v>
      </c>
      <c r="AB301" s="129">
        <v>122.70215492631374</v>
      </c>
      <c r="AC301" s="9">
        <v>8.125</v>
      </c>
      <c r="AD301" s="129">
        <f t="shared" si="211"/>
        <v>130.82764640903733</v>
      </c>
      <c r="AE301" s="36">
        <f t="shared" si="243"/>
        <v>1.10021471601476E-2</v>
      </c>
      <c r="AF301" s="37">
        <f t="shared" si="212"/>
        <v>52052601.257071339</v>
      </c>
      <c r="AG301" s="36">
        <f t="shared" si="194"/>
        <v>1.9958976519975178</v>
      </c>
      <c r="AH301" s="37">
        <f t="shared" si="213"/>
        <v>-1.5125201159138686E-4</v>
      </c>
      <c r="AI301" s="37">
        <f t="shared" si="214"/>
        <v>-4.5308797663026958E-2</v>
      </c>
      <c r="AJ301" s="37">
        <f t="shared" si="215"/>
        <v>-6.0826466521704425</v>
      </c>
      <c r="AK301" s="39">
        <f t="shared" si="216"/>
        <v>1.9787944691133576E-2</v>
      </c>
      <c r="AL301" s="39">
        <f>AL300+(1000*$C$2*($B301-$B300))/(BerechnungenCLT!$W$47*2*AF301)</f>
        <v>1.3040496888679887E-2</v>
      </c>
      <c r="AM301" s="37">
        <f t="shared" si="195"/>
        <v>2.5133738420280085E-6</v>
      </c>
      <c r="AN301" s="173">
        <f t="shared" si="217"/>
        <v>1673.4239935005576</v>
      </c>
      <c r="AO301" s="173">
        <v>-257.8320520692609</v>
      </c>
      <c r="AV301" s="129">
        <v>123.99573328256267</v>
      </c>
      <c r="AW301" s="9">
        <v>8</v>
      </c>
      <c r="AX301" s="129">
        <f t="shared" si="218"/>
        <v>132.06737857445077</v>
      </c>
      <c r="AY301" s="36">
        <f t="shared" si="244"/>
        <v>1.1038444583813303E-2</v>
      </c>
      <c r="AZ301" s="37">
        <f t="shared" si="219"/>
        <v>53271427.001221418</v>
      </c>
      <c r="BA301" s="36">
        <f t="shared" si="196"/>
        <v>1.9960313466587685</v>
      </c>
      <c r="BB301" s="37">
        <f t="shared" si="220"/>
        <v>-1.4779143514432E-4</v>
      </c>
      <c r="BC301" s="37">
        <f t="shared" si="221"/>
        <v>-4.1845454841164149E-2</v>
      </c>
      <c r="BD301" s="37">
        <f t="shared" si="222"/>
        <v>-5.5693277666011625</v>
      </c>
      <c r="BE301" s="39">
        <f t="shared" si="223"/>
        <v>1.9518427415266298E-2</v>
      </c>
      <c r="BF301" s="39">
        <f>BF300+(1000*$C$2*($B301-$B300))/(BerechnungenCLT!$W$47*2*AZ301)</f>
        <v>1.2039232862360104E-2</v>
      </c>
      <c r="BG301" s="37">
        <f t="shared" si="197"/>
        <v>2.4791409956302224E-6</v>
      </c>
      <c r="BH301" s="173">
        <f t="shared" si="224"/>
        <v>1640.4763953711654</v>
      </c>
      <c r="BI301">
        <v>-258.135148926954</v>
      </c>
      <c r="BP301" s="129">
        <v>111.56171736357345</v>
      </c>
      <c r="BQ301" s="9">
        <v>9.5625</v>
      </c>
      <c r="BR301" s="129">
        <f t="shared" si="225"/>
        <v>123.33489558922014</v>
      </c>
      <c r="BS301" s="36">
        <f t="shared" si="245"/>
        <v>1.4769618146277931E-2</v>
      </c>
      <c r="BT301" s="37">
        <f t="shared" si="226"/>
        <v>60072192.5874369</v>
      </c>
      <c r="BU301" s="36">
        <f t="shared" si="198"/>
        <v>1.9899894062424641</v>
      </c>
      <c r="BV301" s="37">
        <f t="shared" si="227"/>
        <v>-1.3105998482137828E-4</v>
      </c>
      <c r="BW301" s="37">
        <f t="shared" si="228"/>
        <v>-4.8389162596925939E-2</v>
      </c>
      <c r="BX301" s="37">
        <f t="shared" si="229"/>
        <v>-6.2910319617501509</v>
      </c>
      <c r="BY301" s="39">
        <f t="shared" si="230"/>
        <v>1.6164269543869465E-2</v>
      </c>
      <c r="BZ301" s="39">
        <f>BZ300+(1000*$C$2*($B301-$B300))/(BerechnungenCLT!$W$47*2*BT301)</f>
        <v>1.3931041195695364E-2</v>
      </c>
      <c r="CA301" s="37">
        <f t="shared" si="199"/>
        <v>2.0531112695728971E-6</v>
      </c>
      <c r="CB301" s="173">
        <f t="shared" si="231"/>
        <v>1949.442880201193</v>
      </c>
      <c r="CC301" s="9">
        <v>-258.73749892210157</v>
      </c>
      <c r="CJ301" s="9">
        <f t="shared" si="247"/>
        <v>250</v>
      </c>
      <c r="CK301" s="129">
        <v>92.229265547373984</v>
      </c>
      <c r="CL301" s="9">
        <v>8.578125</v>
      </c>
      <c r="CM301" s="129">
        <f t="shared" si="232"/>
        <v>104.20945483663515</v>
      </c>
      <c r="CN301" s="36">
        <f t="shared" si="246"/>
        <v>1.2568677145607542E-2</v>
      </c>
      <c r="CO301" s="173">
        <f t="shared" si="233"/>
        <v>2787.4676183136321</v>
      </c>
      <c r="CP301" s="9">
        <v>-630.06527914483956</v>
      </c>
      <c r="CQ301" s="129"/>
      <c r="CR301" s="36">
        <f t="shared" si="234"/>
        <v>0.79232632959814087</v>
      </c>
      <c r="CS301" s="17">
        <f t="shared" si="200"/>
        <v>0.569588360190458</v>
      </c>
      <c r="CT301" s="9">
        <f t="shared" si="201"/>
        <v>9.036130931957592</v>
      </c>
      <c r="CU301" s="9">
        <f t="shared" si="235"/>
        <v>104.84910484878307</v>
      </c>
      <c r="CV301" s="9">
        <v>13.2</v>
      </c>
      <c r="CW301" s="9">
        <f t="shared" si="236"/>
        <v>110.66435463948297</v>
      </c>
      <c r="CX301">
        <f t="shared" si="237"/>
        <v>22</v>
      </c>
      <c r="CY301" s="9">
        <f t="shared" si="202"/>
        <v>579.84620025259198</v>
      </c>
      <c r="CZ301" s="17">
        <f t="shared" si="238"/>
        <v>0.54599453884424864</v>
      </c>
      <c r="DA301">
        <v>45</v>
      </c>
      <c r="DB301" s="9">
        <f t="shared" si="239"/>
        <v>9.3572861052082015</v>
      </c>
      <c r="DC301" s="9">
        <f t="shared" si="240"/>
        <v>10.149704857848256</v>
      </c>
    </row>
    <row r="302" spans="2:107" x14ac:dyDescent="0.25">
      <c r="B302" s="9">
        <f t="shared" si="241"/>
        <v>251</v>
      </c>
      <c r="C302" s="9">
        <v>123.08401611414777</v>
      </c>
      <c r="D302" s="9"/>
      <c r="E302" s="9">
        <f t="shared" si="203"/>
        <v>123.08401611414777</v>
      </c>
      <c r="F302" s="36">
        <f t="shared" si="242"/>
        <v>0</v>
      </c>
      <c r="G302" s="37">
        <f t="shared" si="249"/>
        <v>0</v>
      </c>
      <c r="H302" s="36" t="e">
        <f t="shared" si="188"/>
        <v>#DIV/0!</v>
      </c>
      <c r="I302" s="37" t="e">
        <f t="shared" si="204"/>
        <v>#DIV/0!</v>
      </c>
      <c r="J302" s="37" t="e">
        <f t="shared" si="205"/>
        <v>#DIV/0!</v>
      </c>
      <c r="K302" s="37" t="e">
        <f t="shared" si="206"/>
        <v>#DIV/0!</v>
      </c>
      <c r="L302" s="39" t="e">
        <f t="shared" si="189"/>
        <v>#DIV/0!</v>
      </c>
      <c r="M302" s="39" t="e">
        <f>M301+(1000*$C$2*(B302-B301))/(BerechnungenCLT!$W$47*2*'Berechnung freier Bereich'!G302)</f>
        <v>#DIV/0!</v>
      </c>
      <c r="N302" s="17" t="e">
        <f t="shared" si="207"/>
        <v>#DIV/0!</v>
      </c>
      <c r="O302" s="173">
        <f t="shared" si="208"/>
        <v>1775.0096384482238</v>
      </c>
      <c r="P302" s="173"/>
      <c r="Q302" s="173"/>
      <c r="R302" s="37" t="e">
        <f t="shared" si="190"/>
        <v>#DIV/0!</v>
      </c>
      <c r="S302" s="37" t="e">
        <f t="shared" si="191"/>
        <v>#DIV/0!</v>
      </c>
      <c r="T302" s="37" t="e">
        <f t="shared" si="192"/>
        <v>#DIV/0!</v>
      </c>
      <c r="U302" s="39" t="e">
        <f t="shared" si="193"/>
        <v>#DIV/0!</v>
      </c>
      <c r="V302" s="39" t="e">
        <f t="shared" si="209"/>
        <v>#DIV/0!</v>
      </c>
      <c r="W302" s="9" t="e">
        <f t="shared" si="210"/>
        <v>#DIV/0!</v>
      </c>
      <c r="AB302" s="129">
        <v>122.69115565261986</v>
      </c>
      <c r="AC302" s="9">
        <v>8.125</v>
      </c>
      <c r="AD302" s="129">
        <f t="shared" si="211"/>
        <v>130.8161562911483</v>
      </c>
      <c r="AE302" s="36">
        <f t="shared" si="243"/>
        <v>1.1000506655276417E-2</v>
      </c>
      <c r="AF302" s="37">
        <f t="shared" si="212"/>
        <v>52035609.95743572</v>
      </c>
      <c r="AG302" s="36">
        <f t="shared" si="194"/>
        <v>1.9958974201612112</v>
      </c>
      <c r="AH302" s="37">
        <f t="shared" si="213"/>
        <v>-1.513014002360389E-4</v>
      </c>
      <c r="AI302" s="37">
        <f t="shared" si="214"/>
        <v>-4.5460099063262996E-2</v>
      </c>
      <c r="AJ302" s="37">
        <f t="shared" si="215"/>
        <v>-6.1280311005335877</v>
      </c>
      <c r="AK302" s="39">
        <f t="shared" si="216"/>
        <v>1.9792667620347246E-2</v>
      </c>
      <c r="AL302" s="39">
        <f>AL301+(1000*$C$2*($B302-$B301))/(BerechnungenCLT!$W$47*2*AF302)</f>
        <v>1.3084238654266602E-2</v>
      </c>
      <c r="AM302" s="37">
        <f t="shared" si="195"/>
        <v>2.5139737268027371E-6</v>
      </c>
      <c r="AN302" s="173">
        <f t="shared" si="217"/>
        <v>1673.7209155617836</v>
      </c>
      <c r="AO302" s="173">
        <v>-257.76742002652725</v>
      </c>
      <c r="AV302" s="129">
        <v>124.12986577991016</v>
      </c>
      <c r="AW302" s="9">
        <v>8</v>
      </c>
      <c r="AX302" s="129">
        <f t="shared" si="218"/>
        <v>132.21223373056372</v>
      </c>
      <c r="AY302" s="36">
        <f t="shared" si="244"/>
        <v>1.1065151102764438E-2</v>
      </c>
      <c r="AZ302" s="37">
        <f t="shared" si="219"/>
        <v>53516763.308268026</v>
      </c>
      <c r="BA302" s="36">
        <f t="shared" si="196"/>
        <v>1.9960294550289204</v>
      </c>
      <c r="BB302" s="37">
        <f t="shared" si="220"/>
        <v>-1.4711391650025388E-4</v>
      </c>
      <c r="BC302" s="37">
        <f t="shared" si="221"/>
        <v>-4.1992568757664404E-2</v>
      </c>
      <c r="BD302" s="37">
        <f t="shared" si="222"/>
        <v>-5.6112467784005764</v>
      </c>
      <c r="BE302" s="39">
        <f t="shared" si="223"/>
        <v>1.94502595133502E-2</v>
      </c>
      <c r="BF302" s="39">
        <f>BF301+(1000*$C$2*($B302-$B301))/(BerechnungenCLT!$W$47*2*AZ302)</f>
        <v>1.2081764011708747E-2</v>
      </c>
      <c r="BG302" s="37">
        <f t="shared" si="197"/>
        <v>2.4704826218467833E-6</v>
      </c>
      <c r="BH302" s="173">
        <f t="shared" si="224"/>
        <v>1636.9075425843428</v>
      </c>
      <c r="BI302">
        <v>-257.47337311820775</v>
      </c>
      <c r="BP302" s="129">
        <v>112.27991594851794</v>
      </c>
      <c r="BQ302" s="9">
        <v>9.4375</v>
      </c>
      <c r="BR302" s="129">
        <f t="shared" si="225"/>
        <v>123.94093243323675</v>
      </c>
      <c r="BS302" s="36">
        <f t="shared" si="245"/>
        <v>1.4711380497996291E-2</v>
      </c>
      <c r="BT302" s="37">
        <f t="shared" si="226"/>
        <v>60507333.07146021</v>
      </c>
      <c r="BU302" s="36">
        <f t="shared" si="198"/>
        <v>1.9902879453093048</v>
      </c>
      <c r="BV302" s="37">
        <f t="shared" si="227"/>
        <v>-1.3011746261231135E-4</v>
      </c>
      <c r="BW302" s="37">
        <f t="shared" si="228"/>
        <v>-4.8519280059538247E-2</v>
      </c>
      <c r="BX302" s="37">
        <f t="shared" si="229"/>
        <v>-6.3394861830783826</v>
      </c>
      <c r="BY302" s="39">
        <f t="shared" si="230"/>
        <v>1.612687964201669E-2</v>
      </c>
      <c r="BZ302" s="39">
        <f>BZ301+(1000*$C$2*($B302-$B301))/(BerechnungenCLT!$W$47*2*BT302)</f>
        <v>1.3968658610599965E-2</v>
      </c>
      <c r="CA302" s="37">
        <f t="shared" si="199"/>
        <v>2.0483621759838655E-6</v>
      </c>
      <c r="CB302" s="173">
        <f t="shared" si="231"/>
        <v>1927.6472982790988</v>
      </c>
      <c r="CC302" s="9">
        <v>-259.23337771274106</v>
      </c>
      <c r="CJ302" s="9">
        <f t="shared" si="247"/>
        <v>251</v>
      </c>
      <c r="CK302" s="129">
        <v>93.204193759966287</v>
      </c>
      <c r="CL302" s="9">
        <v>8.390625</v>
      </c>
      <c r="CM302" s="129">
        <f t="shared" si="232"/>
        <v>105.14652404221142</v>
      </c>
      <c r="CN302" s="36">
        <f t="shared" si="246"/>
        <v>1.2650906575954387E-2</v>
      </c>
      <c r="CO302" s="173">
        <f t="shared" si="233"/>
        <v>2733.9871618993025</v>
      </c>
      <c r="CP302" s="9">
        <v>-631.78636144280904</v>
      </c>
      <c r="CQ302" s="129"/>
      <c r="CR302" s="36">
        <f t="shared" si="234"/>
        <v>0.7878817443024797</v>
      </c>
      <c r="CS302" s="17">
        <f t="shared" si="200"/>
        <v>0.5663932321785361</v>
      </c>
      <c r="CT302" s="9">
        <f t="shared" si="201"/>
        <v>8.8884801476813635</v>
      </c>
      <c r="CU302" s="9">
        <f t="shared" si="235"/>
        <v>105.85511852788166</v>
      </c>
      <c r="CV302" s="9">
        <v>13.2</v>
      </c>
      <c r="CW302" s="9">
        <f t="shared" si="236"/>
        <v>111.99168095259328</v>
      </c>
      <c r="CX302">
        <f t="shared" si="237"/>
        <v>22</v>
      </c>
      <c r="CY302" s="9">
        <f t="shared" si="202"/>
        <v>573.78093219130096</v>
      </c>
      <c r="CZ302" s="17">
        <f t="shared" si="238"/>
        <v>0.54028336364529284</v>
      </c>
      <c r="DA302">
        <v>45</v>
      </c>
      <c r="DB302" s="9">
        <f t="shared" si="239"/>
        <v>9.2594076530780356</v>
      </c>
      <c r="DC302" s="9">
        <f t="shared" si="240"/>
        <v>10.047392681001636</v>
      </c>
    </row>
    <row r="303" spans="2:107" x14ac:dyDescent="0.25">
      <c r="B303" s="9">
        <f t="shared" si="241"/>
        <v>252</v>
      </c>
      <c r="C303" s="9">
        <v>123.337740026362</v>
      </c>
      <c r="D303" s="9"/>
      <c r="E303" s="9">
        <f t="shared" si="203"/>
        <v>123.337740026362</v>
      </c>
      <c r="F303" s="36">
        <f t="shared" si="242"/>
        <v>0</v>
      </c>
      <c r="G303" s="37">
        <f t="shared" si="249"/>
        <v>0</v>
      </c>
      <c r="H303" s="36" t="e">
        <f t="shared" si="188"/>
        <v>#DIV/0!</v>
      </c>
      <c r="I303" s="37" t="e">
        <f t="shared" si="204"/>
        <v>#DIV/0!</v>
      </c>
      <c r="J303" s="37" t="e">
        <f t="shared" si="205"/>
        <v>#DIV/0!</v>
      </c>
      <c r="K303" s="37" t="e">
        <f t="shared" si="206"/>
        <v>#DIV/0!</v>
      </c>
      <c r="L303" s="39" t="e">
        <f t="shared" si="189"/>
        <v>#DIV/0!</v>
      </c>
      <c r="M303" s="39" t="e">
        <f>M302+(1000*$C$2*(B303-B302))/(BerechnungenCLT!$W$47*2*'Berechnung freier Bereich'!G303)</f>
        <v>#DIV/0!</v>
      </c>
      <c r="N303" s="17" t="e">
        <f t="shared" si="207"/>
        <v>#DIV/0!</v>
      </c>
      <c r="O303" s="173">
        <f t="shared" si="208"/>
        <v>1767.7142370783338</v>
      </c>
      <c r="P303" s="173"/>
      <c r="Q303" s="173"/>
      <c r="R303" s="37" t="e">
        <f t="shared" si="190"/>
        <v>#DIV/0!</v>
      </c>
      <c r="S303" s="37" t="e">
        <f t="shared" si="191"/>
        <v>#DIV/0!</v>
      </c>
      <c r="T303" s="37" t="e">
        <f t="shared" si="192"/>
        <v>#DIV/0!</v>
      </c>
      <c r="U303" s="39" t="e">
        <f t="shared" si="193"/>
        <v>#DIV/0!</v>
      </c>
      <c r="V303" s="39" t="e">
        <f t="shared" si="209"/>
        <v>#DIV/0!</v>
      </c>
      <c r="W303" s="9" t="e">
        <f t="shared" si="210"/>
        <v>#DIV/0!</v>
      </c>
      <c r="AB303" s="129">
        <v>122.69075919803218</v>
      </c>
      <c r="AC303" s="9">
        <v>8.125</v>
      </c>
      <c r="AD303" s="129">
        <f t="shared" si="211"/>
        <v>130.81634448850886</v>
      </c>
      <c r="AE303" s="36">
        <f t="shared" si="243"/>
        <v>1.1001289182854534E-2</v>
      </c>
      <c r="AF303" s="37">
        <f t="shared" si="212"/>
        <v>52039233.813741162</v>
      </c>
      <c r="AG303" s="36">
        <f t="shared" si="194"/>
        <v>1.9958968238976511</v>
      </c>
      <c r="AH303" s="37">
        <f t="shared" si="213"/>
        <v>-1.5129086405990628E-4</v>
      </c>
      <c r="AI303" s="37">
        <f t="shared" si="214"/>
        <v>-4.5611389927322901E-2</v>
      </c>
      <c r="AJ303" s="37">
        <f t="shared" si="215"/>
        <v>-6.1735668450288808</v>
      </c>
      <c r="AK303" s="39">
        <f t="shared" si="216"/>
        <v>1.9791317790824863E-2</v>
      </c>
      <c r="AL303" s="39">
        <f>AL302+(1000*$C$2*($B303-$B302))/(BerechnungenCLT!$W$47*2*AF303)</f>
        <v>1.3127977373807836E-2</v>
      </c>
      <c r="AM303" s="37">
        <f t="shared" si="195"/>
        <v>2.5138022776570224E-6</v>
      </c>
      <c r="AN303" s="173">
        <f t="shared" si="217"/>
        <v>1673.7236655014499</v>
      </c>
      <c r="AO303" s="173">
        <v>-257.6989883445591</v>
      </c>
      <c r="AV303" s="129">
        <v>124.27373375811369</v>
      </c>
      <c r="AW303" s="9">
        <v>7.9375</v>
      </c>
      <c r="AX303" s="129">
        <f t="shared" si="218"/>
        <v>132.30536947635304</v>
      </c>
      <c r="AY303" s="36">
        <f t="shared" si="244"/>
        <v>1.1005862416517036E-2</v>
      </c>
      <c r="AZ303" s="37">
        <f t="shared" si="219"/>
        <v>53327727.570026636</v>
      </c>
      <c r="BA303" s="36">
        <f t="shared" si="196"/>
        <v>1.9960863005498819</v>
      </c>
      <c r="BB303" s="37">
        <f t="shared" si="220"/>
        <v>-1.4763540483434217E-4</v>
      </c>
      <c r="BC303" s="37">
        <f t="shared" si="221"/>
        <v>-4.2140204162498744E-2</v>
      </c>
      <c r="BD303" s="37">
        <f t="shared" si="222"/>
        <v>-5.6533131648606583</v>
      </c>
      <c r="BE303" s="39">
        <f t="shared" si="223"/>
        <v>1.9532956784398599E-2</v>
      </c>
      <c r="BF303" s="39">
        <f>BF302+(1000*$C$2*($B303-$B302))/(BerechnungenCLT!$W$47*2*AZ303)</f>
        <v>1.2124445925164202E-2</v>
      </c>
      <c r="BG303" s="37">
        <f t="shared" si="197"/>
        <v>2.4809864493591614E-6</v>
      </c>
      <c r="BH303" s="173">
        <f t="shared" si="224"/>
        <v>1633.8848957581281</v>
      </c>
      <c r="BI303">
        <v>-258.94245810530299</v>
      </c>
      <c r="BP303" s="129">
        <v>113.00566950362582</v>
      </c>
      <c r="BQ303" s="9">
        <v>9.375</v>
      </c>
      <c r="BR303" s="129">
        <f t="shared" si="225"/>
        <v>124.62604662637678</v>
      </c>
      <c r="BS303" s="36">
        <f t="shared" si="245"/>
        <v>1.4747670342468207E-2</v>
      </c>
      <c r="BT303" s="37">
        <f t="shared" si="226"/>
        <v>61380525.815414399</v>
      </c>
      <c r="BU303" s="36">
        <f t="shared" si="198"/>
        <v>1.9904690539050094</v>
      </c>
      <c r="BV303" s="37">
        <f t="shared" si="227"/>
        <v>-1.2826642561473858E-4</v>
      </c>
      <c r="BW303" s="37">
        <f t="shared" si="228"/>
        <v>-4.8647546485152987E-2</v>
      </c>
      <c r="BX303" s="37">
        <f t="shared" si="229"/>
        <v>-6.3880695963507286</v>
      </c>
      <c r="BY303" s="39">
        <f t="shared" si="230"/>
        <v>1.59853375392611E-2</v>
      </c>
      <c r="BZ303" s="39">
        <f>BZ302+(1000*$C$2*($B303-$B302))/(BerechnungenCLT!$W$47*2*BT303)</f>
        <v>1.4005740884214968E-2</v>
      </c>
      <c r="CA303" s="37">
        <f t="shared" si="199"/>
        <v>2.0303841482420085E-6</v>
      </c>
      <c r="CB303" s="173">
        <f t="shared" si="231"/>
        <v>1904.8255817664149</v>
      </c>
      <c r="CC303" s="9">
        <v>-257.87203521212109</v>
      </c>
      <c r="CJ303" s="9">
        <f t="shared" si="247"/>
        <v>252</v>
      </c>
      <c r="CK303" s="129">
        <v>94.216995413307217</v>
      </c>
      <c r="CL303" s="9">
        <v>8.234375</v>
      </c>
      <c r="CM303" s="129">
        <f t="shared" si="232"/>
        <v>106.14999048584482</v>
      </c>
      <c r="CN303" s="36">
        <f t="shared" si="246"/>
        <v>1.2769515527678363E-2</v>
      </c>
      <c r="CO303" s="173">
        <f t="shared" si="233"/>
        <v>2679.2404628653462</v>
      </c>
      <c r="CP303" s="9">
        <v>-630.88345694958753</v>
      </c>
      <c r="CQ303" s="129"/>
      <c r="CR303" s="36">
        <f t="shared" si="234"/>
        <v>0.78315850081419303</v>
      </c>
      <c r="CS303" s="17">
        <f t="shared" si="200"/>
        <v>0.56299778208079931</v>
      </c>
      <c r="CT303" s="9">
        <f t="shared" si="201"/>
        <v>8.7755674307273566</v>
      </c>
      <c r="CU303" s="9">
        <f t="shared" si="235"/>
        <v>106.93426939094256</v>
      </c>
      <c r="CV303" s="9">
        <v>13.2</v>
      </c>
      <c r="CW303" s="9">
        <f t="shared" si="236"/>
        <v>113.34601673641873</v>
      </c>
      <c r="CX303">
        <f t="shared" si="237"/>
        <v>22</v>
      </c>
      <c r="CY303" s="9">
        <f t="shared" si="202"/>
        <v>567.61297624843121</v>
      </c>
      <c r="CZ303" s="17">
        <f t="shared" si="238"/>
        <v>0.53447549552582985</v>
      </c>
      <c r="DA303">
        <v>45</v>
      </c>
      <c r="DB303" s="9">
        <f t="shared" si="239"/>
        <v>9.1598720720625693</v>
      </c>
      <c r="DC303" s="9">
        <f t="shared" si="240"/>
        <v>9.943135262436293</v>
      </c>
    </row>
    <row r="304" spans="2:107" x14ac:dyDescent="0.25">
      <c r="B304" s="9">
        <f t="shared" si="241"/>
        <v>253</v>
      </c>
      <c r="C304" s="9">
        <v>123.59690809484906</v>
      </c>
      <c r="D304" s="9"/>
      <c r="E304" s="9">
        <f t="shared" si="203"/>
        <v>123.59690809484906</v>
      </c>
      <c r="F304" s="36">
        <f t="shared" si="242"/>
        <v>0</v>
      </c>
      <c r="G304" s="37">
        <f t="shared" si="249"/>
        <v>0</v>
      </c>
      <c r="H304" s="36" t="e">
        <f t="shared" si="188"/>
        <v>#DIV/0!</v>
      </c>
      <c r="I304" s="37" t="e">
        <f t="shared" si="204"/>
        <v>#DIV/0!</v>
      </c>
      <c r="J304" s="37" t="e">
        <f t="shared" si="205"/>
        <v>#DIV/0!</v>
      </c>
      <c r="K304" s="37" t="e">
        <f t="shared" si="206"/>
        <v>#DIV/0!</v>
      </c>
      <c r="L304" s="39" t="e">
        <f t="shared" si="189"/>
        <v>#DIV/0!</v>
      </c>
      <c r="M304" s="39" t="e">
        <f>M303+(1000*$C$2*(B304-B303))/(BerechnungenCLT!$W$47*2*'Berechnung freier Bereich'!G304)</f>
        <v>#DIV/0!</v>
      </c>
      <c r="N304" s="17" t="e">
        <f t="shared" si="207"/>
        <v>#DIV/0!</v>
      </c>
      <c r="O304" s="173">
        <f t="shared" si="208"/>
        <v>1760.308635044652</v>
      </c>
      <c r="P304" s="173"/>
      <c r="Q304" s="173"/>
      <c r="R304" s="37" t="e">
        <f t="shared" si="190"/>
        <v>#DIV/0!</v>
      </c>
      <c r="S304" s="37" t="e">
        <f t="shared" si="191"/>
        <v>#DIV/0!</v>
      </c>
      <c r="T304" s="37" t="e">
        <f t="shared" si="192"/>
        <v>#DIV/0!</v>
      </c>
      <c r="U304" s="39" t="e">
        <f t="shared" si="193"/>
        <v>#DIV/0!</v>
      </c>
      <c r="V304" s="39" t="e">
        <f t="shared" si="209"/>
        <v>#DIV/0!</v>
      </c>
      <c r="W304" s="9" t="e">
        <f t="shared" si="210"/>
        <v>#DIV/0!</v>
      </c>
      <c r="AB304" s="129">
        <v>122.70276239306938</v>
      </c>
      <c r="AC304" s="9">
        <v>8.125</v>
      </c>
      <c r="AD304" s="129">
        <f t="shared" si="211"/>
        <v>130.83055050804941</v>
      </c>
      <c r="AE304" s="36">
        <f t="shared" si="243"/>
        <v>1.1005409296244707E-2</v>
      </c>
      <c r="AF304" s="37">
        <f t="shared" si="212"/>
        <v>52069505.944905356</v>
      </c>
      <c r="AG304" s="36">
        <f t="shared" si="194"/>
        <v>1.9958954497495365</v>
      </c>
      <c r="AH304" s="37">
        <f t="shared" si="213"/>
        <v>-1.5120290668835736E-4</v>
      </c>
      <c r="AI304" s="37">
        <f t="shared" si="214"/>
        <v>-4.5762592834011261E-2</v>
      </c>
      <c r="AJ304" s="37">
        <f t="shared" si="215"/>
        <v>-6.219253836409548</v>
      </c>
      <c r="AK304" s="39">
        <f t="shared" si="216"/>
        <v>1.9781959520455021E-2</v>
      </c>
      <c r="AL304" s="39">
        <f>AL303+(1000*$C$2*($B304-$B303))/(BerechnungenCLT!$W$47*2*AF304)</f>
        <v>1.3171690664564393E-2</v>
      </c>
      <c r="AM304" s="37">
        <f t="shared" si="195"/>
        <v>2.512613633140306E-6</v>
      </c>
      <c r="AN304" s="173">
        <f t="shared" si="217"/>
        <v>1673.3776382689859</v>
      </c>
      <c r="AO304" s="173">
        <v>-257.61804053935941</v>
      </c>
      <c r="AV304" s="129">
        <v>124.42820021606491</v>
      </c>
      <c r="AW304" s="9">
        <v>7.9375</v>
      </c>
      <c r="AX304" s="129">
        <f t="shared" si="218"/>
        <v>132.47422624424084</v>
      </c>
      <c r="AY304" s="36">
        <f t="shared" si="244"/>
        <v>1.1039475333709992E-2</v>
      </c>
      <c r="AZ304" s="37">
        <f t="shared" si="219"/>
        <v>53625546.34450309</v>
      </c>
      <c r="BA304" s="36">
        <f t="shared" si="196"/>
        <v>1.9960821499605332</v>
      </c>
      <c r="BB304" s="37">
        <f t="shared" si="220"/>
        <v>-1.4681548600210066E-4</v>
      </c>
      <c r="BC304" s="37">
        <f t="shared" si="221"/>
        <v>-4.2287019648500845E-2</v>
      </c>
      <c r="BD304" s="37">
        <f t="shared" si="222"/>
        <v>-5.6955267767661582</v>
      </c>
      <c r="BE304" s="39">
        <f t="shared" si="223"/>
        <v>1.9449267908800458E-2</v>
      </c>
      <c r="BF304" s="39">
        <f>BF303+(1000*$C$2*($B304-$B303))/(BerechnungenCLT!$W$47*2*AZ304)</f>
        <v>1.2166890797208908E-2</v>
      </c>
      <c r="BG304" s="37">
        <f t="shared" si="197"/>
        <v>2.4703566727916455E-6</v>
      </c>
      <c r="BH304" s="173">
        <f t="shared" si="224"/>
        <v>1629.7748488829061</v>
      </c>
      <c r="BI304">
        <v>-258.23517019562627</v>
      </c>
      <c r="BP304" s="129">
        <v>113.73804736922946</v>
      </c>
      <c r="BQ304" s="9">
        <v>9.25</v>
      </c>
      <c r="BR304" s="129">
        <f t="shared" si="225"/>
        <v>125.23468316043625</v>
      </c>
      <c r="BS304" s="36">
        <f t="shared" si="245"/>
        <v>1.467296607018939E-2</v>
      </c>
      <c r="BT304" s="37">
        <f t="shared" si="226"/>
        <v>61756074.346317314</v>
      </c>
      <c r="BU304" s="36">
        <f t="shared" si="198"/>
        <v>1.9907743035881407</v>
      </c>
      <c r="BV304" s="37">
        <f t="shared" si="227"/>
        <v>-1.2748641703722358E-4</v>
      </c>
      <c r="BW304" s="37">
        <f t="shared" si="228"/>
        <v>-4.8775032902190207E-2</v>
      </c>
      <c r="BX304" s="37">
        <f t="shared" si="229"/>
        <v>-6.4367808860444002</v>
      </c>
      <c r="BY304" s="39">
        <f t="shared" si="230"/>
        <v>1.5965721044915938E-2</v>
      </c>
      <c r="BZ304" s="39">
        <f>BZ303+(1000*$C$2*($B304-$B303))/(BerechnungenCLT!$W$47*2*BT304)</f>
        <v>1.4042597654613872E-2</v>
      </c>
      <c r="CA304" s="37">
        <f t="shared" si="199"/>
        <v>2.0278925512353967E-6</v>
      </c>
      <c r="CB304" s="173">
        <f t="shared" si="231"/>
        <v>1883.5074052235773</v>
      </c>
      <c r="CC304" s="9">
        <v>-258.43177385228563</v>
      </c>
      <c r="CJ304" s="9">
        <f t="shared" si="247"/>
        <v>253</v>
      </c>
      <c r="CK304" s="129">
        <v>95.265846551320166</v>
      </c>
      <c r="CL304" s="9">
        <v>8.078125</v>
      </c>
      <c r="CM304" s="129">
        <f t="shared" si="232"/>
        <v>107.17404147397012</v>
      </c>
      <c r="CN304" s="36">
        <f t="shared" si="246"/>
        <v>1.2874809666029446E-2</v>
      </c>
      <c r="CO304" s="173">
        <f t="shared" si="233"/>
        <v>2624.6527137566759</v>
      </c>
      <c r="CP304" s="9">
        <v>-629.98377589643667</v>
      </c>
      <c r="CQ304" s="129"/>
      <c r="CR304" s="36">
        <f t="shared" si="234"/>
        <v>0.77837745152629623</v>
      </c>
      <c r="CS304" s="17">
        <f t="shared" si="200"/>
        <v>0.55956077649086244</v>
      </c>
      <c r="CT304" s="9">
        <f t="shared" si="201"/>
        <v>8.6619277183720698</v>
      </c>
      <c r="CU304" s="9">
        <f t="shared" si="235"/>
        <v>108.03464174528897</v>
      </c>
      <c r="CV304" s="9">
        <v>13.2</v>
      </c>
      <c r="CW304" s="9">
        <f t="shared" si="236"/>
        <v>114.72434378662902</v>
      </c>
      <c r="CX304">
        <f t="shared" si="237"/>
        <v>22</v>
      </c>
      <c r="CY304" s="9">
        <f t="shared" si="202"/>
        <v>561.36371129524173</v>
      </c>
      <c r="CZ304" s="17">
        <f t="shared" si="238"/>
        <v>0.52859106524975674</v>
      </c>
      <c r="DA304">
        <v>45</v>
      </c>
      <c r="DB304" s="9">
        <f t="shared" si="239"/>
        <v>9.0590243643621999</v>
      </c>
      <c r="DC304" s="9">
        <f t="shared" si="240"/>
        <v>9.8374981158905079</v>
      </c>
    </row>
    <row r="305" spans="2:107" x14ac:dyDescent="0.25">
      <c r="B305" s="9">
        <f t="shared" si="241"/>
        <v>254</v>
      </c>
      <c r="C305" s="9">
        <v>123.86205307273404</v>
      </c>
      <c r="D305" s="9"/>
      <c r="E305" s="9">
        <f t="shared" si="203"/>
        <v>123.86205307273404</v>
      </c>
      <c r="F305" s="36">
        <f t="shared" si="242"/>
        <v>0</v>
      </c>
      <c r="G305" s="37">
        <f t="shared" si="249"/>
        <v>0</v>
      </c>
      <c r="H305" s="36" t="e">
        <f t="shared" si="188"/>
        <v>#DIV/0!</v>
      </c>
      <c r="I305" s="37" t="e">
        <f t="shared" si="204"/>
        <v>#DIV/0!</v>
      </c>
      <c r="J305" s="37" t="e">
        <f t="shared" si="205"/>
        <v>#DIV/0!</v>
      </c>
      <c r="K305" s="37" t="e">
        <f t="shared" si="206"/>
        <v>#DIV/0!</v>
      </c>
      <c r="L305" s="39" t="e">
        <f t="shared" si="189"/>
        <v>#DIV/0!</v>
      </c>
      <c r="M305" s="39" t="e">
        <f>M304+(1000*$C$2*(B305-B304))/(BerechnungenCLT!$W$47*2*'Berechnung freier Bereich'!G305)</f>
        <v>#DIV/0!</v>
      </c>
      <c r="N305" s="17" t="e">
        <f t="shared" si="207"/>
        <v>#DIV/0!</v>
      </c>
      <c r="O305" s="173">
        <f t="shared" si="208"/>
        <v>1752.7803013397856</v>
      </c>
      <c r="P305" s="173"/>
      <c r="Q305" s="173"/>
      <c r="R305" s="37" t="e">
        <f t="shared" si="190"/>
        <v>#DIV/0!</v>
      </c>
      <c r="S305" s="37" t="e">
        <f t="shared" si="191"/>
        <v>#DIV/0!</v>
      </c>
      <c r="T305" s="37" t="e">
        <f t="shared" si="192"/>
        <v>#DIV/0!</v>
      </c>
      <c r="U305" s="39" t="e">
        <f t="shared" si="193"/>
        <v>#DIV/0!</v>
      </c>
      <c r="V305" s="39" t="e">
        <f t="shared" si="209"/>
        <v>#DIV/0!</v>
      </c>
      <c r="W305" s="9" t="e">
        <f t="shared" si="210"/>
        <v>#DIV/0!</v>
      </c>
      <c r="AB305" s="129">
        <v>122.72896206825004</v>
      </c>
      <c r="AC305" s="9">
        <v>8.125</v>
      </c>
      <c r="AD305" s="129">
        <f t="shared" si="211"/>
        <v>130.86119111002949</v>
      </c>
      <c r="AE305" s="36">
        <f t="shared" si="243"/>
        <v>1.1013891199821064E-2</v>
      </c>
      <c r="AF305" s="37">
        <f t="shared" si="212"/>
        <v>52133038.367024601</v>
      </c>
      <c r="AG305" s="36">
        <f t="shared" si="194"/>
        <v>1.9958928090554997</v>
      </c>
      <c r="AH305" s="37">
        <f t="shared" si="213"/>
        <v>-1.5101864183071081E-4</v>
      </c>
      <c r="AI305" s="37">
        <f t="shared" si="214"/>
        <v>-4.591361147584197E-2</v>
      </c>
      <c r="AJ305" s="37">
        <f t="shared" si="215"/>
        <v>-6.265091938564475</v>
      </c>
      <c r="AK305" s="39">
        <f t="shared" si="216"/>
        <v>1.9762479349785742E-2</v>
      </c>
      <c r="AL305" s="39">
        <f>AL304+(1000*$C$2*($B305-$B304))/(BerechnungenCLT!$W$47*2*AF305)</f>
        <v>1.3215350683704188E-2</v>
      </c>
      <c r="AM305" s="37">
        <f t="shared" si="195"/>
        <v>2.5101393513408253E-6</v>
      </c>
      <c r="AN305" s="173">
        <f t="shared" si="217"/>
        <v>1672.6275729538534</v>
      </c>
      <c r="AO305" s="173">
        <v>-257.51566453636622</v>
      </c>
      <c r="AV305" s="129">
        <v>124.5941281526555</v>
      </c>
      <c r="AW305" s="9">
        <v>7.9375</v>
      </c>
      <c r="AX305" s="129">
        <f t="shared" si="218"/>
        <v>132.656744820011</v>
      </c>
      <c r="AY305" s="36">
        <f t="shared" si="244"/>
        <v>1.1077242500002351E-2</v>
      </c>
      <c r="AZ305" s="37">
        <f t="shared" si="219"/>
        <v>53955144.708394408</v>
      </c>
      <c r="BA305" s="36">
        <f t="shared" si="196"/>
        <v>1.9960766345368863</v>
      </c>
      <c r="BB305" s="37">
        <f t="shared" si="220"/>
        <v>-1.4591862724578128E-4</v>
      </c>
      <c r="BC305" s="37">
        <f t="shared" si="221"/>
        <v>-4.2432938275746623E-2</v>
      </c>
      <c r="BD305" s="37">
        <f t="shared" si="222"/>
        <v>-5.7378867557282822</v>
      </c>
      <c r="BE305" s="39">
        <f t="shared" si="223"/>
        <v>1.9357090099029913E-2</v>
      </c>
      <c r="BF305" s="39">
        <f>BF304+(1000*$C$2*($B305-$B304))/(BerechnungenCLT!$W$47*2*AZ305)</f>
        <v>1.2209076384240904E-2</v>
      </c>
      <c r="BG305" s="37">
        <f t="shared" si="197"/>
        <v>2.458648670798062E-6</v>
      </c>
      <c r="BH305" s="173">
        <f t="shared" si="224"/>
        <v>1625.3627763237566</v>
      </c>
      <c r="BI305">
        <v>-257.50411101872299</v>
      </c>
      <c r="BP305" s="129">
        <v>114.47611888566117</v>
      </c>
      <c r="BQ305" s="9">
        <v>9.125</v>
      </c>
      <c r="BR305" s="129">
        <f t="shared" si="225"/>
        <v>125.84325816828309</v>
      </c>
      <c r="BS305" s="36">
        <f t="shared" si="245"/>
        <v>1.4589444798152761E-2</v>
      </c>
      <c r="BT305" s="37">
        <f t="shared" si="226"/>
        <v>62093765.737180457</v>
      </c>
      <c r="BU305" s="36">
        <f t="shared" si="198"/>
        <v>1.9910807322401598</v>
      </c>
      <c r="BV305" s="37">
        <f t="shared" si="227"/>
        <v>-1.2679309356143894E-4</v>
      </c>
      <c r="BW305" s="37">
        <f t="shared" si="228"/>
        <v>-4.8901825995751644E-2</v>
      </c>
      <c r="BX305" s="37">
        <f t="shared" si="229"/>
        <v>-6.4856193154933708</v>
      </c>
      <c r="BY305" s="39">
        <f t="shared" si="230"/>
        <v>1.5956056007007433E-2</v>
      </c>
      <c r="BZ305" s="39">
        <f>BZ304+(1000*$C$2*($B305-$B304))/(BerechnungenCLT!$W$47*2*BT305)</f>
        <v>1.4079253982763688E-2</v>
      </c>
      <c r="CA305" s="37">
        <f t="shared" si="199"/>
        <v>2.0266649425150063E-6</v>
      </c>
      <c r="CB305" s="173">
        <f t="shared" si="231"/>
        <v>1862.4578150369559</v>
      </c>
      <c r="CC305" s="9">
        <v>-259.04420474528587</v>
      </c>
      <c r="CJ305" s="9">
        <f t="shared" si="247"/>
        <v>254</v>
      </c>
      <c r="CK305" s="129">
        <v>96.348923217928487</v>
      </c>
      <c r="CL305" s="9">
        <v>7.890625</v>
      </c>
      <c r="CM305" s="129">
        <f t="shared" si="232"/>
        <v>108.16983717005363</v>
      </c>
      <c r="CN305" s="36">
        <f t="shared" si="246"/>
        <v>1.2911687365775783E-2</v>
      </c>
      <c r="CO305" s="173">
        <f t="shared" si="233"/>
        <v>2571.566267766646</v>
      </c>
      <c r="CP305" s="9">
        <v>-631.9088000115263</v>
      </c>
      <c r="CQ305" s="129"/>
      <c r="CR305" s="36">
        <f t="shared" si="234"/>
        <v>0.77376652091967557</v>
      </c>
      <c r="CS305" s="17">
        <f t="shared" si="200"/>
        <v>0.5562460659920847</v>
      </c>
      <c r="CT305" s="9">
        <f t="shared" si="201"/>
        <v>8.5112961501239077</v>
      </c>
      <c r="CU305" s="9">
        <f t="shared" si="235"/>
        <v>109.09966215326867</v>
      </c>
      <c r="CV305" s="9">
        <v>13.2</v>
      </c>
      <c r="CW305" s="9">
        <f t="shared" si="236"/>
        <v>116.12379075605782</v>
      </c>
      <c r="CX305">
        <f t="shared" si="237"/>
        <v>22</v>
      </c>
      <c r="CY305" s="9">
        <f t="shared" si="202"/>
        <v>555.05331449081348</v>
      </c>
      <c r="CZ305" s="17">
        <f t="shared" si="238"/>
        <v>0.52264907202524813</v>
      </c>
      <c r="DA305">
        <v>45</v>
      </c>
      <c r="DB305" s="9">
        <f t="shared" si="239"/>
        <v>8.9571901395096347</v>
      </c>
      <c r="DC305" s="9">
        <f t="shared" si="240"/>
        <v>9.7310624394556395</v>
      </c>
    </row>
    <row r="306" spans="2:107" x14ac:dyDescent="0.25">
      <c r="B306" s="9">
        <f t="shared" si="241"/>
        <v>255</v>
      </c>
      <c r="C306" s="9">
        <v>124.13370771314214</v>
      </c>
      <c r="D306" s="9"/>
      <c r="E306" s="9">
        <f t="shared" si="203"/>
        <v>124.13370771314214</v>
      </c>
      <c r="F306" s="36">
        <f t="shared" si="242"/>
        <v>0</v>
      </c>
      <c r="G306" s="37">
        <f t="shared" si="249"/>
        <v>0</v>
      </c>
      <c r="H306" s="36" t="e">
        <f t="shared" si="188"/>
        <v>#DIV/0!</v>
      </c>
      <c r="I306" s="37" t="e">
        <f t="shared" si="204"/>
        <v>#DIV/0!</v>
      </c>
      <c r="J306" s="37" t="e">
        <f t="shared" si="205"/>
        <v>#DIV/0!</v>
      </c>
      <c r="K306" s="37" t="e">
        <f t="shared" si="206"/>
        <v>#DIV/0!</v>
      </c>
      <c r="L306" s="39" t="e">
        <f t="shared" si="189"/>
        <v>#DIV/0!</v>
      </c>
      <c r="M306" s="39" t="e">
        <f>M305+(1000*$C$2*(B306-B305))/(BerechnungenCLT!$W$47*2*'Berechnung freier Bereich'!G306)</f>
        <v>#DIV/0!</v>
      </c>
      <c r="N306" s="17" t="e">
        <f t="shared" si="207"/>
        <v>#DIV/0!</v>
      </c>
      <c r="O306" s="173">
        <f t="shared" si="208"/>
        <v>1745.1171145054207</v>
      </c>
      <c r="P306" s="173"/>
      <c r="Q306" s="173"/>
      <c r="R306" s="37" t="e">
        <f t="shared" si="190"/>
        <v>#DIV/0!</v>
      </c>
      <c r="S306" s="37" t="e">
        <f t="shared" si="191"/>
        <v>#DIV/0!</v>
      </c>
      <c r="T306" s="37" t="e">
        <f t="shared" si="192"/>
        <v>#DIV/0!</v>
      </c>
      <c r="U306" s="39" t="e">
        <f t="shared" si="193"/>
        <v>#DIV/0!</v>
      </c>
      <c r="V306" s="39" t="e">
        <f t="shared" si="209"/>
        <v>#DIV/0!</v>
      </c>
      <c r="W306" s="9" t="e">
        <f t="shared" si="210"/>
        <v>#DIV/0!</v>
      </c>
      <c r="AB306" s="129">
        <v>122.77115505409276</v>
      </c>
      <c r="AC306" s="9">
        <v>8.125</v>
      </c>
      <c r="AD306" s="129">
        <f t="shared" si="211"/>
        <v>130.91075870557253</v>
      </c>
      <c r="AE306" s="36">
        <f t="shared" si="243"/>
        <v>1.1027867955104957E-2</v>
      </c>
      <c r="AF306" s="37">
        <f t="shared" si="212"/>
        <v>52237037.258027144</v>
      </c>
      <c r="AG306" s="36">
        <f t="shared" si="194"/>
        <v>1.9958883395923623</v>
      </c>
      <c r="AH306" s="37">
        <f t="shared" si="213"/>
        <v>-1.5071797831502318E-4</v>
      </c>
      <c r="AI306" s="37">
        <f t="shared" si="214"/>
        <v>-4.6064329454156991E-2</v>
      </c>
      <c r="AJ306" s="37">
        <f t="shared" si="215"/>
        <v>-6.3110809090294744</v>
      </c>
      <c r="AK306" s="39">
        <f t="shared" si="216"/>
        <v>1.9730604891789714E-2</v>
      </c>
      <c r="AL306" s="39">
        <f>AL305+(1000*$C$2*($B306-$B305))/(BerechnungenCLT!$W$47*2*AF306)</f>
        <v>1.3258923779966843E-2</v>
      </c>
      <c r="AM306" s="37">
        <f t="shared" si="195"/>
        <v>2.5060908040962023E-6</v>
      </c>
      <c r="AN306" s="173">
        <f t="shared" si="217"/>
        <v>1671.4177624631245</v>
      </c>
      <c r="AO306" s="173">
        <v>-257.38276255454684</v>
      </c>
      <c r="AV306" s="129">
        <v>124.77238056677712</v>
      </c>
      <c r="AW306" s="9">
        <v>7.875</v>
      </c>
      <c r="AX306" s="129">
        <f t="shared" si="218"/>
        <v>132.79038842466343</v>
      </c>
      <c r="AY306" s="36">
        <f t="shared" si="244"/>
        <v>1.1029310341985022E-2</v>
      </c>
      <c r="AZ306" s="37">
        <f t="shared" si="219"/>
        <v>53851312.015309781</v>
      </c>
      <c r="BA306" s="36">
        <f t="shared" si="196"/>
        <v>1.9961292437596256</v>
      </c>
      <c r="BB306" s="37">
        <f t="shared" si="220"/>
        <v>-1.4619997831172811E-4</v>
      </c>
      <c r="BC306" s="37">
        <f t="shared" si="221"/>
        <v>-4.2579138254058353E-2</v>
      </c>
      <c r="BD306" s="37">
        <f t="shared" si="222"/>
        <v>-5.780392793993185</v>
      </c>
      <c r="BE306" s="39">
        <f t="shared" si="223"/>
        <v>1.9413951907691747E-2</v>
      </c>
      <c r="BF306" s="39">
        <f>BF305+(1000*$C$2*($B306-$B305))/(BerechnungenCLT!$W$47*2*AZ306)</f>
        <v>1.225134331085307E-2</v>
      </c>
      <c r="BG306" s="37">
        <f t="shared" si="197"/>
        <v>2.4658709965490067E-6</v>
      </c>
      <c r="BH306" s="173">
        <f t="shared" si="224"/>
        <v>1621.4286888111992</v>
      </c>
      <c r="BI306">
        <v>-258.91177882539165</v>
      </c>
      <c r="BP306" s="129">
        <v>115.21895339325332</v>
      </c>
      <c r="BQ306" s="9">
        <v>9.0625</v>
      </c>
      <c r="BR306" s="129">
        <f t="shared" si="225"/>
        <v>126.52898014716313</v>
      </c>
      <c r="BS306" s="36">
        <f t="shared" si="245"/>
        <v>1.4602432142468532E-2</v>
      </c>
      <c r="BT306" s="37">
        <f t="shared" si="226"/>
        <v>62887070.562424012</v>
      </c>
      <c r="BU306" s="36">
        <f t="shared" si="198"/>
        <v>1.9912735486603084</v>
      </c>
      <c r="BV306" s="37">
        <f t="shared" si="227"/>
        <v>-1.2519363007824168E-4</v>
      </c>
      <c r="BW306" s="37">
        <f t="shared" si="228"/>
        <v>-4.9027019625829886E-2</v>
      </c>
      <c r="BX306" s="37">
        <f t="shared" si="229"/>
        <v>-6.5345837383041614</v>
      </c>
      <c r="BY306" s="39">
        <f t="shared" si="230"/>
        <v>1.5840622334721124E-2</v>
      </c>
      <c r="BZ306" s="39">
        <f>BZ305+(1000*$C$2*($B306-$B305))/(BerechnungenCLT!$W$47*2*BT306)</f>
        <v>1.4115447900409455E-2</v>
      </c>
      <c r="CA306" s="37">
        <f t="shared" si="199"/>
        <v>2.0120030876866149E-6</v>
      </c>
      <c r="CB306" s="173">
        <f t="shared" si="231"/>
        <v>1840.5112779178153</v>
      </c>
      <c r="CC306" s="9">
        <v>-257.75718057810923</v>
      </c>
      <c r="CJ306" s="9">
        <f t="shared" si="247"/>
        <v>255</v>
      </c>
      <c r="CK306" s="129">
        <v>97.464401457055558</v>
      </c>
      <c r="CL306" s="9">
        <v>7.734375</v>
      </c>
      <c r="CM306" s="129">
        <f t="shared" si="232"/>
        <v>109.22839352087716</v>
      </c>
      <c r="CN306" s="36">
        <f t="shared" si="246"/>
        <v>1.2986103350938449E-2</v>
      </c>
      <c r="CO306" s="173">
        <f t="shared" si="233"/>
        <v>2517.7543085783268</v>
      </c>
      <c r="CP306" s="9">
        <v>-631.18433253077455</v>
      </c>
      <c r="CQ306" s="129"/>
      <c r="CR306" s="36">
        <f t="shared" si="234"/>
        <v>0.76890658921911603</v>
      </c>
      <c r="CS306" s="17">
        <f t="shared" si="200"/>
        <v>0.55275235333285333</v>
      </c>
      <c r="CT306" s="9">
        <f t="shared" si="201"/>
        <v>8.3954866442794405</v>
      </c>
      <c r="CU306" s="9">
        <f t="shared" si="235"/>
        <v>110.23394498904406</v>
      </c>
      <c r="CV306" s="9">
        <v>10.199999999999999</v>
      </c>
      <c r="CW306" s="9">
        <f t="shared" si="236"/>
        <v>112.97861159698029</v>
      </c>
      <c r="CX306">
        <f t="shared" si="237"/>
        <v>17</v>
      </c>
      <c r="CY306" s="9">
        <f t="shared" si="202"/>
        <v>548.70073975979574</v>
      </c>
      <c r="CZ306" s="17">
        <f t="shared" si="238"/>
        <v>0.5166673632389791</v>
      </c>
      <c r="DA306">
        <v>45</v>
      </c>
      <c r="DB306" s="9">
        <f t="shared" si="239"/>
        <v>8.8546752670538798</v>
      </c>
      <c r="DC306" s="9">
        <f t="shared" si="240"/>
        <v>9.6236874768755207</v>
      </c>
    </row>
    <row r="307" spans="2:107" x14ac:dyDescent="0.25">
      <c r="B307" s="9">
        <f t="shared" si="241"/>
        <v>256</v>
      </c>
      <c r="C307" s="9">
        <v>124.41240476919856</v>
      </c>
      <c r="D307" s="9"/>
      <c r="E307" s="9">
        <f t="shared" si="203"/>
        <v>124.41240476919856</v>
      </c>
      <c r="F307" s="36">
        <f t="shared" si="242"/>
        <v>0</v>
      </c>
      <c r="G307" s="37">
        <f t="shared" si="249"/>
        <v>0</v>
      </c>
      <c r="H307" s="36" t="e">
        <f t="shared" ref="H307:H370" si="250">((E307^2-C307^2)*(E307+C307)^5*(E307-C307))/(2*(E307^4-C307^4)^2)</f>
        <v>#DIV/0!</v>
      </c>
      <c r="I307" s="37" t="e">
        <f t="shared" si="204"/>
        <v>#DIV/0!</v>
      </c>
      <c r="J307" s="37" t="e">
        <f t="shared" si="205"/>
        <v>#DIV/0!</v>
      </c>
      <c r="K307" s="37" t="e">
        <f t="shared" si="206"/>
        <v>#DIV/0!</v>
      </c>
      <c r="L307" s="39" t="e">
        <f t="shared" ref="L307:L370" si="251">-I307*E307</f>
        <v>#DIV/0!</v>
      </c>
      <c r="M307" s="39" t="e">
        <f>M306+(1000*$C$2*(B307-B306))/(BerechnungenCLT!$W$47*2*'Berechnung freier Bereich'!G307)</f>
        <v>#DIV/0!</v>
      </c>
      <c r="N307" s="17" t="e">
        <f t="shared" si="207"/>
        <v>#DIV/0!</v>
      </c>
      <c r="O307" s="173">
        <f t="shared" si="208"/>
        <v>1737.3073747102867</v>
      </c>
      <c r="P307" s="173"/>
      <c r="Q307" s="173"/>
      <c r="R307" s="37" t="e">
        <f t="shared" ref="R307:R370" si="252">-$C$11*($C$34)/($C$14*$C$18*G307)</f>
        <v>#DIV/0!</v>
      </c>
      <c r="S307" s="37" t="e">
        <f t="shared" ref="S307:S370" si="253">(-$C$11*($C$34)/($C$14*$C$18*G307))*$B$52+S306</f>
        <v>#DIV/0!</v>
      </c>
      <c r="T307" s="37" t="e">
        <f t="shared" ref="T307:T370" si="254">(-$C$11*($C$34)/(2*$C$14*$C$18*G307))*$B$52^2+S306*$B$52+T306</f>
        <v>#DIV/0!</v>
      </c>
      <c r="U307" s="39" t="e">
        <f t="shared" ref="U307:U370" si="255">-R307*E307</f>
        <v>#DIV/0!</v>
      </c>
      <c r="V307" s="39" t="e">
        <f t="shared" si="209"/>
        <v>#DIV/0!</v>
      </c>
      <c r="W307" s="9" t="e">
        <f t="shared" si="210"/>
        <v>#DIV/0!</v>
      </c>
      <c r="AB307" s="129">
        <v>122.83113818111617</v>
      </c>
      <c r="AC307" s="9">
        <v>8.09375</v>
      </c>
      <c r="AD307" s="129">
        <f t="shared" si="211"/>
        <v>130.95047013944745</v>
      </c>
      <c r="AE307" s="36">
        <f t="shared" si="243"/>
        <v>1.1004726089038276E-2</v>
      </c>
      <c r="AF307" s="37">
        <f t="shared" si="212"/>
        <v>52168088.737165101</v>
      </c>
      <c r="AG307" s="36">
        <f t="shared" ref="AG307:AG370" si="256">((AD307^2-AB307^2)*(AD307+AB307)^5*(AD307-AB307))/(2*(AD307^4-AB307^4)^2)</f>
        <v>1.9959119716986402</v>
      </c>
      <c r="AH307" s="37">
        <f t="shared" si="213"/>
        <v>-1.5091717636738991E-4</v>
      </c>
      <c r="AI307" s="37">
        <f t="shared" si="214"/>
        <v>-4.6215246630524384E-2</v>
      </c>
      <c r="AJ307" s="37">
        <f t="shared" si="215"/>
        <v>-6.3572206970718153</v>
      </c>
      <c r="AK307" s="39">
        <f t="shared" si="216"/>
        <v>1.9762675197427616E-2</v>
      </c>
      <c r="AL307" s="39">
        <f>AL306+(1000*$C$2*($B307-$B306))/(BerechnungenCLT!$W$47*2*AF307)</f>
        <v>1.3302554465085242E-2</v>
      </c>
      <c r="AM307" s="37">
        <f t="shared" ref="AM307:AM370" si="257">AD307/AF307</f>
        <v>2.5101642270087029E-6</v>
      </c>
      <c r="AN307" s="173">
        <f t="shared" si="217"/>
        <v>1670.1048341415872</v>
      </c>
      <c r="AO307" s="173">
        <v>-258.26639265635873</v>
      </c>
      <c r="AV307" s="129">
        <v>124.96382045732148</v>
      </c>
      <c r="AW307" s="9">
        <v>7.875</v>
      </c>
      <c r="AX307" s="129">
        <f t="shared" si="218"/>
        <v>133.00336738450306</v>
      </c>
      <c r="AY307" s="36">
        <f t="shared" si="244"/>
        <v>1.1076303262918096E-2</v>
      </c>
      <c r="AZ307" s="37">
        <f t="shared" si="219"/>
        <v>54250841.020877458</v>
      </c>
      <c r="BA307" s="36">
        <f t="shared" ref="BA307:BA370" si="258">((AX307^2-AV307^2)*(AX307+AV307)^5*(AX307-AV307))/(2*(AX307^4-AV307^4)^2)</f>
        <v>1.9961206242870602</v>
      </c>
      <c r="BB307" s="37">
        <f t="shared" si="220"/>
        <v>-1.4512329211019214E-4</v>
      </c>
      <c r="BC307" s="37">
        <f t="shared" si="221"/>
        <v>-4.2724261546168547E-2</v>
      </c>
      <c r="BD307" s="37">
        <f t="shared" si="222"/>
        <v>-5.8230444938932981</v>
      </c>
      <c r="BE307" s="39">
        <f t="shared" si="223"/>
        <v>1.9301886536580441E-2</v>
      </c>
      <c r="BF307" s="39">
        <f>BF306+(1000*$C$2*($B307-$B306))/(BerechnungenCLT!$W$47*2*AZ307)</f>
        <v>1.2293298963707263E-2</v>
      </c>
      <c r="BG307" s="37">
        <f t="shared" ref="BG307:BG370" si="259">AX307/AZ307</f>
        <v>2.4516369678641315E-6</v>
      </c>
      <c r="BH307" s="173">
        <f t="shared" si="224"/>
        <v>1616.3487999448589</v>
      </c>
      <c r="BI307">
        <v>-258.11910018856287</v>
      </c>
      <c r="BP307" s="129">
        <v>115.9656202323382</v>
      </c>
      <c r="BQ307" s="9">
        <v>8.9375</v>
      </c>
      <c r="BR307" s="129">
        <f t="shared" si="225"/>
        <v>127.13518179816776</v>
      </c>
      <c r="BS307" s="36">
        <f t="shared" si="245"/>
        <v>1.4501779988085535E-2</v>
      </c>
      <c r="BT307" s="37">
        <f t="shared" si="226"/>
        <v>63149663.388272464</v>
      </c>
      <c r="BU307" s="36">
        <f t="shared" ref="BU307:BU370" si="260">((BR307^2-BP307^2)*(BR307+BP307)^5*(BR307-BP307))/(2*(BR307^4-BP307^4)^2)</f>
        <v>1.9915824457803717</v>
      </c>
      <c r="BV307" s="37">
        <f t="shared" si="227"/>
        <v>-1.2467304220276337E-4</v>
      </c>
      <c r="BW307" s="37">
        <f t="shared" si="228"/>
        <v>-4.9151692668032647E-2</v>
      </c>
      <c r="BX307" s="37">
        <f t="shared" si="229"/>
        <v>-6.5836730944510924</v>
      </c>
      <c r="BY307" s="39">
        <f t="shared" si="230"/>
        <v>1.5850329885778964E-2</v>
      </c>
      <c r="BZ307" s="39">
        <f>BZ306+(1000*$C$2*($B307-$B306))/(BerechnungenCLT!$W$47*2*BT307)</f>
        <v>1.4151491314274154E-2</v>
      </c>
      <c r="CA307" s="37">
        <f t="shared" ref="CA307:CA370" si="261">BR307/BT307</f>
        <v>2.0132360962319567E-6</v>
      </c>
      <c r="CB307" s="173">
        <f t="shared" si="231"/>
        <v>1820.0831979778998</v>
      </c>
      <c r="CC307" s="9">
        <v>-258.46128248892654</v>
      </c>
      <c r="CJ307" s="9">
        <f t="shared" si="247"/>
        <v>256</v>
      </c>
      <c r="CK307" s="129">
        <v>98.610457312624746</v>
      </c>
      <c r="CL307" s="9">
        <v>7.578125</v>
      </c>
      <c r="CM307" s="129">
        <f t="shared" si="232"/>
        <v>110.30185485601895</v>
      </c>
      <c r="CN307" s="36">
        <f t="shared" si="246"/>
        <v>1.3044554689599287E-2</v>
      </c>
      <c r="CO307" s="173">
        <f t="shared" si="233"/>
        <v>2464.5404605217182</v>
      </c>
      <c r="CP307" s="9">
        <v>-630.58302420031509</v>
      </c>
      <c r="CQ307" s="129"/>
      <c r="CR307" s="36">
        <f t="shared" si="234"/>
        <v>0.7640222671433905</v>
      </c>
      <c r="CS307" s="17">
        <f t="shared" ref="CS307:CS370" si="262">$CJ$7*CR307/$CR$51</f>
        <v>0.54924110689583849</v>
      </c>
      <c r="CT307" s="9">
        <f t="shared" ref="CT307:CT370" si="263">CL307*$CJ$7/CS307</f>
        <v>8.2784681315965258</v>
      </c>
      <c r="CU307" s="9">
        <f t="shared" si="235"/>
        <v>111.38233188276112</v>
      </c>
      <c r="CV307" s="9">
        <v>10.199999999999999</v>
      </c>
      <c r="CW307" s="9">
        <f t="shared" si="236"/>
        <v>114.34683734629017</v>
      </c>
      <c r="CX307">
        <f t="shared" si="237"/>
        <v>17</v>
      </c>
      <c r="CY307" s="9">
        <f t="shared" ref="CY307:CY370" si="264">$CJ$4*$CJ$6/(PI()*CK307*2*COS($CJ$3*PI()/180))</f>
        <v>542.32371126916371</v>
      </c>
      <c r="CZ307" s="17">
        <f t="shared" si="238"/>
        <v>0.51066262831371356</v>
      </c>
      <c r="DA307">
        <v>45</v>
      </c>
      <c r="DB307" s="9">
        <f t="shared" si="239"/>
        <v>8.751765771291188</v>
      </c>
      <c r="DC307" s="9">
        <f t="shared" si="240"/>
        <v>9.5158930623563531</v>
      </c>
    </row>
    <row r="308" spans="2:107" x14ac:dyDescent="0.25">
      <c r="B308" s="9">
        <f t="shared" si="241"/>
        <v>257</v>
      </c>
      <c r="C308" s="9">
        <v>124.69867699402839</v>
      </c>
      <c r="D308" s="9"/>
      <c r="E308" s="9">
        <f t="shared" ref="E308:E371" si="265">$C308+D308*SQRT((C309-C308)^2/(B309-B308)^2+1)</f>
        <v>124.69867699402839</v>
      </c>
      <c r="F308" s="36">
        <f t="shared" si="242"/>
        <v>0</v>
      </c>
      <c r="G308" s="37">
        <f t="shared" si="249"/>
        <v>0</v>
      </c>
      <c r="H308" s="36" t="e">
        <f t="shared" si="250"/>
        <v>#DIV/0!</v>
      </c>
      <c r="I308" s="37" t="e">
        <f t="shared" ref="I308:I371" si="266">-($C$11*($C$34))/($C$9*$C$18*G308)</f>
        <v>#DIV/0!</v>
      </c>
      <c r="J308" s="37" t="e">
        <f t="shared" ref="J308:J371" si="267">(-($C$11*($C$34))/($C$9*$C$18*G308))*$B$52+J307</f>
        <v>#DIV/0!</v>
      </c>
      <c r="K308" s="37" t="e">
        <f t="shared" ref="K308:K371" si="268">(-$C$11*($C$34)/(2*$C$9*$C$18*G308))*$B$52^2+J307*$B$52+K307</f>
        <v>#DIV/0!</v>
      </c>
      <c r="L308" s="39" t="e">
        <f t="shared" si="251"/>
        <v>#DIV/0!</v>
      </c>
      <c r="M308" s="39" t="e">
        <f>M307+(1000*$C$2*(B308-B307))/(BerechnungenCLT!$W$47*2*'Berechnung freier Bereich'!G308)</f>
        <v>#DIV/0!</v>
      </c>
      <c r="N308" s="17" t="e">
        <f t="shared" ref="N308:N371" si="269">-($C$11*($C$34))/G308*E308*D308</f>
        <v>#DIV/0!</v>
      </c>
      <c r="O308" s="173">
        <f t="shared" ref="O308:O371" si="270">$C$2*1000/(2*PI()*((C308+E308)/2)^2)</f>
        <v>1729.3398167309433</v>
      </c>
      <c r="P308" s="173"/>
      <c r="Q308" s="173"/>
      <c r="R308" s="37" t="e">
        <f t="shared" si="252"/>
        <v>#DIV/0!</v>
      </c>
      <c r="S308" s="37" t="e">
        <f t="shared" si="253"/>
        <v>#DIV/0!</v>
      </c>
      <c r="T308" s="37" t="e">
        <f t="shared" si="254"/>
        <v>#DIV/0!</v>
      </c>
      <c r="U308" s="39" t="e">
        <f t="shared" si="255"/>
        <v>#DIV/0!</v>
      </c>
      <c r="V308" s="39" t="e">
        <f t="shared" ref="V308:V371" si="271">(1000*$C$2*($B308-B307))/($C$16*2*$G308)+V307</f>
        <v>#DIV/0!</v>
      </c>
      <c r="W308" s="9" t="e">
        <f t="shared" ref="W308:W371" si="272">$C$14*U308</f>
        <v>#DIV/0!</v>
      </c>
      <c r="AB308" s="129">
        <v>122.9107082798389</v>
      </c>
      <c r="AC308" s="9">
        <v>8.09375</v>
      </c>
      <c r="AD308" s="129">
        <f t="shared" ref="AD308:AD371" si="273">$AB308+AC308*SQRT((AB309-AB308)^2/($B309-$B308)^2+1)</f>
        <v>131.04559822011726</v>
      </c>
      <c r="AE308" s="36">
        <f t="shared" si="243"/>
        <v>1.1033402911968058E-2</v>
      </c>
      <c r="AF308" s="37">
        <f t="shared" ref="AF308:AF371" si="274">(PI()/4)*(AD308^4-AB308^4)</f>
        <v>52376198.080644421</v>
      </c>
      <c r="AG308" s="36">
        <f t="shared" si="256"/>
        <v>1.9959019494389476</v>
      </c>
      <c r="AH308" s="37">
        <f t="shared" ref="AH308:AH371" si="275">-($C$11*($C$34))/($C$9*$C$18*AF308)</f>
        <v>-1.5031752851885359E-4</v>
      </c>
      <c r="AI308" s="37">
        <f t="shared" ref="AI308:AI371" si="276">(-($C$11*($C$34))/($C$9*$C$18*AF308))*$B$52+AI307</f>
        <v>-4.6365564159043235E-2</v>
      </c>
      <c r="AJ308" s="37">
        <f t="shared" ref="AJ308:AJ371" si="277">(-$C$11*($C$34)/(2*$C$9*$C$18*AF308))*$B$52^2+AI307*$B$52+AJ307</f>
        <v>-6.4035111024665987</v>
      </c>
      <c r="AK308" s="39">
        <f t="shared" ref="AK308:AK371" si="278">-AH308*AD308</f>
        <v>1.9698450447722705E-2</v>
      </c>
      <c r="AL308" s="39">
        <f>AL307+(1000*$C$2*($B308-$B307))/(BerechnungenCLT!$W$47*2*AF308)</f>
        <v>1.3346011789907013E-2</v>
      </c>
      <c r="AM308" s="37">
        <f t="shared" si="257"/>
        <v>2.5020066943069134E-6</v>
      </c>
      <c r="AN308" s="173">
        <f t="shared" ref="AN308:AN371" si="279">$C$2*1000/(2*PI()*((AB308+AD308)/2)^2)</f>
        <v>1667.8078727100951</v>
      </c>
      <c r="AO308" s="173">
        <v>-258.04359699181879</v>
      </c>
      <c r="AV308" s="129">
        <v>125.1693108231802</v>
      </c>
      <c r="AW308" s="9">
        <v>7.875</v>
      </c>
      <c r="AX308" s="129">
        <f t="shared" ref="AX308:AX371" si="280">AV308+AW308*SQRT((AV309-AV308)^2/($B309-$B308)^2+1)</f>
        <v>133.23331794726545</v>
      </c>
      <c r="AY308" s="36">
        <f t="shared" si="244"/>
        <v>1.1128756097581363E-2</v>
      </c>
      <c r="AZ308" s="37">
        <f t="shared" ref="AZ308:AZ371" si="281">(PI()/4)*(AX308^4-AV308^4)</f>
        <v>54692064.622794569</v>
      </c>
      <c r="BA308" s="36">
        <f t="shared" si="258"/>
        <v>1.9961101408828226</v>
      </c>
      <c r="BB308" s="37">
        <f t="shared" ref="BB308:BB371" si="282">-($C$11*($C$34))/($C$9*$C$18*AZ308)</f>
        <v>-1.4395252223510058E-4</v>
      </c>
      <c r="BC308" s="37">
        <f t="shared" ref="BC308:BC371" si="283">(-($C$11*($C$34))/($C$9*$C$18*AZ308))*$B$52+BC307</f>
        <v>-4.2868214068403646E-2</v>
      </c>
      <c r="BD308" s="37">
        <f t="shared" ref="BD308:BD371" si="284">(-$C$11*($C$34)/(2*$C$9*$C$18*AZ308))*$B$52^2+BC307*$B$52+BD307</f>
        <v>-5.8658407317005841</v>
      </c>
      <c r="BE308" s="39">
        <f t="shared" ref="BE308:BE371" si="285">-BB308*AX308</f>
        <v>1.9179272164259954E-2</v>
      </c>
      <c r="BF308" s="39">
        <f>BF307+(1000*$C$2*($B308-$B307))/(BerechnungenCLT!$W$47*2*AZ308)</f>
        <v>1.2334916142883404E-2</v>
      </c>
      <c r="BG308" s="37">
        <f t="shared" si="259"/>
        <v>2.4360630535007531E-6</v>
      </c>
      <c r="BH308" s="173">
        <f t="shared" ref="BH308:BH371" si="286">$C$2*1000/(2*PI()*((AV308+AX308)/2)^2)</f>
        <v>1610.9058877776406</v>
      </c>
      <c r="BI308">
        <v>-257.29504530557068</v>
      </c>
      <c r="BP308" s="129">
        <v>116.71518874324822</v>
      </c>
      <c r="BQ308" s="9">
        <v>8.8125</v>
      </c>
      <c r="BR308" s="129">
        <f t="shared" ref="BR308:BR371" si="287">BP308+BQ308*SQRT((BP309-BP308)^2/($B309-$B308)^2+1)</f>
        <v>127.738959314534</v>
      </c>
      <c r="BS308" s="36">
        <f t="shared" si="245"/>
        <v>1.4392173013170721E-2</v>
      </c>
      <c r="BT308" s="37">
        <f t="shared" ref="BT308:BT371" si="288">(PI()/4)*(BR308^4-BP308^4)</f>
        <v>63367207.571804829</v>
      </c>
      <c r="BU308" s="36">
        <f t="shared" si="260"/>
        <v>1.9918903464968476</v>
      </c>
      <c r="BV308" s="37">
        <f t="shared" ref="BV308:BV371" si="289">-($C$11*($C$34))/($C$9*$C$18*BT308)</f>
        <v>-1.2424503067734206E-4</v>
      </c>
      <c r="BW308" s="37">
        <f t="shared" ref="BW308:BW371" si="290">(-($C$11*($C$34))/($C$9*$C$18*BT308))*$B$52+BW307</f>
        <v>-4.9275937698709991E-2</v>
      </c>
      <c r="BX308" s="37">
        <f t="shared" ref="BX308:BX371" si="291">(-$C$11*($C$34)/(2*$C$9*$C$18*BT308))*$B$52^2+BW307*$B$52+BX307</f>
        <v>-6.6328869096344638</v>
      </c>
      <c r="BY308" s="39">
        <f t="shared" ref="BY308:BY371" si="292">-BV308*BR308</f>
        <v>1.5870930918726024E-2</v>
      </c>
      <c r="BZ308" s="39">
        <f>BZ307+(1000*$C$2*($B308-$B307))/(BerechnungenCLT!$W$47*2*BT308)</f>
        <v>1.4187410988505351E-2</v>
      </c>
      <c r="CA308" s="37">
        <f t="shared" si="261"/>
        <v>2.0158527448094668E-6</v>
      </c>
      <c r="CB308" s="173">
        <f t="shared" ref="CB308:CB371" si="293">$C$2*1000/(2*PI()*((BP308+BR308)/2)^2)</f>
        <v>1799.9863086469577</v>
      </c>
      <c r="CC308" s="9">
        <v>-259.23305681481503</v>
      </c>
      <c r="CJ308" s="9">
        <f t="shared" si="247"/>
        <v>257</v>
      </c>
      <c r="CK308" s="129">
        <v>99.785266828559443</v>
      </c>
      <c r="CL308" s="9">
        <v>7.421875</v>
      </c>
      <c r="CM308" s="129">
        <f t="shared" ref="CM308:CM371" si="294">CK308+CL308*SQRT((CK309-CK308)^2/($B309-$B308)^2+1)</f>
        <v>111.38852554548259</v>
      </c>
      <c r="CN308" s="36">
        <f t="shared" si="246"/>
        <v>1.3086357763169031E-2</v>
      </c>
      <c r="CO308" s="173">
        <f t="shared" ref="CO308:CO371" si="295">$C$2*1000/(2*PI()*((CK308+CM308)/2)^2)</f>
        <v>2412.0371097663938</v>
      </c>
      <c r="CP308" s="9">
        <v>-630.14201425469582</v>
      </c>
      <c r="CQ308" s="129"/>
      <c r="CR308" s="36">
        <f t="shared" ref="CR308:CR371" si="296">(($CJ$5*$CJ$4)/(PI()*CM308*2*COS($CJ$3*PI()/180)))-(($CJ$5*$CJ$4)/(2*PI()*CM308*2*COS($CJ$3*PI()/180)))^2</f>
        <v>0.75912320922813747</v>
      </c>
      <c r="CS308" s="17">
        <f t="shared" si="262"/>
        <v>0.54571926714346985</v>
      </c>
      <c r="CT308" s="9">
        <f t="shared" si="263"/>
        <v>8.1601022139269119</v>
      </c>
      <c r="CU308" s="9">
        <f t="shared" ref="CU308:CU371" si="297">CK308+CT308*SQRT((CK309-CK308)^2/($B309-$B308)^2+1)</f>
        <v>112.54265995963904</v>
      </c>
      <c r="CV308" s="9">
        <v>10.199999999999999</v>
      </c>
      <c r="CW308" s="9">
        <f t="shared" ref="CW308:CW371" si="298">CK308+CV308*SQRT((CK309-CK308)^2/($B309-$B308)^2+1)</f>
        <v>115.7318084925751</v>
      </c>
      <c r="CX308">
        <f t="shared" ref="CX308:CX371" si="299">CV308/$CJ$8</f>
        <v>17</v>
      </c>
      <c r="CY308" s="9">
        <f t="shared" si="264"/>
        <v>535.93873002929115</v>
      </c>
      <c r="CZ308" s="17">
        <f t="shared" ref="CZ308:CZ371" si="300">CX308*CY308/(CV308/1000)/($CJ$9*10^6)</f>
        <v>0.50465040492400304</v>
      </c>
      <c r="DA308">
        <v>45</v>
      </c>
      <c r="DB308" s="9">
        <f t="shared" ref="DB308:DB371" si="301">$CL$51*$CK$51/CK308*COS($DA$51)/COS(DA308)</f>
        <v>8.648727937790083</v>
      </c>
      <c r="DC308" s="9">
        <f t="shared" ref="DC308:DC371" si="302">CR308+DB308*SQRT((CR309-CR308)^2/($B309-$B308)^2+1)</f>
        <v>9.4079505675193715</v>
      </c>
    </row>
    <row r="309" spans="2:107" x14ac:dyDescent="0.25">
      <c r="B309" s="9">
        <f t="shared" ref="B309:B372" si="303">IF(ROW()=ROW($B$51)+$B$47,$C$34,ROUND((C$34/$B$47)*(ROW()-ROW($B$51)),0))</f>
        <v>258</v>
      </c>
      <c r="C309" s="9">
        <v>124.99305714075683</v>
      </c>
      <c r="D309" s="9"/>
      <c r="E309" s="9">
        <f t="shared" si="265"/>
        <v>124.99305714075683</v>
      </c>
      <c r="F309" s="36">
        <f t="shared" ref="F309:F372" si="304">($B309-$B308)*PI()*(E309^2-C309^2)*$C$10/1000/1000</f>
        <v>0</v>
      </c>
      <c r="G309" s="37">
        <f t="shared" si="249"/>
        <v>0</v>
      </c>
      <c r="H309" s="36" t="e">
        <f t="shared" si="250"/>
        <v>#DIV/0!</v>
      </c>
      <c r="I309" s="37" t="e">
        <f t="shared" si="266"/>
        <v>#DIV/0!</v>
      </c>
      <c r="J309" s="37" t="e">
        <f t="shared" si="267"/>
        <v>#DIV/0!</v>
      </c>
      <c r="K309" s="37" t="e">
        <f t="shared" si="268"/>
        <v>#DIV/0!</v>
      </c>
      <c r="L309" s="39" t="e">
        <f t="shared" si="251"/>
        <v>#DIV/0!</v>
      </c>
      <c r="M309" s="39" t="e">
        <f>M308+(1000*$C$2*(B309-B308))/(BerechnungenCLT!$W$47*2*'Berechnung freier Bereich'!G309)</f>
        <v>#DIV/0!</v>
      </c>
      <c r="N309" s="17" t="e">
        <f t="shared" si="269"/>
        <v>#DIV/0!</v>
      </c>
      <c r="O309" s="173">
        <f t="shared" si="270"/>
        <v>1721.2036237095049</v>
      </c>
      <c r="P309" s="173"/>
      <c r="Q309" s="173"/>
      <c r="R309" s="37" t="e">
        <f t="shared" si="252"/>
        <v>#DIV/0!</v>
      </c>
      <c r="S309" s="37" t="e">
        <f t="shared" si="253"/>
        <v>#DIV/0!</v>
      </c>
      <c r="T309" s="37" t="e">
        <f t="shared" si="254"/>
        <v>#DIV/0!</v>
      </c>
      <c r="U309" s="39" t="e">
        <f t="shared" si="255"/>
        <v>#DIV/0!</v>
      </c>
      <c r="V309" s="39" t="e">
        <f t="shared" si="271"/>
        <v>#DIV/0!</v>
      </c>
      <c r="W309" s="9" t="e">
        <f t="shared" si="272"/>
        <v>#DIV/0!</v>
      </c>
      <c r="AB309" s="129">
        <v>123.01166218077951</v>
      </c>
      <c r="AC309" s="9">
        <v>8.09375</v>
      </c>
      <c r="AD309" s="129">
        <f t="shared" si="273"/>
        <v>131.16753362698822</v>
      </c>
      <c r="AE309" s="36">
        <f t="shared" ref="AE309:AE372" si="305">($B309-$B308)*PI()*(AD309^2-AB309^2)*$C$10/1000/1000</f>
        <v>1.1071568901853769E-2</v>
      </c>
      <c r="AF309" s="37">
        <f t="shared" si="274"/>
        <v>52649854.209976621</v>
      </c>
      <c r="AG309" s="36">
        <f t="shared" si="256"/>
        <v>1.9958880254088129</v>
      </c>
      <c r="AH309" s="37">
        <f t="shared" si="275"/>
        <v>-1.495362288620455E-4</v>
      </c>
      <c r="AI309" s="37">
        <f t="shared" si="276"/>
        <v>-4.6515100387905281E-2</v>
      </c>
      <c r="AJ309" s="37">
        <f t="shared" si="277"/>
        <v>-6.4499514347400728</v>
      </c>
      <c r="AK309" s="39">
        <f t="shared" si="278"/>
        <v>1.9614298327715357E-2</v>
      </c>
      <c r="AL309" s="39">
        <f>AL308+(1000*$C$2*($B309-$B308))/(BerechnungenCLT!$W$47*2*AF309)</f>
        <v>1.3389243238257133E-2</v>
      </c>
      <c r="AM309" s="37">
        <f t="shared" si="257"/>
        <v>2.4913180785623768E-6</v>
      </c>
      <c r="AN309" s="173">
        <f t="shared" si="279"/>
        <v>1664.8841593545872</v>
      </c>
      <c r="AO309" s="173">
        <v>-257.76182799518631</v>
      </c>
      <c r="AV309" s="129">
        <v>125.38971466324499</v>
      </c>
      <c r="AW309" s="9">
        <v>7.8125</v>
      </c>
      <c r="AX309" s="129">
        <f t="shared" si="280"/>
        <v>133.41715303831671</v>
      </c>
      <c r="AY309" s="36">
        <f t="shared" ref="AY309:AY372" si="306">($B309-$B308)*PI()*(AX309^2-AV309^2)*$C$10/1000/1000</f>
        <v>1.1095619903379598E-2</v>
      </c>
      <c r="AZ309" s="37">
        <f t="shared" si="281"/>
        <v>54699313.078850128</v>
      </c>
      <c r="BA309" s="36">
        <f t="shared" si="258"/>
        <v>1.9961573043934908</v>
      </c>
      <c r="BB309" s="37">
        <f t="shared" si="282"/>
        <v>-1.439334464282435E-4</v>
      </c>
      <c r="BC309" s="37">
        <f t="shared" si="283"/>
        <v>-4.3012147514831886E-2</v>
      </c>
      <c r="BD309" s="37">
        <f t="shared" si="284"/>
        <v>-5.9087809124922019</v>
      </c>
      <c r="BE309" s="39">
        <f t="shared" si="285"/>
        <v>1.9203190649449323E-2</v>
      </c>
      <c r="BF309" s="39">
        <f>BF308+(1000*$C$2*($B309-$B308))/(BerechnungenCLT!$W$47*2*AZ309)</f>
        <v>1.2376527807176864E-2</v>
      </c>
      <c r="BG309" s="37">
        <f t="shared" si="259"/>
        <v>2.4391010696239143E-6</v>
      </c>
      <c r="BH309" s="173">
        <f t="shared" si="286"/>
        <v>1605.8775643657052</v>
      </c>
      <c r="BI309">
        <v>-258.61599083103835</v>
      </c>
      <c r="BP309" s="129">
        <v>117.4667282663157</v>
      </c>
      <c r="BQ309" s="9">
        <v>8.75</v>
      </c>
      <c r="BR309" s="129">
        <f t="shared" si="287"/>
        <v>128.41778750343934</v>
      </c>
      <c r="BS309" s="36">
        <f t="shared" ref="BS309:BS372" si="307">($B309-$B308)*PI()*(BR309^2-BP309^2)*$C$10/1000/1000</f>
        <v>1.4380901205887173E-2</v>
      </c>
      <c r="BT309" s="37">
        <f t="shared" si="288"/>
        <v>64057525.828993209</v>
      </c>
      <c r="BU309" s="36">
        <f t="shared" si="260"/>
        <v>1.9920892220850166</v>
      </c>
      <c r="BV309" s="37">
        <f t="shared" si="289"/>
        <v>-1.2290609958483519E-4</v>
      </c>
      <c r="BW309" s="37">
        <f t="shared" si="290"/>
        <v>-4.9398843798294824E-2</v>
      </c>
      <c r="BX309" s="37">
        <f t="shared" si="291"/>
        <v>-6.6822243003829662</v>
      </c>
      <c r="BY309" s="39">
        <f t="shared" si="292"/>
        <v>1.5783329379361919E-2</v>
      </c>
      <c r="BZ309" s="39">
        <f>BZ308+(1000*$C$2*($B309-$B308))/(BerechnungenCLT!$W$47*2*BT309)</f>
        <v>1.4222943573060618E-2</v>
      </c>
      <c r="CA309" s="37">
        <f t="shared" si="261"/>
        <v>2.0047259996625704E-6</v>
      </c>
      <c r="CB309" s="173">
        <f t="shared" si="293"/>
        <v>1779.1053382306848</v>
      </c>
      <c r="CC309" s="9">
        <v>-258.05597494326412</v>
      </c>
      <c r="CJ309" s="9">
        <f t="shared" si="247"/>
        <v>258</v>
      </c>
      <c r="CK309" s="129">
        <v>100.98700604878302</v>
      </c>
      <c r="CL309" s="9">
        <v>7.25</v>
      </c>
      <c r="CM309" s="129">
        <f t="shared" si="294"/>
        <v>112.46206038661916</v>
      </c>
      <c r="CN309" s="36">
        <f t="shared" ref="CN309:CN372" si="308">($B309-$B308)*PI()*(CM309^2-CK309^2)*$C$10/1000/1000</f>
        <v>1.3081206589659855E-2</v>
      </c>
      <c r="CO309" s="173">
        <f t="shared" si="295"/>
        <v>2360.8886510254279</v>
      </c>
      <c r="CP309" s="9">
        <v>-631.40146491479504</v>
      </c>
      <c r="CQ309" s="129"/>
      <c r="CR309" s="36">
        <f t="shared" si="296"/>
        <v>0.75432832526081728</v>
      </c>
      <c r="CS309" s="17">
        <f t="shared" si="262"/>
        <v>0.54227231606507431</v>
      </c>
      <c r="CT309" s="9">
        <f t="shared" si="263"/>
        <v>8.0217998801140844</v>
      </c>
      <c r="CU309" s="9">
        <f t="shared" si="297"/>
        <v>113.68363908485978</v>
      </c>
      <c r="CV309" s="9">
        <v>10.199999999999999</v>
      </c>
      <c r="CW309" s="9">
        <f t="shared" si="298"/>
        <v>117.13122042753179</v>
      </c>
      <c r="CX309">
        <f t="shared" si="299"/>
        <v>17</v>
      </c>
      <c r="CY309" s="9">
        <f t="shared" si="264"/>
        <v>529.56109178935867</v>
      </c>
      <c r="CZ309" s="17">
        <f t="shared" si="300"/>
        <v>0.49864509584685385</v>
      </c>
      <c r="DA309">
        <v>45</v>
      </c>
      <c r="DB309" s="9">
        <f t="shared" si="301"/>
        <v>8.5458086021790738</v>
      </c>
      <c r="DC309" s="9">
        <f t="shared" si="302"/>
        <v>9.3002396045127718</v>
      </c>
    </row>
    <row r="310" spans="2:107" x14ac:dyDescent="0.25">
      <c r="B310" s="9">
        <f t="shared" si="303"/>
        <v>259</v>
      </c>
      <c r="C310" s="9">
        <v>125.29607796250903</v>
      </c>
      <c r="D310" s="9"/>
      <c r="E310" s="9">
        <f t="shared" si="265"/>
        <v>125.29607796250903</v>
      </c>
      <c r="F310" s="36">
        <f t="shared" si="304"/>
        <v>0</v>
      </c>
      <c r="G310" s="37">
        <f t="shared" si="249"/>
        <v>0</v>
      </c>
      <c r="H310" s="36" t="e">
        <f t="shared" si="250"/>
        <v>#DIV/0!</v>
      </c>
      <c r="I310" s="37" t="e">
        <f t="shared" si="266"/>
        <v>#DIV/0!</v>
      </c>
      <c r="J310" s="37" t="e">
        <f t="shared" si="267"/>
        <v>#DIV/0!</v>
      </c>
      <c r="K310" s="37" t="e">
        <f t="shared" si="268"/>
        <v>#DIV/0!</v>
      </c>
      <c r="L310" s="39" t="e">
        <f t="shared" si="251"/>
        <v>#DIV/0!</v>
      </c>
      <c r="M310" s="39" t="e">
        <f>M309+(1000*$C$2*(B310-B309))/(BerechnungenCLT!$W$47*2*'Berechnung freier Bereich'!G310)</f>
        <v>#DIV/0!</v>
      </c>
      <c r="N310" s="17" t="e">
        <f t="shared" si="269"/>
        <v>#DIV/0!</v>
      </c>
      <c r="O310" s="173">
        <f t="shared" si="270"/>
        <v>1712.888441559084</v>
      </c>
      <c r="P310" s="173"/>
      <c r="Q310" s="173"/>
      <c r="R310" s="37" t="e">
        <f t="shared" si="252"/>
        <v>#DIV/0!</v>
      </c>
      <c r="S310" s="37" t="e">
        <f t="shared" si="253"/>
        <v>#DIV/0!</v>
      </c>
      <c r="T310" s="37" t="e">
        <f t="shared" si="254"/>
        <v>#DIV/0!</v>
      </c>
      <c r="U310" s="39" t="e">
        <f t="shared" si="255"/>
        <v>#DIV/0!</v>
      </c>
      <c r="V310" s="39" t="e">
        <f t="shared" si="271"/>
        <v>#DIV/0!</v>
      </c>
      <c r="W310" s="9" t="e">
        <f t="shared" si="272"/>
        <v>#DIV/0!</v>
      </c>
      <c r="AB310" s="129">
        <v>123.13579671445669</v>
      </c>
      <c r="AC310" s="9">
        <v>8.09375</v>
      </c>
      <c r="AD310" s="129">
        <f t="shared" si="273"/>
        <v>131.31903182482904</v>
      </c>
      <c r="AE310" s="36">
        <f t="shared" si="305"/>
        <v>1.1120761312757618E-2</v>
      </c>
      <c r="AF310" s="37">
        <f t="shared" si="274"/>
        <v>52998788.753751785</v>
      </c>
      <c r="AG310" s="36">
        <f t="shared" si="256"/>
        <v>1.9958693794244351</v>
      </c>
      <c r="AH310" s="37">
        <f t="shared" si="275"/>
        <v>-1.4855170908295633E-4</v>
      </c>
      <c r="AI310" s="37">
        <f t="shared" si="276"/>
        <v>-4.6663652096988237E-2</v>
      </c>
      <c r="AJ310" s="37">
        <f t="shared" si="277"/>
        <v>-6.4965408109825198</v>
      </c>
      <c r="AK310" s="39">
        <f t="shared" si="278"/>
        <v>1.9507666612697486E-2</v>
      </c>
      <c r="AL310" s="39">
        <f>AL309+(1000*$C$2*($B310-$B309))/(BerechnungenCLT!$W$47*2*AF310)</f>
        <v>1.3432190058485336E-2</v>
      </c>
      <c r="AM310" s="37">
        <f t="shared" si="257"/>
        <v>2.4777742079158924E-6</v>
      </c>
      <c r="AN310" s="173">
        <f t="shared" si="279"/>
        <v>1661.2792128404435</v>
      </c>
      <c r="AO310" s="173">
        <v>-257.41143169478602</v>
      </c>
      <c r="AV310" s="129">
        <v>125.62589497640755</v>
      </c>
      <c r="AW310" s="9">
        <v>7.8125</v>
      </c>
      <c r="AX310" s="129">
        <f t="shared" si="280"/>
        <v>133.68420694798795</v>
      </c>
      <c r="AY310" s="36">
        <f t="shared" si="306"/>
        <v>1.1159951487401665E-2</v>
      </c>
      <c r="AZ310" s="37">
        <f t="shared" si="281"/>
        <v>55230817.654828414</v>
      </c>
      <c r="BA310" s="36">
        <f t="shared" si="258"/>
        <v>1.9961427257346946</v>
      </c>
      <c r="BB310" s="37">
        <f t="shared" si="282"/>
        <v>-1.4254832687612964E-4</v>
      </c>
      <c r="BC310" s="37">
        <f t="shared" si="283"/>
        <v>-4.3154695841708016E-2</v>
      </c>
      <c r="BD310" s="37">
        <f t="shared" si="284"/>
        <v>-5.9518643341704722</v>
      </c>
      <c r="BE310" s="39">
        <f t="shared" si="285"/>
        <v>1.9056460030197946E-2</v>
      </c>
      <c r="BF310" s="39">
        <f>BF309+(1000*$C$2*($B310-$B309))/(BerechnungenCLT!$W$47*2*AZ310)</f>
        <v>1.2417739028548687E-2</v>
      </c>
      <c r="BG310" s="37">
        <f t="shared" si="259"/>
        <v>2.4204640203493518E-6</v>
      </c>
      <c r="BH310" s="173">
        <f t="shared" si="286"/>
        <v>1599.6506693506942</v>
      </c>
      <c r="BI310">
        <v>-257.71457520295627</v>
      </c>
      <c r="BP310" s="129">
        <v>118.21930814187294</v>
      </c>
      <c r="BQ310" s="9">
        <v>8.625</v>
      </c>
      <c r="BR310" s="129">
        <f t="shared" si="287"/>
        <v>129.01449260981312</v>
      </c>
      <c r="BS310" s="36">
        <f t="shared" si="307"/>
        <v>1.4253998455083359E-2</v>
      </c>
      <c r="BT310" s="37">
        <f t="shared" si="288"/>
        <v>64186057.146069407</v>
      </c>
      <c r="BU310" s="36">
        <f t="shared" si="260"/>
        <v>1.9923956198342982</v>
      </c>
      <c r="BV310" s="37">
        <f t="shared" si="289"/>
        <v>-1.2265998253763307E-4</v>
      </c>
      <c r="BW310" s="37">
        <f t="shared" si="290"/>
        <v>-4.9521503780832456E-2</v>
      </c>
      <c r="BX310" s="37">
        <f t="shared" si="291"/>
        <v>-6.7316844741725301</v>
      </c>
      <c r="BY310" s="39">
        <f t="shared" si="292"/>
        <v>1.5824915410621268E-2</v>
      </c>
      <c r="BZ310" s="39">
        <f>BZ309+(1000*$C$2*($B310-$B309))/(BerechnungenCLT!$W$47*2*BT310)</f>
        <v>1.4258405004314139E-2</v>
      </c>
      <c r="CA310" s="37">
        <f t="shared" si="261"/>
        <v>2.0100080663346001E-6</v>
      </c>
      <c r="CB310" s="173">
        <f t="shared" si="293"/>
        <v>1759.7392996390161</v>
      </c>
      <c r="CC310" s="9">
        <v>-258.94619786831981</v>
      </c>
      <c r="CJ310" s="9">
        <f t="shared" ref="CJ310:CJ373" si="309">IF(ROW()=ROW($B$51)+$B$47,$C$34,ROUND((CK$34/$B$47)*(ROW()-ROW($B$51)),0))</f>
        <v>259</v>
      </c>
      <c r="CK310" s="129">
        <v>102.21385101721884</v>
      </c>
      <c r="CL310" s="9">
        <v>7.09375</v>
      </c>
      <c r="CM310" s="129">
        <f t="shared" si="294"/>
        <v>113.57009383426114</v>
      </c>
      <c r="CN310" s="36">
        <f t="shared" si="308"/>
        <v>1.3087376378169431E-2</v>
      </c>
      <c r="CO310" s="173">
        <f t="shared" si="295"/>
        <v>2310.0733347044034</v>
      </c>
      <c r="CP310" s="9">
        <v>-631.41947882435522</v>
      </c>
      <c r="CQ310" s="129"/>
      <c r="CR310" s="36">
        <f t="shared" si="296"/>
        <v>0.74942628965894587</v>
      </c>
      <c r="CS310" s="17">
        <f t="shared" si="262"/>
        <v>0.53874833571031155</v>
      </c>
      <c r="CT310" s="9">
        <f t="shared" si="263"/>
        <v>7.9002564237871029</v>
      </c>
      <c r="CU310" s="9">
        <f t="shared" si="297"/>
        <v>114.86121387401877</v>
      </c>
      <c r="CV310" s="9">
        <v>10.199999999999999</v>
      </c>
      <c r="CW310" s="9">
        <f t="shared" si="298"/>
        <v>118.54282747308935</v>
      </c>
      <c r="CX310">
        <f t="shared" si="299"/>
        <v>17</v>
      </c>
      <c r="CY310" s="9">
        <f t="shared" si="264"/>
        <v>523.20491447605389</v>
      </c>
      <c r="CZ310" s="17">
        <f t="shared" si="300"/>
        <v>0.49265999479854411</v>
      </c>
      <c r="DA310">
        <v>45</v>
      </c>
      <c r="DB310" s="9">
        <f t="shared" si="301"/>
        <v>8.4432355929395246</v>
      </c>
      <c r="DC310" s="9">
        <f t="shared" si="302"/>
        <v>9.1927629031970088</v>
      </c>
    </row>
    <row r="311" spans="2:107" x14ac:dyDescent="0.25">
      <c r="B311" s="9">
        <f t="shared" si="303"/>
        <v>260</v>
      </c>
      <c r="C311" s="9">
        <v>125.6082722124102</v>
      </c>
      <c r="D311" s="9"/>
      <c r="E311" s="9">
        <f t="shared" si="265"/>
        <v>125.6082722124102</v>
      </c>
      <c r="F311" s="36">
        <f t="shared" si="304"/>
        <v>0</v>
      </c>
      <c r="G311" s="37">
        <f t="shared" si="249"/>
        <v>0</v>
      </c>
      <c r="H311" s="36" t="e">
        <f t="shared" si="250"/>
        <v>#DIV/0!</v>
      </c>
      <c r="I311" s="37" t="e">
        <f t="shared" si="266"/>
        <v>#DIV/0!</v>
      </c>
      <c r="J311" s="37" t="e">
        <f t="shared" si="267"/>
        <v>#DIV/0!</v>
      </c>
      <c r="K311" s="37" t="e">
        <f t="shared" si="268"/>
        <v>#DIV/0!</v>
      </c>
      <c r="L311" s="39" t="e">
        <f t="shared" si="251"/>
        <v>#DIV/0!</v>
      </c>
      <c r="M311" s="39" t="e">
        <f>M310+(1000*$C$2*(B311-B310))/(BerechnungenCLT!$W$47*2*'Berechnung freier Bereich'!G311)</f>
        <v>#DIV/0!</v>
      </c>
      <c r="N311" s="17" t="e">
        <f t="shared" si="269"/>
        <v>#DIV/0!</v>
      </c>
      <c r="O311" s="173">
        <f t="shared" si="270"/>
        <v>1704.3843938843283</v>
      </c>
      <c r="P311" s="173"/>
      <c r="Q311" s="173"/>
      <c r="R311" s="37" t="e">
        <f t="shared" si="252"/>
        <v>#DIV/0!</v>
      </c>
      <c r="S311" s="37" t="e">
        <f t="shared" si="253"/>
        <v>#DIV/0!</v>
      </c>
      <c r="T311" s="37" t="e">
        <f t="shared" si="254"/>
        <v>#DIV/0!</v>
      </c>
      <c r="U311" s="39" t="e">
        <f t="shared" si="255"/>
        <v>#DIV/0!</v>
      </c>
      <c r="V311" s="39" t="e">
        <f t="shared" si="271"/>
        <v>#DIV/0!</v>
      </c>
      <c r="W311" s="9" t="e">
        <f t="shared" si="272"/>
        <v>#DIV/0!</v>
      </c>
      <c r="AB311" s="129">
        <v>123.28490871138898</v>
      </c>
      <c r="AC311" s="9">
        <v>8.03125</v>
      </c>
      <c r="AD311" s="129">
        <f t="shared" si="273"/>
        <v>131.43943984147785</v>
      </c>
      <c r="AE311" s="36">
        <f t="shared" si="305"/>
        <v>1.1093491355569298E-2</v>
      </c>
      <c r="AF311" s="37">
        <f t="shared" si="274"/>
        <v>52980385.843544133</v>
      </c>
      <c r="AG311" s="36">
        <f t="shared" si="256"/>
        <v>1.9959069237554461</v>
      </c>
      <c r="AH311" s="37">
        <f t="shared" si="275"/>
        <v>-1.4860330900469943E-4</v>
      </c>
      <c r="AI311" s="37">
        <f t="shared" si="276"/>
        <v>-4.6812255405992938E-2</v>
      </c>
      <c r="AJ311" s="37">
        <f t="shared" si="277"/>
        <v>-6.5432787647340103</v>
      </c>
      <c r="AK311" s="39">
        <f t="shared" si="278"/>
        <v>1.9532335694167735E-2</v>
      </c>
      <c r="AL311" s="39">
        <f>AL310+(1000*$C$2*($B311-$B310))/(BerechnungenCLT!$W$47*2*AF311)</f>
        <v>1.3475151796431934E-2</v>
      </c>
      <c r="AM311" s="37">
        <f t="shared" si="257"/>
        <v>2.4809075613309121E-6</v>
      </c>
      <c r="AN311" s="173">
        <f t="shared" si="279"/>
        <v>1657.7655234673712</v>
      </c>
      <c r="AO311" s="173">
        <v>-259.10986390296102</v>
      </c>
      <c r="AV311" s="129">
        <v>125.87871476155951</v>
      </c>
      <c r="AW311" s="9">
        <v>7.75</v>
      </c>
      <c r="AX311" s="129">
        <f t="shared" si="280"/>
        <v>133.90688481824364</v>
      </c>
      <c r="AY311" s="36">
        <f t="shared" si="306"/>
        <v>1.1138595456159209E-2</v>
      </c>
      <c r="AZ311" s="37">
        <f t="shared" si="281"/>
        <v>55326885.443549022</v>
      </c>
      <c r="BA311" s="36">
        <f t="shared" si="258"/>
        <v>1.9961854686295346</v>
      </c>
      <c r="BB311" s="37">
        <f t="shared" si="282"/>
        <v>-1.4230081063806515E-4</v>
      </c>
      <c r="BC311" s="37">
        <f t="shared" si="283"/>
        <v>-4.3296996652346084E-2</v>
      </c>
      <c r="BD311" s="37">
        <f t="shared" si="284"/>
        <v>-5.995090180417499</v>
      </c>
      <c r="BE311" s="39">
        <f t="shared" si="285"/>
        <v>1.905505825965409E-2</v>
      </c>
      <c r="BF311" s="39">
        <f>BF310+(1000*$C$2*($B311-$B310))/(BerechnungenCLT!$W$47*2*AZ311)</f>
        <v>1.2458878692107777E-2</v>
      </c>
      <c r="BG311" s="37">
        <f t="shared" si="259"/>
        <v>2.4202859738936716E-6</v>
      </c>
      <c r="BH311" s="173">
        <f t="shared" si="286"/>
        <v>1593.8001985345443</v>
      </c>
      <c r="BI311">
        <v>-258.97287776447422</v>
      </c>
      <c r="BP311" s="129">
        <v>118.97199771025234</v>
      </c>
      <c r="BQ311" s="9">
        <v>8.5625</v>
      </c>
      <c r="BR311" s="129">
        <f t="shared" si="287"/>
        <v>129.6847302975155</v>
      </c>
      <c r="BS311" s="36">
        <f t="shared" si="307"/>
        <v>1.4226539460279514E-2</v>
      </c>
      <c r="BT311" s="37">
        <f t="shared" si="288"/>
        <v>64798676.879648469</v>
      </c>
      <c r="BU311" s="36">
        <f t="shared" si="260"/>
        <v>1.9925962412255935</v>
      </c>
      <c r="BV311" s="37">
        <f t="shared" si="289"/>
        <v>-1.2150033037432452E-4</v>
      </c>
      <c r="BW311" s="37">
        <f t="shared" si="290"/>
        <v>-4.9643004111206777E-2</v>
      </c>
      <c r="BX311" s="37">
        <f t="shared" si="291"/>
        <v>-6.7812667281185499</v>
      </c>
      <c r="BY311" s="39">
        <f t="shared" si="292"/>
        <v>1.5756737575653306E-2</v>
      </c>
      <c r="BZ311" s="39">
        <f>BZ310+(1000*$C$2*($B311-$B310))/(BerechnungenCLT!$W$47*2*BT311)</f>
        <v>1.4293531176059087E-2</v>
      </c>
      <c r="CA311" s="37">
        <f t="shared" si="261"/>
        <v>2.0013484309005391E-6</v>
      </c>
      <c r="CB311" s="173">
        <f t="shared" si="293"/>
        <v>1739.6568625208592</v>
      </c>
      <c r="CC311" s="9">
        <v>-257.85960874587244</v>
      </c>
      <c r="CJ311" s="9">
        <f t="shared" si="309"/>
        <v>260</v>
      </c>
      <c r="CK311" s="129">
        <v>103.46397777779029</v>
      </c>
      <c r="CL311" s="9">
        <v>6.9375</v>
      </c>
      <c r="CM311" s="129">
        <f t="shared" si="294"/>
        <v>114.68671598388399</v>
      </c>
      <c r="CN311" s="36">
        <f t="shared" si="308"/>
        <v>1.3075377153247908E-2</v>
      </c>
      <c r="CO311" s="173">
        <f t="shared" si="295"/>
        <v>2260.2205899009373</v>
      </c>
      <c r="CP311" s="9">
        <v>-631.70733255216976</v>
      </c>
      <c r="CQ311" s="129"/>
      <c r="CR311" s="36">
        <f t="shared" si="296"/>
        <v>0.7445345108457847</v>
      </c>
      <c r="CS311" s="17">
        <f t="shared" si="262"/>
        <v>0.53523172876628122</v>
      </c>
      <c r="CT311" s="9">
        <f t="shared" si="263"/>
        <v>7.7770053161733088</v>
      </c>
      <c r="CU311" s="9">
        <f t="shared" si="297"/>
        <v>116.04477701250192</v>
      </c>
      <c r="CV311" s="9">
        <v>10.199999999999999</v>
      </c>
      <c r="CW311" s="9">
        <f t="shared" si="298"/>
        <v>119.96443611323615</v>
      </c>
      <c r="CX311">
        <f t="shared" si="299"/>
        <v>17</v>
      </c>
      <c r="CY311" s="9">
        <f t="shared" si="264"/>
        <v>516.88317352913452</v>
      </c>
      <c r="CZ311" s="17">
        <f t="shared" si="300"/>
        <v>0.48670731970728304</v>
      </c>
      <c r="DA311">
        <v>45</v>
      </c>
      <c r="DB311" s="9">
        <f t="shared" si="301"/>
        <v>8.3412183016344077</v>
      </c>
      <c r="DC311" s="9">
        <f t="shared" si="302"/>
        <v>9.0858564269182711</v>
      </c>
    </row>
    <row r="312" spans="2:107" x14ac:dyDescent="0.25">
      <c r="B312" s="9">
        <f t="shared" si="303"/>
        <v>261</v>
      </c>
      <c r="C312" s="9">
        <v>125.93017264358542</v>
      </c>
      <c r="D312" s="9"/>
      <c r="E312" s="9">
        <f t="shared" si="265"/>
        <v>125.93017264358542</v>
      </c>
      <c r="F312" s="36">
        <f t="shared" si="304"/>
        <v>0</v>
      </c>
      <c r="G312" s="37">
        <f t="shared" si="249"/>
        <v>0</v>
      </c>
      <c r="H312" s="36" t="e">
        <f t="shared" si="250"/>
        <v>#DIV/0!</v>
      </c>
      <c r="I312" s="37" t="e">
        <f t="shared" si="266"/>
        <v>#DIV/0!</v>
      </c>
      <c r="J312" s="37" t="e">
        <f t="shared" si="267"/>
        <v>#DIV/0!</v>
      </c>
      <c r="K312" s="37" t="e">
        <f t="shared" si="268"/>
        <v>#DIV/0!</v>
      </c>
      <c r="L312" s="39" t="e">
        <f t="shared" si="251"/>
        <v>#DIV/0!</v>
      </c>
      <c r="M312" s="39" t="e">
        <f>M311+(1000*$C$2*(B312-B311))/(BerechnungenCLT!$W$47*2*'Berechnung freier Bereich'!G312)</f>
        <v>#DIV/0!</v>
      </c>
      <c r="N312" s="17" t="e">
        <f t="shared" si="269"/>
        <v>#DIV/0!</v>
      </c>
      <c r="O312" s="173">
        <f t="shared" si="270"/>
        <v>1695.6820972813143</v>
      </c>
      <c r="P312" s="173"/>
      <c r="Q312" s="173"/>
      <c r="R312" s="37" t="e">
        <f t="shared" si="252"/>
        <v>#DIV/0!</v>
      </c>
      <c r="S312" s="37" t="e">
        <f t="shared" si="253"/>
        <v>#DIV/0!</v>
      </c>
      <c r="T312" s="37" t="e">
        <f t="shared" si="254"/>
        <v>#DIV/0!</v>
      </c>
      <c r="U312" s="39" t="e">
        <f t="shared" si="255"/>
        <v>#DIV/0!</v>
      </c>
      <c r="V312" s="39" t="e">
        <f t="shared" si="271"/>
        <v>#DIV/0!</v>
      </c>
      <c r="W312" s="9" t="e">
        <f t="shared" si="272"/>
        <v>#DIV/0!</v>
      </c>
      <c r="AB312" s="129">
        <v>123.46079500209507</v>
      </c>
      <c r="AC312" s="9">
        <v>8.03125</v>
      </c>
      <c r="AD312" s="129">
        <f t="shared" si="273"/>
        <v>131.65819094311908</v>
      </c>
      <c r="AE312" s="36">
        <f t="shared" si="305"/>
        <v>1.1169082180873598E-2</v>
      </c>
      <c r="AF312" s="37">
        <f t="shared" si="274"/>
        <v>53507208.135733768</v>
      </c>
      <c r="AG312" s="36">
        <f t="shared" si="256"/>
        <v>1.9958766131256329</v>
      </c>
      <c r="AH312" s="37">
        <f t="shared" si="275"/>
        <v>-1.4714018770563587E-4</v>
      </c>
      <c r="AI312" s="37">
        <f t="shared" si="276"/>
        <v>-4.695939559369857E-2</v>
      </c>
      <c r="AJ312" s="37">
        <f t="shared" si="277"/>
        <v>-6.5901645902338561</v>
      </c>
      <c r="AK312" s="39">
        <f t="shared" si="278"/>
        <v>1.9372210928354991E-2</v>
      </c>
      <c r="AL312" s="39">
        <f>AL311+(1000*$C$2*($B312-$B311))/(BerechnungenCLT!$W$47*2*AF312)</f>
        <v>1.3517690540878214E-2</v>
      </c>
      <c r="AM312" s="37">
        <f t="shared" si="257"/>
        <v>2.460569249083913E-6</v>
      </c>
      <c r="AN312" s="173">
        <f t="shared" si="279"/>
        <v>1652.6407753799579</v>
      </c>
      <c r="AO312" s="173">
        <v>-258.58909747183247</v>
      </c>
      <c r="AV312" s="129">
        <v>126.14903701759256</v>
      </c>
      <c r="AW312" s="9">
        <v>7.75</v>
      </c>
      <c r="AX312" s="129">
        <f t="shared" si="280"/>
        <v>134.21551983041411</v>
      </c>
      <c r="AY312" s="36">
        <f t="shared" si="306"/>
        <v>1.1216693963562478E-2</v>
      </c>
      <c r="AZ312" s="37">
        <f t="shared" si="281"/>
        <v>55963690.873051666</v>
      </c>
      <c r="BA312" s="36">
        <f t="shared" si="258"/>
        <v>1.9961661090940193</v>
      </c>
      <c r="BB312" s="37">
        <f t="shared" si="282"/>
        <v>-1.4068158346731787E-4</v>
      </c>
      <c r="BC312" s="37">
        <f t="shared" si="283"/>
        <v>-4.3437678235813404E-2</v>
      </c>
      <c r="BD312" s="37">
        <f t="shared" si="284"/>
        <v>-6.0384575178615787</v>
      </c>
      <c r="BE312" s="39">
        <f t="shared" si="285"/>
        <v>1.888165185563186E-2</v>
      </c>
      <c r="BF312" s="39">
        <f>BF311+(1000*$C$2*($B312-$B311))/(BerechnungenCLT!$W$47*2*AZ312)</f>
        <v>1.2499550231411414E-2</v>
      </c>
      <c r="BG312" s="37">
        <f t="shared" si="259"/>
        <v>2.3982606889683044E-6</v>
      </c>
      <c r="BH312" s="173">
        <f t="shared" si="286"/>
        <v>1586.7200007032989</v>
      </c>
      <c r="BI312">
        <v>-257.98371042564935</v>
      </c>
      <c r="BP312" s="129">
        <v>119.72386631178621</v>
      </c>
      <c r="BQ312" s="9">
        <v>8.4375</v>
      </c>
      <c r="BR312" s="129">
        <f t="shared" si="287"/>
        <v>130.27133352738247</v>
      </c>
      <c r="BS312" s="36">
        <f t="shared" si="307"/>
        <v>1.4082463947801748E-2</v>
      </c>
      <c r="BT312" s="37">
        <f t="shared" si="288"/>
        <v>64829916.099891461</v>
      </c>
      <c r="BU312" s="36">
        <f t="shared" si="260"/>
        <v>1.9928987529573079</v>
      </c>
      <c r="BV312" s="37">
        <f t="shared" si="289"/>
        <v>-1.2144178370623519E-4</v>
      </c>
      <c r="BW312" s="37">
        <f t="shared" si="290"/>
        <v>-4.9764445894913009E-2</v>
      </c>
      <c r="BX312" s="37">
        <f t="shared" si="291"/>
        <v>-6.8309704531216102</v>
      </c>
      <c r="BY312" s="39">
        <f t="shared" si="292"/>
        <v>1.5820383109355206E-2</v>
      </c>
      <c r="BZ312" s="39">
        <f>BZ311+(1000*$C$2*($B312-$B311))/(BerechnungenCLT!$W$47*2*BT312)</f>
        <v>1.4328640421756904E-2</v>
      </c>
      <c r="CA312" s="37">
        <f t="shared" si="261"/>
        <v>2.0094323942461585E-6</v>
      </c>
      <c r="CB312" s="173">
        <f t="shared" si="293"/>
        <v>1721.0785188226735</v>
      </c>
      <c r="CC312" s="9">
        <v>-258.88519059582745</v>
      </c>
      <c r="CJ312" s="9">
        <f t="shared" si="309"/>
        <v>261</v>
      </c>
      <c r="CK312" s="129">
        <v>104.73556237442072</v>
      </c>
      <c r="CL312" s="9">
        <v>6.796875</v>
      </c>
      <c r="CM312" s="129">
        <f t="shared" si="294"/>
        <v>115.83601660229948</v>
      </c>
      <c r="CN312" s="36">
        <f t="shared" si="308"/>
        <v>1.30764270874079E-2</v>
      </c>
      <c r="CO312" s="173">
        <f t="shared" si="295"/>
        <v>2210.8787200232964</v>
      </c>
      <c r="CP312" s="9">
        <v>-630.7012966338026</v>
      </c>
      <c r="CQ312" s="129"/>
      <c r="CR312" s="36">
        <f t="shared" si="296"/>
        <v>0.73955012400425124</v>
      </c>
      <c r="CS312" s="17">
        <f t="shared" si="262"/>
        <v>0.53164854766833147</v>
      </c>
      <c r="CT312" s="9">
        <f t="shared" si="263"/>
        <v>7.6707159605449258</v>
      </c>
      <c r="CU312" s="9">
        <f t="shared" si="297"/>
        <v>117.26314768606585</v>
      </c>
      <c r="CV312" s="9">
        <v>10.199999999999999</v>
      </c>
      <c r="CW312" s="9">
        <f t="shared" si="298"/>
        <v>121.39389920191326</v>
      </c>
      <c r="CX312">
        <f t="shared" si="299"/>
        <v>17</v>
      </c>
      <c r="CY312" s="9">
        <f t="shared" si="264"/>
        <v>510.60774361004508</v>
      </c>
      <c r="CZ312" s="17">
        <f t="shared" si="300"/>
        <v>0.48079825198685988</v>
      </c>
      <c r="DA312">
        <v>45</v>
      </c>
      <c r="DB312" s="9">
        <f t="shared" si="301"/>
        <v>8.2399483559823992</v>
      </c>
      <c r="DC312" s="9">
        <f t="shared" si="302"/>
        <v>8.9795953851076575</v>
      </c>
    </row>
    <row r="313" spans="2:107" x14ac:dyDescent="0.25">
      <c r="B313" s="9">
        <f t="shared" si="303"/>
        <v>262</v>
      </c>
      <c r="C313" s="9">
        <v>126.26231200915988</v>
      </c>
      <c r="D313" s="9"/>
      <c r="E313" s="9">
        <f t="shared" si="265"/>
        <v>126.26231200915988</v>
      </c>
      <c r="F313" s="36">
        <f t="shared" si="304"/>
        <v>0</v>
      </c>
      <c r="G313" s="37">
        <f t="shared" si="249"/>
        <v>0</v>
      </c>
      <c r="H313" s="36" t="e">
        <f t="shared" si="250"/>
        <v>#DIV/0!</v>
      </c>
      <c r="I313" s="37" t="e">
        <f t="shared" si="266"/>
        <v>#DIV/0!</v>
      </c>
      <c r="J313" s="37" t="e">
        <f t="shared" si="267"/>
        <v>#DIV/0!</v>
      </c>
      <c r="K313" s="37" t="e">
        <f t="shared" si="268"/>
        <v>#DIV/0!</v>
      </c>
      <c r="L313" s="39" t="e">
        <f t="shared" si="251"/>
        <v>#DIV/0!</v>
      </c>
      <c r="M313" s="39" t="e">
        <f>M312+(1000*$C$2*(B313-B312))/(BerechnungenCLT!$W$47*2*'Berechnung freier Bereich'!G313)</f>
        <v>#DIV/0!</v>
      </c>
      <c r="N313" s="17" t="e">
        <f t="shared" si="269"/>
        <v>#DIV/0!</v>
      </c>
      <c r="O313" s="173">
        <f t="shared" si="270"/>
        <v>1686.7726768781117</v>
      </c>
      <c r="P313" s="173"/>
      <c r="Q313" s="173"/>
      <c r="R313" s="37" t="e">
        <f t="shared" si="252"/>
        <v>#DIV/0!</v>
      </c>
      <c r="S313" s="37" t="e">
        <f t="shared" si="253"/>
        <v>#DIV/0!</v>
      </c>
      <c r="T313" s="37" t="e">
        <f t="shared" si="254"/>
        <v>#DIV/0!</v>
      </c>
      <c r="U313" s="39" t="e">
        <f t="shared" si="255"/>
        <v>#DIV/0!</v>
      </c>
      <c r="V313" s="39" t="e">
        <f t="shared" si="271"/>
        <v>#DIV/0!</v>
      </c>
      <c r="W313" s="9" t="e">
        <f t="shared" si="272"/>
        <v>#DIV/0!</v>
      </c>
      <c r="AB313" s="129">
        <v>123.66525241709353</v>
      </c>
      <c r="AC313" s="9">
        <v>8.03125</v>
      </c>
      <c r="AD313" s="129">
        <f t="shared" si="273"/>
        <v>131.91496459181744</v>
      </c>
      <c r="AE313" s="36">
        <f t="shared" si="305"/>
        <v>1.1260685398006383E-2</v>
      </c>
      <c r="AF313" s="37">
        <f t="shared" si="274"/>
        <v>54141793.593352906</v>
      </c>
      <c r="AG313" s="36">
        <f t="shared" si="256"/>
        <v>1.9958389321716017</v>
      </c>
      <c r="AH313" s="37">
        <f t="shared" si="275"/>
        <v>-1.4541558611503008E-4</v>
      </c>
      <c r="AI313" s="37">
        <f t="shared" si="276"/>
        <v>-4.7104811179813598E-2</v>
      </c>
      <c r="AJ313" s="37">
        <f t="shared" si="277"/>
        <v>-6.6371966936206119</v>
      </c>
      <c r="AK313" s="39">
        <f t="shared" si="278"/>
        <v>1.9182491893462571E-2</v>
      </c>
      <c r="AL313" s="39">
        <f>AL312+(1000*$C$2*($B313-$B312))/(BerechnungenCLT!$W$47*2*AF313)</f>
        <v>1.3559730696954599E-2</v>
      </c>
      <c r="AM313" s="37">
        <f t="shared" si="257"/>
        <v>2.4364720087147776E-6</v>
      </c>
      <c r="AN313" s="173">
        <f t="shared" si="279"/>
        <v>1646.6813041992018</v>
      </c>
      <c r="AO313" s="173">
        <v>-257.97000554764992</v>
      </c>
      <c r="AV313" s="129">
        <v>126.43772474339838</v>
      </c>
      <c r="AW313" s="9">
        <v>7.6875</v>
      </c>
      <c r="AX313" s="129">
        <f t="shared" si="280"/>
        <v>134.48140834346404</v>
      </c>
      <c r="AY313" s="36">
        <f t="shared" si="306"/>
        <v>1.120881497196719E-2</v>
      </c>
      <c r="AZ313" s="37">
        <f t="shared" si="281"/>
        <v>56162340.102314316</v>
      </c>
      <c r="BA313" s="36">
        <f t="shared" si="258"/>
        <v>1.996203885349102</v>
      </c>
      <c r="BB313" s="37">
        <f t="shared" si="282"/>
        <v>-1.4018398511090466E-4</v>
      </c>
      <c r="BC313" s="37">
        <f t="shared" si="283"/>
        <v>-4.3577862220924309E-2</v>
      </c>
      <c r="BD313" s="37">
        <f t="shared" si="284"/>
        <v>-6.0819652880899477</v>
      </c>
      <c r="BE313" s="39">
        <f t="shared" si="285"/>
        <v>1.8852139744913652E-2</v>
      </c>
      <c r="BF313" s="39">
        <f>BF312+(1000*$C$2*($B313-$B312))/(BerechnungenCLT!$W$47*2*AZ313)</f>
        <v>1.2540077913284594E-2</v>
      </c>
      <c r="BG313" s="37">
        <f t="shared" si="259"/>
        <v>2.3945121962238605E-6</v>
      </c>
      <c r="BH313" s="173">
        <f t="shared" si="286"/>
        <v>1579.9821119358112</v>
      </c>
      <c r="BI313">
        <v>-259.16820177456418</v>
      </c>
      <c r="BP313" s="129">
        <v>120.47398328680691</v>
      </c>
      <c r="BQ313" s="9">
        <v>8.375</v>
      </c>
      <c r="BR313" s="129">
        <f t="shared" si="287"/>
        <v>130.92985672489351</v>
      </c>
      <c r="BS313" s="36">
        <f t="shared" si="307"/>
        <v>1.4038833351028939E-2</v>
      </c>
      <c r="BT313" s="37">
        <f t="shared" si="288"/>
        <v>65356153.618518613</v>
      </c>
      <c r="BU313" s="36">
        <f t="shared" si="260"/>
        <v>1.99309901419502</v>
      </c>
      <c r="BV313" s="37">
        <f t="shared" si="289"/>
        <v>-1.2046395347332018E-4</v>
      </c>
      <c r="BW313" s="37">
        <f t="shared" si="290"/>
        <v>-4.9884909848386332E-2</v>
      </c>
      <c r="BX313" s="37">
        <f t="shared" si="291"/>
        <v>-6.8807951309932598</v>
      </c>
      <c r="BY313" s="39">
        <f t="shared" si="292"/>
        <v>1.5772328168776051E-2</v>
      </c>
      <c r="BZ313" s="39">
        <f>BZ312+(1000*$C$2*($B313-$B312))/(BerechnungenCLT!$W$47*2*BT313)</f>
        <v>1.4363466973304071E-2</v>
      </c>
      <c r="CA313" s="37">
        <f t="shared" si="261"/>
        <v>2.0033286764261878E-6</v>
      </c>
      <c r="CB313" s="173">
        <f t="shared" si="293"/>
        <v>1701.8458108248035</v>
      </c>
      <c r="CC313" s="9">
        <v>-257.90258995844391</v>
      </c>
      <c r="CJ313" s="9">
        <f t="shared" si="309"/>
        <v>262</v>
      </c>
      <c r="CK313" s="129">
        <v>106.02678085103355</v>
      </c>
      <c r="CL313" s="9">
        <v>6.640625</v>
      </c>
      <c r="CM313" s="129">
        <f t="shared" si="294"/>
        <v>116.96579788535168</v>
      </c>
      <c r="CN313" s="36">
        <f t="shared" si="308"/>
        <v>1.3027692602221487E-2</v>
      </c>
      <c r="CO313" s="173">
        <f t="shared" si="295"/>
        <v>2163.1329071198984</v>
      </c>
      <c r="CP313" s="9">
        <v>-631.60031122548435</v>
      </c>
      <c r="CQ313" s="129"/>
      <c r="CR313" s="36">
        <f t="shared" si="296"/>
        <v>0.73470028419642597</v>
      </c>
      <c r="CS313" s="17">
        <f t="shared" si="262"/>
        <v>0.52816208987924518</v>
      </c>
      <c r="CT313" s="9">
        <f t="shared" si="263"/>
        <v>7.5438488985662646</v>
      </c>
      <c r="CU313" s="9">
        <f t="shared" si="297"/>
        <v>118.45366711636827</v>
      </c>
      <c r="CV313" s="9">
        <v>10.199999999999999</v>
      </c>
      <c r="CW313" s="9">
        <f t="shared" si="298"/>
        <v>122.82911101574618</v>
      </c>
      <c r="CX313">
        <f t="shared" si="299"/>
        <v>17</v>
      </c>
      <c r="CY313" s="9">
        <f t="shared" si="264"/>
        <v>504.38944529372446</v>
      </c>
      <c r="CZ313" s="17">
        <f t="shared" si="300"/>
        <v>0.4749429805025655</v>
      </c>
      <c r="DA313">
        <v>45</v>
      </c>
      <c r="DB313" s="9">
        <f t="shared" si="301"/>
        <v>8.1396003733483848</v>
      </c>
      <c r="DC313" s="9">
        <f t="shared" si="302"/>
        <v>8.8743995250643213</v>
      </c>
    </row>
    <row r="314" spans="2:107" x14ac:dyDescent="0.25">
      <c r="B314" s="9">
        <f t="shared" si="303"/>
        <v>263</v>
      </c>
      <c r="C314" s="9">
        <v>126.60522306225879</v>
      </c>
      <c r="D314" s="9"/>
      <c r="E314" s="9">
        <f t="shared" si="265"/>
        <v>126.60522306225879</v>
      </c>
      <c r="F314" s="36">
        <f t="shared" si="304"/>
        <v>0</v>
      </c>
      <c r="G314" s="37">
        <f t="shared" si="249"/>
        <v>0</v>
      </c>
      <c r="H314" s="36" t="e">
        <f t="shared" si="250"/>
        <v>#DIV/0!</v>
      </c>
      <c r="I314" s="37" t="e">
        <f t="shared" si="266"/>
        <v>#DIV/0!</v>
      </c>
      <c r="J314" s="37" t="e">
        <f t="shared" si="267"/>
        <v>#DIV/0!</v>
      </c>
      <c r="K314" s="37" t="e">
        <f t="shared" si="268"/>
        <v>#DIV/0!</v>
      </c>
      <c r="L314" s="39" t="e">
        <f t="shared" si="251"/>
        <v>#DIV/0!</v>
      </c>
      <c r="M314" s="39" t="e">
        <f>M313+(1000*$C$2*(B314-B313))/(BerechnungenCLT!$W$47*2*'Berechnung freier Bereich'!G314)</f>
        <v>#DIV/0!</v>
      </c>
      <c r="N314" s="17" t="e">
        <f t="shared" si="269"/>
        <v>#DIV/0!</v>
      </c>
      <c r="O314" s="173">
        <f t="shared" si="270"/>
        <v>1677.6477819748093</v>
      </c>
      <c r="P314" s="173"/>
      <c r="Q314" s="173"/>
      <c r="R314" s="37" t="e">
        <f t="shared" si="252"/>
        <v>#DIV/0!</v>
      </c>
      <c r="S314" s="37" t="e">
        <f t="shared" si="253"/>
        <v>#DIV/0!</v>
      </c>
      <c r="T314" s="37" t="e">
        <f t="shared" si="254"/>
        <v>#DIV/0!</v>
      </c>
      <c r="U314" s="39" t="e">
        <f t="shared" si="255"/>
        <v>#DIV/0!</v>
      </c>
      <c r="V314" s="39" t="e">
        <f t="shared" si="271"/>
        <v>#DIV/0!</v>
      </c>
      <c r="W314" s="9" t="e">
        <f t="shared" si="272"/>
        <v>#DIV/0!</v>
      </c>
      <c r="AB314" s="129">
        <v>123.90007778690298</v>
      </c>
      <c r="AC314" s="9">
        <v>8</v>
      </c>
      <c r="AD314" s="129">
        <f t="shared" si="273"/>
        <v>132.18030480965032</v>
      </c>
      <c r="AE314" s="36">
        <f t="shared" si="305"/>
        <v>1.1324455988370235E-2</v>
      </c>
      <c r="AF314" s="37">
        <f t="shared" si="274"/>
        <v>54661920.444270812</v>
      </c>
      <c r="AG314" s="36">
        <f t="shared" si="256"/>
        <v>1.9958244741159923</v>
      </c>
      <c r="AH314" s="37">
        <f t="shared" si="275"/>
        <v>-1.440319071248727E-4</v>
      </c>
      <c r="AI314" s="37">
        <f t="shared" si="276"/>
        <v>-4.7248843086938469E-2</v>
      </c>
      <c r="AJ314" s="37">
        <f t="shared" si="277"/>
        <v>-6.6843735207539883</v>
      </c>
      <c r="AK314" s="39">
        <f t="shared" si="278"/>
        <v>1.9038181386080918E-2</v>
      </c>
      <c r="AL314" s="39">
        <f>AL313+(1000*$C$2*($B314-$B313))/(BerechnungenCLT!$W$47*2*AF314)</f>
        <v>1.3601370826580863E-2</v>
      </c>
      <c r="AM314" s="37">
        <f t="shared" si="257"/>
        <v>2.4181423509335246E-6</v>
      </c>
      <c r="AN314" s="173">
        <f t="shared" si="279"/>
        <v>1640.2551266831242</v>
      </c>
      <c r="AO314" s="173">
        <v>-258.31184912689196</v>
      </c>
      <c r="AV314" s="129">
        <v>126.74564093786864</v>
      </c>
      <c r="AW314" s="9">
        <v>7.6875</v>
      </c>
      <c r="AX314" s="129">
        <f t="shared" si="280"/>
        <v>134.83612396086468</v>
      </c>
      <c r="AY314" s="36">
        <f t="shared" si="306"/>
        <v>1.1302661223623443E-2</v>
      </c>
      <c r="AZ314" s="37">
        <f t="shared" si="281"/>
        <v>56920929.649895892</v>
      </c>
      <c r="BA314" s="36">
        <f t="shared" si="258"/>
        <v>1.9961790519322142</v>
      </c>
      <c r="BB314" s="37">
        <f t="shared" si="282"/>
        <v>-1.3831574250668959E-4</v>
      </c>
      <c r="BC314" s="37">
        <f t="shared" si="283"/>
        <v>-4.3716177963430997E-2</v>
      </c>
      <c r="BD314" s="37">
        <f t="shared" si="284"/>
        <v>-6.1256123081821254</v>
      </c>
      <c r="BE314" s="39">
        <f t="shared" si="285"/>
        <v>1.8649958602371036E-2</v>
      </c>
      <c r="BF314" s="39">
        <f>BF313+(1000*$C$2*($B314-$B313))/(BerechnungenCLT!$W$47*2*AZ314)</f>
        <v>1.2580065479666938E-2</v>
      </c>
      <c r="BG314" s="37">
        <f t="shared" si="259"/>
        <v>2.3688320761836206E-6</v>
      </c>
      <c r="BH314" s="173">
        <f t="shared" si="286"/>
        <v>1571.9875152033014</v>
      </c>
      <c r="BI314">
        <v>-258.08124641568776</v>
      </c>
      <c r="BP314" s="129">
        <v>121.22141797564677</v>
      </c>
      <c r="BQ314" s="9">
        <v>8.25</v>
      </c>
      <c r="BR314" s="129">
        <f t="shared" si="287"/>
        <v>131.50341645977718</v>
      </c>
      <c r="BS314" s="36">
        <f t="shared" si="307"/>
        <v>1.3877915865966862E-2</v>
      </c>
      <c r="BT314" s="37">
        <f t="shared" si="288"/>
        <v>65282901.400625035</v>
      </c>
      <c r="BU314" s="36">
        <f t="shared" si="260"/>
        <v>1.9933954691553222</v>
      </c>
      <c r="BV314" s="37">
        <f t="shared" si="289"/>
        <v>-1.2059912289102112E-4</v>
      </c>
      <c r="BW314" s="37">
        <f t="shared" si="290"/>
        <v>-5.0005508971277354E-2</v>
      </c>
      <c r="BX314" s="37">
        <f t="shared" si="291"/>
        <v>-6.9307403404030916</v>
      </c>
      <c r="BY314" s="39">
        <f t="shared" si="292"/>
        <v>1.5859196682221799E-2</v>
      </c>
      <c r="BZ314" s="39">
        <f>BZ313+(1000*$C$2*($B314-$B313))/(BerechnungenCLT!$W$47*2*BT314)</f>
        <v>1.4398332602804082E-2</v>
      </c>
      <c r="CA314" s="37">
        <f t="shared" si="261"/>
        <v>2.0143623159879677E-6</v>
      </c>
      <c r="CB314" s="173">
        <f t="shared" si="293"/>
        <v>1684.1011887829316</v>
      </c>
      <c r="CC314" s="9">
        <v>-259.08039059735233</v>
      </c>
      <c r="CJ314" s="9">
        <f t="shared" si="309"/>
        <v>263</v>
      </c>
      <c r="CK314" s="129">
        <v>107.33580925155212</v>
      </c>
      <c r="CL314" s="9">
        <v>6.5</v>
      </c>
      <c r="CM314" s="129">
        <f t="shared" si="294"/>
        <v>118.12593274365597</v>
      </c>
      <c r="CN314" s="36">
        <f t="shared" si="308"/>
        <v>1.2992659812320211E-2</v>
      </c>
      <c r="CO314" s="173">
        <f t="shared" si="295"/>
        <v>2116.0128827381563</v>
      </c>
      <c r="CP314" s="9">
        <v>-631.20878995183125</v>
      </c>
      <c r="CQ314" s="129"/>
      <c r="CR314" s="36">
        <f t="shared" si="296"/>
        <v>0.72977147967445677</v>
      </c>
      <c r="CS314" s="17">
        <f t="shared" si="262"/>
        <v>0.52461886585589146</v>
      </c>
      <c r="CT314" s="9">
        <f t="shared" si="263"/>
        <v>7.4339682650133634</v>
      </c>
      <c r="CU314" s="9">
        <f t="shared" si="297"/>
        <v>119.67633780784061</v>
      </c>
      <c r="CV314" s="9">
        <v>10.199999999999999</v>
      </c>
      <c r="CW314" s="9">
        <f t="shared" si="298"/>
        <v>124.26800303916123</v>
      </c>
      <c r="CX314">
        <f t="shared" si="299"/>
        <v>17</v>
      </c>
      <c r="CY314" s="9">
        <f t="shared" si="264"/>
        <v>498.23809549336181</v>
      </c>
      <c r="CZ314" s="17">
        <f t="shared" si="300"/>
        <v>0.46915074905212983</v>
      </c>
      <c r="DA314">
        <v>45</v>
      </c>
      <c r="DB314" s="9">
        <f t="shared" si="301"/>
        <v>8.0403327744745212</v>
      </c>
      <c r="DC314" s="9">
        <f t="shared" si="302"/>
        <v>8.7702004418929835</v>
      </c>
    </row>
    <row r="315" spans="2:107" x14ac:dyDescent="0.25">
      <c r="B315" s="9">
        <f t="shared" si="303"/>
        <v>264</v>
      </c>
      <c r="C315" s="9">
        <v>126.95943855600724</v>
      </c>
      <c r="D315" s="9"/>
      <c r="E315" s="9">
        <f t="shared" si="265"/>
        <v>126.95943855600724</v>
      </c>
      <c r="F315" s="36">
        <f t="shared" si="304"/>
        <v>0</v>
      </c>
      <c r="G315" s="37">
        <f t="shared" si="249"/>
        <v>0</v>
      </c>
      <c r="H315" s="36" t="e">
        <f t="shared" si="250"/>
        <v>#DIV/0!</v>
      </c>
      <c r="I315" s="37" t="e">
        <f t="shared" si="266"/>
        <v>#DIV/0!</v>
      </c>
      <c r="J315" s="37" t="e">
        <f t="shared" si="267"/>
        <v>#DIV/0!</v>
      </c>
      <c r="K315" s="37" t="e">
        <f t="shared" si="268"/>
        <v>#DIV/0!</v>
      </c>
      <c r="L315" s="39" t="e">
        <f t="shared" si="251"/>
        <v>#DIV/0!</v>
      </c>
      <c r="M315" s="39" t="e">
        <f>M314+(1000*$C$2*(B315-B314))/(BerechnungenCLT!$W$47*2*'Berechnung freier Bereich'!G315)</f>
        <v>#DIV/0!</v>
      </c>
      <c r="N315" s="17" t="e">
        <f t="shared" si="269"/>
        <v>#DIV/0!</v>
      </c>
      <c r="O315" s="173">
        <f t="shared" si="270"/>
        <v>1668.2996016396573</v>
      </c>
      <c r="P315" s="173"/>
      <c r="Q315" s="173"/>
      <c r="R315" s="37" t="e">
        <f t="shared" si="252"/>
        <v>#DIV/0!</v>
      </c>
      <c r="S315" s="37" t="e">
        <f t="shared" si="253"/>
        <v>#DIV/0!</v>
      </c>
      <c r="T315" s="37" t="e">
        <f t="shared" si="254"/>
        <v>#DIV/0!</v>
      </c>
      <c r="U315" s="39" t="e">
        <f t="shared" si="255"/>
        <v>#DIV/0!</v>
      </c>
      <c r="V315" s="39" t="e">
        <f t="shared" si="271"/>
        <v>#DIV/0!</v>
      </c>
      <c r="W315" s="9" t="e">
        <f t="shared" si="272"/>
        <v>#DIV/0!</v>
      </c>
      <c r="AB315" s="129">
        <v>124.16706794204204</v>
      </c>
      <c r="AC315" s="9">
        <v>8</v>
      </c>
      <c r="AD315" s="129">
        <f t="shared" si="273"/>
        <v>132.52150424747069</v>
      </c>
      <c r="AE315" s="36">
        <f t="shared" si="305"/>
        <v>1.1453084913818334E-2</v>
      </c>
      <c r="AF315" s="37">
        <f t="shared" si="274"/>
        <v>55546467.854715124</v>
      </c>
      <c r="AG315" s="36">
        <f t="shared" si="256"/>
        <v>1.995769501185495</v>
      </c>
      <c r="AH315" s="37">
        <f t="shared" si="275"/>
        <v>-1.4173827702760184E-4</v>
      </c>
      <c r="AI315" s="37">
        <f t="shared" si="276"/>
        <v>-4.7390581363966074E-2</v>
      </c>
      <c r="AJ315" s="37">
        <f t="shared" si="277"/>
        <v>-6.7316932329794401</v>
      </c>
      <c r="AK315" s="39">
        <f t="shared" si="278"/>
        <v>1.8783369681142515E-2</v>
      </c>
      <c r="AL315" s="39">
        <f>AL314+(1000*$C$2*($B315-$B314))/(BerechnungenCLT!$W$47*2*AF315)</f>
        <v>1.3642347859699751E-2</v>
      </c>
      <c r="AM315" s="37">
        <f t="shared" si="257"/>
        <v>2.3857773386075249E-6</v>
      </c>
      <c r="AN315" s="173">
        <f t="shared" si="279"/>
        <v>1632.4916001244967</v>
      </c>
      <c r="AO315" s="173">
        <v>-257.46455335786516</v>
      </c>
      <c r="AV315" s="129">
        <v>127.07364859989502</v>
      </c>
      <c r="AW315" s="9">
        <v>7.625</v>
      </c>
      <c r="AX315" s="129">
        <f t="shared" si="280"/>
        <v>135.14958040005496</v>
      </c>
      <c r="AY315" s="36">
        <f t="shared" si="306"/>
        <v>1.1309999813884393E-2</v>
      </c>
      <c r="AZ315" s="37">
        <f t="shared" si="281"/>
        <v>57237116.903196342</v>
      </c>
      <c r="BA315" s="36">
        <f t="shared" si="258"/>
        <v>1.9962113420650842</v>
      </c>
      <c r="BB315" s="37">
        <f t="shared" si="282"/>
        <v>-1.3755166358242496E-4</v>
      </c>
      <c r="BC315" s="37">
        <f t="shared" si="283"/>
        <v>-4.3853729627013421E-2</v>
      </c>
      <c r="BD315" s="37">
        <f t="shared" si="284"/>
        <v>-6.1693972619773474</v>
      </c>
      <c r="BE315" s="39">
        <f t="shared" si="285"/>
        <v>1.8590049616494252E-2</v>
      </c>
      <c r="BF315" s="39">
        <f>BF314+(1000*$C$2*($B315-$B314))/(BerechnungenCLT!$W$47*2*AZ315)</f>
        <v>1.2619832148151822E-2</v>
      </c>
      <c r="BG315" s="37">
        <f t="shared" si="259"/>
        <v>2.361222711979535E-6</v>
      </c>
      <c r="BH315" s="173">
        <f t="shared" si="286"/>
        <v>1564.3059669706606</v>
      </c>
      <c r="BI315">
        <v>-259.18098066201509</v>
      </c>
      <c r="BP315" s="129">
        <v>121.96523971863813</v>
      </c>
      <c r="BQ315" s="9">
        <v>8.1875</v>
      </c>
      <c r="BR315" s="129">
        <f t="shared" si="287"/>
        <v>132.14718576525328</v>
      </c>
      <c r="BS315" s="36">
        <f t="shared" si="307"/>
        <v>1.381832767753831E-2</v>
      </c>
      <c r="BT315" s="37">
        <f t="shared" si="288"/>
        <v>65715086.136946306</v>
      </c>
      <c r="BU315" s="36">
        <f t="shared" si="260"/>
        <v>1.9935934405420581</v>
      </c>
      <c r="BV315" s="37">
        <f t="shared" si="289"/>
        <v>-1.1980598537586036E-4</v>
      </c>
      <c r="BW315" s="37">
        <f t="shared" si="290"/>
        <v>-5.0125314956653212E-2</v>
      </c>
      <c r="BX315" s="37">
        <f t="shared" si="291"/>
        <v>-6.9808057523670568</v>
      </c>
      <c r="BY315" s="39">
        <f t="shared" si="292"/>
        <v>1.5832023805253038E-2</v>
      </c>
      <c r="BZ315" s="39">
        <f>BZ314+(1000*$C$2*($B315-$B314))/(BerechnungenCLT!$W$47*2*BT315)</f>
        <v>1.4432968933466066E-2</v>
      </c>
      <c r="CA315" s="37">
        <f t="shared" si="261"/>
        <v>2.0109109419694964E-6</v>
      </c>
      <c r="CB315" s="173">
        <f t="shared" si="293"/>
        <v>1665.7592008572394</v>
      </c>
      <c r="CC315" s="9">
        <v>-258.21485120035373</v>
      </c>
      <c r="CJ315" s="9">
        <f t="shared" si="309"/>
        <v>264</v>
      </c>
      <c r="CK315" s="129">
        <v>108.66082361989982</v>
      </c>
      <c r="CL315" s="9">
        <v>6.359375</v>
      </c>
      <c r="CM315" s="129">
        <f t="shared" si="294"/>
        <v>119.28953183665216</v>
      </c>
      <c r="CN315" s="36">
        <f t="shared" si="308"/>
        <v>1.2939561308225817E-2</v>
      </c>
      <c r="CO315" s="173">
        <f t="shared" si="295"/>
        <v>2070.0625871746051</v>
      </c>
      <c r="CP315" s="9">
        <v>-631.15660045976153</v>
      </c>
      <c r="CQ315" s="129"/>
      <c r="CR315" s="36">
        <f t="shared" si="296"/>
        <v>0.72488001237779898</v>
      </c>
      <c r="CS315" s="17">
        <f t="shared" si="262"/>
        <v>0.52110248285516292</v>
      </c>
      <c r="CT315" s="9">
        <f t="shared" si="263"/>
        <v>7.3222161197426656</v>
      </c>
      <c r="CU315" s="9">
        <f t="shared" si="297"/>
        <v>120.89877131707844</v>
      </c>
      <c r="CV315" s="9">
        <v>10.199999999999999</v>
      </c>
      <c r="CW315" s="9">
        <f t="shared" si="298"/>
        <v>125.70854038622888</v>
      </c>
      <c r="CX315">
        <f t="shared" si="299"/>
        <v>17</v>
      </c>
      <c r="CY315" s="9">
        <f t="shared" si="264"/>
        <v>492.16256050849734</v>
      </c>
      <c r="CZ315" s="17">
        <f t="shared" si="300"/>
        <v>0.46342990631685255</v>
      </c>
      <c r="DA315">
        <v>45</v>
      </c>
      <c r="DB315" s="9">
        <f t="shared" si="301"/>
        <v>7.9422886395456143</v>
      </c>
      <c r="DC315" s="9">
        <f t="shared" si="302"/>
        <v>8.6672618348744095</v>
      </c>
    </row>
    <row r="316" spans="2:107" x14ac:dyDescent="0.25">
      <c r="B316" s="9">
        <f t="shared" si="303"/>
        <v>265</v>
      </c>
      <c r="C316" s="9">
        <v>127.32549124353042</v>
      </c>
      <c r="D316" s="9"/>
      <c r="E316" s="9">
        <f t="shared" si="265"/>
        <v>127.32549124353042</v>
      </c>
      <c r="F316" s="36">
        <f t="shared" si="304"/>
        <v>0</v>
      </c>
      <c r="G316" s="37">
        <f t="shared" si="249"/>
        <v>0</v>
      </c>
      <c r="H316" s="36" t="e">
        <f t="shared" si="250"/>
        <v>#DIV/0!</v>
      </c>
      <c r="I316" s="37" t="e">
        <f t="shared" si="266"/>
        <v>#DIV/0!</v>
      </c>
      <c r="J316" s="37" t="e">
        <f t="shared" si="267"/>
        <v>#DIV/0!</v>
      </c>
      <c r="K316" s="37" t="e">
        <f t="shared" si="268"/>
        <v>#DIV/0!</v>
      </c>
      <c r="L316" s="39" t="e">
        <f t="shared" si="251"/>
        <v>#DIV/0!</v>
      </c>
      <c r="M316" s="39" t="e">
        <f>M315+(1000*$C$2*(B316-B315))/(BerechnungenCLT!$W$47*2*'Berechnung freier Bereich'!G316)</f>
        <v>#DIV/0!</v>
      </c>
      <c r="N316" s="17" t="e">
        <f t="shared" si="269"/>
        <v>#DIV/0!</v>
      </c>
      <c r="O316" s="173">
        <f t="shared" si="270"/>
        <v>1658.7208801164088</v>
      </c>
      <c r="P316" s="173"/>
      <c r="Q316" s="173"/>
      <c r="R316" s="37" t="e">
        <f t="shared" si="252"/>
        <v>#DIV/0!</v>
      </c>
      <c r="S316" s="37" t="e">
        <f t="shared" si="253"/>
        <v>#DIV/0!</v>
      </c>
      <c r="T316" s="37" t="e">
        <f t="shared" si="254"/>
        <v>#DIV/0!</v>
      </c>
      <c r="U316" s="39" t="e">
        <f t="shared" si="255"/>
        <v>#DIV/0!</v>
      </c>
      <c r="V316" s="39" t="e">
        <f t="shared" si="271"/>
        <v>#DIV/0!</v>
      </c>
      <c r="W316" s="9" t="e">
        <f t="shared" si="272"/>
        <v>#DIV/0!</v>
      </c>
      <c r="AB316" s="129">
        <v>124.46801971302932</v>
      </c>
      <c r="AC316" s="9">
        <v>7.9375</v>
      </c>
      <c r="AD316" s="129">
        <f t="shared" si="273"/>
        <v>132.84339413188022</v>
      </c>
      <c r="AE316" s="36">
        <f t="shared" si="305"/>
        <v>1.1509648915887443E-2</v>
      </c>
      <c r="AF316" s="37">
        <f t="shared" si="274"/>
        <v>56092029.065844186</v>
      </c>
      <c r="AG316" s="36">
        <f t="shared" si="256"/>
        <v>1.9957688288579631</v>
      </c>
      <c r="AH316" s="37">
        <f t="shared" si="275"/>
        <v>-1.4035970493159595E-4</v>
      </c>
      <c r="AI316" s="37">
        <f t="shared" si="276"/>
        <v>-4.7530941068897672E-2</v>
      </c>
      <c r="AJ316" s="37">
        <f t="shared" si="277"/>
        <v>-6.7791539941958723</v>
      </c>
      <c r="AK316" s="39">
        <f t="shared" si="278"/>
        <v>1.8645859602462414E-2</v>
      </c>
      <c r="AL316" s="39">
        <f>AL315+(1000*$C$2*($B316-$B315))/(BerechnungenCLT!$W$47*2*AF316)</f>
        <v>1.3682926342789534E-2</v>
      </c>
      <c r="AM316" s="37">
        <f t="shared" si="257"/>
        <v>2.3683114400433023E-6</v>
      </c>
      <c r="AN316" s="173">
        <f t="shared" si="279"/>
        <v>1624.5980274716371</v>
      </c>
      <c r="AO316" s="173">
        <v>-258.6394464610517</v>
      </c>
      <c r="AV316" s="129">
        <v>127.42261072836919</v>
      </c>
      <c r="AW316" s="9">
        <v>7.625</v>
      </c>
      <c r="AX316" s="129">
        <f t="shared" si="280"/>
        <v>135.55487075811411</v>
      </c>
      <c r="AY316" s="36">
        <f t="shared" si="306"/>
        <v>1.1421643820095412E-2</v>
      </c>
      <c r="AZ316" s="37">
        <f t="shared" si="281"/>
        <v>58135570.282010831</v>
      </c>
      <c r="BA316" s="36">
        <f t="shared" si="258"/>
        <v>1.9961803570569991</v>
      </c>
      <c r="BB316" s="37">
        <f t="shared" si="282"/>
        <v>-1.3542587800385939E-4</v>
      </c>
      <c r="BC316" s="37">
        <f t="shared" si="283"/>
        <v>-4.398915550501728E-2</v>
      </c>
      <c r="BD316" s="37">
        <f t="shared" si="284"/>
        <v>-6.2133187045433624</v>
      </c>
      <c r="BE316" s="39">
        <f t="shared" si="285"/>
        <v>1.8357637390117289E-2</v>
      </c>
      <c r="BF316" s="39">
        <f>BF315+(1000*$C$2*($B316-$B315))/(BerechnungenCLT!$W$47*2*AZ316)</f>
        <v>1.2658984244568501E-2</v>
      </c>
      <c r="BG316" s="37">
        <f t="shared" si="259"/>
        <v>2.3317027785321219E-6</v>
      </c>
      <c r="BH316" s="173">
        <f t="shared" si="286"/>
        <v>1555.3455827268599</v>
      </c>
      <c r="BI316">
        <v>-257.98668037438199</v>
      </c>
      <c r="BP316" s="129">
        <v>122.70451785611336</v>
      </c>
      <c r="BQ316" s="9">
        <v>8.125</v>
      </c>
      <c r="BR316" s="129">
        <f t="shared" si="287"/>
        <v>132.78236160771772</v>
      </c>
      <c r="BS316" s="36">
        <f t="shared" si="307"/>
        <v>1.3751023257785924E-2</v>
      </c>
      <c r="BT316" s="37">
        <f t="shared" si="288"/>
        <v>66101076.297091916</v>
      </c>
      <c r="BU316" s="36">
        <f t="shared" si="260"/>
        <v>1.9937906615602961</v>
      </c>
      <c r="BV316" s="37">
        <f t="shared" si="289"/>
        <v>-1.191063911472613E-4</v>
      </c>
      <c r="BW316" s="37">
        <f t="shared" si="290"/>
        <v>-5.0244421347800473E-2</v>
      </c>
      <c r="BX316" s="37">
        <f t="shared" si="291"/>
        <v>-7.030990620519284</v>
      </c>
      <c r="BY316" s="39">
        <f t="shared" si="292"/>
        <v>1.5815227899105919E-2</v>
      </c>
      <c r="BZ316" s="39">
        <f>BZ315+(1000*$C$2*($B316-$B315))/(BerechnungenCLT!$W$47*2*BT316)</f>
        <v>1.4467403008982322E-2</v>
      </c>
      <c r="CA316" s="37">
        <f t="shared" si="261"/>
        <v>2.0087776031198966E-6</v>
      </c>
      <c r="CB316" s="173">
        <f t="shared" si="293"/>
        <v>1647.8846948863491</v>
      </c>
      <c r="CC316" s="9">
        <v>-257.40901916908302</v>
      </c>
      <c r="CJ316" s="9">
        <f t="shared" si="309"/>
        <v>265</v>
      </c>
      <c r="CK316" s="129">
        <v>110</v>
      </c>
      <c r="CL316" s="9">
        <v>6.21875</v>
      </c>
      <c r="CM316" s="129">
        <f t="shared" si="294"/>
        <v>120.4542212162298</v>
      </c>
      <c r="CN316" s="36">
        <f t="shared" si="308"/>
        <v>1.2866936192517437E-2</v>
      </c>
      <c r="CO316" s="173">
        <f t="shared" si="295"/>
        <v>2025.3248382846266</v>
      </c>
      <c r="CP316" s="9">
        <v>-631.48011300992982</v>
      </c>
      <c r="CQ316" s="129"/>
      <c r="CR316" s="36">
        <f t="shared" si="296"/>
        <v>0.72003592834416863</v>
      </c>
      <c r="CS316" s="17">
        <f t="shared" si="262"/>
        <v>0.51762016278290224</v>
      </c>
      <c r="CT316" s="9">
        <f t="shared" si="263"/>
        <v>7.2084711305284737</v>
      </c>
      <c r="CU316" s="9">
        <f t="shared" si="297"/>
        <v>122.11802240471971</v>
      </c>
      <c r="CV316" s="9">
        <v>10.199999999999999</v>
      </c>
      <c r="CW316" s="9">
        <f t="shared" si="298"/>
        <v>127.14702414561509</v>
      </c>
      <c r="CX316">
        <f t="shared" si="299"/>
        <v>17</v>
      </c>
      <c r="CY316" s="9">
        <f t="shared" si="264"/>
        <v>486.17081072483722</v>
      </c>
      <c r="CZ316" s="17">
        <f t="shared" si="300"/>
        <v>0.45778795736802008</v>
      </c>
      <c r="DA316">
        <v>45</v>
      </c>
      <c r="DB316" s="9">
        <f t="shared" si="301"/>
        <v>7.8455965909090901</v>
      </c>
      <c r="DC316" s="9">
        <f t="shared" si="302"/>
        <v>8.5657260243185398</v>
      </c>
    </row>
    <row r="317" spans="2:107" x14ac:dyDescent="0.25">
      <c r="B317" s="9">
        <f t="shared" si="303"/>
        <v>266</v>
      </c>
      <c r="C317" s="9">
        <v>127.7039138779535</v>
      </c>
      <c r="D317" s="9"/>
      <c r="E317" s="9">
        <f t="shared" si="265"/>
        <v>127.7039138779535</v>
      </c>
      <c r="F317" s="36">
        <f t="shared" si="304"/>
        <v>0</v>
      </c>
      <c r="G317" s="37">
        <f t="shared" si="249"/>
        <v>0</v>
      </c>
      <c r="H317" s="36" t="e">
        <f t="shared" si="250"/>
        <v>#DIV/0!</v>
      </c>
      <c r="I317" s="37" t="e">
        <f t="shared" si="266"/>
        <v>#DIV/0!</v>
      </c>
      <c r="J317" s="37" t="e">
        <f t="shared" si="267"/>
        <v>#DIV/0!</v>
      </c>
      <c r="K317" s="37" t="e">
        <f t="shared" si="268"/>
        <v>#DIV/0!</v>
      </c>
      <c r="L317" s="39" t="e">
        <f t="shared" si="251"/>
        <v>#DIV/0!</v>
      </c>
      <c r="M317" s="39" t="e">
        <f>M316+(1000*$C$2*(B317-B316))/(BerechnungenCLT!$W$47*2*'Berechnung freier Bereich'!G317)</f>
        <v>#DIV/0!</v>
      </c>
      <c r="N317" s="17" t="e">
        <f t="shared" si="269"/>
        <v>#DIV/0!</v>
      </c>
      <c r="O317" s="173">
        <f t="shared" si="270"/>
        <v>1648.9049318969937</v>
      </c>
      <c r="P317" s="173"/>
      <c r="Q317" s="173"/>
      <c r="R317" s="37" t="e">
        <f t="shared" si="252"/>
        <v>#DIV/0!</v>
      </c>
      <c r="S317" s="37" t="e">
        <f t="shared" si="253"/>
        <v>#DIV/0!</v>
      </c>
      <c r="T317" s="37" t="e">
        <f t="shared" si="254"/>
        <v>#DIV/0!</v>
      </c>
      <c r="U317" s="39" t="e">
        <f t="shared" si="255"/>
        <v>#DIV/0!</v>
      </c>
      <c r="V317" s="39" t="e">
        <f t="shared" si="271"/>
        <v>#DIV/0!</v>
      </c>
      <c r="W317" s="9" t="e">
        <f t="shared" si="272"/>
        <v>#DIV/0!</v>
      </c>
      <c r="AB317" s="129">
        <v>124.80472993038343</v>
      </c>
      <c r="AC317" s="9">
        <v>7.9375</v>
      </c>
      <c r="AD317" s="129">
        <f t="shared" si="273"/>
        <v>133.27993830586774</v>
      </c>
      <c r="AE317" s="36">
        <f t="shared" si="305"/>
        <v>1.168184351945302E-2</v>
      </c>
      <c r="AF317" s="37">
        <f t="shared" si="274"/>
        <v>57274983.719543435</v>
      </c>
      <c r="AG317" s="36">
        <f t="shared" si="256"/>
        <v>1.9956934025180597</v>
      </c>
      <c r="AH317" s="37">
        <f t="shared" si="275"/>
        <v>-1.3746072259484445E-4</v>
      </c>
      <c r="AI317" s="37">
        <f t="shared" si="276"/>
        <v>-4.7668401791492516E-2</v>
      </c>
      <c r="AJ317" s="37">
        <f t="shared" si="277"/>
        <v>-6.8267536656260672</v>
      </c>
      <c r="AK317" s="39">
        <f t="shared" si="278"/>
        <v>1.832075662692087E-2</v>
      </c>
      <c r="AL317" s="39">
        <f>AL316+(1000*$C$2*($B317-$B316))/(BerechnungenCLT!$W$47*2*AF317)</f>
        <v>1.372266671991588E-2</v>
      </c>
      <c r="AM317" s="37">
        <f t="shared" si="257"/>
        <v>2.3270183533965773E-6</v>
      </c>
      <c r="AN317" s="173">
        <f t="shared" si="279"/>
        <v>1614.8776077430957</v>
      </c>
      <c r="AO317" s="173">
        <v>-257.52202449728486</v>
      </c>
      <c r="AV317" s="129">
        <v>127.79339032218282</v>
      </c>
      <c r="AW317" s="9">
        <v>7.5625</v>
      </c>
      <c r="AX317" s="129">
        <f t="shared" si="280"/>
        <v>135.92021347718995</v>
      </c>
      <c r="AY317" s="36">
        <f t="shared" si="306"/>
        <v>1.1445957712719111E-2</v>
      </c>
      <c r="AZ317" s="37">
        <f t="shared" si="281"/>
        <v>58585553.908750527</v>
      </c>
      <c r="BA317" s="36">
        <f t="shared" si="258"/>
        <v>1.9962066909688221</v>
      </c>
      <c r="BB317" s="37">
        <f t="shared" si="282"/>
        <v>-1.3438569960367734E-4</v>
      </c>
      <c r="BC317" s="37">
        <f t="shared" si="283"/>
        <v>-4.4123541204620954E-2</v>
      </c>
      <c r="BD317" s="37">
        <f t="shared" si="284"/>
        <v>-6.2573750528981815</v>
      </c>
      <c r="BE317" s="39">
        <f t="shared" si="285"/>
        <v>1.8265732978413343E-2</v>
      </c>
      <c r="BF317" s="39">
        <f>BF316+(1000*$C$2*($B317-$B316))/(BerechnungenCLT!$W$47*2*AZ317)</f>
        <v>1.2697835621760651E-2</v>
      </c>
      <c r="BG317" s="37">
        <f t="shared" si="259"/>
        <v>2.3200295023051486E-6</v>
      </c>
      <c r="BH317" s="173">
        <f t="shared" si="286"/>
        <v>1546.6746107557467</v>
      </c>
      <c r="BI317">
        <v>-258.99106467963782</v>
      </c>
      <c r="BP317" s="129">
        <v>123.43832172840474</v>
      </c>
      <c r="BQ317" s="9">
        <v>8</v>
      </c>
      <c r="BR317" s="129">
        <f t="shared" si="287"/>
        <v>133.330894226959</v>
      </c>
      <c r="BS317" s="36">
        <f t="shared" si="307"/>
        <v>1.3565974324488415E-2</v>
      </c>
      <c r="BT317" s="37">
        <f t="shared" si="288"/>
        <v>65863097.864676565</v>
      </c>
      <c r="BU317" s="36">
        <f t="shared" si="260"/>
        <v>1.994075844603503</v>
      </c>
      <c r="BV317" s="37">
        <f t="shared" si="289"/>
        <v>-1.1953674977257396E-4</v>
      </c>
      <c r="BW317" s="37">
        <f t="shared" si="290"/>
        <v>-5.0363958097573047E-2</v>
      </c>
      <c r="BX317" s="37">
        <f t="shared" si="291"/>
        <v>-7.081294810241971</v>
      </c>
      <c r="BY317" s="39">
        <f t="shared" si="292"/>
        <v>1.5937941740161523E-2</v>
      </c>
      <c r="BZ317" s="39">
        <f>BZ316+(1000*$C$2*($B317-$B316))/(BerechnungenCLT!$W$47*2*BT317)</f>
        <v>1.4501961502686893E-2</v>
      </c>
      <c r="CA317" s="37">
        <f t="shared" si="261"/>
        <v>2.0243641515451175E-6</v>
      </c>
      <c r="CB317" s="173">
        <f t="shared" si="293"/>
        <v>1631.4663245976155</v>
      </c>
      <c r="CC317" s="9">
        <v>-258.82631914930283</v>
      </c>
      <c r="CJ317" s="9">
        <f t="shared" si="309"/>
        <v>266</v>
      </c>
      <c r="CK317" s="129">
        <v>111.35130775598567</v>
      </c>
      <c r="CL317" s="9">
        <v>6.09375</v>
      </c>
      <c r="CM317" s="129">
        <f t="shared" si="294"/>
        <v>121.64087624133151</v>
      </c>
      <c r="CN317" s="36">
        <f t="shared" si="308"/>
        <v>1.2803753619801081E-2</v>
      </c>
      <c r="CO317" s="173">
        <f t="shared" si="295"/>
        <v>1981.4417937136336</v>
      </c>
      <c r="CP317" s="9">
        <v>-630.47050405555183</v>
      </c>
      <c r="CQ317" s="129"/>
      <c r="CR317" s="36">
        <f t="shared" si="296"/>
        <v>0.71515366867814978</v>
      </c>
      <c r="CS317" s="17">
        <f t="shared" si="262"/>
        <v>0.51411039897308142</v>
      </c>
      <c r="CT317" s="9">
        <f t="shared" si="263"/>
        <v>7.111799347578339</v>
      </c>
      <c r="CU317" s="9">
        <f t="shared" si="297"/>
        <v>123.35989794116642</v>
      </c>
      <c r="CV317" s="9">
        <v>10.199999999999999</v>
      </c>
      <c r="CW317" s="9">
        <f t="shared" si="298"/>
        <v>128.57446238991841</v>
      </c>
      <c r="CX317">
        <f t="shared" si="299"/>
        <v>17</v>
      </c>
      <c r="CY317" s="9">
        <f t="shared" si="264"/>
        <v>480.27086755842214</v>
      </c>
      <c r="CZ317" s="17">
        <f t="shared" si="300"/>
        <v>0.45223245532808115</v>
      </c>
      <c r="DA317">
        <v>45</v>
      </c>
      <c r="DB317" s="9">
        <f t="shared" si="301"/>
        <v>7.7503860744159851</v>
      </c>
      <c r="DC317" s="9">
        <f t="shared" si="302"/>
        <v>8.4656250710529708</v>
      </c>
    </row>
    <row r="318" spans="2:107" x14ac:dyDescent="0.25">
      <c r="B318" s="9">
        <f t="shared" si="303"/>
        <v>267</v>
      </c>
      <c r="C318" s="9">
        <v>128.09523921240165</v>
      </c>
      <c r="D318" s="9"/>
      <c r="E318" s="9">
        <f t="shared" si="265"/>
        <v>128.09523921240165</v>
      </c>
      <c r="F318" s="36">
        <f t="shared" si="304"/>
        <v>0</v>
      </c>
      <c r="G318" s="37">
        <f t="shared" si="249"/>
        <v>0</v>
      </c>
      <c r="H318" s="36" t="e">
        <f t="shared" si="250"/>
        <v>#DIV/0!</v>
      </c>
      <c r="I318" s="37" t="e">
        <f t="shared" si="266"/>
        <v>#DIV/0!</v>
      </c>
      <c r="J318" s="37" t="e">
        <f t="shared" si="267"/>
        <v>#DIV/0!</v>
      </c>
      <c r="K318" s="37" t="e">
        <f t="shared" si="268"/>
        <v>#DIV/0!</v>
      </c>
      <c r="L318" s="39" t="e">
        <f t="shared" si="251"/>
        <v>#DIV/0!</v>
      </c>
      <c r="M318" s="39" t="e">
        <f>M317+(1000*$C$2*(B318-B317))/(BerechnungenCLT!$W$47*2*'Berechnung freier Bereich'!G318)</f>
        <v>#DIV/0!</v>
      </c>
      <c r="N318" s="17" t="e">
        <f t="shared" si="269"/>
        <v>#DIV/0!</v>
      </c>
      <c r="O318" s="173">
        <f t="shared" si="270"/>
        <v>1638.8456563133893</v>
      </c>
      <c r="P318" s="173"/>
      <c r="Q318" s="173"/>
      <c r="R318" s="37" t="e">
        <f t="shared" si="252"/>
        <v>#DIV/0!</v>
      </c>
      <c r="S318" s="37" t="e">
        <f t="shared" si="253"/>
        <v>#DIV/0!</v>
      </c>
      <c r="T318" s="37" t="e">
        <f t="shared" si="254"/>
        <v>#DIV/0!</v>
      </c>
      <c r="U318" s="39" t="e">
        <f t="shared" si="255"/>
        <v>#DIV/0!</v>
      </c>
      <c r="V318" s="39" t="e">
        <f t="shared" si="271"/>
        <v>#DIV/0!</v>
      </c>
      <c r="W318" s="9" t="e">
        <f t="shared" si="272"/>
        <v>#DIV/0!</v>
      </c>
      <c r="AB318" s="129">
        <v>125.178995424623</v>
      </c>
      <c r="AC318" s="9">
        <v>7.875</v>
      </c>
      <c r="AD318" s="129">
        <f t="shared" si="273"/>
        <v>133.70103909862809</v>
      </c>
      <c r="AE318" s="36">
        <f t="shared" si="305"/>
        <v>1.1782599271026492E-2</v>
      </c>
      <c r="AF318" s="37">
        <f t="shared" si="274"/>
        <v>58125899.23327858</v>
      </c>
      <c r="AG318" s="36">
        <f t="shared" si="256"/>
        <v>1.995672422086773</v>
      </c>
      <c r="AH318" s="37">
        <f t="shared" si="275"/>
        <v>-1.3544841030500328E-4</v>
      </c>
      <c r="AI318" s="37">
        <f t="shared" si="276"/>
        <v>-4.7803850201797518E-2</v>
      </c>
      <c r="AJ318" s="37">
        <f t="shared" si="277"/>
        <v>-6.8744897916227119</v>
      </c>
      <c r="AK318" s="39">
        <f t="shared" si="278"/>
        <v>1.8109593202036263E-2</v>
      </c>
      <c r="AL318" s="39">
        <f>AL317+(1000*$C$2*($B318-$B317))/(BerechnungenCLT!$W$47*2*AF318)</f>
        <v>1.3761825330499865E-2</v>
      </c>
      <c r="AM318" s="37">
        <f t="shared" si="257"/>
        <v>2.3001973451118808E-6</v>
      </c>
      <c r="AN318" s="173">
        <f t="shared" si="279"/>
        <v>1604.9699597785759</v>
      </c>
      <c r="AO318" s="173">
        <v>-258.42493923654354</v>
      </c>
      <c r="AV318" s="129">
        <v>128.18685038022758</v>
      </c>
      <c r="AW318" s="9">
        <v>7.5625</v>
      </c>
      <c r="AX318" s="129">
        <f t="shared" si="280"/>
        <v>136.38053884412929</v>
      </c>
      <c r="AY318" s="36">
        <f t="shared" si="306"/>
        <v>1.1577493695539553E-2</v>
      </c>
      <c r="AZ318" s="37">
        <f t="shared" si="281"/>
        <v>59643706.144260988</v>
      </c>
      <c r="BA318" s="36">
        <f t="shared" si="258"/>
        <v>1.9961689150490569</v>
      </c>
      <c r="BB318" s="37">
        <f t="shared" si="282"/>
        <v>-1.320015330645906E-4</v>
      </c>
      <c r="BC318" s="37">
        <f t="shared" si="283"/>
        <v>-4.4255542737685546E-2</v>
      </c>
      <c r="BD318" s="37">
        <f t="shared" si="284"/>
        <v>-6.3015645948693351</v>
      </c>
      <c r="BE318" s="39">
        <f t="shared" si="285"/>
        <v>1.8002440207600015E-2</v>
      </c>
      <c r="BF318" s="39">
        <f>BF317+(1000*$C$2*($B318-$B317))/(BerechnungenCLT!$W$47*2*AZ318)</f>
        <v>1.2735997728042488E-2</v>
      </c>
      <c r="BG318" s="37">
        <f t="shared" si="259"/>
        <v>2.2865872639480847E-6</v>
      </c>
      <c r="BH318" s="173">
        <f t="shared" si="286"/>
        <v>1536.708170784653</v>
      </c>
      <c r="BI318">
        <v>-257.68047617720742</v>
      </c>
      <c r="BP318" s="129">
        <v>124.1657206758447</v>
      </c>
      <c r="BQ318" s="9">
        <v>7.9375</v>
      </c>
      <c r="BR318" s="129">
        <f t="shared" si="287"/>
        <v>133.94686989991573</v>
      </c>
      <c r="BS318" s="36">
        <f t="shared" si="307"/>
        <v>1.3483351874525474E-2</v>
      </c>
      <c r="BT318" s="37">
        <f t="shared" si="288"/>
        <v>66145537.352175027</v>
      </c>
      <c r="BU318" s="36">
        <f t="shared" si="260"/>
        <v>1.9942682574010007</v>
      </c>
      <c r="BV318" s="37">
        <f t="shared" si="289"/>
        <v>-1.1902633138768366E-4</v>
      </c>
      <c r="BW318" s="37">
        <f t="shared" si="290"/>
        <v>-5.048298442896073E-2</v>
      </c>
      <c r="BX318" s="37">
        <f t="shared" si="291"/>
        <v>-7.131718281505238</v>
      </c>
      <c r="BY318" s="39">
        <f t="shared" si="292"/>
        <v>1.5943204525050318E-2</v>
      </c>
      <c r="BZ318" s="39">
        <f>BZ317+(1000*$C$2*($B318-$B317))/(BerechnungenCLT!$W$47*2*BT318)</f>
        <v>1.45363724326458E-2</v>
      </c>
      <c r="CA318" s="37">
        <f t="shared" si="261"/>
        <v>2.0250326063079634E-6</v>
      </c>
      <c r="CB318" s="173">
        <f t="shared" si="293"/>
        <v>1614.5282352326549</v>
      </c>
      <c r="CC318" s="9">
        <v>-258.15599533901371</v>
      </c>
      <c r="CJ318" s="9">
        <f t="shared" si="309"/>
        <v>267</v>
      </c>
      <c r="CK318" s="129">
        <v>112.7118895328282</v>
      </c>
      <c r="CL318" s="9">
        <v>5.953125</v>
      </c>
      <c r="CM318" s="129">
        <f t="shared" si="294"/>
        <v>122.79381864919479</v>
      </c>
      <c r="CN318" s="36">
        <f t="shared" si="308"/>
        <v>1.268071879342725E-2</v>
      </c>
      <c r="CO318" s="173">
        <f t="shared" si="295"/>
        <v>1939.3721191282962</v>
      </c>
      <c r="CP318" s="9">
        <v>-631.66124700722889</v>
      </c>
      <c r="CQ318" s="129"/>
      <c r="CR318" s="36">
        <f t="shared" si="296"/>
        <v>0.71046121274146645</v>
      </c>
      <c r="CS318" s="17">
        <f t="shared" si="262"/>
        <v>0.51073708146185215</v>
      </c>
      <c r="CT318" s="9">
        <f t="shared" si="263"/>
        <v>6.993568960719351</v>
      </c>
      <c r="CU318" s="9">
        <f t="shared" si="297"/>
        <v>124.55586501333534</v>
      </c>
      <c r="CV318" s="9">
        <v>10.199999999999999</v>
      </c>
      <c r="CW318" s="9">
        <f t="shared" si="298"/>
        <v>129.98612398732718</v>
      </c>
      <c r="CX318">
        <f t="shared" si="299"/>
        <v>17</v>
      </c>
      <c r="CY318" s="9">
        <f t="shared" si="264"/>
        <v>474.47336213945727</v>
      </c>
      <c r="CZ318" s="17">
        <f t="shared" si="300"/>
        <v>0.44677341067745513</v>
      </c>
      <c r="DA318">
        <v>45</v>
      </c>
      <c r="DB318" s="9">
        <f t="shared" si="301"/>
        <v>7.656828650260894</v>
      </c>
      <c r="DC318" s="9">
        <f t="shared" si="302"/>
        <v>8.367374804892286</v>
      </c>
    </row>
    <row r="319" spans="2:107" x14ac:dyDescent="0.25">
      <c r="B319" s="9">
        <f t="shared" si="303"/>
        <v>268</v>
      </c>
      <c r="C319" s="9">
        <v>128.5</v>
      </c>
      <c r="D319" s="9"/>
      <c r="E319" s="9">
        <f t="shared" si="265"/>
        <v>128.5</v>
      </c>
      <c r="F319" s="36">
        <f t="shared" si="304"/>
        <v>0</v>
      </c>
      <c r="G319" s="37">
        <f t="shared" si="249"/>
        <v>0</v>
      </c>
      <c r="H319" s="36" t="e">
        <f t="shared" si="250"/>
        <v>#DIV/0!</v>
      </c>
      <c r="I319" s="37" t="e">
        <f t="shared" si="266"/>
        <v>#DIV/0!</v>
      </c>
      <c r="J319" s="37" t="e">
        <f t="shared" si="267"/>
        <v>#DIV/0!</v>
      </c>
      <c r="K319" s="37" t="e">
        <f t="shared" si="268"/>
        <v>#DIV/0!</v>
      </c>
      <c r="L319" s="39" t="e">
        <f t="shared" si="251"/>
        <v>#DIV/0!</v>
      </c>
      <c r="M319" s="39" t="e">
        <f>M318+(1000*$C$2*(B319-B318))/(BerechnungenCLT!$W$47*2*'Berechnung freier Bereich'!G319)</f>
        <v>#DIV/0!</v>
      </c>
      <c r="N319" s="17" t="e">
        <f t="shared" si="269"/>
        <v>#DIV/0!</v>
      </c>
      <c r="O319" s="173">
        <f t="shared" si="270"/>
        <v>1628.5375515030744</v>
      </c>
      <c r="P319" s="173"/>
      <c r="Q319" s="173"/>
      <c r="R319" s="37" t="e">
        <f t="shared" si="252"/>
        <v>#DIV/0!</v>
      </c>
      <c r="S319" s="37" t="e">
        <f t="shared" si="253"/>
        <v>#DIV/0!</v>
      </c>
      <c r="T319" s="37" t="e">
        <f t="shared" si="254"/>
        <v>#DIV/0!</v>
      </c>
      <c r="U319" s="39" t="e">
        <f t="shared" si="255"/>
        <v>#DIV/0!</v>
      </c>
      <c r="V319" s="39" t="e">
        <f t="shared" si="271"/>
        <v>#DIV/0!</v>
      </c>
      <c r="W319" s="9" t="e">
        <f t="shared" si="272"/>
        <v>#DIV/0!</v>
      </c>
      <c r="AB319" s="129">
        <v>125.59261302626662</v>
      </c>
      <c r="AC319" s="9">
        <v>7.8125</v>
      </c>
      <c r="AD319" s="129">
        <f t="shared" si="273"/>
        <v>134.17503372015881</v>
      </c>
      <c r="AE319" s="36">
        <f t="shared" si="305"/>
        <v>1.1906761462570432E-2</v>
      </c>
      <c r="AF319" s="37">
        <f t="shared" si="274"/>
        <v>59142362.234923847</v>
      </c>
      <c r="AG319" s="36">
        <f t="shared" si="256"/>
        <v>1.9956408799379417</v>
      </c>
      <c r="AH319" s="37">
        <f t="shared" si="275"/>
        <v>-1.3312049690242695E-4</v>
      </c>
      <c r="AI319" s="37">
        <f t="shared" si="276"/>
        <v>-4.7936970698699947E-2</v>
      </c>
      <c r="AJ319" s="37">
        <f t="shared" si="277"/>
        <v>-6.9223602020729604</v>
      </c>
      <c r="AK319" s="39">
        <f t="shared" si="278"/>
        <v>1.786144716072743E-2</v>
      </c>
      <c r="AL319" s="39">
        <f>AL318+(1000*$C$2*($B319-$B318))/(BerechnungenCLT!$W$47*2*AF319)</f>
        <v>1.3800310933152643E-2</v>
      </c>
      <c r="AM319" s="37">
        <f t="shared" si="257"/>
        <v>2.2686789747624895E-6</v>
      </c>
      <c r="AN319" s="173">
        <f t="shared" si="279"/>
        <v>1594.0205047851975</v>
      </c>
      <c r="AO319" s="173">
        <v>-259.18845356563776</v>
      </c>
      <c r="AV319" s="129">
        <v>128.60385390139521</v>
      </c>
      <c r="AW319" s="9">
        <v>7.5</v>
      </c>
      <c r="AX319" s="129">
        <f t="shared" si="280"/>
        <v>136.8020169900723</v>
      </c>
      <c r="AY319" s="36">
        <f t="shared" si="306"/>
        <v>1.1620528311543941E-2</v>
      </c>
      <c r="AZ319" s="37">
        <f t="shared" si="281"/>
        <v>60245164.658094533</v>
      </c>
      <c r="BA319" s="36">
        <f t="shared" si="258"/>
        <v>1.9961888957659559</v>
      </c>
      <c r="BB319" s="37">
        <f t="shared" si="282"/>
        <v>-1.3068369375995338E-4</v>
      </c>
      <c r="BC319" s="37">
        <f t="shared" si="283"/>
        <v>-4.4386226431445498E-2</v>
      </c>
      <c r="BD319" s="37">
        <f t="shared" si="284"/>
        <v>-6.3458854794539006</v>
      </c>
      <c r="BE319" s="39">
        <f t="shared" si="285"/>
        <v>1.7877792894074547E-2</v>
      </c>
      <c r="BF319" s="39">
        <f>BF318+(1000*$C$2*($B319-$B318))/(BerechnungenCLT!$W$47*2*AZ319)</f>
        <v>1.2773778842358259E-2</v>
      </c>
      <c r="BG319" s="37">
        <f t="shared" si="259"/>
        <v>2.2707551347308268E-6</v>
      </c>
      <c r="BH319" s="173">
        <f t="shared" si="286"/>
        <v>1527.0138390079005</v>
      </c>
      <c r="BI319">
        <v>-258.57879552290677</v>
      </c>
      <c r="BP319" s="129">
        <v>124.88578403876552</v>
      </c>
      <c r="BQ319" s="9">
        <v>7.875</v>
      </c>
      <c r="BR319" s="129">
        <f t="shared" si="287"/>
        <v>134.55202219315086</v>
      </c>
      <c r="BS319" s="36">
        <f t="shared" si="307"/>
        <v>1.339336018526829E-2</v>
      </c>
      <c r="BT319" s="37">
        <f t="shared" si="288"/>
        <v>66377307.405334942</v>
      </c>
      <c r="BU319" s="36">
        <f t="shared" si="260"/>
        <v>1.994458786875112</v>
      </c>
      <c r="BV319" s="37">
        <f t="shared" si="289"/>
        <v>-1.1861072641315985E-4</v>
      </c>
      <c r="BW319" s="37">
        <f t="shared" si="290"/>
        <v>-5.0601595155373887E-2</v>
      </c>
      <c r="BX319" s="37">
        <f t="shared" si="291"/>
        <v>-7.1822605712974052</v>
      </c>
      <c r="BY319" s="39">
        <f t="shared" si="292"/>
        <v>1.5959313092689231E-2</v>
      </c>
      <c r="BZ319" s="39">
        <f>BZ318+(1000*$C$2*($B319-$B318))/(BerechnungenCLT!$W$47*2*BT319)</f>
        <v>1.4570663209748593E-2</v>
      </c>
      <c r="CA319" s="37">
        <f t="shared" si="261"/>
        <v>2.0270786425774256E-6</v>
      </c>
      <c r="CB319" s="173">
        <f t="shared" si="293"/>
        <v>1598.0762495962967</v>
      </c>
      <c r="CC319" s="9">
        <v>-257.55337419784973</v>
      </c>
      <c r="CJ319" s="9">
        <f t="shared" si="309"/>
        <v>268</v>
      </c>
      <c r="CK319" s="129">
        <v>114.07868129570858</v>
      </c>
      <c r="CL319" s="9">
        <v>5.828125</v>
      </c>
      <c r="CM319" s="129">
        <f t="shared" si="294"/>
        <v>123.96371966184589</v>
      </c>
      <c r="CN319" s="36">
        <f t="shared" si="308"/>
        <v>1.2566995956532039E-2</v>
      </c>
      <c r="CO319" s="173">
        <f t="shared" si="295"/>
        <v>1898.2586160325586</v>
      </c>
      <c r="CP319" s="9">
        <v>-631.53090627041809</v>
      </c>
      <c r="CQ319" s="129"/>
      <c r="CR319" s="36">
        <f t="shared" si="296"/>
        <v>0.7057508679512684</v>
      </c>
      <c r="CS319" s="17">
        <f t="shared" si="262"/>
        <v>0.50735090399335714</v>
      </c>
      <c r="CT319" s="9">
        <f t="shared" si="263"/>
        <v>6.8924189795979647</v>
      </c>
      <c r="CU319" s="9">
        <f t="shared" si="297"/>
        <v>125.76886056413862</v>
      </c>
      <c r="CV319" s="9">
        <v>10.199999999999999</v>
      </c>
      <c r="CW319" s="9">
        <f t="shared" si="298"/>
        <v>131.37882350861591</v>
      </c>
      <c r="CX319">
        <f t="shared" si="299"/>
        <v>17</v>
      </c>
      <c r="CY319" s="9">
        <f t="shared" si="264"/>
        <v>468.78863405781556</v>
      </c>
      <c r="CZ319" s="17">
        <f t="shared" si="300"/>
        <v>0.44142055937647418</v>
      </c>
      <c r="DA319">
        <v>45</v>
      </c>
      <c r="DB319" s="9">
        <f t="shared" si="301"/>
        <v>7.5650911738972306</v>
      </c>
      <c r="DC319" s="9">
        <f t="shared" si="302"/>
        <v>8.2709225428040174</v>
      </c>
    </row>
    <row r="320" spans="2:107" x14ac:dyDescent="0.25">
      <c r="B320" s="9">
        <f t="shared" si="303"/>
        <v>269</v>
      </c>
      <c r="C320" s="9">
        <v>128.91840943813597</v>
      </c>
      <c r="D320" s="9"/>
      <c r="E320" s="9">
        <f t="shared" si="265"/>
        <v>128.91840943813597</v>
      </c>
      <c r="F320" s="36">
        <f t="shared" si="304"/>
        <v>0</v>
      </c>
      <c r="G320" s="37">
        <f t="shared" si="249"/>
        <v>0</v>
      </c>
      <c r="H320" s="36" t="e">
        <f t="shared" si="250"/>
        <v>#DIV/0!</v>
      </c>
      <c r="I320" s="37" t="e">
        <f t="shared" si="266"/>
        <v>#DIV/0!</v>
      </c>
      <c r="J320" s="37" t="e">
        <f t="shared" si="267"/>
        <v>#DIV/0!</v>
      </c>
      <c r="K320" s="37" t="e">
        <f t="shared" si="268"/>
        <v>#DIV/0!</v>
      </c>
      <c r="L320" s="39" t="e">
        <f t="shared" si="251"/>
        <v>#DIV/0!</v>
      </c>
      <c r="M320" s="39" t="e">
        <f>M319+(1000*$C$2*(B320-B319))/(BerechnungenCLT!$W$47*2*'Berechnung freier Bereich'!G320)</f>
        <v>#DIV/0!</v>
      </c>
      <c r="N320" s="17" t="e">
        <f t="shared" si="269"/>
        <v>#DIV/0!</v>
      </c>
      <c r="O320" s="173">
        <f t="shared" si="270"/>
        <v>1617.9837487090904</v>
      </c>
      <c r="P320" s="173"/>
      <c r="Q320" s="173"/>
      <c r="R320" s="37" t="e">
        <f t="shared" si="252"/>
        <v>#DIV/0!</v>
      </c>
      <c r="S320" s="37" t="e">
        <f t="shared" si="253"/>
        <v>#DIV/0!</v>
      </c>
      <c r="T320" s="37" t="e">
        <f t="shared" si="254"/>
        <v>#DIV/0!</v>
      </c>
      <c r="U320" s="39" t="e">
        <f t="shared" si="255"/>
        <v>#DIV/0!</v>
      </c>
      <c r="V320" s="39" t="e">
        <f t="shared" si="271"/>
        <v>#DIV/0!</v>
      </c>
      <c r="W320" s="9" t="e">
        <f t="shared" si="272"/>
        <v>#DIV/0!</v>
      </c>
      <c r="AB320" s="129">
        <v>126.04737864759093</v>
      </c>
      <c r="AC320" s="9">
        <v>7.8125</v>
      </c>
      <c r="AD320" s="129">
        <f t="shared" si="273"/>
        <v>134.7697938679818</v>
      </c>
      <c r="AE320" s="36">
        <f t="shared" si="305"/>
        <v>1.2149872862442328E-2</v>
      </c>
      <c r="AF320" s="37">
        <f t="shared" si="274"/>
        <v>60840200.69819624</v>
      </c>
      <c r="AG320" s="36">
        <f t="shared" si="256"/>
        <v>1.9955338527677784</v>
      </c>
      <c r="AH320" s="37">
        <f t="shared" si="275"/>
        <v>-1.2940556668692598E-4</v>
      </c>
      <c r="AI320" s="37">
        <f t="shared" si="276"/>
        <v>-4.8066376265386873E-2</v>
      </c>
      <c r="AJ320" s="37">
        <f t="shared" si="277"/>
        <v>-6.9703618755550041</v>
      </c>
      <c r="AK320" s="39">
        <f t="shared" si="278"/>
        <v>1.7439961547766388E-2</v>
      </c>
      <c r="AL320" s="39">
        <f>AL319+(1000*$C$2*($B320-$B319))/(BerechnungenCLT!$W$47*2*AF320)</f>
        <v>1.3837722536447822E-2</v>
      </c>
      <c r="AM320" s="37">
        <f t="shared" si="257"/>
        <v>2.215143808228387E-6</v>
      </c>
      <c r="AN320" s="173">
        <f t="shared" si="279"/>
        <v>1581.2176698985056</v>
      </c>
      <c r="AO320" s="173">
        <v>-257.51591927653897</v>
      </c>
      <c r="AV320" s="129">
        <v>129.04526332139332</v>
      </c>
      <c r="AW320" s="9">
        <v>7.46875</v>
      </c>
      <c r="AX320" s="129">
        <f t="shared" si="280"/>
        <v>137.28492679014104</v>
      </c>
      <c r="AY320" s="36">
        <f t="shared" si="306"/>
        <v>1.172002849007733E-2</v>
      </c>
      <c r="AZ320" s="37">
        <f t="shared" si="281"/>
        <v>61185151.764092594</v>
      </c>
      <c r="BA320" s="36">
        <f t="shared" si="258"/>
        <v>1.9961769061020571</v>
      </c>
      <c r="BB320" s="37">
        <f t="shared" si="282"/>
        <v>-1.2867600098553345E-4</v>
      </c>
      <c r="BC320" s="37">
        <f t="shared" si="283"/>
        <v>-4.4514902432431031E-2</v>
      </c>
      <c r="BD320" s="37">
        <f t="shared" si="284"/>
        <v>-6.3903360438858385</v>
      </c>
      <c r="BE320" s="39">
        <f t="shared" si="285"/>
        <v>1.7665275374947075E-2</v>
      </c>
      <c r="BF320" s="39">
        <f>BF319+(1000*$C$2*($B320-$B319))/(BerechnungenCLT!$W$47*2*AZ320)</f>
        <v>1.2810979525649784E-2</v>
      </c>
      <c r="BG320" s="37">
        <f t="shared" si="259"/>
        <v>2.2437621356152085E-6</v>
      </c>
      <c r="BH320" s="173">
        <f t="shared" si="286"/>
        <v>1516.4329959515826</v>
      </c>
      <c r="BI320">
        <v>-258.21105488716881</v>
      </c>
      <c r="BP320" s="129">
        <v>125.59758115749955</v>
      </c>
      <c r="BQ320" s="9">
        <v>7.75</v>
      </c>
      <c r="BR320" s="129">
        <f t="shared" si="287"/>
        <v>135.06923236826017</v>
      </c>
      <c r="BS320" s="36">
        <f t="shared" si="307"/>
        <v>1.3185913853358577E-2</v>
      </c>
      <c r="BT320" s="37">
        <f t="shared" si="288"/>
        <v>65965345.608533531</v>
      </c>
      <c r="BU320" s="36">
        <f t="shared" si="260"/>
        <v>1.9947291525356994</v>
      </c>
      <c r="BV320" s="37">
        <f t="shared" si="289"/>
        <v>-1.1935146516806702E-4</v>
      </c>
      <c r="BW320" s="37">
        <f t="shared" si="290"/>
        <v>-5.0720946620541954E-2</v>
      </c>
      <c r="BX320" s="37">
        <f t="shared" si="291"/>
        <v>-7.2329218421853634</v>
      </c>
      <c r="BY320" s="39">
        <f t="shared" si="292"/>
        <v>1.6120710782277954E-2</v>
      </c>
      <c r="BZ320" s="39">
        <f>BZ319+(1000*$C$2*($B320-$B319))/(BerechnungenCLT!$W$47*2*BT320)</f>
        <v>1.4605168137024005E-2</v>
      </c>
      <c r="CA320" s="37">
        <f t="shared" si="261"/>
        <v>2.047578635755485E-6</v>
      </c>
      <c r="CB320" s="173">
        <f t="shared" si="293"/>
        <v>1583.0423660183806</v>
      </c>
      <c r="CC320" s="9">
        <v>-259.24545100921097</v>
      </c>
      <c r="CJ320" s="9">
        <f t="shared" si="309"/>
        <v>269</v>
      </c>
      <c r="CK320" s="129">
        <v>115.44861900980784</v>
      </c>
      <c r="CL320" s="9">
        <v>5.703125</v>
      </c>
      <c r="CM320" s="129">
        <f t="shared" si="294"/>
        <v>125.1220231750714</v>
      </c>
      <c r="CN320" s="36">
        <f t="shared" si="308"/>
        <v>1.2428558333789936E-2</v>
      </c>
      <c r="CO320" s="173">
        <f t="shared" si="295"/>
        <v>1858.569341236388</v>
      </c>
      <c r="CP320" s="9">
        <v>-631.87906314157317</v>
      </c>
      <c r="CQ320" s="129"/>
      <c r="CR320" s="36">
        <f t="shared" si="296"/>
        <v>0.70113759036288847</v>
      </c>
      <c r="CS320" s="17">
        <f t="shared" si="262"/>
        <v>0.50403450629393776</v>
      </c>
      <c r="CT320" s="9">
        <f t="shared" si="263"/>
        <v>6.7889697178876585</v>
      </c>
      <c r="CU320" s="9">
        <f t="shared" si="297"/>
        <v>126.96378796487417</v>
      </c>
      <c r="CV320" s="9">
        <v>10.199999999999999</v>
      </c>
      <c r="CW320" s="9">
        <f t="shared" si="298"/>
        <v>132.7494361031888</v>
      </c>
      <c r="CX320">
        <f t="shared" si="299"/>
        <v>17</v>
      </c>
      <c r="CY320" s="9">
        <f t="shared" si="264"/>
        <v>463.22588904410242</v>
      </c>
      <c r="CZ320" s="17">
        <f t="shared" si="300"/>
        <v>0.43618256972137709</v>
      </c>
      <c r="DA320">
        <v>45</v>
      </c>
      <c r="DB320" s="9">
        <f t="shared" si="301"/>
        <v>7.4753222030891786</v>
      </c>
      <c r="DC320" s="9">
        <f t="shared" si="302"/>
        <v>8.1765393443895604</v>
      </c>
    </row>
    <row r="321" spans="2:107" x14ac:dyDescent="0.25">
      <c r="B321" s="9">
        <f t="shared" si="303"/>
        <v>270</v>
      </c>
      <c r="C321" s="9">
        <v>129.349402501246</v>
      </c>
      <c r="D321" s="9"/>
      <c r="E321" s="9">
        <f t="shared" si="265"/>
        <v>129.349402501246</v>
      </c>
      <c r="F321" s="36">
        <f t="shared" si="304"/>
        <v>0</v>
      </c>
      <c r="G321" s="37">
        <f t="shared" si="249"/>
        <v>0</v>
      </c>
      <c r="H321" s="36" t="e">
        <f t="shared" si="250"/>
        <v>#DIV/0!</v>
      </c>
      <c r="I321" s="37" t="e">
        <f t="shared" si="266"/>
        <v>#DIV/0!</v>
      </c>
      <c r="J321" s="37" t="e">
        <f t="shared" si="267"/>
        <v>#DIV/0!</v>
      </c>
      <c r="K321" s="37" t="e">
        <f t="shared" si="268"/>
        <v>#DIV/0!</v>
      </c>
      <c r="L321" s="39" t="e">
        <f t="shared" si="251"/>
        <v>#DIV/0!</v>
      </c>
      <c r="M321" s="39" t="e">
        <f>M320+(1000*$C$2*(B321-B320))/(BerechnungenCLT!$W$47*2*'Berechnung freier Bereich'!G321)</f>
        <v>#DIV/0!</v>
      </c>
      <c r="N321" s="17" t="e">
        <f t="shared" si="269"/>
        <v>#DIV/0!</v>
      </c>
      <c r="O321" s="173">
        <f t="shared" si="270"/>
        <v>1607.219446932749</v>
      </c>
      <c r="P321" s="173"/>
      <c r="Q321" s="173"/>
      <c r="R321" s="37" t="e">
        <f t="shared" si="252"/>
        <v>#DIV/0!</v>
      </c>
      <c r="S321" s="37" t="e">
        <f t="shared" si="253"/>
        <v>#DIV/0!</v>
      </c>
      <c r="T321" s="37" t="e">
        <f t="shared" si="254"/>
        <v>#DIV/0!</v>
      </c>
      <c r="U321" s="39" t="e">
        <f t="shared" si="255"/>
        <v>#DIV/0!</v>
      </c>
      <c r="V321" s="39" t="e">
        <f t="shared" si="271"/>
        <v>#DIV/0!</v>
      </c>
      <c r="W321" s="9" t="e">
        <f t="shared" si="272"/>
        <v>#DIV/0!</v>
      </c>
      <c r="AB321" s="129">
        <v>126.54386969373863</v>
      </c>
      <c r="AC321" s="9">
        <v>7.75</v>
      </c>
      <c r="AD321" s="129">
        <f t="shared" si="273"/>
        <v>135.33392230830867</v>
      </c>
      <c r="AE321" s="36">
        <f t="shared" si="305"/>
        <v>1.2293879138977549E-2</v>
      </c>
      <c r="AF321" s="37">
        <f t="shared" si="274"/>
        <v>62063518.167225495</v>
      </c>
      <c r="AG321" s="36">
        <f t="shared" si="256"/>
        <v>1.9955010399118036</v>
      </c>
      <c r="AH321" s="37">
        <f t="shared" si="275"/>
        <v>-1.2685488804361721E-4</v>
      </c>
      <c r="AI321" s="37">
        <f t="shared" si="276"/>
        <v>-4.8193231153430494E-2</v>
      </c>
      <c r="AJ321" s="37">
        <f t="shared" si="277"/>
        <v>-7.0184916792644128</v>
      </c>
      <c r="AK321" s="39">
        <f t="shared" si="278"/>
        <v>1.7167769562924085E-2</v>
      </c>
      <c r="AL321" s="39">
        <f>AL320+(1000*$C$2*($B321-$B320))/(BerechnungenCLT!$W$47*2*AF321)</f>
        <v>1.3874396729599217E-2</v>
      </c>
      <c r="AM321" s="37">
        <f t="shared" si="257"/>
        <v>2.180571232582426E-6</v>
      </c>
      <c r="AN321" s="173">
        <f t="shared" si="279"/>
        <v>1568.4355691579065</v>
      </c>
      <c r="AO321" s="173">
        <v>-257.78265195135543</v>
      </c>
      <c r="AV321" s="129">
        <v>129.51119373083785</v>
      </c>
      <c r="AW321" s="9">
        <v>7.40625</v>
      </c>
      <c r="AX321" s="129">
        <f t="shared" si="280"/>
        <v>137.75339394791263</v>
      </c>
      <c r="AY321" s="36">
        <f t="shared" si="306"/>
        <v>1.1764768154978027E-2</v>
      </c>
      <c r="AZ321" s="37">
        <f t="shared" si="281"/>
        <v>61850062.408614218</v>
      </c>
      <c r="BA321" s="36">
        <f t="shared" si="258"/>
        <v>1.9962012189468779</v>
      </c>
      <c r="BB321" s="37">
        <f t="shared" si="282"/>
        <v>-1.2729268721966343E-4</v>
      </c>
      <c r="BC321" s="37">
        <f t="shared" si="283"/>
        <v>-4.4642195119650695E-2</v>
      </c>
      <c r="BD321" s="37">
        <f t="shared" si="284"/>
        <v>-6.4349145926618796</v>
      </c>
      <c r="BE321" s="39">
        <f t="shared" si="285"/>
        <v>1.7534999689258719E-2</v>
      </c>
      <c r="BF321" s="39">
        <f>BF320+(1000*$C$2*($B321-$B320))/(BerechnungenCLT!$W$47*2*AZ321)</f>
        <v>1.2847780288078812E-2</v>
      </c>
      <c r="BG321" s="37">
        <f t="shared" si="259"/>
        <v>2.227215116418814E-6</v>
      </c>
      <c r="BH321" s="173">
        <f t="shared" si="286"/>
        <v>1505.8481715561704</v>
      </c>
      <c r="BI321">
        <v>-258.83536888350272</v>
      </c>
      <c r="BP321" s="129">
        <v>126.30018137237914</v>
      </c>
      <c r="BQ321" s="9">
        <v>7.6875</v>
      </c>
      <c r="BR321" s="129">
        <f t="shared" si="287"/>
        <v>135.65090691727184</v>
      </c>
      <c r="BS321" s="36">
        <f t="shared" si="307"/>
        <v>1.3081703793912084E-2</v>
      </c>
      <c r="BT321" s="37">
        <f t="shared" si="288"/>
        <v>66087429.31272845</v>
      </c>
      <c r="BU321" s="36">
        <f t="shared" si="260"/>
        <v>1.994912777618306</v>
      </c>
      <c r="BV321" s="37">
        <f t="shared" si="289"/>
        <v>-1.1913098649125456E-4</v>
      </c>
      <c r="BW321" s="37">
        <f t="shared" si="290"/>
        <v>-5.0840077607033206E-2</v>
      </c>
      <c r="BX321" s="37">
        <f t="shared" si="291"/>
        <v>-7.2837023542991508</v>
      </c>
      <c r="BY321" s="39">
        <f t="shared" si="292"/>
        <v>1.6160226359487943E-2</v>
      </c>
      <c r="BZ321" s="39">
        <f>BZ320+(1000*$C$2*($B321-$B320))/(BerechnungenCLT!$W$47*2*BT321)</f>
        <v>1.4639609323140493E-2</v>
      </c>
      <c r="CA321" s="37">
        <f t="shared" si="261"/>
        <v>2.0525977228644518E-6</v>
      </c>
      <c r="CB321" s="173">
        <f t="shared" si="293"/>
        <v>1567.5579669931653</v>
      </c>
      <c r="CC321" s="9">
        <v>-258.79673332958976</v>
      </c>
      <c r="CJ321" s="9">
        <f t="shared" si="309"/>
        <v>270</v>
      </c>
      <c r="CK321" s="129">
        <v>116.81863864030696</v>
      </c>
      <c r="CL321" s="9">
        <v>5.59375</v>
      </c>
      <c r="CM321" s="129">
        <f t="shared" si="294"/>
        <v>126.29305682597148</v>
      </c>
      <c r="CN321" s="36">
        <f t="shared" si="308"/>
        <v>1.230147521866146E-2</v>
      </c>
      <c r="CO321" s="173">
        <f t="shared" si="295"/>
        <v>1819.9200917548696</v>
      </c>
      <c r="CP321" s="9">
        <v>-630.83728532637201</v>
      </c>
      <c r="CQ321" s="129"/>
      <c r="CR321" s="36">
        <f t="shared" si="296"/>
        <v>0.69652416131190997</v>
      </c>
      <c r="CS321" s="17">
        <f t="shared" si="262"/>
        <v>0.50071799971093089</v>
      </c>
      <c r="CT321" s="9">
        <f t="shared" si="263"/>
        <v>6.7028746758406799</v>
      </c>
      <c r="CU321" s="9">
        <f t="shared" si="297"/>
        <v>128.17163756321469</v>
      </c>
      <c r="CV321" s="9">
        <v>10.199999999999999</v>
      </c>
      <c r="CW321" s="9">
        <f t="shared" si="298"/>
        <v>134.09489615874773</v>
      </c>
      <c r="CX321">
        <f t="shared" si="299"/>
        <v>17</v>
      </c>
      <c r="CY321" s="9">
        <f t="shared" si="264"/>
        <v>457.79329225362028</v>
      </c>
      <c r="CZ321" s="17">
        <f t="shared" si="300"/>
        <v>0.43106713018231668</v>
      </c>
      <c r="DA321">
        <v>45</v>
      </c>
      <c r="DB321" s="9">
        <f t="shared" si="301"/>
        <v>7.3876535032845876</v>
      </c>
      <c r="DC321" s="9">
        <f t="shared" si="302"/>
        <v>8.0842524990936138</v>
      </c>
    </row>
    <row r="322" spans="2:107" x14ac:dyDescent="0.25">
      <c r="B322" s="9">
        <f t="shared" si="303"/>
        <v>271</v>
      </c>
      <c r="C322" s="9">
        <v>129.79159460802882</v>
      </c>
      <c r="D322" s="9"/>
      <c r="E322" s="9">
        <f t="shared" si="265"/>
        <v>129.79159460802882</v>
      </c>
      <c r="F322" s="36">
        <f t="shared" si="304"/>
        <v>0</v>
      </c>
      <c r="G322" s="37">
        <f t="shared" si="249"/>
        <v>0</v>
      </c>
      <c r="H322" s="36" t="e">
        <f t="shared" si="250"/>
        <v>#DIV/0!</v>
      </c>
      <c r="I322" s="37" t="e">
        <f t="shared" si="266"/>
        <v>#DIV/0!</v>
      </c>
      <c r="J322" s="37" t="e">
        <f t="shared" si="267"/>
        <v>#DIV/0!</v>
      </c>
      <c r="K322" s="37" t="e">
        <f t="shared" si="268"/>
        <v>#DIV/0!</v>
      </c>
      <c r="L322" s="39" t="e">
        <f t="shared" si="251"/>
        <v>#DIV/0!</v>
      </c>
      <c r="M322" s="39" t="e">
        <f>M321+(1000*$C$2*(B322-B321))/(BerechnungenCLT!$W$47*2*'Berechnung freier Bereich'!G322)</f>
        <v>#DIV/0!</v>
      </c>
      <c r="N322" s="17" t="e">
        <f t="shared" si="269"/>
        <v>#DIV/0!</v>
      </c>
      <c r="O322" s="173">
        <f t="shared" si="270"/>
        <v>1596.2867035617612</v>
      </c>
      <c r="P322" s="173"/>
      <c r="Q322" s="173"/>
      <c r="R322" s="37" t="e">
        <f t="shared" si="252"/>
        <v>#DIV/0!</v>
      </c>
      <c r="S322" s="37" t="e">
        <f t="shared" si="253"/>
        <v>#DIV/0!</v>
      </c>
      <c r="T322" s="37" t="e">
        <f t="shared" si="254"/>
        <v>#DIV/0!</v>
      </c>
      <c r="U322" s="39" t="e">
        <f t="shared" si="255"/>
        <v>#DIV/0!</v>
      </c>
      <c r="V322" s="39" t="e">
        <f t="shared" si="271"/>
        <v>#DIV/0!</v>
      </c>
      <c r="W322" s="9" t="e">
        <f t="shared" si="272"/>
        <v>#DIV/0!</v>
      </c>
      <c r="AB322" s="129">
        <v>127.07904294164656</v>
      </c>
      <c r="AC322" s="9">
        <v>7.6875</v>
      </c>
      <c r="AD322" s="129">
        <f t="shared" si="273"/>
        <v>135.92822982496367</v>
      </c>
      <c r="AE322" s="36">
        <f t="shared" si="305"/>
        <v>1.2429965376466765E-2</v>
      </c>
      <c r="AF322" s="37">
        <f t="shared" si="274"/>
        <v>63293323.042965747</v>
      </c>
      <c r="AG322" s="36">
        <f t="shared" si="256"/>
        <v>1.995479419348777</v>
      </c>
      <c r="AH322" s="37">
        <f t="shared" si="275"/>
        <v>-1.2439006628474667E-4</v>
      </c>
      <c r="AI322" s="37">
        <f t="shared" si="276"/>
        <v>-4.8317621219715237E-2</v>
      </c>
      <c r="AJ322" s="37">
        <f t="shared" si="277"/>
        <v>-7.0667471054509861</v>
      </c>
      <c r="AK322" s="39">
        <f t="shared" si="278"/>
        <v>1.6908121517895509E-2</v>
      </c>
      <c r="AL322" s="39">
        <f>AL321+(1000*$C$2*($B322-$B321))/(BerechnungenCLT!$W$47*2*AF322)</f>
        <v>1.3910358334133312E-2</v>
      </c>
      <c r="AM322" s="37">
        <f t="shared" si="257"/>
        <v>2.1475919305530974E-6</v>
      </c>
      <c r="AN322" s="173">
        <f t="shared" si="279"/>
        <v>1554.993249415327</v>
      </c>
      <c r="AO322" s="173">
        <v>-257.84861608995379</v>
      </c>
      <c r="AV322" s="129">
        <v>129.99953958605855</v>
      </c>
      <c r="AW322" s="9">
        <v>7.375</v>
      </c>
      <c r="AX322" s="129">
        <f t="shared" si="280"/>
        <v>138.27241334784074</v>
      </c>
      <c r="AY322" s="36">
        <f t="shared" si="306"/>
        <v>1.1853059438388547E-2</v>
      </c>
      <c r="AZ322" s="37">
        <f t="shared" si="281"/>
        <v>62784855.041333325</v>
      </c>
      <c r="BA322" s="36">
        <f t="shared" si="258"/>
        <v>1.9962015790481329</v>
      </c>
      <c r="BB322" s="37">
        <f t="shared" si="282"/>
        <v>-1.2539744885153116E-4</v>
      </c>
      <c r="BC322" s="37">
        <f t="shared" si="283"/>
        <v>-4.4767592568502226E-2</v>
      </c>
      <c r="BD322" s="37">
        <f t="shared" si="284"/>
        <v>-6.479619486505956</v>
      </c>
      <c r="BE322" s="39">
        <f t="shared" si="285"/>
        <v>1.7339007880363633E-2</v>
      </c>
      <c r="BF322" s="39">
        <f>BF321+(1000*$C$2*($B322-$B321))/(BerechnungenCLT!$W$47*2*AZ322)</f>
        <v>1.2884033130446951E-2</v>
      </c>
      <c r="BG322" s="37">
        <f t="shared" si="259"/>
        <v>2.2023211371088056E-6</v>
      </c>
      <c r="BH322" s="173">
        <f t="shared" si="286"/>
        <v>1494.5604387442056</v>
      </c>
      <c r="BI322">
        <v>-258.17917627652787</v>
      </c>
      <c r="BP322" s="129">
        <v>126.99265402373665</v>
      </c>
      <c r="BQ322" s="9">
        <v>7.625</v>
      </c>
      <c r="BR322" s="129">
        <f t="shared" si="287"/>
        <v>136.21961489499878</v>
      </c>
      <c r="BS322" s="36">
        <f t="shared" si="307"/>
        <v>1.2970705591185792E-2</v>
      </c>
      <c r="BT322" s="37">
        <f t="shared" si="288"/>
        <v>66156163.821617402</v>
      </c>
      <c r="BU322" s="36">
        <f t="shared" si="260"/>
        <v>1.9950935754004193</v>
      </c>
      <c r="BV322" s="37">
        <f t="shared" si="289"/>
        <v>-1.1900721253918544E-4</v>
      </c>
      <c r="BW322" s="37">
        <f t="shared" si="290"/>
        <v>-5.0959084819572391E-2</v>
      </c>
      <c r="BX322" s="37">
        <f t="shared" si="291"/>
        <v>-7.3346019355124534</v>
      </c>
      <c r="BY322" s="39">
        <f t="shared" si="292"/>
        <v>1.6211116661815111E-2</v>
      </c>
      <c r="BZ322" s="39">
        <f>BZ321+(1000*$C$2*($B322-$B321))/(BerechnungenCLT!$W$47*2*BT322)</f>
        <v>1.4674014725773229E-2</v>
      </c>
      <c r="CA322" s="37">
        <f t="shared" si="261"/>
        <v>2.0590615753098916E-6</v>
      </c>
      <c r="CB322" s="173">
        <f t="shared" si="293"/>
        <v>1552.5720590809578</v>
      </c>
      <c r="CC322" s="9">
        <v>-258.4236328304105</v>
      </c>
      <c r="CJ322" s="9">
        <f t="shared" si="309"/>
        <v>271</v>
      </c>
      <c r="CK322" s="129">
        <v>118.18567615238689</v>
      </c>
      <c r="CL322" s="9">
        <v>5.484375</v>
      </c>
      <c r="CM322" s="129">
        <f t="shared" si="294"/>
        <v>127.44809789119178</v>
      </c>
      <c r="CN322" s="36">
        <f t="shared" si="308"/>
        <v>1.2150983372828219E-2</v>
      </c>
      <c r="CO322" s="173">
        <f t="shared" si="295"/>
        <v>1782.7393957339555</v>
      </c>
      <c r="CP322" s="9">
        <v>-630.27315036398238</v>
      </c>
      <c r="CQ322" s="129"/>
      <c r="CR322" s="36">
        <f t="shared" si="296"/>
        <v>0.69202311210332157</v>
      </c>
      <c r="CS322" s="17">
        <f t="shared" si="262"/>
        <v>0.49748228086367674</v>
      </c>
      <c r="CT322" s="9">
        <f t="shared" si="263"/>
        <v>6.6145571944535604</v>
      </c>
      <c r="CU322" s="9">
        <f t="shared" si="297"/>
        <v>129.35683391429683</v>
      </c>
      <c r="CV322" s="9">
        <v>10.199999999999999</v>
      </c>
      <c r="CW322" s="9">
        <f t="shared" si="298"/>
        <v>135.41219726660862</v>
      </c>
      <c r="CX322">
        <f t="shared" si="299"/>
        <v>17</v>
      </c>
      <c r="CY322" s="9">
        <f t="shared" si="264"/>
        <v>452.49806000836622</v>
      </c>
      <c r="CZ322" s="17">
        <f t="shared" si="300"/>
        <v>0.42608103578942208</v>
      </c>
      <c r="DA322">
        <v>45</v>
      </c>
      <c r="DB322" s="9">
        <f t="shared" si="301"/>
        <v>7.3022015281043045</v>
      </c>
      <c r="DC322" s="9">
        <f t="shared" si="302"/>
        <v>7.9942947710937755</v>
      </c>
    </row>
    <row r="323" spans="2:107" x14ac:dyDescent="0.25">
      <c r="B323" s="9">
        <f t="shared" si="303"/>
        <v>272</v>
      </c>
      <c r="C323" s="9">
        <v>130.24360117718302</v>
      </c>
      <c r="D323" s="9"/>
      <c r="E323" s="9">
        <f t="shared" si="265"/>
        <v>130.24360117718302</v>
      </c>
      <c r="F323" s="36">
        <f t="shared" si="304"/>
        <v>0</v>
      </c>
      <c r="G323" s="37">
        <f t="shared" si="249"/>
        <v>0</v>
      </c>
      <c r="H323" s="36" t="e">
        <f t="shared" si="250"/>
        <v>#DIV/0!</v>
      </c>
      <c r="I323" s="37" t="e">
        <f t="shared" si="266"/>
        <v>#DIV/0!</v>
      </c>
      <c r="J323" s="37" t="e">
        <f t="shared" si="267"/>
        <v>#DIV/0!</v>
      </c>
      <c r="K323" s="37" t="e">
        <f t="shared" si="268"/>
        <v>#DIV/0!</v>
      </c>
      <c r="L323" s="39" t="e">
        <f t="shared" si="251"/>
        <v>#DIV/0!</v>
      </c>
      <c r="M323" s="39" t="e">
        <f>M322+(1000*$C$2*(B323-B322))/(BerechnungenCLT!$W$47*2*'Berechnung freier Bereich'!G323)</f>
        <v>#DIV/0!</v>
      </c>
      <c r="N323" s="17" t="e">
        <f t="shared" si="269"/>
        <v>#DIV/0!</v>
      </c>
      <c r="O323" s="173">
        <f t="shared" si="270"/>
        <v>1585.2261978343597</v>
      </c>
      <c r="P323" s="173"/>
      <c r="Q323" s="173"/>
      <c r="R323" s="37" t="e">
        <f t="shared" si="252"/>
        <v>#DIV/0!</v>
      </c>
      <c r="S323" s="37" t="e">
        <f t="shared" si="253"/>
        <v>#DIV/0!</v>
      </c>
      <c r="T323" s="37" t="e">
        <f t="shared" si="254"/>
        <v>#DIV/0!</v>
      </c>
      <c r="U323" s="39" t="e">
        <f t="shared" si="255"/>
        <v>#DIV/0!</v>
      </c>
      <c r="V323" s="39" t="e">
        <f t="shared" si="271"/>
        <v>#DIV/0!</v>
      </c>
      <c r="W323" s="9" t="e">
        <f t="shared" si="272"/>
        <v>#DIV/0!</v>
      </c>
      <c r="AB323" s="129">
        <v>127.64918576983369</v>
      </c>
      <c r="AC323" s="9">
        <v>7.625</v>
      </c>
      <c r="AD323" s="129">
        <f t="shared" si="273"/>
        <v>136.5468835231392</v>
      </c>
      <c r="AE323" s="36">
        <f t="shared" si="305"/>
        <v>1.2554597535808155E-2</v>
      </c>
      <c r="AF323" s="37">
        <f t="shared" si="274"/>
        <v>64507305.68126414</v>
      </c>
      <c r="AG323" s="36">
        <f t="shared" si="256"/>
        <v>1.9954707719641607</v>
      </c>
      <c r="AH323" s="37">
        <f t="shared" si="275"/>
        <v>-1.2204913173087444E-4</v>
      </c>
      <c r="AI323" s="37">
        <f t="shared" si="276"/>
        <v>-4.8439670351446112E-2</v>
      </c>
      <c r="AJ323" s="37">
        <f t="shared" si="277"/>
        <v>-7.1151257512365671</v>
      </c>
      <c r="AK323" s="39">
        <f t="shared" si="278"/>
        <v>1.6665428574555986E-2</v>
      </c>
      <c r="AL323" s="39">
        <f>AL322+(1000*$C$2*($B323-$B322))/(BerechnungenCLT!$W$47*2*AF323)</f>
        <v>1.3945643166275681E-2</v>
      </c>
      <c r="AM323" s="37">
        <f t="shared" si="257"/>
        <v>2.1167661876598675E-6</v>
      </c>
      <c r="AN323" s="173">
        <f t="shared" si="279"/>
        <v>1541.0308040641385</v>
      </c>
      <c r="AO323" s="173">
        <v>-257.74739316978685</v>
      </c>
      <c r="AV323" s="129">
        <v>130.50778478229105</v>
      </c>
      <c r="AW323" s="9">
        <v>7.3125</v>
      </c>
      <c r="AX323" s="129">
        <f t="shared" si="280"/>
        <v>138.76892044262237</v>
      </c>
      <c r="AY323" s="36">
        <f t="shared" si="306"/>
        <v>1.1880571514098558E-2</v>
      </c>
      <c r="AZ323" s="37">
        <f t="shared" si="281"/>
        <v>63402233.874156214</v>
      </c>
      <c r="BA323" s="36">
        <f t="shared" si="258"/>
        <v>1.9962405083102877</v>
      </c>
      <c r="BB323" s="37">
        <f t="shared" si="282"/>
        <v>-1.2417639202308265E-4</v>
      </c>
      <c r="BC323" s="37">
        <f t="shared" si="283"/>
        <v>-4.4891768960525311E-2</v>
      </c>
      <c r="BD323" s="37">
        <f t="shared" si="284"/>
        <v>-6.5244491672704701</v>
      </c>
      <c r="BE323" s="39">
        <f t="shared" si="285"/>
        <v>1.7231823865503045E-2</v>
      </c>
      <c r="BF323" s="39">
        <f>BF322+(1000*$C$2*($B323-$B322))/(BerechnungenCLT!$W$47*2*AZ323)</f>
        <v>1.2919932961002413E-2</v>
      </c>
      <c r="BG323" s="37">
        <f t="shared" si="259"/>
        <v>2.1887071158731974E-6</v>
      </c>
      <c r="BH323" s="173">
        <f t="shared" si="286"/>
        <v>1483.4279388446973</v>
      </c>
      <c r="BI323">
        <v>-258.58030715601024</v>
      </c>
      <c r="BP323" s="129">
        <v>127.67406845190439</v>
      </c>
      <c r="BQ323" s="9">
        <v>7.5625</v>
      </c>
      <c r="BR323" s="129">
        <f t="shared" si="287"/>
        <v>136.77465212553966</v>
      </c>
      <c r="BS323" s="36">
        <f t="shared" si="307"/>
        <v>1.2853148088963571E-2</v>
      </c>
      <c r="BT323" s="37">
        <f t="shared" si="288"/>
        <v>66170980.011745758</v>
      </c>
      <c r="BU323" s="36">
        <f t="shared" si="260"/>
        <v>1.9952712692529517</v>
      </c>
      <c r="BV323" s="37">
        <f t="shared" si="289"/>
        <v>-1.1898056591120271E-4</v>
      </c>
      <c r="BW323" s="37">
        <f t="shared" si="290"/>
        <v>-5.1078065385483595E-2</v>
      </c>
      <c r="BX323" s="37">
        <f t="shared" si="291"/>
        <v>-7.3856205106149817</v>
      </c>
      <c r="BY323" s="39">
        <f t="shared" si="292"/>
        <v>1.6273525512204592E-2</v>
      </c>
      <c r="BZ323" s="39">
        <f>BZ322+(1000*$C$2*($B323-$B322))/(BerechnungenCLT!$W$47*2*BT323)</f>
        <v>1.4708412424772336E-2</v>
      </c>
      <c r="CA323" s="37">
        <f t="shared" si="261"/>
        <v>2.0669884608216672E-6</v>
      </c>
      <c r="CB323" s="173">
        <f t="shared" si="293"/>
        <v>1538.0876442403035</v>
      </c>
      <c r="CC323" s="9">
        <v>-258.12852811948119</v>
      </c>
      <c r="CJ323" s="9">
        <f t="shared" si="309"/>
        <v>272</v>
      </c>
      <c r="CK323" s="129">
        <v>119.54666751122869</v>
      </c>
      <c r="CL323" s="9">
        <v>5.375</v>
      </c>
      <c r="CM323" s="129">
        <f t="shared" si="294"/>
        <v>128.58495448608926</v>
      </c>
      <c r="CN323" s="36">
        <f t="shared" si="308"/>
        <v>1.197752359457851E-2</v>
      </c>
      <c r="CO323" s="173">
        <f t="shared" si="295"/>
        <v>1747.0277156536772</v>
      </c>
      <c r="CP323" s="9">
        <v>-630.2159835176202</v>
      </c>
      <c r="CQ323" s="129"/>
      <c r="CR323" s="36">
        <f t="shared" si="296"/>
        <v>0.68764039138769362</v>
      </c>
      <c r="CS323" s="17">
        <f t="shared" si="262"/>
        <v>0.49433162612416626</v>
      </c>
      <c r="CT323" s="9">
        <f t="shared" si="263"/>
        <v>6.5239604944676239</v>
      </c>
      <c r="CU323" s="9">
        <f t="shared" si="297"/>
        <v>130.51697954130341</v>
      </c>
      <c r="CV323" s="9">
        <v>10.199999999999999</v>
      </c>
      <c r="CW323" s="9">
        <f t="shared" si="298"/>
        <v>136.69839349142919</v>
      </c>
      <c r="CX323">
        <f t="shared" si="299"/>
        <v>17</v>
      </c>
      <c r="CY323" s="9">
        <f t="shared" si="264"/>
        <v>447.3465492018754</v>
      </c>
      <c r="CZ323" s="17">
        <f t="shared" si="300"/>
        <v>0.42123027231815008</v>
      </c>
      <c r="DA323">
        <v>45</v>
      </c>
      <c r="DB323" s="9">
        <f t="shared" si="301"/>
        <v>7.2190688621156198</v>
      </c>
      <c r="DC323" s="9">
        <f t="shared" si="302"/>
        <v>7.9067747223222566</v>
      </c>
    </row>
    <row r="324" spans="2:107" x14ac:dyDescent="0.25">
      <c r="B324" s="9">
        <f t="shared" si="303"/>
        <v>273</v>
      </c>
      <c r="C324" s="9">
        <v>130.70403762740736</v>
      </c>
      <c r="D324" s="9"/>
      <c r="E324" s="9">
        <f t="shared" si="265"/>
        <v>130.70403762740736</v>
      </c>
      <c r="F324" s="36">
        <f t="shared" si="304"/>
        <v>0</v>
      </c>
      <c r="G324" s="37">
        <f t="shared" si="249"/>
        <v>0</v>
      </c>
      <c r="H324" s="36" t="e">
        <f t="shared" si="250"/>
        <v>#DIV/0!</v>
      </c>
      <c r="I324" s="37" t="e">
        <f t="shared" si="266"/>
        <v>#DIV/0!</v>
      </c>
      <c r="J324" s="37" t="e">
        <f t="shared" si="267"/>
        <v>#DIV/0!</v>
      </c>
      <c r="K324" s="37" t="e">
        <f t="shared" si="268"/>
        <v>#DIV/0!</v>
      </c>
      <c r="L324" s="39" t="e">
        <f t="shared" si="251"/>
        <v>#DIV/0!</v>
      </c>
      <c r="M324" s="39" t="e">
        <f>M323+(1000*$C$2*(B324-B323))/(BerechnungenCLT!$W$47*2*'Berechnung freier Bereich'!G324)</f>
        <v>#DIV/0!</v>
      </c>
      <c r="N324" s="17" t="e">
        <f t="shared" si="269"/>
        <v>#DIV/0!</v>
      </c>
      <c r="O324" s="173">
        <f t="shared" si="270"/>
        <v>1574.0771879112776</v>
      </c>
      <c r="P324" s="173"/>
      <c r="Q324" s="173"/>
      <c r="R324" s="37" t="e">
        <f t="shared" si="252"/>
        <v>#DIV/0!</v>
      </c>
      <c r="S324" s="37" t="e">
        <f t="shared" si="253"/>
        <v>#DIV/0!</v>
      </c>
      <c r="T324" s="37" t="e">
        <f t="shared" si="254"/>
        <v>#DIV/0!</v>
      </c>
      <c r="U324" s="39" t="e">
        <f t="shared" si="255"/>
        <v>#DIV/0!</v>
      </c>
      <c r="V324" s="39" t="e">
        <f t="shared" si="271"/>
        <v>#DIV/0!</v>
      </c>
      <c r="W324" s="9" t="e">
        <f t="shared" si="272"/>
        <v>#DIV/0!</v>
      </c>
      <c r="AB324" s="129">
        <v>128.25058555681895</v>
      </c>
      <c r="AC324" s="9">
        <v>7.5625</v>
      </c>
      <c r="AD324" s="129">
        <f t="shared" si="273"/>
        <v>137.18449016296276</v>
      </c>
      <c r="AE324" s="36">
        <f t="shared" si="305"/>
        <v>1.2664802359298949E-2</v>
      </c>
      <c r="AF324" s="37">
        <f t="shared" si="274"/>
        <v>65685246.929514848</v>
      </c>
      <c r="AG324" s="36">
        <f t="shared" si="256"/>
        <v>1.9954763551442098</v>
      </c>
      <c r="AH324" s="37">
        <f t="shared" si="275"/>
        <v>-1.1986041031625826E-4</v>
      </c>
      <c r="AI324" s="37">
        <f t="shared" si="276"/>
        <v>-4.8559530761762372E-2</v>
      </c>
      <c r="AJ324" s="37">
        <f t="shared" si="277"/>
        <v>-7.1636253517931712</v>
      </c>
      <c r="AK324" s="39">
        <f t="shared" si="278"/>
        <v>1.6442989279959411E-2</v>
      </c>
      <c r="AL324" s="39">
        <f>AL323+(1000*$C$2*($B324-$B323))/(BerechnungenCLT!$W$47*2*AF324)</f>
        <v>1.3980295231378861E-2</v>
      </c>
      <c r="AM324" s="37">
        <f t="shared" si="257"/>
        <v>2.0885129701981924E-6</v>
      </c>
      <c r="AN324" s="173">
        <f t="shared" si="279"/>
        <v>1526.6778342541547</v>
      </c>
      <c r="AO324" s="173">
        <v>-257.51041000005142</v>
      </c>
      <c r="AV324" s="129">
        <v>131.033413214771</v>
      </c>
      <c r="AW324" s="9">
        <v>7.25</v>
      </c>
      <c r="AX324" s="129">
        <f t="shared" si="280"/>
        <v>139.27464308874991</v>
      </c>
      <c r="AY324" s="36">
        <f t="shared" si="306"/>
        <v>1.1897338327560302E-2</v>
      </c>
      <c r="AZ324" s="37">
        <f t="shared" si="281"/>
        <v>63978254.561248906</v>
      </c>
      <c r="BA324" s="36">
        <f t="shared" si="258"/>
        <v>1.9962870349771078</v>
      </c>
      <c r="BB324" s="37">
        <f t="shared" si="282"/>
        <v>-1.2305838448842336E-4</v>
      </c>
      <c r="BC324" s="37">
        <f t="shared" si="283"/>
        <v>-4.5014827345013733E-2</v>
      </c>
      <c r="BD324" s="37">
        <f t="shared" si="284"/>
        <v>-6.5694024654232397</v>
      </c>
      <c r="BE324" s="39">
        <f t="shared" si="285"/>
        <v>1.7138912578703321E-2</v>
      </c>
      <c r="BF324" s="39">
        <f>BF323+(1000*$C$2*($B324-$B323))/(BerechnungenCLT!$W$47*2*AZ324)</f>
        <v>1.2955509571657536E-2</v>
      </c>
      <c r="BG324" s="37">
        <f t="shared" si="259"/>
        <v>2.1769059509964716E-6</v>
      </c>
      <c r="BH324" s="173">
        <f t="shared" si="286"/>
        <v>1472.1295978445185</v>
      </c>
      <c r="BI324">
        <v>-258.90445441720374</v>
      </c>
      <c r="BP324" s="129">
        <v>128.34349399721472</v>
      </c>
      <c r="BQ324" s="9">
        <v>7.5</v>
      </c>
      <c r="BR324" s="129">
        <f t="shared" si="287"/>
        <v>137.3153253268674</v>
      </c>
      <c r="BS324" s="36">
        <f t="shared" si="307"/>
        <v>1.2729288585834397E-2</v>
      </c>
      <c r="BT324" s="37">
        <f t="shared" si="288"/>
        <v>66131557.643759176</v>
      </c>
      <c r="BU324" s="36">
        <f t="shared" si="260"/>
        <v>1.9954455996034524</v>
      </c>
      <c r="BV324" s="37">
        <f t="shared" si="289"/>
        <v>-1.1905149264905258E-4</v>
      </c>
      <c r="BW324" s="37">
        <f t="shared" si="290"/>
        <v>-5.1197116878132651E-2</v>
      </c>
      <c r="BX324" s="37">
        <f t="shared" si="291"/>
        <v>-7.4367581017467899</v>
      </c>
      <c r="BY324" s="39">
        <f t="shared" si="292"/>
        <v>1.6347594443753818E-2</v>
      </c>
      <c r="BZ324" s="39">
        <f>BZ323+(1000*$C$2*($B324-$B323))/(BerechnungenCLT!$W$47*2*BT324)</f>
        <v>1.4742830628940173E-2</v>
      </c>
      <c r="CA324" s="37">
        <f t="shared" si="261"/>
        <v>2.0763963562837057E-6</v>
      </c>
      <c r="CB324" s="173">
        <f t="shared" si="293"/>
        <v>1524.1073149902029</v>
      </c>
      <c r="CC324" s="9">
        <v>-257.91380780500299</v>
      </c>
      <c r="CJ324" s="9">
        <f t="shared" si="309"/>
        <v>273</v>
      </c>
      <c r="CK324" s="129">
        <v>120.89854868201331</v>
      </c>
      <c r="CL324" s="9">
        <v>5.265625</v>
      </c>
      <c r="CM324" s="129">
        <f t="shared" si="294"/>
        <v>129.70146223135825</v>
      </c>
      <c r="CN324" s="36">
        <f t="shared" si="308"/>
        <v>1.1781655413129907E-2</v>
      </c>
      <c r="CO324" s="173">
        <f t="shared" si="295"/>
        <v>1712.7810632086762</v>
      </c>
      <c r="CP324" s="9">
        <v>-630.6959076619853</v>
      </c>
      <c r="CQ324" s="129"/>
      <c r="CR324" s="36">
        <f t="shared" si="296"/>
        <v>0.68338153845352623</v>
      </c>
      <c r="CS324" s="17">
        <f t="shared" si="262"/>
        <v>0.49127001758176808</v>
      </c>
      <c r="CT324" s="9">
        <f t="shared" si="263"/>
        <v>6.4310356564231936</v>
      </c>
      <c r="CU324" s="9">
        <f t="shared" si="297"/>
        <v>131.64976072545508</v>
      </c>
      <c r="CV324" s="9">
        <v>10.199999999999999</v>
      </c>
      <c r="CW324" s="9">
        <f t="shared" si="298"/>
        <v>137.95060199065534</v>
      </c>
      <c r="CX324">
        <f t="shared" si="299"/>
        <v>17</v>
      </c>
      <c r="CY324" s="9">
        <f t="shared" si="264"/>
        <v>442.34434377199773</v>
      </c>
      <c r="CZ324" s="17">
        <f t="shared" si="300"/>
        <v>0.41652009771374554</v>
      </c>
      <c r="DA324">
        <v>45</v>
      </c>
      <c r="DB324" s="9">
        <f t="shared" si="301"/>
        <v>7.1383456162893975</v>
      </c>
      <c r="DC324" s="9">
        <f t="shared" si="302"/>
        <v>7.8217880281678047</v>
      </c>
    </row>
    <row r="325" spans="2:107" x14ac:dyDescent="0.25">
      <c r="B325" s="9">
        <f t="shared" si="303"/>
        <v>274</v>
      </c>
      <c r="C325" s="9">
        <v>131.17151937740047</v>
      </c>
      <c r="D325" s="9"/>
      <c r="E325" s="9">
        <f t="shared" si="265"/>
        <v>131.17151937740047</v>
      </c>
      <c r="F325" s="36">
        <f t="shared" si="304"/>
        <v>0</v>
      </c>
      <c r="G325" s="37">
        <f t="shared" si="249"/>
        <v>0</v>
      </c>
      <c r="H325" s="36" t="e">
        <f t="shared" si="250"/>
        <v>#DIV/0!</v>
      </c>
      <c r="I325" s="37" t="e">
        <f t="shared" si="266"/>
        <v>#DIV/0!</v>
      </c>
      <c r="J325" s="37" t="e">
        <f t="shared" si="267"/>
        <v>#DIV/0!</v>
      </c>
      <c r="K325" s="37" t="e">
        <f t="shared" si="268"/>
        <v>#DIV/0!</v>
      </c>
      <c r="L325" s="39" t="e">
        <f t="shared" si="251"/>
        <v>#DIV/0!</v>
      </c>
      <c r="M325" s="39" t="e">
        <f>M324+(1000*$C$2*(B325-B324))/(BerechnungenCLT!$W$47*2*'Berechnung freier Bereich'!G325)</f>
        <v>#DIV/0!</v>
      </c>
      <c r="N325" s="17" t="e">
        <f t="shared" si="269"/>
        <v>#DIV/0!</v>
      </c>
      <c r="O325" s="173">
        <f t="shared" si="270"/>
        <v>1562.8774837223552</v>
      </c>
      <c r="P325" s="173"/>
      <c r="Q325" s="173"/>
      <c r="R325" s="37" t="e">
        <f t="shared" si="252"/>
        <v>#DIV/0!</v>
      </c>
      <c r="S325" s="37" t="e">
        <f t="shared" si="253"/>
        <v>#DIV/0!</v>
      </c>
      <c r="T325" s="37" t="e">
        <f t="shared" si="254"/>
        <v>#DIV/0!</v>
      </c>
      <c r="U325" s="39" t="e">
        <f t="shared" si="255"/>
        <v>#DIV/0!</v>
      </c>
      <c r="V325" s="39" t="e">
        <f t="shared" si="271"/>
        <v>#DIV/0!</v>
      </c>
      <c r="W325" s="9" t="e">
        <f t="shared" si="272"/>
        <v>#DIV/0!</v>
      </c>
      <c r="AB325" s="129">
        <v>128.87952968112126</v>
      </c>
      <c r="AC325" s="9">
        <v>7.46875</v>
      </c>
      <c r="AD325" s="129">
        <f t="shared" si="273"/>
        <v>137.798719241269</v>
      </c>
      <c r="AE325" s="36">
        <f t="shared" si="305"/>
        <v>1.2703160432055468E-2</v>
      </c>
      <c r="AF325" s="37">
        <f t="shared" si="274"/>
        <v>66501829.833734609</v>
      </c>
      <c r="AG325" s="36">
        <f t="shared" si="256"/>
        <v>1.9955330883670268</v>
      </c>
      <c r="AH325" s="37">
        <f t="shared" si="275"/>
        <v>-1.1838863183735432E-4</v>
      </c>
      <c r="AI325" s="37">
        <f t="shared" si="276"/>
        <v>-4.8677919393599729E-2</v>
      </c>
      <c r="AJ325" s="37">
        <f t="shared" si="277"/>
        <v>-7.212244076870852</v>
      </c>
      <c r="AK325" s="39">
        <f t="shared" si="278"/>
        <v>1.6313801839913548E-2</v>
      </c>
      <c r="AL325" s="39">
        <f>AL324+(1000*$C$2*($B325-$B324))/(BerechnungenCLT!$W$47*2*AF325)</f>
        <v>1.4014521800160662E-2</v>
      </c>
      <c r="AM325" s="37">
        <f t="shared" si="257"/>
        <v>2.0721041749646318E-6</v>
      </c>
      <c r="AN325" s="173">
        <f t="shared" si="279"/>
        <v>1512.4771920600285</v>
      </c>
      <c r="AO325" s="173">
        <v>-258.31503986413452</v>
      </c>
      <c r="AV325" s="129">
        <v>131.57390877873405</v>
      </c>
      <c r="AW325" s="9">
        <v>7.1875</v>
      </c>
      <c r="AX325" s="129">
        <f t="shared" si="280"/>
        <v>139.78667524158115</v>
      </c>
      <c r="AY325" s="36">
        <f t="shared" si="306"/>
        <v>1.1902413468363172E-2</v>
      </c>
      <c r="AZ325" s="37">
        <f t="shared" si="281"/>
        <v>64504093.662914276</v>
      </c>
      <c r="BA325" s="36">
        <f t="shared" si="258"/>
        <v>1.9963411128106028</v>
      </c>
      <c r="BB325" s="37">
        <f t="shared" si="282"/>
        <v>-1.2205520923740843E-4</v>
      </c>
      <c r="BC325" s="37">
        <f t="shared" si="283"/>
        <v>-4.5136882554251141E-2</v>
      </c>
      <c r="BD325" s="37">
        <f t="shared" si="284"/>
        <v>-6.6144783203728723</v>
      </c>
      <c r="BE325" s="39">
        <f t="shared" si="285"/>
        <v>1.7061691895212849E-2</v>
      </c>
      <c r="BF325" s="39">
        <f>BF324+(1000*$C$2*($B325-$B324))/(BerechnungenCLT!$W$47*2*AZ325)</f>
        <v>1.2990796160828365E-2</v>
      </c>
      <c r="BG325" s="37">
        <f t="shared" si="259"/>
        <v>2.1670977344799056E-6</v>
      </c>
      <c r="BH325" s="173">
        <f t="shared" si="286"/>
        <v>1460.7318315392506</v>
      </c>
      <c r="BI325">
        <v>-259.16950279643549</v>
      </c>
      <c r="BP325" s="129">
        <v>129</v>
      </c>
      <c r="BQ325" s="9">
        <v>7.4375</v>
      </c>
      <c r="BR325" s="129">
        <f t="shared" si="287"/>
        <v>137.84108077395209</v>
      </c>
      <c r="BS325" s="36">
        <f t="shared" si="307"/>
        <v>1.2599602485696358E-2</v>
      </c>
      <c r="BT325" s="37">
        <f t="shared" si="288"/>
        <v>66038896.006503485</v>
      </c>
      <c r="BU325" s="36">
        <f t="shared" si="260"/>
        <v>1.9956162007254301</v>
      </c>
      <c r="BV325" s="37">
        <f t="shared" si="289"/>
        <v>-1.1921853823723912E-4</v>
      </c>
      <c r="BW325" s="37">
        <f t="shared" si="290"/>
        <v>-5.1316335416369888E-2</v>
      </c>
      <c r="BX325" s="37">
        <f t="shared" si="291"/>
        <v>-7.488014827894041</v>
      </c>
      <c r="BY325" s="39">
        <f t="shared" si="292"/>
        <v>1.6433212158911772E-2</v>
      </c>
      <c r="BZ325" s="39">
        <f>BZ324+(1000*$C$2*($B325-$B324))/(BerechnungenCLT!$W$47*2*BT325)</f>
        <v>1.4777297126573564E-2</v>
      </c>
      <c r="CA325" s="37">
        <f t="shared" si="261"/>
        <v>2.0872711251923041E-6</v>
      </c>
      <c r="CB325" s="173">
        <f t="shared" si="293"/>
        <v>1510.6318666060374</v>
      </c>
      <c r="CC325" s="9">
        <v>-257.78163409405892</v>
      </c>
      <c r="CJ325" s="9">
        <f t="shared" si="309"/>
        <v>274</v>
      </c>
      <c r="CK325" s="129">
        <v>122.23825562992178</v>
      </c>
      <c r="CL325" s="9">
        <v>5.15625</v>
      </c>
      <c r="CM325" s="129">
        <f t="shared" si="294"/>
        <v>130.79548292423001</v>
      </c>
      <c r="CN325" s="36">
        <f t="shared" si="308"/>
        <v>1.1564058873014661E-2</v>
      </c>
      <c r="CO325" s="173">
        <f t="shared" si="295"/>
        <v>1679.9917901693684</v>
      </c>
      <c r="CP325" s="9">
        <v>-631.74422527390493</v>
      </c>
      <c r="CQ325" s="129"/>
      <c r="CR325" s="36">
        <f t="shared" si="296"/>
        <v>0.67925171956293418</v>
      </c>
      <c r="CS325" s="17">
        <f t="shared" si="262"/>
        <v>0.48830116916426186</v>
      </c>
      <c r="CT325" s="9">
        <f t="shared" si="263"/>
        <v>6.3357415369187438</v>
      </c>
      <c r="CU325" s="9">
        <f t="shared" si="297"/>
        <v>132.75294758810912</v>
      </c>
      <c r="CV325" s="9">
        <v>10.199999999999999</v>
      </c>
      <c r="CW325" s="9">
        <f t="shared" si="298"/>
        <v>139.16600707757152</v>
      </c>
      <c r="CX325">
        <f t="shared" si="299"/>
        <v>17</v>
      </c>
      <c r="CY325" s="9">
        <f t="shared" si="264"/>
        <v>437.49633782111528</v>
      </c>
      <c r="CZ325" s="17">
        <f t="shared" si="300"/>
        <v>0.41195512035886567</v>
      </c>
      <c r="DA325">
        <v>45</v>
      </c>
      <c r="DB325" s="9">
        <f t="shared" si="301"/>
        <v>7.0601107693551617</v>
      </c>
      <c r="DC325" s="9">
        <f t="shared" si="302"/>
        <v>7.7394215832270703</v>
      </c>
    </row>
    <row r="326" spans="2:107" x14ac:dyDescent="0.25">
      <c r="B326" s="9">
        <f t="shared" si="303"/>
        <v>275</v>
      </c>
      <c r="C326" s="9">
        <v>131.64466184586112</v>
      </c>
      <c r="D326" s="9"/>
      <c r="E326" s="9">
        <f t="shared" si="265"/>
        <v>131.64466184586112</v>
      </c>
      <c r="F326" s="36">
        <f t="shared" si="304"/>
        <v>0</v>
      </c>
      <c r="G326" s="37">
        <f t="shared" si="249"/>
        <v>0</v>
      </c>
      <c r="H326" s="36" t="e">
        <f t="shared" si="250"/>
        <v>#DIV/0!</v>
      </c>
      <c r="I326" s="37" t="e">
        <f t="shared" si="266"/>
        <v>#DIV/0!</v>
      </c>
      <c r="J326" s="37" t="e">
        <f t="shared" si="267"/>
        <v>#DIV/0!</v>
      </c>
      <c r="K326" s="37" t="e">
        <f t="shared" si="268"/>
        <v>#DIV/0!</v>
      </c>
      <c r="L326" s="39" t="e">
        <f t="shared" si="251"/>
        <v>#DIV/0!</v>
      </c>
      <c r="M326" s="39" t="e">
        <f>M325+(1000*$C$2*(B326-B325))/(BerechnungenCLT!$W$47*2*'Berechnung freier Bereich'!G326)</f>
        <v>#DIV/0!</v>
      </c>
      <c r="N326" s="17" t="e">
        <f t="shared" si="269"/>
        <v>#DIV/0!</v>
      </c>
      <c r="O326" s="173">
        <f t="shared" si="270"/>
        <v>1551.6634344557492</v>
      </c>
      <c r="P326" s="173"/>
      <c r="Q326" s="173"/>
      <c r="R326" s="37" t="e">
        <f t="shared" si="252"/>
        <v>#DIV/0!</v>
      </c>
      <c r="S326" s="37" t="e">
        <f t="shared" si="253"/>
        <v>#DIV/0!</v>
      </c>
      <c r="T326" s="37" t="e">
        <f t="shared" si="254"/>
        <v>#DIV/0!</v>
      </c>
      <c r="U326" s="39" t="e">
        <f t="shared" si="255"/>
        <v>#DIV/0!</v>
      </c>
      <c r="V326" s="39" t="e">
        <f t="shared" si="271"/>
        <v>#DIV/0!</v>
      </c>
      <c r="W326" s="9" t="e">
        <f t="shared" si="272"/>
        <v>#DIV/0!</v>
      </c>
      <c r="AB326" s="129">
        <v>129.53230552125956</v>
      </c>
      <c r="AC326" s="9">
        <v>7.40625</v>
      </c>
      <c r="AD326" s="129">
        <f t="shared" si="273"/>
        <v>138.45918001277298</v>
      </c>
      <c r="AE326" s="36">
        <f t="shared" si="305"/>
        <v>1.2776715339334083E-2</v>
      </c>
      <c r="AF326" s="37">
        <f t="shared" si="274"/>
        <v>67546666.064070642</v>
      </c>
      <c r="AG326" s="36">
        <f t="shared" si="256"/>
        <v>1.9955690739654257</v>
      </c>
      <c r="AH326" s="37">
        <f t="shared" si="275"/>
        <v>-1.1655735371496334E-4</v>
      </c>
      <c r="AI326" s="37">
        <f t="shared" si="276"/>
        <v>-4.8794476747314693E-2</v>
      </c>
      <c r="AJ326" s="37">
        <f t="shared" si="277"/>
        <v>-7.2609802749413088</v>
      </c>
      <c r="AK326" s="39">
        <f t="shared" si="278"/>
        <v>1.6138435619832563E-2</v>
      </c>
      <c r="AL326" s="39">
        <f>AL325+(1000*$C$2*($B326-$B325))/(BerechnungenCLT!$W$47*2*AF326)</f>
        <v>1.4048218940012996E-2</v>
      </c>
      <c r="AM326" s="37">
        <f t="shared" si="257"/>
        <v>2.0498299632055717E-6</v>
      </c>
      <c r="AN326" s="173">
        <f t="shared" si="279"/>
        <v>1497.6903503092999</v>
      </c>
      <c r="AO326" s="173">
        <v>-257.90048126602221</v>
      </c>
      <c r="AV326" s="129">
        <v>132.1267553694158</v>
      </c>
      <c r="AW326" s="9">
        <v>7.15625</v>
      </c>
      <c r="AX326" s="129">
        <f t="shared" si="280"/>
        <v>140.33809770756739</v>
      </c>
      <c r="AY326" s="36">
        <f t="shared" si="306"/>
        <v>1.1948776577249342E-2</v>
      </c>
      <c r="AZ326" s="37">
        <f t="shared" si="281"/>
        <v>65282951.154760927</v>
      </c>
      <c r="BA326" s="36">
        <f t="shared" si="258"/>
        <v>1.9963719273790961</v>
      </c>
      <c r="BB326" s="37">
        <f t="shared" si="282"/>
        <v>-1.205990309787371E-4</v>
      </c>
      <c r="BC326" s="37">
        <f t="shared" si="283"/>
        <v>-4.5257481585229881E-2</v>
      </c>
      <c r="BD326" s="37">
        <f t="shared" si="284"/>
        <v>-6.6596755024426129</v>
      </c>
      <c r="BE326" s="39">
        <f t="shared" si="285"/>
        <v>1.6924638592931952E-2</v>
      </c>
      <c r="BF326" s="39">
        <f>BF325+(1000*$C$2*($B326-$B325))/(BerechnungenCLT!$W$47*2*AZ326)</f>
        <v>1.3025661763756212E-2</v>
      </c>
      <c r="BG326" s="37">
        <f t="shared" si="259"/>
        <v>2.1496898535557835E-6</v>
      </c>
      <c r="BH326" s="173">
        <f t="shared" si="286"/>
        <v>1448.9154654449649</v>
      </c>
      <c r="BI326">
        <v>-258.19195484674106</v>
      </c>
      <c r="BP326" s="129">
        <v>129.64268771142284</v>
      </c>
      <c r="BQ326" s="9">
        <v>7.375</v>
      </c>
      <c r="BR326" s="129">
        <f t="shared" si="287"/>
        <v>138.3517711360395</v>
      </c>
      <c r="BS326" s="36">
        <f t="shared" si="307"/>
        <v>1.2465137092075288E-2</v>
      </c>
      <c r="BT326" s="37">
        <f t="shared" si="288"/>
        <v>65897385.448271647</v>
      </c>
      <c r="BU326" s="36">
        <f t="shared" si="260"/>
        <v>1.9957823967981501</v>
      </c>
      <c r="BV326" s="37">
        <f t="shared" si="289"/>
        <v>-1.1947455267214836E-4</v>
      </c>
      <c r="BW326" s="37">
        <f t="shared" si="290"/>
        <v>-5.1435809969042033E-2</v>
      </c>
      <c r="BX326" s="37">
        <f t="shared" si="291"/>
        <v>-7.5393909005867474</v>
      </c>
      <c r="BY326" s="39">
        <f t="shared" si="292"/>
        <v>1.6529515967877766E-2</v>
      </c>
      <c r="BZ326" s="39">
        <f>BZ325+(1000*$C$2*($B326-$B325))/(BerechnungenCLT!$W$47*2*BT326)</f>
        <v>1.4811837638878209E-2</v>
      </c>
      <c r="CA326" s="37">
        <f t="shared" si="261"/>
        <v>2.0995031926516014E-6</v>
      </c>
      <c r="CB326" s="173">
        <f t="shared" si="293"/>
        <v>1497.6571176958457</v>
      </c>
      <c r="CC326" s="9">
        <v>-257.73338604897839</v>
      </c>
      <c r="CJ326" s="9">
        <f t="shared" si="309"/>
        <v>275</v>
      </c>
      <c r="CK326" s="129">
        <v>123.56272432013508</v>
      </c>
      <c r="CL326" s="9">
        <v>5.0625</v>
      </c>
      <c r="CM326" s="129">
        <f t="shared" si="294"/>
        <v>131.89060707699565</v>
      </c>
      <c r="CN326" s="36">
        <f t="shared" si="308"/>
        <v>1.1361743151275864E-2</v>
      </c>
      <c r="CO326" s="173">
        <f t="shared" si="295"/>
        <v>1648.3175487111168</v>
      </c>
      <c r="CP326" s="9">
        <v>-631.3118384577856</v>
      </c>
      <c r="CQ326" s="129"/>
      <c r="CR326" s="36">
        <f t="shared" si="296"/>
        <v>0.67516021557883432</v>
      </c>
      <c r="CS326" s="17">
        <f t="shared" si="262"/>
        <v>0.48535986460582553</v>
      </c>
      <c r="CT326" s="9">
        <f t="shared" si="263"/>
        <v>6.2582430511983924</v>
      </c>
      <c r="CU326" s="9">
        <f t="shared" si="297"/>
        <v>133.85762099061756</v>
      </c>
      <c r="CV326" s="9">
        <v>10.199999999999999</v>
      </c>
      <c r="CW326" s="9">
        <f t="shared" si="298"/>
        <v>140.34186587469861</v>
      </c>
      <c r="CX326">
        <f t="shared" si="299"/>
        <v>17</v>
      </c>
      <c r="CY326" s="9">
        <f t="shared" si="264"/>
        <v>432.80681511339503</v>
      </c>
      <c r="CZ326" s="17">
        <f t="shared" si="300"/>
        <v>0.40753937392975054</v>
      </c>
      <c r="DA326">
        <v>45</v>
      </c>
      <c r="DB326" s="9">
        <f t="shared" si="301"/>
        <v>6.9844334506905001</v>
      </c>
      <c r="DC326" s="9">
        <f t="shared" si="302"/>
        <v>7.6596481335498758</v>
      </c>
    </row>
    <row r="327" spans="2:107" x14ac:dyDescent="0.25">
      <c r="B327" s="9">
        <f t="shared" si="303"/>
        <v>276</v>
      </c>
      <c r="C327" s="9">
        <v>132.1220804514879</v>
      </c>
      <c r="D327" s="9"/>
      <c r="E327" s="9">
        <f t="shared" si="265"/>
        <v>132.1220804514879</v>
      </c>
      <c r="F327" s="36">
        <f t="shared" si="304"/>
        <v>0</v>
      </c>
      <c r="G327" s="37">
        <f t="shared" si="249"/>
        <v>0</v>
      </c>
      <c r="H327" s="36" t="e">
        <f t="shared" si="250"/>
        <v>#DIV/0!</v>
      </c>
      <c r="I327" s="37" t="e">
        <f t="shared" si="266"/>
        <v>#DIV/0!</v>
      </c>
      <c r="J327" s="37" t="e">
        <f t="shared" si="267"/>
        <v>#DIV/0!</v>
      </c>
      <c r="K327" s="37" t="e">
        <f t="shared" si="268"/>
        <v>#DIV/0!</v>
      </c>
      <c r="L327" s="39" t="e">
        <f t="shared" si="251"/>
        <v>#DIV/0!</v>
      </c>
      <c r="M327" s="39" t="e">
        <f>M326+(1000*$C$2*(B327-B326))/(BerechnungenCLT!$W$47*2*'Berechnung freier Bereich'!G327)</f>
        <v>#DIV/0!</v>
      </c>
      <c r="N327" s="17" t="e">
        <f t="shared" si="269"/>
        <v>#DIV/0!</v>
      </c>
      <c r="O327" s="173">
        <f t="shared" si="270"/>
        <v>1540.4699295439602</v>
      </c>
      <c r="P327" s="173"/>
      <c r="Q327" s="173"/>
      <c r="R327" s="37" t="e">
        <f t="shared" si="252"/>
        <v>#DIV/0!</v>
      </c>
      <c r="S327" s="37" t="e">
        <f t="shared" si="253"/>
        <v>#DIV/0!</v>
      </c>
      <c r="T327" s="37" t="e">
        <f t="shared" si="254"/>
        <v>#DIV/0!</v>
      </c>
      <c r="U327" s="39" t="e">
        <f t="shared" si="255"/>
        <v>#DIV/0!</v>
      </c>
      <c r="V327" s="39" t="e">
        <f t="shared" si="271"/>
        <v>#DIV/0!</v>
      </c>
      <c r="W327" s="9" t="e">
        <f t="shared" si="272"/>
        <v>#DIV/0!</v>
      </c>
      <c r="AB327" s="129">
        <v>130.20520045575279</v>
      </c>
      <c r="AC327" s="9">
        <v>7.34375</v>
      </c>
      <c r="AD327" s="129">
        <f t="shared" si="273"/>
        <v>139.12456631120332</v>
      </c>
      <c r="AE327" s="36">
        <f t="shared" si="305"/>
        <v>1.2829718493537505E-2</v>
      </c>
      <c r="AF327" s="37">
        <f t="shared" si="274"/>
        <v>68505110.501731679</v>
      </c>
      <c r="AG327" s="36">
        <f t="shared" si="256"/>
        <v>1.9956202911627161</v>
      </c>
      <c r="AH327" s="37">
        <f t="shared" si="275"/>
        <v>-1.1492661775207817E-4</v>
      </c>
      <c r="AI327" s="37">
        <f t="shared" si="276"/>
        <v>-4.8909403365066773E-2</v>
      </c>
      <c r="AJ327" s="37">
        <f t="shared" si="277"/>
        <v>-7.3098322149974999</v>
      </c>
      <c r="AK327" s="39">
        <f t="shared" si="278"/>
        <v>1.5989115852371318E-2</v>
      </c>
      <c r="AL327" s="39">
        <f>AL326+(1000*$C$2*($B327-$B326))/(BerechnungenCLT!$W$47*2*AF327)</f>
        <v>1.4081444628377697E-2</v>
      </c>
      <c r="AM327" s="37">
        <f t="shared" si="257"/>
        <v>2.0308640522182138E-6</v>
      </c>
      <c r="AN327" s="173">
        <f t="shared" si="279"/>
        <v>1482.8434864008527</v>
      </c>
      <c r="AO327" s="173">
        <v>-257.43215415985588</v>
      </c>
      <c r="AV327" s="129">
        <v>132.68943688205192</v>
      </c>
      <c r="AW327" s="9">
        <v>7.09375</v>
      </c>
      <c r="AX327" s="129">
        <f t="shared" si="280"/>
        <v>140.85464935937324</v>
      </c>
      <c r="AY327" s="36">
        <f t="shared" si="306"/>
        <v>1.1928713687945956E-2</v>
      </c>
      <c r="AZ327" s="37">
        <f t="shared" si="281"/>
        <v>65689529.800389558</v>
      </c>
      <c r="BA327" s="36">
        <f t="shared" si="258"/>
        <v>1.9964407362172056</v>
      </c>
      <c r="BB327" s="37">
        <f t="shared" si="282"/>
        <v>-1.1985259557527999E-4</v>
      </c>
      <c r="BC327" s="37">
        <f t="shared" si="283"/>
        <v>-4.5377334180805161E-2</v>
      </c>
      <c r="BD327" s="37">
        <f t="shared" si="284"/>
        <v>-6.7049929103256307</v>
      </c>
      <c r="BE327" s="39">
        <f t="shared" si="285"/>
        <v>1.688179532456683E-2</v>
      </c>
      <c r="BF327" s="39">
        <f>BF326+(1000*$C$2*($B327-$B326))/(BerechnungenCLT!$W$47*2*AZ327)</f>
        <v>1.3060311569590359E-2</v>
      </c>
      <c r="BG327" s="37">
        <f t="shared" si="259"/>
        <v>2.1442480984014889E-6</v>
      </c>
      <c r="BH327" s="173">
        <f t="shared" si="286"/>
        <v>1437.5049983396243</v>
      </c>
      <c r="BI327">
        <v>-258.37839152110831</v>
      </c>
      <c r="BP327" s="129">
        <v>130.27078602596686</v>
      </c>
      <c r="BQ327" s="9">
        <v>7.3125</v>
      </c>
      <c r="BR327" s="129">
        <f t="shared" si="287"/>
        <v>138.84696986678662</v>
      </c>
      <c r="BS327" s="36">
        <f t="shared" si="307"/>
        <v>1.2326370823604311E-2</v>
      </c>
      <c r="BT327" s="37">
        <f t="shared" si="288"/>
        <v>65708545.193033941</v>
      </c>
      <c r="BU327" s="36">
        <f t="shared" si="260"/>
        <v>1.9959439596488788</v>
      </c>
      <c r="BV327" s="37">
        <f t="shared" si="289"/>
        <v>-1.1981791143857271E-4</v>
      </c>
      <c r="BW327" s="37">
        <f t="shared" si="290"/>
        <v>-5.1555627880480605E-2</v>
      </c>
      <c r="BX327" s="37">
        <f t="shared" si="291"/>
        <v>-7.590886619511509</v>
      </c>
      <c r="BY327" s="39">
        <f t="shared" si="292"/>
        <v>1.6636353939012812E-2</v>
      </c>
      <c r="BZ327" s="39">
        <f>BZ326+(1000*$C$2*($B327-$B326))/(BerechnungenCLT!$W$47*2*BT327)</f>
        <v>1.4846477417406759E-2</v>
      </c>
      <c r="CA327" s="37">
        <f t="shared" si="261"/>
        <v>2.1130732610026864E-6</v>
      </c>
      <c r="CB327" s="173">
        <f t="shared" si="293"/>
        <v>1485.1807738579762</v>
      </c>
      <c r="CC327" s="9">
        <v>-257.77081738916985</v>
      </c>
      <c r="CJ327" s="9">
        <f t="shared" si="309"/>
        <v>276</v>
      </c>
      <c r="CK327" s="129">
        <v>124.86889071783419</v>
      </c>
      <c r="CL327" s="9">
        <v>4.96875</v>
      </c>
      <c r="CM327" s="129">
        <f t="shared" si="294"/>
        <v>132.95851505082885</v>
      </c>
      <c r="CN327" s="36">
        <f t="shared" si="308"/>
        <v>1.1139257082845098E-2</v>
      </c>
      <c r="CO327" s="173">
        <f t="shared" si="295"/>
        <v>1618.1018938931829</v>
      </c>
      <c r="CP327" s="9">
        <v>-631.43231979925361</v>
      </c>
      <c r="CQ327" s="129"/>
      <c r="CR327" s="36">
        <f t="shared" si="296"/>
        <v>0.6712109340061635</v>
      </c>
      <c r="CS327" s="17">
        <f t="shared" si="262"/>
        <v>0.48252080103961931</v>
      </c>
      <c r="CT327" s="9">
        <f t="shared" si="263"/>
        <v>6.1784901160255101</v>
      </c>
      <c r="CU327" s="9">
        <f t="shared" si="297"/>
        <v>134.92809353217723</v>
      </c>
      <c r="CV327" s="9">
        <v>10.199999999999999</v>
      </c>
      <c r="CW327" s="9">
        <f t="shared" si="298"/>
        <v>141.47551576367985</v>
      </c>
      <c r="CX327">
        <f t="shared" si="299"/>
        <v>17</v>
      </c>
      <c r="CY327" s="9">
        <f t="shared" si="264"/>
        <v>428.27952480636628</v>
      </c>
      <c r="CZ327" s="17">
        <f t="shared" si="300"/>
        <v>0.40327638870655963</v>
      </c>
      <c r="DA327">
        <v>45</v>
      </c>
      <c r="DB327" s="9">
        <f t="shared" si="301"/>
        <v>6.9113741624417369</v>
      </c>
      <c r="DC327" s="9">
        <f t="shared" si="302"/>
        <v>7.5826375002187785</v>
      </c>
    </row>
    <row r="328" spans="2:107" x14ac:dyDescent="0.25">
      <c r="B328" s="9">
        <f t="shared" si="303"/>
        <v>277</v>
      </c>
      <c r="C328" s="9">
        <v>132.60239061297952</v>
      </c>
      <c r="D328" s="9"/>
      <c r="E328" s="9">
        <f t="shared" si="265"/>
        <v>132.60239061297952</v>
      </c>
      <c r="F328" s="36">
        <f t="shared" si="304"/>
        <v>0</v>
      </c>
      <c r="G328" s="37">
        <f t="shared" si="249"/>
        <v>0</v>
      </c>
      <c r="H328" s="36" t="e">
        <f t="shared" si="250"/>
        <v>#DIV/0!</v>
      </c>
      <c r="I328" s="37" t="e">
        <f t="shared" si="266"/>
        <v>#DIV/0!</v>
      </c>
      <c r="J328" s="37" t="e">
        <f t="shared" si="267"/>
        <v>#DIV/0!</v>
      </c>
      <c r="K328" s="37" t="e">
        <f t="shared" si="268"/>
        <v>#DIV/0!</v>
      </c>
      <c r="L328" s="39" t="e">
        <f t="shared" si="251"/>
        <v>#DIV/0!</v>
      </c>
      <c r="M328" s="39" t="e">
        <f>M327+(1000*$C$2*(B328-B327))/(BerechnungenCLT!$W$47*2*'Berechnung freier Bereich'!G328)</f>
        <v>#DIV/0!</v>
      </c>
      <c r="N328" s="17" t="e">
        <f t="shared" si="269"/>
        <v>#DIV/0!</v>
      </c>
      <c r="O328" s="173">
        <f t="shared" si="270"/>
        <v>1529.3304120069213</v>
      </c>
      <c r="P328" s="173"/>
      <c r="Q328" s="173"/>
      <c r="R328" s="37" t="e">
        <f t="shared" si="252"/>
        <v>#DIV/0!</v>
      </c>
      <c r="S328" s="37" t="e">
        <f t="shared" si="253"/>
        <v>#DIV/0!</v>
      </c>
      <c r="T328" s="37" t="e">
        <f t="shared" si="254"/>
        <v>#DIV/0!</v>
      </c>
      <c r="U328" s="39" t="e">
        <f t="shared" si="255"/>
        <v>#DIV/0!</v>
      </c>
      <c r="V328" s="39" t="e">
        <f t="shared" si="271"/>
        <v>#DIV/0!</v>
      </c>
      <c r="W328" s="9" t="e">
        <f t="shared" si="272"/>
        <v>#DIV/0!</v>
      </c>
      <c r="AB328" s="129">
        <v>130.89450186311987</v>
      </c>
      <c r="AC328" s="9">
        <v>7.25</v>
      </c>
      <c r="AD328" s="129">
        <f t="shared" si="273"/>
        <v>139.75255810353318</v>
      </c>
      <c r="AE328" s="36">
        <f t="shared" si="305"/>
        <v>1.2803848923105333E-2</v>
      </c>
      <c r="AF328" s="37">
        <f t="shared" si="274"/>
        <v>69035619.610603571</v>
      </c>
      <c r="AG328" s="36">
        <f t="shared" si="256"/>
        <v>1.9957220781906653</v>
      </c>
      <c r="AH328" s="37">
        <f t="shared" si="275"/>
        <v>-1.1404345601740822E-4</v>
      </c>
      <c r="AI328" s="37">
        <f t="shared" si="276"/>
        <v>-4.9023446821084178E-2</v>
      </c>
      <c r="AJ328" s="37">
        <f t="shared" si="277"/>
        <v>-7.3587986400905754</v>
      </c>
      <c r="AK328" s="39">
        <f t="shared" si="278"/>
        <v>1.5937864713400574E-2</v>
      </c>
      <c r="AL328" s="39">
        <f>AL327+(1000*$C$2*($B328-$B327))/(BerechnungenCLT!$W$47*2*AF328)</f>
        <v>1.4114414991586697E-2</v>
      </c>
      <c r="AM328" s="37">
        <f t="shared" si="257"/>
        <v>2.0243543679597508E-6</v>
      </c>
      <c r="AN328" s="173">
        <f t="shared" si="279"/>
        <v>1468.4440246490319</v>
      </c>
      <c r="AO328" s="173">
        <v>-258.11509630889498</v>
      </c>
      <c r="AV328" s="129">
        <v>133.25943721187801</v>
      </c>
      <c r="AW328" s="9">
        <v>7.03125</v>
      </c>
      <c r="AX328" s="129">
        <f t="shared" si="280"/>
        <v>141.36948510995691</v>
      </c>
      <c r="AY328" s="36">
        <f t="shared" si="306"/>
        <v>1.189511064070806E-2</v>
      </c>
      <c r="AZ328" s="37">
        <f t="shared" si="281"/>
        <v>66023827.225823268</v>
      </c>
      <c r="BA328" s="36">
        <f t="shared" si="258"/>
        <v>1.9965162541329808</v>
      </c>
      <c r="BB328" s="37">
        <f t="shared" si="282"/>
        <v>-1.1924574777781252E-4</v>
      </c>
      <c r="BC328" s="37">
        <f t="shared" si="283"/>
        <v>-4.5496579928582977E-2</v>
      </c>
      <c r="BD328" s="37">
        <f t="shared" si="284"/>
        <v>-6.7504298673803245</v>
      </c>
      <c r="BE328" s="39">
        <f t="shared" si="285"/>
        <v>1.6857709964901144E-2</v>
      </c>
      <c r="BF328" s="39">
        <f>BF327+(1000*$C$2*($B328-$B327))/(BerechnungenCLT!$W$47*2*AZ328)</f>
        <v>1.3094785933597383E-2</v>
      </c>
      <c r="BG328" s="37">
        <f t="shared" si="259"/>
        <v>2.1411888866488552E-6</v>
      </c>
      <c r="BH328" s="173">
        <f t="shared" si="286"/>
        <v>1426.1705969991576</v>
      </c>
      <c r="BI328">
        <v>-258.55498518052832</v>
      </c>
      <c r="BP328" s="129">
        <v>130.88355574894612</v>
      </c>
      <c r="BQ328" s="9">
        <v>7.25</v>
      </c>
      <c r="BR328" s="129">
        <f t="shared" si="287"/>
        <v>139.32615880683608</v>
      </c>
      <c r="BS328" s="36">
        <f t="shared" si="307"/>
        <v>1.2183613781342431E-2</v>
      </c>
      <c r="BT328" s="37">
        <f t="shared" si="288"/>
        <v>65473098.70707164</v>
      </c>
      <c r="BU328" s="36">
        <f t="shared" si="260"/>
        <v>1.9961008025995906</v>
      </c>
      <c r="BV328" s="37">
        <f t="shared" si="289"/>
        <v>-1.2024878620638796E-4</v>
      </c>
      <c r="BW328" s="37">
        <f t="shared" si="290"/>
        <v>-5.1675876666686993E-2</v>
      </c>
      <c r="BX328" s="37">
        <f t="shared" si="291"/>
        <v>-7.6425023717850928</v>
      </c>
      <c r="BY328" s="39">
        <f t="shared" si="292"/>
        <v>1.675380148332049E-2</v>
      </c>
      <c r="BZ328" s="39">
        <f>BZ327+(1000*$C$2*($B328-$B327))/(BerechnungenCLT!$W$47*2*BT328)</f>
        <v>1.4881241763342231E-2</v>
      </c>
      <c r="CA328" s="37">
        <f t="shared" si="261"/>
        <v>2.1279909086048449E-6</v>
      </c>
      <c r="CB328" s="173">
        <f t="shared" si="293"/>
        <v>1473.2013442274874</v>
      </c>
      <c r="CC328" s="9">
        <v>-257.89588297276504</v>
      </c>
      <c r="CJ328" s="9">
        <f t="shared" si="309"/>
        <v>277</v>
      </c>
      <c r="CK328" s="129">
        <v>126.15369078820011</v>
      </c>
      <c r="CL328" s="9">
        <v>4.890625</v>
      </c>
      <c r="CM328" s="129">
        <f t="shared" si="294"/>
        <v>134.02217569316298</v>
      </c>
      <c r="CN328" s="36">
        <f t="shared" si="308"/>
        <v>1.0933442358324181E-2</v>
      </c>
      <c r="CO328" s="173">
        <f t="shared" si="295"/>
        <v>1589.0223460435607</v>
      </c>
      <c r="CP328" s="9">
        <v>-629.99010513210408</v>
      </c>
      <c r="CQ328" s="129"/>
      <c r="CR328" s="36">
        <f t="shared" si="296"/>
        <v>0.66731676417332597</v>
      </c>
      <c r="CS328" s="17">
        <f t="shared" si="262"/>
        <v>0.4797213562571721</v>
      </c>
      <c r="CT328" s="9">
        <f t="shared" si="263"/>
        <v>6.1168321187412831</v>
      </c>
      <c r="CU328" s="9">
        <f t="shared" si="297"/>
        <v>135.99500988187583</v>
      </c>
      <c r="CV328" s="9">
        <v>10.199999999999999</v>
      </c>
      <c r="CW328" s="9">
        <f t="shared" si="298"/>
        <v>142.56438390628242</v>
      </c>
      <c r="CX328">
        <f t="shared" si="299"/>
        <v>17</v>
      </c>
      <c r="CY328" s="9">
        <f t="shared" si="264"/>
        <v>423.91775338161005</v>
      </c>
      <c r="CZ328" s="17">
        <f t="shared" si="300"/>
        <v>0.39916925930471764</v>
      </c>
      <c r="DA328">
        <v>45</v>
      </c>
      <c r="DB328" s="9">
        <f t="shared" si="301"/>
        <v>6.8409859403076849</v>
      </c>
      <c r="DC328" s="9">
        <f t="shared" si="302"/>
        <v>7.5083482642046349</v>
      </c>
    </row>
    <row r="329" spans="2:107" x14ac:dyDescent="0.25">
      <c r="B329" s="9">
        <f t="shared" si="303"/>
        <v>278</v>
      </c>
      <c r="C329" s="9">
        <v>133.0842077490347</v>
      </c>
      <c r="D329" s="9"/>
      <c r="E329" s="9">
        <f t="shared" si="265"/>
        <v>133.0842077490347</v>
      </c>
      <c r="F329" s="36">
        <f t="shared" si="304"/>
        <v>0</v>
      </c>
      <c r="G329" s="37">
        <f t="shared" si="249"/>
        <v>0</v>
      </c>
      <c r="H329" s="36" t="e">
        <f t="shared" si="250"/>
        <v>#DIV/0!</v>
      </c>
      <c r="I329" s="37" t="e">
        <f t="shared" si="266"/>
        <v>#DIV/0!</v>
      </c>
      <c r="J329" s="37" t="e">
        <f t="shared" si="267"/>
        <v>#DIV/0!</v>
      </c>
      <c r="K329" s="37" t="e">
        <f t="shared" si="268"/>
        <v>#DIV/0!</v>
      </c>
      <c r="L329" s="39" t="e">
        <f t="shared" si="251"/>
        <v>#DIV/0!</v>
      </c>
      <c r="M329" s="39" t="e">
        <f>M328+(1000*$C$2*(B329-B328))/(BerechnungenCLT!$W$47*2*'Berechnung freier Bereich'!G329)</f>
        <v>#DIV/0!</v>
      </c>
      <c r="N329" s="17" t="e">
        <f t="shared" si="269"/>
        <v>#DIV/0!</v>
      </c>
      <c r="O329" s="173">
        <f t="shared" si="270"/>
        <v>1518.2769030356701</v>
      </c>
      <c r="P329" s="173"/>
      <c r="Q329" s="173"/>
      <c r="R329" s="37" t="e">
        <f t="shared" si="252"/>
        <v>#DIV/0!</v>
      </c>
      <c r="S329" s="37" t="e">
        <f t="shared" si="253"/>
        <v>#DIV/0!</v>
      </c>
      <c r="T329" s="37" t="e">
        <f t="shared" si="254"/>
        <v>#DIV/0!</v>
      </c>
      <c r="U329" s="39" t="e">
        <f t="shared" si="255"/>
        <v>#DIV/0!</v>
      </c>
      <c r="V329" s="39" t="e">
        <f t="shared" si="271"/>
        <v>#DIV/0!</v>
      </c>
      <c r="W329" s="9" t="e">
        <f t="shared" si="272"/>
        <v>#DIV/0!</v>
      </c>
      <c r="AB329" s="129">
        <v>131.59649712187971</v>
      </c>
      <c r="AC329" s="9">
        <v>7.1875</v>
      </c>
      <c r="AD329" s="129">
        <f t="shared" si="273"/>
        <v>140.41543826957863</v>
      </c>
      <c r="AE329" s="36">
        <f t="shared" si="305"/>
        <v>1.2811594931476817E-2</v>
      </c>
      <c r="AF329" s="37">
        <f t="shared" si="274"/>
        <v>69774458.122969642</v>
      </c>
      <c r="AG329" s="36">
        <f t="shared" si="256"/>
        <v>1.9958020947899311</v>
      </c>
      <c r="AH329" s="37">
        <f t="shared" si="275"/>
        <v>-1.1283585513227504E-4</v>
      </c>
      <c r="AI329" s="37">
        <f t="shared" si="276"/>
        <v>-4.9136282676216454E-2</v>
      </c>
      <c r="AJ329" s="37">
        <f t="shared" si="277"/>
        <v>-7.4078785048392257</v>
      </c>
      <c r="AK329" s="39">
        <f t="shared" si="278"/>
        <v>1.5843896050921083E-2</v>
      </c>
      <c r="AL329" s="39">
        <f>AL328+(1000*$C$2*($B329-$B328))/(BerechnungenCLT!$W$47*2*AF329)</f>
        <v>1.4147036233143435E-2</v>
      </c>
      <c r="AM329" s="37">
        <f t="shared" si="257"/>
        <v>2.012418900081061E-6</v>
      </c>
      <c r="AN329" s="173">
        <f t="shared" si="279"/>
        <v>1453.7445607492266</v>
      </c>
      <c r="AO329" s="173">
        <v>-257.61711361142568</v>
      </c>
      <c r="AV329" s="129">
        <v>133.8342402541297</v>
      </c>
      <c r="AW329" s="9">
        <v>6.96875</v>
      </c>
      <c r="AX329" s="129">
        <f t="shared" si="280"/>
        <v>141.8801516894049</v>
      </c>
      <c r="AY329" s="36">
        <f t="shared" si="306"/>
        <v>1.1847684435842016E-2</v>
      </c>
      <c r="AZ329" s="37">
        <f t="shared" si="281"/>
        <v>66280095.702256344</v>
      </c>
      <c r="BA329" s="36">
        <f t="shared" si="258"/>
        <v>1.9965979779269729</v>
      </c>
      <c r="BB329" s="37">
        <f t="shared" si="282"/>
        <v>-1.187846904154119E-4</v>
      </c>
      <c r="BC329" s="37">
        <f t="shared" si="283"/>
        <v>-4.5615364618998386E-2</v>
      </c>
      <c r="BD329" s="37">
        <f t="shared" si="284"/>
        <v>-6.7959858396541151</v>
      </c>
      <c r="BE329" s="39">
        <f t="shared" si="285"/>
        <v>1.6853189894517642E-2</v>
      </c>
      <c r="BF329" s="39">
        <f>BF328+(1000*$C$2*($B329-$B328))/(BerechnungenCLT!$W$47*2*AZ329)</f>
        <v>1.3129127004303508E-2</v>
      </c>
      <c r="BG329" s="37">
        <f t="shared" si="259"/>
        <v>2.1406147680709357E-6</v>
      </c>
      <c r="BH329" s="173">
        <f t="shared" si="286"/>
        <v>1414.9632201756147</v>
      </c>
      <c r="BI329">
        <v>-258.7367723076913</v>
      </c>
      <c r="BP329" s="129">
        <v>131.48025768567456</v>
      </c>
      <c r="BQ329" s="9">
        <v>7.1875</v>
      </c>
      <c r="BR329" s="129">
        <f t="shared" si="287"/>
        <v>139.78882787110828</v>
      </c>
      <c r="BS329" s="36">
        <f t="shared" si="307"/>
        <v>1.2037197612566464E-2</v>
      </c>
      <c r="BT329" s="37">
        <f t="shared" si="288"/>
        <v>65192001.093129076</v>
      </c>
      <c r="BU329" s="36">
        <f t="shared" si="260"/>
        <v>1.9962528490979983</v>
      </c>
      <c r="BV329" s="37">
        <f t="shared" si="289"/>
        <v>-1.2076727998346681E-4</v>
      </c>
      <c r="BW329" s="37">
        <f t="shared" si="290"/>
        <v>-5.1796643946670461E-2</v>
      </c>
      <c r="BX329" s="37">
        <f t="shared" si="291"/>
        <v>-7.6942386320917713</v>
      </c>
      <c r="BY329" s="39">
        <f t="shared" si="292"/>
        <v>1.6881916514070783E-2</v>
      </c>
      <c r="BZ329" s="39">
        <f>BZ328+(1000*$C$2*($B329-$B328))/(BerechnungenCLT!$W$47*2*BT329)</f>
        <v>1.4916156007647579E-2</v>
      </c>
      <c r="CA329" s="37">
        <f t="shared" si="261"/>
        <v>2.1442634913356167E-6</v>
      </c>
      <c r="CB329" s="173">
        <f t="shared" si="293"/>
        <v>1461.7174009686964</v>
      </c>
      <c r="CC329" s="9">
        <v>-258.11061678269118</v>
      </c>
      <c r="CJ329" s="9">
        <f t="shared" si="309"/>
        <v>278</v>
      </c>
      <c r="CK329" s="129">
        <v>127.41406049641388</v>
      </c>
      <c r="CL329" s="9">
        <v>4.796875</v>
      </c>
      <c r="CM329" s="129">
        <f t="shared" si="294"/>
        <v>135.02883558732549</v>
      </c>
      <c r="CN329" s="36">
        <f t="shared" si="308"/>
        <v>1.0673102893961513E-2</v>
      </c>
      <c r="CO329" s="173">
        <f t="shared" si="295"/>
        <v>1561.6883863404848</v>
      </c>
      <c r="CP329" s="9">
        <v>-631.2538885149695</v>
      </c>
      <c r="CQ329" s="129"/>
      <c r="CR329" s="36">
        <f t="shared" si="296"/>
        <v>0.66366715035380131</v>
      </c>
      <c r="CS329" s="17">
        <f t="shared" si="262"/>
        <v>0.47709771815108287</v>
      </c>
      <c r="CT329" s="9">
        <f t="shared" si="263"/>
        <v>6.0325692001917766</v>
      </c>
      <c r="CU329" s="9">
        <f t="shared" si="297"/>
        <v>136.9904321299922</v>
      </c>
      <c r="CV329" s="9">
        <v>10.199999999999999</v>
      </c>
      <c r="CW329" s="9">
        <f t="shared" si="298"/>
        <v>143.60599919135558</v>
      </c>
      <c r="CX329">
        <f t="shared" si="299"/>
        <v>17</v>
      </c>
      <c r="CY329" s="9">
        <f t="shared" si="264"/>
        <v>419.72439282897886</v>
      </c>
      <c r="CZ329" s="17">
        <f t="shared" si="300"/>
        <v>0.39522070887851124</v>
      </c>
      <c r="DA329">
        <v>45</v>
      </c>
      <c r="DB329" s="9">
        <f t="shared" si="301"/>
        <v>6.7733154538646065</v>
      </c>
      <c r="DC329" s="9">
        <f t="shared" si="302"/>
        <v>7.4370260588806421</v>
      </c>
    </row>
    <row r="330" spans="2:107" x14ac:dyDescent="0.25">
      <c r="B330" s="9">
        <f t="shared" si="303"/>
        <v>279</v>
      </c>
      <c r="C330" s="9">
        <v>133.5661472783521</v>
      </c>
      <c r="D330" s="9"/>
      <c r="E330" s="9">
        <f t="shared" si="265"/>
        <v>133.5661472783521</v>
      </c>
      <c r="F330" s="36">
        <f t="shared" si="304"/>
        <v>0</v>
      </c>
      <c r="G330" s="37">
        <f>(PI()/4)*(E330^4-C330^4)</f>
        <v>0</v>
      </c>
      <c r="H330" s="36" t="e">
        <f t="shared" si="250"/>
        <v>#DIV/0!</v>
      </c>
      <c r="I330" s="37" t="e">
        <f t="shared" si="266"/>
        <v>#DIV/0!</v>
      </c>
      <c r="J330" s="37" t="e">
        <f t="shared" si="267"/>
        <v>#DIV/0!</v>
      </c>
      <c r="K330" s="37" t="e">
        <f t="shared" si="268"/>
        <v>#DIV/0!</v>
      </c>
      <c r="L330" s="39" t="e">
        <f t="shared" si="251"/>
        <v>#DIV/0!</v>
      </c>
      <c r="M330" s="39" t="e">
        <f>M329+(1000*$C$2*(B330-B329))/(BerechnungenCLT!$W$47*2*'Berechnung freier Bereich'!G330)</f>
        <v>#DIV/0!</v>
      </c>
      <c r="N330" s="17" t="e">
        <f t="shared" si="269"/>
        <v>#DIV/0!</v>
      </c>
      <c r="O330" s="173">
        <f t="shared" si="270"/>
        <v>1507.3400367380607</v>
      </c>
      <c r="P330" s="173"/>
      <c r="Q330" s="173"/>
      <c r="R330" s="37" t="e">
        <f t="shared" si="252"/>
        <v>#DIV/0!</v>
      </c>
      <c r="S330" s="37" t="e">
        <f t="shared" si="253"/>
        <v>#DIV/0!</v>
      </c>
      <c r="T330" s="37" t="e">
        <f t="shared" si="254"/>
        <v>#DIV/0!</v>
      </c>
      <c r="U330" s="39" t="e">
        <f t="shared" si="255"/>
        <v>#DIV/0!</v>
      </c>
      <c r="V330" s="39" t="e">
        <f t="shared" si="271"/>
        <v>#DIV/0!</v>
      </c>
      <c r="W330" s="9" t="e">
        <f t="shared" si="272"/>
        <v>#DIV/0!</v>
      </c>
      <c r="AB330" s="129">
        <v>132.30747361055128</v>
      </c>
      <c r="AC330" s="9">
        <v>7.09375</v>
      </c>
      <c r="AD330" s="129">
        <f t="shared" si="273"/>
        <v>141.03309476719704</v>
      </c>
      <c r="AE330" s="36">
        <f t="shared" si="305"/>
        <v>1.2737941216660357E-2</v>
      </c>
      <c r="AF330" s="37">
        <f t="shared" si="274"/>
        <v>70050437.103441507</v>
      </c>
      <c r="AG330" s="36">
        <f t="shared" si="256"/>
        <v>1.9959301250000931</v>
      </c>
      <c r="AH330" s="37">
        <f t="shared" si="275"/>
        <v>-1.1239131366261806E-4</v>
      </c>
      <c r="AI330" s="37">
        <f t="shared" si="276"/>
        <v>-4.9248673989879074E-2</v>
      </c>
      <c r="AJ330" s="37">
        <f t="shared" si="277"/>
        <v>-7.4570709831722732</v>
      </c>
      <c r="AK330" s="39">
        <f t="shared" si="278"/>
        <v>1.5850894790789782E-2</v>
      </c>
      <c r="AL330" s="39">
        <f>AL329+(1000*$C$2*($B330-$B329))/(BerechnungenCLT!$W$47*2*AF330)</f>
        <v>1.4179528956201806E-2</v>
      </c>
      <c r="AM330" s="37">
        <f t="shared" si="257"/>
        <v>2.0133078478716334E-6</v>
      </c>
      <c r="AN330" s="173">
        <f t="shared" si="279"/>
        <v>1439.6464064824427</v>
      </c>
      <c r="AO330" s="173">
        <v>-258.33946986434728</v>
      </c>
      <c r="AV330" s="129">
        <v>134.41132990404259</v>
      </c>
      <c r="AW330" s="9">
        <v>6.90625</v>
      </c>
      <c r="AX330" s="129">
        <f t="shared" si="280"/>
        <v>142.38428860298353</v>
      </c>
      <c r="AY330" s="36">
        <f t="shared" si="306"/>
        <v>1.1786300775845677E-2</v>
      </c>
      <c r="AZ330" s="37">
        <f t="shared" si="281"/>
        <v>66453401.867161073</v>
      </c>
      <c r="BA330" s="36">
        <f t="shared" si="258"/>
        <v>1.9966853295358</v>
      </c>
      <c r="BB330" s="37">
        <f t="shared" si="282"/>
        <v>-1.1847490764181603E-4</v>
      </c>
      <c r="BC330" s="37">
        <f t="shared" si="283"/>
        <v>-4.5733839526640202E-2</v>
      </c>
      <c r="BD330" s="37">
        <f t="shared" si="284"/>
        <v>-6.8416604417269342</v>
      </c>
      <c r="BE330" s="39">
        <f t="shared" si="285"/>
        <v>1.686896544188415E-2</v>
      </c>
      <c r="BF330" s="39">
        <f>BF329+(1000*$C$2*($B330-$B329))/(BerechnungenCLT!$W$47*2*AZ330)</f>
        <v>1.3163378515723042E-2</v>
      </c>
      <c r="BG330" s="37">
        <f t="shared" si="259"/>
        <v>2.1426185056350716E-6</v>
      </c>
      <c r="BH330" s="173">
        <f t="shared" si="286"/>
        <v>1403.9304750191043</v>
      </c>
      <c r="BI330">
        <v>-258.93820245555173</v>
      </c>
      <c r="BP330" s="129">
        <v>132.06015264146615</v>
      </c>
      <c r="BQ330" s="9">
        <v>7.125</v>
      </c>
      <c r="BR330" s="129">
        <f t="shared" si="287"/>
        <v>140.23447529417757</v>
      </c>
      <c r="BS330" s="36">
        <f t="shared" si="307"/>
        <v>1.1887475731442818E-2</v>
      </c>
      <c r="BT330" s="37">
        <f t="shared" si="288"/>
        <v>64866444.72413031</v>
      </c>
      <c r="BU330" s="36">
        <f t="shared" si="260"/>
        <v>1.9964000321676314</v>
      </c>
      <c r="BV330" s="37">
        <f t="shared" si="289"/>
        <v>-1.2137339547711661E-4</v>
      </c>
      <c r="BW330" s="37">
        <f t="shared" si="290"/>
        <v>-5.1918017342147578E-2</v>
      </c>
      <c r="BX330" s="37">
        <f t="shared" si="291"/>
        <v>-7.7460959627361801</v>
      </c>
      <c r="BY330" s="39">
        <f t="shared" si="292"/>
        <v>1.7020734429406152E-2</v>
      </c>
      <c r="BZ330" s="39">
        <f>BZ329+(1000*$C$2*($B330-$B329))/(BerechnungenCLT!$W$47*2*BT330)</f>
        <v>1.4951245482068446E-2</v>
      </c>
      <c r="CA330" s="37">
        <f t="shared" si="261"/>
        <v>2.1618955053044606E-6</v>
      </c>
      <c r="CB330" s="173">
        <f t="shared" si="293"/>
        <v>1450.7276123529521</v>
      </c>
      <c r="CC330" s="9">
        <v>-258.41714128917931</v>
      </c>
      <c r="CJ330" s="9">
        <f t="shared" si="309"/>
        <v>279</v>
      </c>
      <c r="CK330" s="129">
        <v>128.64693580765643</v>
      </c>
      <c r="CL330" s="9">
        <v>4.71875</v>
      </c>
      <c r="CM330" s="129">
        <f t="shared" si="294"/>
        <v>136.02626104875992</v>
      </c>
      <c r="CN330" s="36">
        <f t="shared" si="308"/>
        <v>1.0430987122508839E-2</v>
      </c>
      <c r="CO330" s="173">
        <f t="shared" si="295"/>
        <v>1535.4797656836231</v>
      </c>
      <c r="CP330" s="9">
        <v>-630.93586619218593</v>
      </c>
      <c r="CQ330" s="129"/>
      <c r="CR330" s="36">
        <f t="shared" si="296"/>
        <v>0.66008508724952319</v>
      </c>
      <c r="CS330" s="17">
        <f t="shared" si="262"/>
        <v>0.47452264097208852</v>
      </c>
      <c r="CT330" s="9">
        <f t="shared" si="263"/>
        <v>5.9665224702450699</v>
      </c>
      <c r="CU330" s="9">
        <f t="shared" si="297"/>
        <v>137.97756571309552</v>
      </c>
      <c r="CV330" s="9">
        <v>10.199999999999999</v>
      </c>
      <c r="CW330" s="9">
        <f t="shared" si="298"/>
        <v>144.59800705730004</v>
      </c>
      <c r="CX330">
        <f t="shared" si="299"/>
        <v>17</v>
      </c>
      <c r="CY330" s="9">
        <f t="shared" si="264"/>
        <v>415.70200521285409</v>
      </c>
      <c r="CZ330" s="17">
        <f t="shared" si="300"/>
        <v>0.39143314991794176</v>
      </c>
      <c r="DA330">
        <v>45</v>
      </c>
      <c r="DB330" s="9">
        <f t="shared" si="301"/>
        <v>6.7084040485062024</v>
      </c>
      <c r="DC330" s="9">
        <f t="shared" si="302"/>
        <v>7.3685283459448048</v>
      </c>
    </row>
    <row r="331" spans="2:107" x14ac:dyDescent="0.25">
      <c r="B331" s="9">
        <f t="shared" si="303"/>
        <v>280</v>
      </c>
      <c r="C331" s="9">
        <v>134.0468246196304</v>
      </c>
      <c r="D331" s="9"/>
      <c r="E331" s="9">
        <f t="shared" si="265"/>
        <v>134.0468246196304</v>
      </c>
      <c r="F331" s="36">
        <f t="shared" si="304"/>
        <v>0</v>
      </c>
      <c r="G331" s="37">
        <f t="shared" ref="G331:G360" si="310">(PI()/4)*(E331^4-C331^4)</f>
        <v>0</v>
      </c>
      <c r="H331" s="36" t="e">
        <f t="shared" si="250"/>
        <v>#DIV/0!</v>
      </c>
      <c r="I331" s="37" t="e">
        <f t="shared" si="266"/>
        <v>#DIV/0!</v>
      </c>
      <c r="J331" s="37" t="e">
        <f t="shared" si="267"/>
        <v>#DIV/0!</v>
      </c>
      <c r="K331" s="37" t="e">
        <f t="shared" si="268"/>
        <v>#DIV/0!</v>
      </c>
      <c r="L331" s="39" t="e">
        <f t="shared" si="251"/>
        <v>#DIV/0!</v>
      </c>
      <c r="M331" s="39" t="e">
        <f>M330+(1000*$C$2*(B331-B330))/(BerechnungenCLT!$W$47*2*'Berechnung freier Bereich'!G331)</f>
        <v>#DIV/0!</v>
      </c>
      <c r="N331" s="17" t="e">
        <f t="shared" si="269"/>
        <v>#DIV/0!</v>
      </c>
      <c r="O331" s="173">
        <f t="shared" si="270"/>
        <v>1496.5491040182078</v>
      </c>
      <c r="P331" s="173"/>
      <c r="Q331" s="173"/>
      <c r="R331" s="37" t="e">
        <f t="shared" si="252"/>
        <v>#DIV/0!</v>
      </c>
      <c r="S331" s="37" t="e">
        <f t="shared" si="253"/>
        <v>#DIV/0!</v>
      </c>
      <c r="T331" s="37" t="e">
        <f t="shared" si="254"/>
        <v>#DIV/0!</v>
      </c>
      <c r="U331" s="39" t="e">
        <f t="shared" si="255"/>
        <v>#DIV/0!</v>
      </c>
      <c r="V331" s="39" t="e">
        <f t="shared" si="271"/>
        <v>#DIV/0!</v>
      </c>
      <c r="W331" s="9" t="e">
        <f t="shared" si="272"/>
        <v>#DIV/0!</v>
      </c>
      <c r="AB331" s="129">
        <v>133.0237187076535</v>
      </c>
      <c r="AC331" s="9">
        <v>7.03125</v>
      </c>
      <c r="AD331" s="129">
        <f t="shared" si="273"/>
        <v>141.67883730536161</v>
      </c>
      <c r="AE331" s="36">
        <f t="shared" si="305"/>
        <v>1.2697976461914768E-2</v>
      </c>
      <c r="AF331" s="37">
        <f t="shared" si="274"/>
        <v>70526433.621606067</v>
      </c>
      <c r="AG331" s="36">
        <f t="shared" si="256"/>
        <v>1.996035080985288</v>
      </c>
      <c r="AH331" s="37">
        <f t="shared" si="275"/>
        <v>-1.1163276298554316E-4</v>
      </c>
      <c r="AI331" s="37">
        <f t="shared" si="276"/>
        <v>-4.9360306752864617E-2</v>
      </c>
      <c r="AJ331" s="37">
        <f t="shared" si="277"/>
        <v>-7.5063754735436454</v>
      </c>
      <c r="AK331" s="39">
        <f t="shared" si="278"/>
        <v>1.5816000064976764E-2</v>
      </c>
      <c r="AL331" s="39">
        <f>AL330+(1000*$C$2*($B331-$B330))/(BerechnungenCLT!$W$47*2*AF331)</f>
        <v>1.4211802379598373E-2</v>
      </c>
      <c r="AM331" s="37">
        <f t="shared" si="257"/>
        <v>2.0088756800819956E-6</v>
      </c>
      <c r="AN331" s="173">
        <f t="shared" si="279"/>
        <v>1425.4061328284001</v>
      </c>
      <c r="AO331" s="173">
        <v>-257.89660301781731</v>
      </c>
      <c r="AV331" s="129">
        <v>134.98819005685237</v>
      </c>
      <c r="AW331" s="9">
        <v>6.84375</v>
      </c>
      <c r="AX331" s="129">
        <f t="shared" si="280"/>
        <v>142.87962294567905</v>
      </c>
      <c r="AY331" s="36">
        <f t="shared" si="306"/>
        <v>1.1710970971584295E-2</v>
      </c>
      <c r="AZ331" s="37">
        <f t="shared" si="281"/>
        <v>66539667.160069987</v>
      </c>
      <c r="BA331" s="36">
        <f t="shared" si="258"/>
        <v>1.9967776696450326</v>
      </c>
      <c r="BB331" s="37">
        <f t="shared" si="282"/>
        <v>-1.1832131095210775E-4</v>
      </c>
      <c r="BC331" s="37">
        <f t="shared" si="283"/>
        <v>-4.5852160837592311E-2</v>
      </c>
      <c r="BD331" s="37">
        <f t="shared" si="284"/>
        <v>-6.8874534419090505</v>
      </c>
      <c r="BE331" s="39">
        <f t="shared" si="285"/>
        <v>1.69057042952756E-2</v>
      </c>
      <c r="BF331" s="39">
        <f>BF330+(1000*$C$2*($B331-$B330))/(BerechnungenCLT!$W$47*2*AZ331)</f>
        <v>1.3197585621800751E-2</v>
      </c>
      <c r="BG331" s="37">
        <f t="shared" si="259"/>
        <v>2.1472849060390273E-6</v>
      </c>
      <c r="BH331" s="173">
        <f t="shared" si="286"/>
        <v>1393.1168271582287</v>
      </c>
      <c r="BI331">
        <v>-259.17318758966712</v>
      </c>
      <c r="BP331" s="129">
        <v>132.62250142163484</v>
      </c>
      <c r="BQ331" s="9">
        <v>7.0625</v>
      </c>
      <c r="BR331" s="129">
        <f t="shared" si="287"/>
        <v>140.66260786326086</v>
      </c>
      <c r="BS331" s="36">
        <f t="shared" si="307"/>
        <v>1.1734823475443619E-2</v>
      </c>
      <c r="BT331" s="37">
        <f t="shared" si="288"/>
        <v>64497863.723279275</v>
      </c>
      <c r="BU331" s="36">
        <f t="shared" si="260"/>
        <v>1.9965422938638244</v>
      </c>
      <c r="BV331" s="37">
        <f t="shared" si="289"/>
        <v>-1.2206699872223461E-4</v>
      </c>
      <c r="BW331" s="37">
        <f t="shared" si="290"/>
        <v>-5.2040084340869812E-2</v>
      </c>
      <c r="BX331" s="37">
        <f t="shared" si="291"/>
        <v>-7.7980750135776891</v>
      </c>
      <c r="BY331" s="39">
        <f t="shared" si="292"/>
        <v>1.7170262374310852E-2</v>
      </c>
      <c r="BZ331" s="39">
        <f>BZ330+(1000*$C$2*($B331-$B330))/(BerechnungenCLT!$W$47*2*BT331)</f>
        <v>1.4986535479620696E-2</v>
      </c>
      <c r="CA331" s="37">
        <f t="shared" si="261"/>
        <v>2.1808878580344572E-6</v>
      </c>
      <c r="CB331" s="173">
        <f t="shared" si="293"/>
        <v>1440.2307748386527</v>
      </c>
      <c r="CC331" s="9">
        <v>-258.81767713009276</v>
      </c>
      <c r="CJ331" s="9">
        <f t="shared" si="309"/>
        <v>280</v>
      </c>
      <c r="CK331" s="129">
        <v>129.84925268710876</v>
      </c>
      <c r="CL331" s="9">
        <v>4.640625</v>
      </c>
      <c r="CM331" s="129">
        <f t="shared" si="294"/>
        <v>136.98714134223758</v>
      </c>
      <c r="CN331" s="36">
        <f t="shared" si="308"/>
        <v>1.0172170388230707E-2</v>
      </c>
      <c r="CO331" s="173">
        <f t="shared" si="295"/>
        <v>1510.6849328899996</v>
      </c>
      <c r="CP331" s="9">
        <v>-631.1978481390471</v>
      </c>
      <c r="CQ331" s="129"/>
      <c r="CR331" s="36">
        <f t="shared" si="296"/>
        <v>0.6566660369142393</v>
      </c>
      <c r="CS331" s="17">
        <f t="shared" si="262"/>
        <v>0.47206475057878217</v>
      </c>
      <c r="CT331" s="9">
        <f t="shared" si="263"/>
        <v>5.8982904285612818</v>
      </c>
      <c r="CU331" s="9">
        <f t="shared" si="297"/>
        <v>138.92159538549151</v>
      </c>
      <c r="CV331" s="9">
        <v>10.199999999999999</v>
      </c>
      <c r="CW331" s="9">
        <f t="shared" si="298"/>
        <v>145.53818775131111</v>
      </c>
      <c r="CX331">
        <f t="shared" si="299"/>
        <v>17</v>
      </c>
      <c r="CY331" s="9">
        <f t="shared" si="264"/>
        <v>411.85288380979182</v>
      </c>
      <c r="CZ331" s="17">
        <f t="shared" si="300"/>
        <v>0.38780874181712982</v>
      </c>
      <c r="DA331">
        <v>45</v>
      </c>
      <c r="DB331" s="9">
        <f t="shared" si="301"/>
        <v>6.6462887320542805</v>
      </c>
      <c r="DC331" s="9">
        <f t="shared" si="302"/>
        <v>7.3029908228370761</v>
      </c>
    </row>
    <row r="332" spans="2:107" x14ac:dyDescent="0.25">
      <c r="B332" s="9">
        <f t="shared" si="303"/>
        <v>281</v>
      </c>
      <c r="C332" s="9">
        <v>134.52485519156829</v>
      </c>
      <c r="D332" s="9"/>
      <c r="E332" s="9">
        <f t="shared" si="265"/>
        <v>134.52485519156829</v>
      </c>
      <c r="F332" s="36">
        <f t="shared" si="304"/>
        <v>0</v>
      </c>
      <c r="G332" s="37">
        <f t="shared" si="310"/>
        <v>0</v>
      </c>
      <c r="H332" s="36" t="e">
        <f t="shared" si="250"/>
        <v>#DIV/0!</v>
      </c>
      <c r="I332" s="37" t="e">
        <f t="shared" si="266"/>
        <v>#DIV/0!</v>
      </c>
      <c r="J332" s="37" t="e">
        <f t="shared" si="267"/>
        <v>#DIV/0!</v>
      </c>
      <c r="K332" s="37" t="e">
        <f t="shared" si="268"/>
        <v>#DIV/0!</v>
      </c>
      <c r="L332" s="39" t="e">
        <f t="shared" si="251"/>
        <v>#DIV/0!</v>
      </c>
      <c r="M332" s="39" t="e">
        <f>M331+(1000*$C$2*(B332-B331))/(BerechnungenCLT!$W$47*2*'Berechnung freier Bereich'!G332)</f>
        <v>#DIV/0!</v>
      </c>
      <c r="N332" s="17" t="e">
        <f t="shared" si="269"/>
        <v>#DIV/0!</v>
      </c>
      <c r="O332" s="173">
        <f t="shared" si="270"/>
        <v>1485.9321046216601</v>
      </c>
      <c r="P332" s="173"/>
      <c r="Q332" s="173"/>
      <c r="R332" s="37" t="e">
        <f t="shared" si="252"/>
        <v>#DIV/0!</v>
      </c>
      <c r="S332" s="37" t="e">
        <f t="shared" si="253"/>
        <v>#DIV/0!</v>
      </c>
      <c r="T332" s="37" t="e">
        <f t="shared" si="254"/>
        <v>#DIV/0!</v>
      </c>
      <c r="U332" s="39" t="e">
        <f t="shared" si="255"/>
        <v>#DIV/0!</v>
      </c>
      <c r="V332" s="39" t="e">
        <f t="shared" si="271"/>
        <v>#DIV/0!</v>
      </c>
      <c r="W332" s="9" t="e">
        <f t="shared" si="272"/>
        <v>#DIV/0!</v>
      </c>
      <c r="AB332" s="129">
        <v>133.74151979170529</v>
      </c>
      <c r="AC332" s="9">
        <v>6.96875</v>
      </c>
      <c r="AD332" s="129">
        <f t="shared" si="273"/>
        <v>142.31094884686621</v>
      </c>
      <c r="AE332" s="36">
        <f t="shared" si="305"/>
        <v>1.2634042019758198E-2</v>
      </c>
      <c r="AF332" s="37">
        <f t="shared" si="274"/>
        <v>70860626.310417905</v>
      </c>
      <c r="AG332" s="36">
        <f t="shared" si="256"/>
        <v>1.9961509541421623</v>
      </c>
      <c r="AH332" s="37">
        <f t="shared" si="275"/>
        <v>-1.1110628085909111E-4</v>
      </c>
      <c r="AI332" s="37">
        <f t="shared" si="276"/>
        <v>-4.947141303372371E-2</v>
      </c>
      <c r="AJ332" s="37">
        <f t="shared" si="277"/>
        <v>-7.5557913334369395</v>
      </c>
      <c r="AK332" s="39">
        <f t="shared" si="278"/>
        <v>1.5811640251903666E-2</v>
      </c>
      <c r="AL332" s="39">
        <f>AL331+(1000*$C$2*($B332-$B331))/(BerechnungenCLT!$W$47*2*AF332)</f>
        <v>1.4243923595165237E-2</v>
      </c>
      <c r="AM332" s="37">
        <f t="shared" si="257"/>
        <v>2.0083219166515286E-6</v>
      </c>
      <c r="AN332" s="173">
        <f t="shared" si="279"/>
        <v>1411.4995803242055</v>
      </c>
      <c r="AO332" s="173">
        <v>-257.50633499693419</v>
      </c>
      <c r="AV332" s="129">
        <v>135.56230460779463</v>
      </c>
      <c r="AW332" s="9">
        <v>6.8125</v>
      </c>
      <c r="AX332" s="129">
        <f t="shared" si="280"/>
        <v>143.39991801115607</v>
      </c>
      <c r="AY332" s="36">
        <f t="shared" si="306"/>
        <v>1.1676912514757795E-2</v>
      </c>
      <c r="AZ332" s="37">
        <f t="shared" si="281"/>
        <v>66868655.038513206</v>
      </c>
      <c r="BA332" s="36">
        <f t="shared" si="258"/>
        <v>1.9968462817585519</v>
      </c>
      <c r="BB332" s="37">
        <f t="shared" si="282"/>
        <v>-1.1773918054971916E-4</v>
      </c>
      <c r="BC332" s="37">
        <f t="shared" si="283"/>
        <v>-4.5969900018142031E-2</v>
      </c>
      <c r="BD332" s="37">
        <f t="shared" si="284"/>
        <v>-6.9333644723369181</v>
      </c>
      <c r="BE332" s="39">
        <f t="shared" si="285"/>
        <v>1.6883788837530431E-2</v>
      </c>
      <c r="BF332" s="39">
        <f>BF331+(1000*$C$2*($B332-$B331))/(BerechnungenCLT!$W$47*2*AZ332)</f>
        <v>1.3231624431936964E-2</v>
      </c>
      <c r="BG332" s="37">
        <f t="shared" si="259"/>
        <v>2.1445013052612537E-6</v>
      </c>
      <c r="BH332" s="173">
        <f t="shared" si="286"/>
        <v>1382.2074664256995</v>
      </c>
      <c r="BI332">
        <v>-258.19743429762269</v>
      </c>
      <c r="BP332" s="129">
        <v>133.16656483149461</v>
      </c>
      <c r="BQ332" s="9">
        <v>7.03125</v>
      </c>
      <c r="BR332" s="129">
        <f t="shared" si="287"/>
        <v>141.10803655858169</v>
      </c>
      <c r="BS332" s="36">
        <f t="shared" si="307"/>
        <v>1.1632829980459726E-2</v>
      </c>
      <c r="BT332" s="37">
        <f t="shared" si="288"/>
        <v>64399367.24977769</v>
      </c>
      <c r="BU332" s="36">
        <f t="shared" si="260"/>
        <v>1.9966507704192027</v>
      </c>
      <c r="BV332" s="37">
        <f t="shared" si="289"/>
        <v>-1.2225369572592458E-4</v>
      </c>
      <c r="BW332" s="37">
        <f t="shared" si="290"/>
        <v>-5.2162338036595736E-2</v>
      </c>
      <c r="BX332" s="37">
        <f t="shared" si="291"/>
        <v>-7.8501762247664217</v>
      </c>
      <c r="BY332" s="39">
        <f t="shared" si="292"/>
        <v>1.7250978965915487E-2</v>
      </c>
      <c r="BZ332" s="39">
        <f>BZ331+(1000*$C$2*($B332-$B331))/(BerechnungenCLT!$W$47*2*BT332)</f>
        <v>1.5021879451931662E-2</v>
      </c>
      <c r="CA332" s="37">
        <f t="shared" si="261"/>
        <v>2.1911401087418106E-6</v>
      </c>
      <c r="CB332" s="173">
        <f t="shared" si="293"/>
        <v>1429.8577666585491</v>
      </c>
      <c r="CC332" s="9">
        <v>-258.09560440011182</v>
      </c>
      <c r="CJ332" s="9">
        <f t="shared" si="309"/>
        <v>281</v>
      </c>
      <c r="CK332" s="129">
        <v>131.01794709995195</v>
      </c>
      <c r="CL332" s="9">
        <v>4.5703125</v>
      </c>
      <c r="CM332" s="129">
        <f t="shared" si="294"/>
        <v>137.9211494560233</v>
      </c>
      <c r="CN332" s="36">
        <f t="shared" si="308"/>
        <v>9.9152424899929606E-3</v>
      </c>
      <c r="CO332" s="173">
        <f t="shared" si="295"/>
        <v>1487.1546746416789</v>
      </c>
      <c r="CP332" s="9">
        <v>-630.92586439132879</v>
      </c>
      <c r="CQ332" s="129"/>
      <c r="CR332" s="36">
        <f t="shared" si="296"/>
        <v>0.65337220130587459</v>
      </c>
      <c r="CS332" s="17">
        <f t="shared" si="262"/>
        <v>0.46969687467611343</v>
      </c>
      <c r="CT332" s="9">
        <f t="shared" si="263"/>
        <v>5.8382068262449414</v>
      </c>
      <c r="CU332" s="9">
        <f t="shared" si="297"/>
        <v>139.83623318392671</v>
      </c>
      <c r="CV332" s="9">
        <v>10.199999999999999</v>
      </c>
      <c r="CW332" s="9">
        <f t="shared" si="298"/>
        <v>146.42447871719426</v>
      </c>
      <c r="CX332">
        <f t="shared" si="299"/>
        <v>17</v>
      </c>
      <c r="CY332" s="9">
        <f t="shared" si="264"/>
        <v>408.17911105669975</v>
      </c>
      <c r="CZ332" s="17">
        <f t="shared" si="300"/>
        <v>0.38434944543945365</v>
      </c>
      <c r="DA332">
        <v>45</v>
      </c>
      <c r="DB332" s="9">
        <f t="shared" si="301"/>
        <v>6.5870031098992579</v>
      </c>
      <c r="DC332" s="9">
        <f t="shared" si="302"/>
        <v>7.2404082353017944</v>
      </c>
    </row>
    <row r="333" spans="2:107" x14ac:dyDescent="0.25">
      <c r="B333" s="9">
        <f t="shared" si="303"/>
        <v>282</v>
      </c>
      <c r="C333" s="9">
        <v>134.99885441286446</v>
      </c>
      <c r="D333" s="9"/>
      <c r="E333" s="9">
        <f t="shared" si="265"/>
        <v>134.99885441286446</v>
      </c>
      <c r="F333" s="36">
        <f t="shared" si="304"/>
        <v>0</v>
      </c>
      <c r="G333" s="37">
        <f t="shared" si="310"/>
        <v>0</v>
      </c>
      <c r="H333" s="36" t="e">
        <f t="shared" si="250"/>
        <v>#DIV/0!</v>
      </c>
      <c r="I333" s="37" t="e">
        <f t="shared" si="266"/>
        <v>#DIV/0!</v>
      </c>
      <c r="J333" s="37" t="e">
        <f t="shared" si="267"/>
        <v>#DIV/0!</v>
      </c>
      <c r="K333" s="37" t="e">
        <f t="shared" si="268"/>
        <v>#DIV/0!</v>
      </c>
      <c r="L333" s="39" t="e">
        <f t="shared" si="251"/>
        <v>#DIV/0!</v>
      </c>
      <c r="M333" s="39" t="e">
        <f>M332+(1000*$C$2*(B333-B332))/(BerechnungenCLT!$W$47*2*'Berechnung freier Bereich'!G333)</f>
        <v>#DIV/0!</v>
      </c>
      <c r="N333" s="17" t="e">
        <f t="shared" si="269"/>
        <v>#DIV/0!</v>
      </c>
      <c r="O333" s="173">
        <f t="shared" si="270"/>
        <v>1475.5158064466543</v>
      </c>
      <c r="P333" s="173"/>
      <c r="Q333" s="173"/>
      <c r="R333" s="37" t="e">
        <f t="shared" si="252"/>
        <v>#DIV/0!</v>
      </c>
      <c r="S333" s="37" t="e">
        <f t="shared" si="253"/>
        <v>#DIV/0!</v>
      </c>
      <c r="T333" s="37" t="e">
        <f t="shared" si="254"/>
        <v>#DIV/0!</v>
      </c>
      <c r="U333" s="39" t="e">
        <f t="shared" si="255"/>
        <v>#DIV/0!</v>
      </c>
      <c r="V333" s="39" t="e">
        <f t="shared" si="271"/>
        <v>#DIV/0!</v>
      </c>
      <c r="W333" s="9" t="e">
        <f t="shared" si="272"/>
        <v>#DIV/0!</v>
      </c>
      <c r="AB333" s="129">
        <v>134.45716424122563</v>
      </c>
      <c r="AC333" s="9">
        <v>6.875</v>
      </c>
      <c r="AD333" s="129">
        <f t="shared" si="273"/>
        <v>142.88789022252249</v>
      </c>
      <c r="AE333" s="36">
        <f t="shared" si="305"/>
        <v>1.248774995217327E-2</v>
      </c>
      <c r="AF333" s="37">
        <f t="shared" si="274"/>
        <v>70694765.213458598</v>
      </c>
      <c r="AG333" s="36">
        <f t="shared" si="256"/>
        <v>1.9963089710170985</v>
      </c>
      <c r="AH333" s="37">
        <f t="shared" si="275"/>
        <v>-1.1136695376134512E-4</v>
      </c>
      <c r="AI333" s="37">
        <f t="shared" si="276"/>
        <v>-4.9582779987485052E-2</v>
      </c>
      <c r="AJ333" s="37">
        <f t="shared" si="277"/>
        <v>-7.6053184299475438</v>
      </c>
      <c r="AK333" s="39">
        <f t="shared" si="278"/>
        <v>1.591298906346782E-2</v>
      </c>
      <c r="AL333" s="39">
        <f>AL332+(1000*$C$2*($B333-$B332))/(BerechnungenCLT!$W$47*2*AF333)</f>
        <v>1.4276120172182606E-2</v>
      </c>
      <c r="AM333" s="37">
        <f t="shared" si="257"/>
        <v>2.021194777167462E-6</v>
      </c>
      <c r="AN333" s="173">
        <f t="shared" si="279"/>
        <v>1398.3734563665641</v>
      </c>
      <c r="AO333" s="173">
        <v>-258.42843785547018</v>
      </c>
      <c r="AV333" s="129">
        <v>136.13115745210501</v>
      </c>
      <c r="AW333" s="9">
        <v>6.75</v>
      </c>
      <c r="AX333" s="129">
        <f t="shared" si="280"/>
        <v>143.87104192062245</v>
      </c>
      <c r="AY333" s="36">
        <f t="shared" si="306"/>
        <v>1.1574299466782611E-2</v>
      </c>
      <c r="AZ333" s="37">
        <f t="shared" si="281"/>
        <v>66774463.347503662</v>
      </c>
      <c r="BA333" s="36">
        <f t="shared" si="258"/>
        <v>1.9969471285175207</v>
      </c>
      <c r="BB333" s="37">
        <f t="shared" si="282"/>
        <v>-1.179052627907151E-4</v>
      </c>
      <c r="BC333" s="37">
        <f t="shared" si="283"/>
        <v>-4.6087805280932745E-2</v>
      </c>
      <c r="BD333" s="37">
        <f t="shared" si="284"/>
        <v>-6.9793933249864555</v>
      </c>
      <c r="BE333" s="39">
        <f t="shared" si="285"/>
        <v>1.6963153005624978E-2</v>
      </c>
      <c r="BF333" s="39">
        <f>BF332+(1000*$C$2*($B333-$B332))/(BerechnungenCLT!$W$47*2*AZ333)</f>
        <v>1.3265711257031682E-2</v>
      </c>
      <c r="BG333" s="37">
        <f t="shared" si="259"/>
        <v>2.1545817773464894E-6</v>
      </c>
      <c r="BH333" s="173">
        <f t="shared" si="286"/>
        <v>1371.959017359851</v>
      </c>
      <c r="BI333">
        <v>-258.52710350244178</v>
      </c>
      <c r="BP333" s="129">
        <v>133.69160367635942</v>
      </c>
      <c r="BQ333" s="9">
        <v>6.96875</v>
      </c>
      <c r="BR333" s="129">
        <f t="shared" si="287"/>
        <v>141.49941217372577</v>
      </c>
      <c r="BS333" s="36">
        <f t="shared" si="307"/>
        <v>1.1475251121202538E-2</v>
      </c>
      <c r="BT333" s="37">
        <f t="shared" si="288"/>
        <v>63950103.875954114</v>
      </c>
      <c r="BU333" s="36">
        <f t="shared" si="260"/>
        <v>1.9967839289327234</v>
      </c>
      <c r="BV333" s="37">
        <f t="shared" si="289"/>
        <v>-1.2311255449980191E-4</v>
      </c>
      <c r="BW333" s="37">
        <f t="shared" si="290"/>
        <v>-5.2285450591095538E-2</v>
      </c>
      <c r="BX333" s="37">
        <f t="shared" si="291"/>
        <v>-7.9024001190802675</v>
      </c>
      <c r="BY333" s="39">
        <f t="shared" si="292"/>
        <v>1.7420354092927748E-2</v>
      </c>
      <c r="BZ333" s="39">
        <f>BZ332+(1000*$C$2*($B333-$B332))/(BerechnungenCLT!$W$47*2*BT333)</f>
        <v>1.5057471723327109E-2</v>
      </c>
      <c r="CA333" s="37">
        <f t="shared" si="261"/>
        <v>2.2126533593783729E-6</v>
      </c>
      <c r="CB333" s="173">
        <f t="shared" si="293"/>
        <v>1420.3504755754002</v>
      </c>
      <c r="CC333" s="9">
        <v>-258.67886430233989</v>
      </c>
      <c r="CJ333" s="9">
        <f t="shared" si="309"/>
        <v>282</v>
      </c>
      <c r="CK333" s="129">
        <v>132.1499550113669</v>
      </c>
      <c r="CL333" s="9">
        <v>4.5078125</v>
      </c>
      <c r="CM333" s="129">
        <f t="shared" si="294"/>
        <v>138.82551573838421</v>
      </c>
      <c r="CN333" s="36">
        <f t="shared" si="308"/>
        <v>9.6608763703680076E-3</v>
      </c>
      <c r="CO333" s="173">
        <f t="shared" si="295"/>
        <v>1464.886797747786</v>
      </c>
      <c r="CP333" s="9">
        <v>-630.09539945032145</v>
      </c>
      <c r="CQ333" s="129"/>
      <c r="CR333" s="36">
        <f t="shared" si="296"/>
        <v>0.65021044393044591</v>
      </c>
      <c r="CS333" s="17">
        <f t="shared" si="262"/>
        <v>0.46742394730829023</v>
      </c>
      <c r="CT333" s="9">
        <f t="shared" si="263"/>
        <v>5.786369131438871</v>
      </c>
      <c r="CU333" s="9">
        <f t="shared" si="297"/>
        <v>140.71891357516222</v>
      </c>
      <c r="CV333" s="9">
        <v>10.199999999999999</v>
      </c>
      <c r="CW333" s="9">
        <f t="shared" si="298"/>
        <v>147.25500195277729</v>
      </c>
      <c r="CX333">
        <f t="shared" si="299"/>
        <v>17</v>
      </c>
      <c r="CY333" s="9">
        <f t="shared" si="264"/>
        <v>404.68261358947956</v>
      </c>
      <c r="CZ333" s="17">
        <f t="shared" si="300"/>
        <v>0.38105707494301277</v>
      </c>
      <c r="DA333">
        <v>45</v>
      </c>
      <c r="DB333" s="9">
        <f t="shared" si="301"/>
        <v>6.5305782731879676</v>
      </c>
      <c r="DC333" s="9">
        <f t="shared" si="302"/>
        <v>7.1808170316728717</v>
      </c>
    </row>
    <row r="334" spans="2:107" x14ac:dyDescent="0.25">
      <c r="B334" s="9">
        <f t="shared" si="303"/>
        <v>283</v>
      </c>
      <c r="C334" s="9">
        <v>135.46743770221761</v>
      </c>
      <c r="D334" s="9"/>
      <c r="E334" s="9">
        <f t="shared" si="265"/>
        <v>135.46743770221761</v>
      </c>
      <c r="F334" s="36">
        <f t="shared" si="304"/>
        <v>0</v>
      </c>
      <c r="G334" s="37">
        <f t="shared" si="310"/>
        <v>0</v>
      </c>
      <c r="H334" s="36" t="e">
        <f t="shared" si="250"/>
        <v>#DIV/0!</v>
      </c>
      <c r="I334" s="37" t="e">
        <f t="shared" si="266"/>
        <v>#DIV/0!</v>
      </c>
      <c r="J334" s="37" t="e">
        <f t="shared" si="267"/>
        <v>#DIV/0!</v>
      </c>
      <c r="K334" s="37" t="e">
        <f t="shared" si="268"/>
        <v>#DIV/0!</v>
      </c>
      <c r="L334" s="39" t="e">
        <f t="shared" si="251"/>
        <v>#DIV/0!</v>
      </c>
      <c r="M334" s="39" t="e">
        <f>M333+(1000*$C$2*(B334-B333))/(BerechnungenCLT!$W$47*2*'Berechnung freier Bereich'!G334)</f>
        <v>#DIV/0!</v>
      </c>
      <c r="N334" s="17" t="e">
        <f t="shared" si="269"/>
        <v>#DIV/0!</v>
      </c>
      <c r="O334" s="173">
        <f t="shared" si="270"/>
        <v>1465.3258112963917</v>
      </c>
      <c r="P334" s="173"/>
      <c r="Q334" s="173"/>
      <c r="R334" s="37" t="e">
        <f t="shared" si="252"/>
        <v>#DIV/0!</v>
      </c>
      <c r="S334" s="37" t="e">
        <f t="shared" si="253"/>
        <v>#DIV/0!</v>
      </c>
      <c r="T334" s="37" t="e">
        <f t="shared" si="254"/>
        <v>#DIV/0!</v>
      </c>
      <c r="U334" s="39" t="e">
        <f t="shared" si="255"/>
        <v>#DIV/0!</v>
      </c>
      <c r="V334" s="39" t="e">
        <f t="shared" si="271"/>
        <v>#DIV/0!</v>
      </c>
      <c r="W334" s="9" t="e">
        <f t="shared" si="272"/>
        <v>#DIV/0!</v>
      </c>
      <c r="AB334" s="129">
        <v>135.16693943473334</v>
      </c>
      <c r="AC334" s="9">
        <v>6.8125</v>
      </c>
      <c r="AD334" s="129">
        <f t="shared" si="273"/>
        <v>143.48341074796994</v>
      </c>
      <c r="AE334" s="36">
        <f t="shared" si="305"/>
        <v>1.2376489594940046E-2</v>
      </c>
      <c r="AF334" s="37">
        <f t="shared" si="274"/>
        <v>70723612.747977167</v>
      </c>
      <c r="AG334" s="36">
        <f t="shared" si="256"/>
        <v>1.9964417290259098</v>
      </c>
      <c r="AH334" s="37">
        <f t="shared" si="275"/>
        <v>-1.1132152816842035E-4</v>
      </c>
      <c r="AI334" s="37">
        <f t="shared" si="276"/>
        <v>-4.9694101515653476E-2</v>
      </c>
      <c r="AJ334" s="37">
        <f t="shared" si="277"/>
        <v>-7.6549568706991131</v>
      </c>
      <c r="AK334" s="39">
        <f t="shared" si="278"/>
        <v>1.5972792551281163E-2</v>
      </c>
      <c r="AL334" s="39">
        <f>AL333+(1000*$C$2*($B334-$B333))/(BerechnungenCLT!$W$47*2*AF334)</f>
        <v>1.4308303616501704E-2</v>
      </c>
      <c r="AM334" s="37">
        <f t="shared" si="257"/>
        <v>2.028790741492117E-6</v>
      </c>
      <c r="AN334" s="173">
        <f t="shared" si="279"/>
        <v>1385.3032001520578</v>
      </c>
      <c r="AO334" s="173">
        <v>-258.20492986565262</v>
      </c>
      <c r="AV334" s="129">
        <v>136.69223248501916</v>
      </c>
      <c r="AW334" s="9">
        <v>6.6875</v>
      </c>
      <c r="AX334" s="129">
        <f t="shared" si="280"/>
        <v>144.32700255559257</v>
      </c>
      <c r="AY334" s="36">
        <f t="shared" si="306"/>
        <v>1.1458580065269999E-2</v>
      </c>
      <c r="AZ334" s="37">
        <f t="shared" si="281"/>
        <v>66586230.179606088</v>
      </c>
      <c r="BA334" s="36">
        <f t="shared" si="258"/>
        <v>1.9970508341647741</v>
      </c>
      <c r="BB334" s="37">
        <f t="shared" si="282"/>
        <v>-1.182385701587254E-4</v>
      </c>
      <c r="BC334" s="37">
        <f t="shared" si="283"/>
        <v>-4.620604385109147E-2</v>
      </c>
      <c r="BD334" s="37">
        <f t="shared" si="284"/>
        <v>-7.0255402495524679</v>
      </c>
      <c r="BE334" s="39">
        <f t="shared" si="285"/>
        <v>1.7065018417467971E-2</v>
      </c>
      <c r="BF334" s="39">
        <f>BF333+(1000*$C$2*($B334-$B333))/(BerechnungenCLT!$W$47*2*AZ334)</f>
        <v>1.3299894442455761E-2</v>
      </c>
      <c r="BG334" s="37">
        <f t="shared" si="259"/>
        <v>2.1675202540569236E-6</v>
      </c>
      <c r="BH334" s="173">
        <f t="shared" si="286"/>
        <v>1362.0464835345297</v>
      </c>
      <c r="BI334">
        <v>-258.92884993197657</v>
      </c>
      <c r="BP334" s="129">
        <v>134.19687876154325</v>
      </c>
      <c r="BQ334" s="9">
        <v>6.9375</v>
      </c>
      <c r="BR334" s="129">
        <f t="shared" si="287"/>
        <v>141.90657347923474</v>
      </c>
      <c r="BS334" s="36">
        <f t="shared" si="307"/>
        <v>1.1368621627672741E-2</v>
      </c>
      <c r="BT334" s="37">
        <f t="shared" si="288"/>
        <v>63775088.170903176</v>
      </c>
      <c r="BU334" s="36">
        <f t="shared" si="260"/>
        <v>1.9968848211987034</v>
      </c>
      <c r="BV334" s="37">
        <f t="shared" si="289"/>
        <v>-1.2345040790219414E-4</v>
      </c>
      <c r="BW334" s="37">
        <f t="shared" si="290"/>
        <v>-5.2408900998997733E-2</v>
      </c>
      <c r="BX334" s="37">
        <f t="shared" si="291"/>
        <v>-7.9547472948753137</v>
      </c>
      <c r="BY334" s="39">
        <f t="shared" si="292"/>
        <v>1.7518424380014212E-2</v>
      </c>
      <c r="BZ334" s="39">
        <f>BZ333+(1000*$C$2*($B334-$B333))/(BerechnungenCLT!$W$47*2*BT334)</f>
        <v>1.5093161669326406E-2</v>
      </c>
      <c r="CA334" s="37">
        <f t="shared" si="261"/>
        <v>2.2251097967745088E-6</v>
      </c>
      <c r="CB334" s="173">
        <f t="shared" si="293"/>
        <v>1410.9783504129107</v>
      </c>
      <c r="CC334" s="9">
        <v>-258.12951373103937</v>
      </c>
      <c r="CJ334" s="9">
        <f t="shared" si="309"/>
        <v>283</v>
      </c>
      <c r="CK334" s="129">
        <v>133.24221238653465</v>
      </c>
      <c r="CL334" s="9">
        <v>4.4375</v>
      </c>
      <c r="CM334" s="129">
        <f t="shared" si="294"/>
        <v>139.67479714038635</v>
      </c>
      <c r="CN334" s="36">
        <f t="shared" si="308"/>
        <v>9.3759420623562694E-3</v>
      </c>
      <c r="CO334" s="173">
        <f t="shared" si="295"/>
        <v>1444.1184484020132</v>
      </c>
      <c r="CP334" s="9">
        <v>-631.00461744170025</v>
      </c>
      <c r="CQ334" s="129"/>
      <c r="CR334" s="36">
        <f t="shared" si="296"/>
        <v>0.64726572047837339</v>
      </c>
      <c r="CS334" s="17">
        <f t="shared" si="262"/>
        <v>0.46530704150871766</v>
      </c>
      <c r="CT334" s="9">
        <f t="shared" si="263"/>
        <v>5.7220281716929859</v>
      </c>
      <c r="CU334" s="9">
        <f t="shared" si="297"/>
        <v>141.53684476475263</v>
      </c>
      <c r="CV334" s="9">
        <v>10.199999999999999</v>
      </c>
      <c r="CW334" s="9">
        <f t="shared" si="298"/>
        <v>148.02809734186701</v>
      </c>
      <c r="CX334">
        <f t="shared" si="299"/>
        <v>17</v>
      </c>
      <c r="CY334" s="9">
        <f t="shared" si="264"/>
        <v>401.36521468579747</v>
      </c>
      <c r="CZ334" s="17">
        <f t="shared" si="300"/>
        <v>0.37793334716176791</v>
      </c>
      <c r="DA334">
        <v>45</v>
      </c>
      <c r="DB334" s="9">
        <f t="shared" si="301"/>
        <v>6.4770436451204985</v>
      </c>
      <c r="DC334" s="9">
        <f t="shared" si="302"/>
        <v>7.1243348291305892</v>
      </c>
    </row>
    <row r="335" spans="2:107" x14ac:dyDescent="0.25">
      <c r="B335" s="9">
        <f t="shared" si="303"/>
        <v>284</v>
      </c>
      <c r="C335" s="9">
        <v>135.92922047832636</v>
      </c>
      <c r="D335" s="9"/>
      <c r="E335" s="9">
        <f t="shared" si="265"/>
        <v>135.92922047832636</v>
      </c>
      <c r="F335" s="36">
        <f t="shared" si="304"/>
        <v>0</v>
      </c>
      <c r="G335" s="37">
        <f t="shared" si="310"/>
        <v>0</v>
      </c>
      <c r="H335" s="36" t="e">
        <f t="shared" si="250"/>
        <v>#DIV/0!</v>
      </c>
      <c r="I335" s="37" t="e">
        <f t="shared" si="266"/>
        <v>#DIV/0!</v>
      </c>
      <c r="J335" s="37" t="e">
        <f t="shared" si="267"/>
        <v>#DIV/0!</v>
      </c>
      <c r="K335" s="37" t="e">
        <f t="shared" si="268"/>
        <v>#DIV/0!</v>
      </c>
      <c r="L335" s="39" t="e">
        <f t="shared" si="251"/>
        <v>#DIV/0!</v>
      </c>
      <c r="M335" s="39" t="e">
        <f>M334+(1000*$C$2*(B335-B334))/(BerechnungenCLT!$W$47*2*'Berechnung freier Bereich'!G335)</f>
        <v>#DIV/0!</v>
      </c>
      <c r="N335" s="17" t="e">
        <f t="shared" si="269"/>
        <v>#DIV/0!</v>
      </c>
      <c r="O335" s="173">
        <f t="shared" si="270"/>
        <v>1455.3866263265677</v>
      </c>
      <c r="P335" s="173"/>
      <c r="Q335" s="173"/>
      <c r="R335" s="37" t="e">
        <f t="shared" si="252"/>
        <v>#DIV/0!</v>
      </c>
      <c r="S335" s="37" t="e">
        <f t="shared" si="253"/>
        <v>#DIV/0!</v>
      </c>
      <c r="T335" s="37" t="e">
        <f t="shared" si="254"/>
        <v>#DIV/0!</v>
      </c>
      <c r="U335" s="39" t="e">
        <f t="shared" si="255"/>
        <v>#DIV/0!</v>
      </c>
      <c r="V335" s="39" t="e">
        <f t="shared" si="271"/>
        <v>#DIV/0!</v>
      </c>
      <c r="W335" s="9" t="e">
        <f t="shared" si="272"/>
        <v>#DIV/0!</v>
      </c>
      <c r="AB335" s="129">
        <v>135.86713275074746</v>
      </c>
      <c r="AC335" s="9">
        <v>6.75</v>
      </c>
      <c r="AD335" s="129">
        <f t="shared" si="273"/>
        <v>144.05616527508988</v>
      </c>
      <c r="AE335" s="36">
        <f t="shared" si="305"/>
        <v>1.2242509124906872E-2</v>
      </c>
      <c r="AF335" s="37">
        <f t="shared" si="274"/>
        <v>70596170.544043183</v>
      </c>
      <c r="AG335" s="36">
        <f t="shared" si="256"/>
        <v>1.9965810728578177</v>
      </c>
      <c r="AH335" s="37">
        <f t="shared" si="275"/>
        <v>-1.1152248893988644E-4</v>
      </c>
      <c r="AI335" s="37">
        <f t="shared" si="276"/>
        <v>-4.980562400459336E-2</v>
      </c>
      <c r="AJ335" s="37">
        <f t="shared" si="277"/>
        <v>-7.7047067334592363</v>
      </c>
      <c r="AK335" s="39">
        <f t="shared" si="278"/>
        <v>1.6065502098613665E-2</v>
      </c>
      <c r="AL335" s="39">
        <f>AL334+(1000*$C$2*($B335-$B334))/(BerechnungenCLT!$W$47*2*AF335)</f>
        <v>1.4340545159284819E-2</v>
      </c>
      <c r="AM335" s="37">
        <f t="shared" si="257"/>
        <v>2.0405662823483727E-6</v>
      </c>
      <c r="AN335" s="173">
        <f t="shared" si="279"/>
        <v>1372.7325483315142</v>
      </c>
      <c r="AO335" s="173">
        <v>-258.08549323873393</v>
      </c>
      <c r="AV335" s="129">
        <v>137.2430136017727</v>
      </c>
      <c r="AW335" s="9">
        <v>6.65625</v>
      </c>
      <c r="AX335" s="129">
        <f t="shared" si="280"/>
        <v>144.80133979100967</v>
      </c>
      <c r="AY335" s="36">
        <f t="shared" si="306"/>
        <v>1.1385230669917442E-2</v>
      </c>
      <c r="AZ335" s="37">
        <f t="shared" si="281"/>
        <v>66642230.155919187</v>
      </c>
      <c r="BA335" s="36">
        <f t="shared" si="258"/>
        <v>1.9971304830455765</v>
      </c>
      <c r="BB335" s="37">
        <f t="shared" si="282"/>
        <v>-1.1813921338280881E-4</v>
      </c>
      <c r="BC335" s="37">
        <f t="shared" si="283"/>
        <v>-4.6324183064474278E-2</v>
      </c>
      <c r="BD335" s="37">
        <f t="shared" si="284"/>
        <v>-7.0718053630102506</v>
      </c>
      <c r="BE335" s="39">
        <f t="shared" si="285"/>
        <v>1.7106716379686696E-2</v>
      </c>
      <c r="BF335" s="39">
        <f>BF334+(1000*$C$2*($B335-$B334))/(BerechnungenCLT!$W$47*2*AZ335)</f>
        <v>1.3334048903487371E-2</v>
      </c>
      <c r="BG335" s="37">
        <f t="shared" si="259"/>
        <v>2.1728165376852767E-6</v>
      </c>
      <c r="BH335" s="173">
        <f t="shared" si="286"/>
        <v>1352.1634888285671</v>
      </c>
      <c r="BI335">
        <v>-258.13097413652764</v>
      </c>
      <c r="BP335" s="129">
        <v>134.68165089236004</v>
      </c>
      <c r="BQ335" s="9">
        <v>6.875</v>
      </c>
      <c r="BR335" s="129">
        <f t="shared" si="287"/>
        <v>142.25932330985739</v>
      </c>
      <c r="BS335" s="36">
        <f t="shared" si="307"/>
        <v>1.1207837781287077E-2</v>
      </c>
      <c r="BT335" s="37">
        <f t="shared" si="288"/>
        <v>63253183.175818428</v>
      </c>
      <c r="BU335" s="36">
        <f t="shared" si="260"/>
        <v>1.9970086329599259</v>
      </c>
      <c r="BV335" s="37">
        <f t="shared" si="289"/>
        <v>-1.2446900303519031E-4</v>
      </c>
      <c r="BW335" s="37">
        <f t="shared" si="290"/>
        <v>-5.2533370002032925E-2</v>
      </c>
      <c r="BX335" s="37">
        <f t="shared" si="291"/>
        <v>-8.0072184303758291</v>
      </c>
      <c r="BY335" s="39">
        <f t="shared" si="292"/>
        <v>1.7706876144838759E-2</v>
      </c>
      <c r="BZ335" s="39">
        <f>BZ334+(1000*$C$2*($B335-$B334))/(BerechnungenCLT!$W$47*2*BT335)</f>
        <v>1.5129146094751971E-2</v>
      </c>
      <c r="CA335" s="37">
        <f t="shared" si="261"/>
        <v>2.2490460743206181E-6</v>
      </c>
      <c r="CB335" s="173">
        <f t="shared" si="293"/>
        <v>1402.4571232573235</v>
      </c>
      <c r="CC335" s="9">
        <v>-258.90306951363095</v>
      </c>
      <c r="CJ335" s="9">
        <f t="shared" si="309"/>
        <v>284</v>
      </c>
      <c r="CK335" s="129">
        <v>134.29165519063613</v>
      </c>
      <c r="CL335" s="9">
        <v>4.375</v>
      </c>
      <c r="CM335" s="129">
        <f t="shared" si="294"/>
        <v>140.48987550908802</v>
      </c>
      <c r="CN335" s="36">
        <f t="shared" si="308"/>
        <v>9.0960605343856915E-3</v>
      </c>
      <c r="CO335" s="173">
        <f t="shared" si="295"/>
        <v>1424.5869014519199</v>
      </c>
      <c r="CP335" s="9">
        <v>-631.36278128516585</v>
      </c>
      <c r="CQ335" s="129"/>
      <c r="CR335" s="36">
        <f t="shared" si="296"/>
        <v>0.64446166674051564</v>
      </c>
      <c r="CS335" s="17">
        <f t="shared" si="262"/>
        <v>0.46329126049681768</v>
      </c>
      <c r="CT335" s="9">
        <f t="shared" si="263"/>
        <v>5.66598212361062</v>
      </c>
      <c r="CU335" s="9">
        <f t="shared" si="297"/>
        <v>142.31885645293292</v>
      </c>
      <c r="CV335" s="9">
        <v>10.199999999999999</v>
      </c>
      <c r="CW335" s="9">
        <f t="shared" si="298"/>
        <v>148.74236313308396</v>
      </c>
      <c r="CX335">
        <f t="shared" si="299"/>
        <v>17</v>
      </c>
      <c r="CY335" s="9">
        <f t="shared" si="264"/>
        <v>398.22868445411092</v>
      </c>
      <c r="CZ335" s="17">
        <f t="shared" si="300"/>
        <v>0.37497992886451131</v>
      </c>
      <c r="DA335">
        <v>45</v>
      </c>
      <c r="DB335" s="9">
        <f t="shared" si="301"/>
        <v>6.4264277908771819</v>
      </c>
      <c r="DC335" s="9">
        <f t="shared" si="302"/>
        <v>7.0709127747136487</v>
      </c>
    </row>
    <row r="336" spans="2:107" x14ac:dyDescent="0.25">
      <c r="B336" s="9">
        <f t="shared" si="303"/>
        <v>285</v>
      </c>
      <c r="C336" s="9">
        <v>136.38281815988947</v>
      </c>
      <c r="D336" s="9"/>
      <c r="E336" s="9">
        <f t="shared" si="265"/>
        <v>136.38281815988947</v>
      </c>
      <c r="F336" s="36">
        <f t="shared" si="304"/>
        <v>0</v>
      </c>
      <c r="G336" s="37">
        <f t="shared" si="310"/>
        <v>0</v>
      </c>
      <c r="H336" s="36" t="e">
        <f t="shared" si="250"/>
        <v>#DIV/0!</v>
      </c>
      <c r="I336" s="37" t="e">
        <f t="shared" si="266"/>
        <v>#DIV/0!</v>
      </c>
      <c r="J336" s="37" t="e">
        <f t="shared" si="267"/>
        <v>#DIV/0!</v>
      </c>
      <c r="K336" s="37" t="e">
        <f t="shared" si="268"/>
        <v>#DIV/0!</v>
      </c>
      <c r="L336" s="39" t="e">
        <f t="shared" si="251"/>
        <v>#DIV/0!</v>
      </c>
      <c r="M336" s="39" t="e">
        <f>M335+(1000*$C$2*(B336-B335))/(BerechnungenCLT!$W$47*2*'Berechnung freier Bereich'!G336)</f>
        <v>#DIV/0!</v>
      </c>
      <c r="N336" s="17" t="e">
        <f t="shared" si="269"/>
        <v>#DIV/0!</v>
      </c>
      <c r="O336" s="173">
        <f t="shared" si="270"/>
        <v>1445.7217405249837</v>
      </c>
      <c r="P336" s="173"/>
      <c r="Q336" s="173"/>
      <c r="R336" s="37" t="e">
        <f t="shared" si="252"/>
        <v>#DIV/0!</v>
      </c>
      <c r="S336" s="37" t="e">
        <f t="shared" si="253"/>
        <v>#DIV/0!</v>
      </c>
      <c r="T336" s="37" t="e">
        <f t="shared" si="254"/>
        <v>#DIV/0!</v>
      </c>
      <c r="U336" s="39" t="e">
        <f t="shared" si="255"/>
        <v>#DIV/0!</v>
      </c>
      <c r="V336" s="39" t="e">
        <f t="shared" si="271"/>
        <v>#DIV/0!</v>
      </c>
      <c r="W336" s="9" t="e">
        <f t="shared" si="272"/>
        <v>#DIV/0!</v>
      </c>
      <c r="AB336" s="129">
        <v>136.55403156778692</v>
      </c>
      <c r="AC336" s="9">
        <v>6.6875</v>
      </c>
      <c r="AD336" s="129">
        <f t="shared" si="273"/>
        <v>144.60338972351266</v>
      </c>
      <c r="AE336" s="36">
        <f t="shared" si="305"/>
        <v>1.2086751610888595E-2</v>
      </c>
      <c r="AF336" s="37">
        <f t="shared" si="274"/>
        <v>70311378.269867167</v>
      </c>
      <c r="AG336" s="36">
        <f t="shared" si="256"/>
        <v>1.9967254645300905</v>
      </c>
      <c r="AH336" s="37">
        <f t="shared" si="275"/>
        <v>-1.119742044947296E-4</v>
      </c>
      <c r="AI336" s="37">
        <f t="shared" si="276"/>
        <v>-4.9917598209088088E-2</v>
      </c>
      <c r="AJ336" s="37">
        <f t="shared" si="277"/>
        <v>-7.7545683445660769</v>
      </c>
      <c r="AK336" s="39">
        <f t="shared" si="278"/>
        <v>1.6191849531531688E-2</v>
      </c>
      <c r="AL336" s="39">
        <f>AL335+(1000*$C$2*($B336-$B335))/(BerechnungenCLT!$W$47*2*AF336)</f>
        <v>1.4372917294619498E-2</v>
      </c>
      <c r="AM336" s="37">
        <f t="shared" si="257"/>
        <v>2.056614352921656E-6</v>
      </c>
      <c r="AN336" s="173">
        <f t="shared" si="279"/>
        <v>1360.7079462643433</v>
      </c>
      <c r="AO336" s="173">
        <v>-258.08567429808517</v>
      </c>
      <c r="AV336" s="129">
        <v>137.78098469760127</v>
      </c>
      <c r="AW336" s="9">
        <v>6.59375</v>
      </c>
      <c r="AX336" s="129">
        <f t="shared" si="280"/>
        <v>145.22099588390529</v>
      </c>
      <c r="AY336" s="36">
        <f t="shared" si="306"/>
        <v>1.1245062084237884E-2</v>
      </c>
      <c r="AZ336" s="37">
        <f t="shared" si="281"/>
        <v>66267708.798991635</v>
      </c>
      <c r="BA336" s="36">
        <f t="shared" si="258"/>
        <v>1.9972382894421341</v>
      </c>
      <c r="BB336" s="37">
        <f t="shared" si="282"/>
        <v>-1.1880689390631526E-4</v>
      </c>
      <c r="BC336" s="37">
        <f t="shared" si="283"/>
        <v>-4.6442989958380594E-2</v>
      </c>
      <c r="BD336" s="37">
        <f t="shared" si="284"/>
        <v>-7.1181889495216781</v>
      </c>
      <c r="BE336" s="39">
        <f t="shared" si="285"/>
        <v>1.7253255450948583E-2</v>
      </c>
      <c r="BF336" s="39">
        <f>BF335+(1000*$C$2*($B336-$B335))/(BerechnungenCLT!$W$47*2*AZ336)</f>
        <v>1.3368396393300608E-2</v>
      </c>
      <c r="BG336" s="37">
        <f t="shared" si="259"/>
        <v>2.1914292574140581E-6</v>
      </c>
      <c r="BH336" s="173">
        <f t="shared" si="286"/>
        <v>1343.028021167464</v>
      </c>
      <c r="BI336">
        <v>-258.69939803587721</v>
      </c>
      <c r="BP336" s="129">
        <v>135.14518087412381</v>
      </c>
      <c r="BQ336" s="9">
        <v>6.875</v>
      </c>
      <c r="BR336" s="129">
        <f t="shared" si="287"/>
        <v>142.66055026085576</v>
      </c>
      <c r="BS336" s="36">
        <f t="shared" si="307"/>
        <v>1.1150396900467393E-2</v>
      </c>
      <c r="BT336" s="37">
        <f t="shared" si="288"/>
        <v>63321550.344460897</v>
      </c>
      <c r="BU336" s="36">
        <f t="shared" si="260"/>
        <v>1.997075836161686</v>
      </c>
      <c r="BV336" s="37">
        <f t="shared" si="289"/>
        <v>-1.2433461603305636E-4</v>
      </c>
      <c r="BW336" s="37">
        <f t="shared" si="290"/>
        <v>-5.265770461806598E-2</v>
      </c>
      <c r="BX336" s="37">
        <f t="shared" si="291"/>
        <v>-8.0598139676858782</v>
      </c>
      <c r="BY336" s="39">
        <f t="shared" si="292"/>
        <v>1.7737644739748037E-2</v>
      </c>
      <c r="BZ336" s="39">
        <f>BZ335+(1000*$C$2*($B336-$B335))/(BerechnungenCLT!$W$47*2*BT336)</f>
        <v>1.516509166842378E-2</v>
      </c>
      <c r="CA336" s="37">
        <f t="shared" si="261"/>
        <v>2.2529541599155601E-6</v>
      </c>
      <c r="CB336" s="173">
        <f t="shared" si="293"/>
        <v>1393.7395425914128</v>
      </c>
      <c r="CC336" s="9">
        <v>-257.29374516730445</v>
      </c>
      <c r="CJ336" s="9">
        <f t="shared" si="309"/>
        <v>285</v>
      </c>
      <c r="CK336" s="129">
        <v>135.29521938885247</v>
      </c>
      <c r="CL336" s="9">
        <v>4.328125</v>
      </c>
      <c r="CM336" s="129">
        <f t="shared" si="294"/>
        <v>141.27884604659397</v>
      </c>
      <c r="CN336" s="36">
        <f t="shared" si="308"/>
        <v>8.8384220485715273E-3</v>
      </c>
      <c r="CO336" s="173">
        <f t="shared" si="295"/>
        <v>1406.1806476215015</v>
      </c>
      <c r="CP336" s="9">
        <v>-629.95482821399003</v>
      </c>
      <c r="CQ336" s="129"/>
      <c r="CR336" s="36">
        <f t="shared" si="296"/>
        <v>0.64176785149983651</v>
      </c>
      <c r="CS336" s="17">
        <f t="shared" si="262"/>
        <v>0.46135472784824005</v>
      </c>
      <c r="CT336" s="9">
        <f t="shared" si="263"/>
        <v>5.6288032683914029</v>
      </c>
      <c r="CU336" s="9">
        <f t="shared" si="297"/>
        <v>143.07703190303107</v>
      </c>
      <c r="CV336" s="9">
        <v>10.199999999999999</v>
      </c>
      <c r="CW336" s="9">
        <f t="shared" si="298"/>
        <v>149.39670488406421</v>
      </c>
      <c r="CX336">
        <f t="shared" si="299"/>
        <v>17</v>
      </c>
      <c r="CY336" s="9">
        <f t="shared" si="264"/>
        <v>395.27478813592461</v>
      </c>
      <c r="CZ336" s="17">
        <f t="shared" si="300"/>
        <v>0.37219848223721719</v>
      </c>
      <c r="DA336">
        <v>45</v>
      </c>
      <c r="DB336" s="9">
        <f t="shared" si="301"/>
        <v>6.3787591970977457</v>
      </c>
      <c r="DC336" s="9">
        <f t="shared" si="302"/>
        <v>7.0205459082984154</v>
      </c>
    </row>
    <row r="337" spans="2:107" x14ac:dyDescent="0.25">
      <c r="B337" s="9">
        <f t="shared" si="303"/>
        <v>286</v>
      </c>
      <c r="C337" s="9">
        <v>136.82684616560559</v>
      </c>
      <c r="D337" s="9"/>
      <c r="E337" s="9">
        <f t="shared" si="265"/>
        <v>136.82684616560559</v>
      </c>
      <c r="F337" s="36">
        <f t="shared" si="304"/>
        <v>0</v>
      </c>
      <c r="G337" s="37">
        <f t="shared" si="310"/>
        <v>0</v>
      </c>
      <c r="H337" s="36" t="e">
        <f t="shared" si="250"/>
        <v>#DIV/0!</v>
      </c>
      <c r="I337" s="37" t="e">
        <f t="shared" si="266"/>
        <v>#DIV/0!</v>
      </c>
      <c r="J337" s="37" t="e">
        <f t="shared" si="267"/>
        <v>#DIV/0!</v>
      </c>
      <c r="K337" s="37" t="e">
        <f t="shared" si="268"/>
        <v>#DIV/0!</v>
      </c>
      <c r="L337" s="39" t="e">
        <f t="shared" si="251"/>
        <v>#DIV/0!</v>
      </c>
      <c r="M337" s="39" t="e">
        <f>M336+(1000*$C$2*(B337-B336))/(BerechnungenCLT!$W$47*2*'Berechnung freier Bereich'!G337)</f>
        <v>#DIV/0!</v>
      </c>
      <c r="N337" s="17" t="e">
        <f t="shared" si="269"/>
        <v>#DIV/0!</v>
      </c>
      <c r="O337" s="173">
        <f t="shared" si="270"/>
        <v>1436.3537056449616</v>
      </c>
      <c r="P337" s="173"/>
      <c r="Q337" s="173"/>
      <c r="R337" s="37" t="e">
        <f t="shared" si="252"/>
        <v>#DIV/0!</v>
      </c>
      <c r="S337" s="37" t="e">
        <f t="shared" si="253"/>
        <v>#DIV/0!</v>
      </c>
      <c r="T337" s="37" t="e">
        <f t="shared" si="254"/>
        <v>#DIV/0!</v>
      </c>
      <c r="U337" s="39" t="e">
        <f t="shared" si="255"/>
        <v>#DIV/0!</v>
      </c>
      <c r="V337" s="39" t="e">
        <f t="shared" si="271"/>
        <v>#DIV/0!</v>
      </c>
      <c r="W337" s="9" t="e">
        <f t="shared" si="272"/>
        <v>#DIV/0!</v>
      </c>
      <c r="AB337" s="129">
        <v>137.22392326437057</v>
      </c>
      <c r="AC337" s="9">
        <v>6.625</v>
      </c>
      <c r="AD337" s="129">
        <f t="shared" si="273"/>
        <v>145.12247994898107</v>
      </c>
      <c r="AE337" s="36">
        <f t="shared" si="305"/>
        <v>1.191046707742247E-2</v>
      </c>
      <c r="AF337" s="37">
        <f t="shared" si="274"/>
        <v>69870546.948702022</v>
      </c>
      <c r="AG337" s="36">
        <f t="shared" si="256"/>
        <v>1.9968733348340084</v>
      </c>
      <c r="AH337" s="37">
        <f t="shared" si="275"/>
        <v>-1.1268067866245106E-4</v>
      </c>
      <c r="AI337" s="37">
        <f t="shared" si="276"/>
        <v>-5.0030278887750537E-2</v>
      </c>
      <c r="AJ337" s="37">
        <f t="shared" si="277"/>
        <v>-7.8045422831144959</v>
      </c>
      <c r="AK337" s="39">
        <f t="shared" si="278"/>
        <v>1.6352499529829135E-2</v>
      </c>
      <c r="AL337" s="39">
        <f>AL336+(1000*$C$2*($B337-$B336))/(BerechnungenCLT!$W$47*2*AF337)</f>
        <v>1.4405493674114438E-2</v>
      </c>
      <c r="AM337" s="37">
        <f t="shared" si="257"/>
        <v>2.0770193777862931E-6</v>
      </c>
      <c r="AN337" s="173">
        <f t="shared" si="279"/>
        <v>1349.2719890719807</v>
      </c>
      <c r="AO337" s="173">
        <v>-258.22040118351651</v>
      </c>
      <c r="AV337" s="129">
        <v>138.30362966774044</v>
      </c>
      <c r="AW337" s="9">
        <v>6.5625</v>
      </c>
      <c r="AX337" s="129">
        <f t="shared" si="280"/>
        <v>145.65487704039217</v>
      </c>
      <c r="AY337" s="36">
        <f t="shared" si="306"/>
        <v>1.1148455762374507E-2</v>
      </c>
      <c r="AZ337" s="37">
        <f t="shared" si="281"/>
        <v>66141881.627514564</v>
      </c>
      <c r="BA337" s="36">
        <f t="shared" si="258"/>
        <v>1.9973218440353839</v>
      </c>
      <c r="BB337" s="37">
        <f t="shared" si="282"/>
        <v>-1.190329100861451E-4</v>
      </c>
      <c r="BC337" s="37">
        <f t="shared" si="283"/>
        <v>-4.6562022868466738E-2</v>
      </c>
      <c r="BD337" s="37">
        <f t="shared" si="284"/>
        <v>-7.1646914559351016</v>
      </c>
      <c r="BE337" s="39">
        <f t="shared" si="285"/>
        <v>1.733772388235752E-2</v>
      </c>
      <c r="BF337" s="39">
        <f>BF336+(1000*$C$2*($B337-$B336))/(BerechnungenCLT!$W$47*2*AZ337)</f>
        <v>1.3402809225184319E-2</v>
      </c>
      <c r="BG337" s="37">
        <f t="shared" si="259"/>
        <v>2.2021580495799012E-6</v>
      </c>
      <c r="BH337" s="173">
        <f t="shared" si="286"/>
        <v>1333.9951682923631</v>
      </c>
      <c r="BI337">
        <v>-258.07529830999698</v>
      </c>
      <c r="BP337" s="129">
        <v>135.58672951214845</v>
      </c>
      <c r="BQ337" s="9">
        <v>6.8125</v>
      </c>
      <c r="BR337" s="129">
        <f t="shared" si="287"/>
        <v>142.97261372205395</v>
      </c>
      <c r="BS337" s="36">
        <f t="shared" si="307"/>
        <v>1.0988009310512737E-2</v>
      </c>
      <c r="BT337" s="37">
        <f t="shared" si="288"/>
        <v>62736571.582874484</v>
      </c>
      <c r="BU337" s="36">
        <f t="shared" si="260"/>
        <v>1.9971908706936687</v>
      </c>
      <c r="BV337" s="37">
        <f t="shared" si="289"/>
        <v>-1.2549395751242394E-4</v>
      </c>
      <c r="BW337" s="37">
        <f t="shared" si="290"/>
        <v>-5.2783198575578401E-2</v>
      </c>
      <c r="BX337" s="37">
        <f t="shared" si="291"/>
        <v>-8.1125344192827011</v>
      </c>
      <c r="BY337" s="39">
        <f t="shared" si="292"/>
        <v>1.7942199111875636E-2</v>
      </c>
      <c r="BZ337" s="39">
        <f>BZ336+(1000*$C$2*($B337-$B336))/(BerechnungenCLT!$W$47*2*BT337)</f>
        <v>1.5201372411784344E-2</v>
      </c>
      <c r="CA337" s="37">
        <f t="shared" si="261"/>
        <v>2.2789357166766487E-6</v>
      </c>
      <c r="CB337" s="173">
        <f t="shared" si="293"/>
        <v>1386.2085211496706</v>
      </c>
      <c r="CC337" s="9">
        <v>-258.25120591382216</v>
      </c>
      <c r="CJ337" s="9">
        <f t="shared" si="309"/>
        <v>286</v>
      </c>
      <c r="CK337" s="129">
        <v>136.24984094636454</v>
      </c>
      <c r="CL337" s="9">
        <v>4.265625</v>
      </c>
      <c r="CM337" s="129">
        <f t="shared" si="294"/>
        <v>141.99612013846937</v>
      </c>
      <c r="CN337" s="36">
        <f t="shared" si="308"/>
        <v>8.5391449589720496E-3</v>
      </c>
      <c r="CO337" s="173">
        <f t="shared" si="295"/>
        <v>1389.3327903316613</v>
      </c>
      <c r="CP337" s="9">
        <v>-631.52667589278701</v>
      </c>
      <c r="CQ337" s="129"/>
      <c r="CR337" s="36">
        <f t="shared" si="296"/>
        <v>0.63933612563162423</v>
      </c>
      <c r="CS337" s="17">
        <f t="shared" si="262"/>
        <v>0.45960660627513744</v>
      </c>
      <c r="CT337" s="9">
        <f t="shared" si="263"/>
        <v>5.5686210012130761</v>
      </c>
      <c r="CU337" s="9">
        <f t="shared" si="297"/>
        <v>143.75140308274283</v>
      </c>
      <c r="CV337" s="9">
        <v>10.199999999999999</v>
      </c>
      <c r="CW337" s="9">
        <f t="shared" si="298"/>
        <v>149.99039426726571</v>
      </c>
      <c r="CX337">
        <f t="shared" si="299"/>
        <v>17</v>
      </c>
      <c r="CY337" s="9">
        <f t="shared" si="264"/>
        <v>392.50533291106223</v>
      </c>
      <c r="CZ337" s="17">
        <f t="shared" si="300"/>
        <v>0.36959070895580248</v>
      </c>
      <c r="DA337">
        <v>45</v>
      </c>
      <c r="DB337" s="9">
        <f t="shared" si="301"/>
        <v>6.3340670272028472</v>
      </c>
      <c r="DC337" s="9">
        <f t="shared" si="302"/>
        <v>6.9734200824709003</v>
      </c>
    </row>
    <row r="338" spans="2:107" x14ac:dyDescent="0.25">
      <c r="B338" s="9">
        <f t="shared" si="303"/>
        <v>287</v>
      </c>
      <c r="C338" s="9">
        <v>137.25991991417339</v>
      </c>
      <c r="D338" s="9"/>
      <c r="E338" s="9">
        <f t="shared" si="265"/>
        <v>137.25991991417339</v>
      </c>
      <c r="F338" s="36">
        <f t="shared" si="304"/>
        <v>0</v>
      </c>
      <c r="G338" s="37">
        <f t="shared" si="310"/>
        <v>0</v>
      </c>
      <c r="H338" s="36" t="e">
        <f t="shared" si="250"/>
        <v>#DIV/0!</v>
      </c>
      <c r="I338" s="37" t="e">
        <f t="shared" si="266"/>
        <v>#DIV/0!</v>
      </c>
      <c r="J338" s="37" t="e">
        <f t="shared" si="267"/>
        <v>#DIV/0!</v>
      </c>
      <c r="K338" s="37" t="e">
        <f t="shared" si="268"/>
        <v>#DIV/0!</v>
      </c>
      <c r="L338" s="39" t="e">
        <f t="shared" si="251"/>
        <v>#DIV/0!</v>
      </c>
      <c r="M338" s="39" t="e">
        <f>M337+(1000*$C$2*(B338-B337))/(BerechnungenCLT!$W$47*2*'Berechnung freier Bereich'!G338)</f>
        <v>#DIV/0!</v>
      </c>
      <c r="N338" s="17" t="e">
        <f t="shared" si="269"/>
        <v>#DIV/0!</v>
      </c>
      <c r="O338" s="173">
        <f t="shared" si="270"/>
        <v>1427.3042211004424</v>
      </c>
      <c r="P338" s="173"/>
      <c r="Q338" s="173"/>
      <c r="R338" s="37" t="e">
        <f t="shared" si="252"/>
        <v>#DIV/0!</v>
      </c>
      <c r="S338" s="37" t="e">
        <f t="shared" si="253"/>
        <v>#DIV/0!</v>
      </c>
      <c r="T338" s="37" t="e">
        <f t="shared" si="254"/>
        <v>#DIV/0!</v>
      </c>
      <c r="U338" s="39" t="e">
        <f t="shared" si="255"/>
        <v>#DIV/0!</v>
      </c>
      <c r="V338" s="39" t="e">
        <f t="shared" si="271"/>
        <v>#DIV/0!</v>
      </c>
      <c r="W338" s="9" t="e">
        <f t="shared" si="272"/>
        <v>#DIV/0!</v>
      </c>
      <c r="AB338" s="129">
        <v>137.87309521901742</v>
      </c>
      <c r="AC338" s="9">
        <v>6.5625</v>
      </c>
      <c r="AD338" s="129">
        <f t="shared" si="273"/>
        <v>145.61100226966425</v>
      </c>
      <c r="AE338" s="36">
        <f t="shared" si="305"/>
        <v>1.1715234984073106E-2</v>
      </c>
      <c r="AF338" s="37">
        <f t="shared" si="274"/>
        <v>69277618.895168573</v>
      </c>
      <c r="AG338" s="36">
        <f t="shared" si="256"/>
        <v>1.9970230985672561</v>
      </c>
      <c r="AH338" s="37">
        <f t="shared" si="275"/>
        <v>-1.1364508154660988E-4</v>
      </c>
      <c r="AI338" s="37">
        <f t="shared" si="276"/>
        <v>-5.0143923969297149E-2</v>
      </c>
      <c r="AJ338" s="37">
        <f t="shared" si="277"/>
        <v>-7.8546293845430197</v>
      </c>
      <c r="AK338" s="39">
        <f t="shared" si="278"/>
        <v>1.6547974227019591E-2</v>
      </c>
      <c r="AL338" s="39">
        <f>AL337+(1000*$C$2*($B338-$B337))/(BerechnungenCLT!$W$47*2*AF338)</f>
        <v>1.4438348865866398E-2</v>
      </c>
      <c r="AM338" s="37">
        <f t="shared" si="257"/>
        <v>2.1018476759428461E-6</v>
      </c>
      <c r="AN338" s="173">
        <f t="shared" si="279"/>
        <v>1338.4637727456311</v>
      </c>
      <c r="AO338" s="173">
        <v>-258.50405726535485</v>
      </c>
      <c r="AV338" s="129">
        <v>138.8084324074259</v>
      </c>
      <c r="AW338" s="9">
        <v>6.5</v>
      </c>
      <c r="AX338" s="129">
        <f t="shared" si="280"/>
        <v>146.03100117470555</v>
      </c>
      <c r="AY338" s="36">
        <f t="shared" si="306"/>
        <v>1.0987290141332656E-2</v>
      </c>
      <c r="AZ338" s="37">
        <f t="shared" si="281"/>
        <v>65589006.932455391</v>
      </c>
      <c r="BA338" s="36">
        <f t="shared" si="258"/>
        <v>1.9974306430554458</v>
      </c>
      <c r="BB338" s="37">
        <f t="shared" si="282"/>
        <v>-1.2003628377548384E-4</v>
      </c>
      <c r="BC338" s="37">
        <f t="shared" si="283"/>
        <v>-4.6682059152242224E-2</v>
      </c>
      <c r="BD338" s="37">
        <f t="shared" si="284"/>
        <v>-7.211313496945456</v>
      </c>
      <c r="BE338" s="39">
        <f t="shared" si="285"/>
        <v>1.7529018697024969E-2</v>
      </c>
      <c r="BF338" s="39">
        <f>BF337+(1000*$C$2*($B338-$B337))/(BerechnungenCLT!$W$47*2*AZ338)</f>
        <v>1.343751213592154E-2</v>
      </c>
      <c r="BG338" s="37">
        <f t="shared" si="259"/>
        <v>2.2264554382579784E-6</v>
      </c>
      <c r="BH338" s="173">
        <f t="shared" si="286"/>
        <v>1325.7565970101582</v>
      </c>
      <c r="BI338">
        <v>-258.85423400994665</v>
      </c>
      <c r="BP338" s="129">
        <v>136.00555761174803</v>
      </c>
      <c r="BQ338" s="9">
        <v>6.78125</v>
      </c>
      <c r="BR338" s="129">
        <f t="shared" si="287"/>
        <v>143.29758095615125</v>
      </c>
      <c r="BS338" s="36">
        <f t="shared" si="307"/>
        <v>1.0877338912510566E-2</v>
      </c>
      <c r="BT338" s="37">
        <f t="shared" si="288"/>
        <v>62435458.926588342</v>
      </c>
      <c r="BU338" s="36">
        <f t="shared" si="260"/>
        <v>1.9972762916725744</v>
      </c>
      <c r="BV338" s="37">
        <f t="shared" si="289"/>
        <v>-1.2609918760993723E-4</v>
      </c>
      <c r="BW338" s="37">
        <f t="shared" si="290"/>
        <v>-5.290929776318834E-2</v>
      </c>
      <c r="BX338" s="37">
        <f t="shared" si="291"/>
        <v>-8.1653806674520837</v>
      </c>
      <c r="BY338" s="39">
        <f t="shared" si="292"/>
        <v>1.8069708545039885E-2</v>
      </c>
      <c r="BZ338" s="39">
        <f>BZ337+(1000*$C$2*($B338-$B337))/(BerechnungenCLT!$W$47*2*BT338)</f>
        <v>1.52378281292893E-2</v>
      </c>
      <c r="CA338" s="37">
        <f t="shared" si="261"/>
        <v>2.2951313791837526E-6</v>
      </c>
      <c r="CB338" s="173">
        <f t="shared" si="293"/>
        <v>1378.8352953127248</v>
      </c>
      <c r="CC338" s="9">
        <v>-258.06133857830821</v>
      </c>
      <c r="CJ338" s="9">
        <f t="shared" si="309"/>
        <v>287</v>
      </c>
      <c r="CK338" s="129">
        <v>137.15245582835337</v>
      </c>
      <c r="CL338" s="9">
        <v>4.21875</v>
      </c>
      <c r="CM338" s="129">
        <f t="shared" si="294"/>
        <v>142.68260973764549</v>
      </c>
      <c r="CN338" s="36">
        <f t="shared" si="308"/>
        <v>8.2649103381463671E-3</v>
      </c>
      <c r="CO338" s="173">
        <f t="shared" si="295"/>
        <v>1373.5983344959106</v>
      </c>
      <c r="CP338" s="9">
        <v>-631.31201183745577</v>
      </c>
      <c r="CQ338" s="129"/>
      <c r="CR338" s="36">
        <f t="shared" si="296"/>
        <v>0.63702407267919403</v>
      </c>
      <c r="CS338" s="17">
        <f t="shared" si="262"/>
        <v>0.45794451528982816</v>
      </c>
      <c r="CT338" s="9">
        <f t="shared" si="263"/>
        <v>5.5274163473668834</v>
      </c>
      <c r="CU338" s="9">
        <f t="shared" si="297"/>
        <v>144.39807671645437</v>
      </c>
      <c r="CV338" s="9">
        <v>10.199999999999999</v>
      </c>
      <c r="CW338" s="9">
        <f t="shared" si="298"/>
        <v>150.52313905793076</v>
      </c>
      <c r="CX338">
        <f t="shared" si="299"/>
        <v>17</v>
      </c>
      <c r="CY338" s="9">
        <f t="shared" si="264"/>
        <v>389.92221361796777</v>
      </c>
      <c r="CZ338" s="17">
        <f t="shared" si="300"/>
        <v>0.36715839323725785</v>
      </c>
      <c r="DA338">
        <v>45</v>
      </c>
      <c r="DB338" s="9">
        <f t="shared" si="301"/>
        <v>6.292381859206853</v>
      </c>
      <c r="DC338" s="9">
        <f t="shared" si="302"/>
        <v>6.9294201359690852</v>
      </c>
    </row>
    <row r="339" spans="2:107" x14ac:dyDescent="0.25">
      <c r="B339" s="9">
        <f t="shared" si="303"/>
        <v>288</v>
      </c>
      <c r="C339" s="9">
        <v>137.68065482429157</v>
      </c>
      <c r="D339" s="9"/>
      <c r="E339" s="9">
        <f t="shared" si="265"/>
        <v>137.68065482429157</v>
      </c>
      <c r="F339" s="36">
        <f t="shared" si="304"/>
        <v>0</v>
      </c>
      <c r="G339" s="37">
        <f t="shared" si="310"/>
        <v>0</v>
      </c>
      <c r="H339" s="36" t="e">
        <f t="shared" si="250"/>
        <v>#DIV/0!</v>
      </c>
      <c r="I339" s="37" t="e">
        <f t="shared" si="266"/>
        <v>#DIV/0!</v>
      </c>
      <c r="J339" s="37" t="e">
        <f t="shared" si="267"/>
        <v>#DIV/0!</v>
      </c>
      <c r="K339" s="37" t="e">
        <f t="shared" si="268"/>
        <v>#DIV/0!</v>
      </c>
      <c r="L339" s="39" t="e">
        <f t="shared" si="251"/>
        <v>#DIV/0!</v>
      </c>
      <c r="M339" s="39" t="e">
        <f>M338+(1000*$C$2*(B339-B338))/(BerechnungenCLT!$W$47*2*'Berechnung freier Bereich'!G339)</f>
        <v>#DIV/0!</v>
      </c>
      <c r="N339" s="17" t="e">
        <f t="shared" si="269"/>
        <v>#DIV/0!</v>
      </c>
      <c r="O339" s="173">
        <f t="shared" si="270"/>
        <v>1418.5942224176126</v>
      </c>
      <c r="P339" s="173"/>
      <c r="Q339" s="173"/>
      <c r="R339" s="37" t="e">
        <f t="shared" si="252"/>
        <v>#DIV/0!</v>
      </c>
      <c r="S339" s="37" t="e">
        <f t="shared" si="253"/>
        <v>#DIV/0!</v>
      </c>
      <c r="T339" s="37" t="e">
        <f t="shared" si="254"/>
        <v>#DIV/0!</v>
      </c>
      <c r="U339" s="39" t="e">
        <f t="shared" si="255"/>
        <v>#DIV/0!</v>
      </c>
      <c r="V339" s="39" t="e">
        <f t="shared" si="271"/>
        <v>#DIV/0!</v>
      </c>
      <c r="W339" s="9" t="e">
        <f t="shared" si="272"/>
        <v>#DIV/0!</v>
      </c>
      <c r="AB339" s="129">
        <v>138.49783481024636</v>
      </c>
      <c r="AC339" s="9">
        <v>6.5</v>
      </c>
      <c r="AD339" s="129">
        <f t="shared" si="273"/>
        <v>146.06670767889466</v>
      </c>
      <c r="AE339" s="36">
        <f t="shared" si="305"/>
        <v>1.150299125308661E-2</v>
      </c>
      <c r="AF339" s="37">
        <f t="shared" si="274"/>
        <v>68539445.647332072</v>
      </c>
      <c r="AG339" s="36">
        <f t="shared" si="256"/>
        <v>1.9971731669182848</v>
      </c>
      <c r="AH339" s="37">
        <f t="shared" si="275"/>
        <v>-1.1486904474260006E-4</v>
      </c>
      <c r="AI339" s="37">
        <f t="shared" si="276"/>
        <v>-5.0258793014039752E-2</v>
      </c>
      <c r="AJ339" s="37">
        <f t="shared" si="277"/>
        <v>-7.9048307430346885</v>
      </c>
      <c r="AK339" s="39">
        <f t="shared" si="278"/>
        <v>1.6778543179771236E-2</v>
      </c>
      <c r="AL339" s="39">
        <f>AL338+(1000*$C$2*($B339-$B338))/(BerechnungenCLT!$W$47*2*AF339)</f>
        <v>1.4471557909672087E-2</v>
      </c>
      <c r="AM339" s="37">
        <f t="shared" si="257"/>
        <v>2.1311334852411427E-6</v>
      </c>
      <c r="AN339" s="173">
        <f t="shared" si="279"/>
        <v>1328.3192121680543</v>
      </c>
      <c r="AO339" s="173">
        <v>-258.95054088744843</v>
      </c>
      <c r="AV339" s="129">
        <v>139.29287681189325</v>
      </c>
      <c r="AW339" s="9">
        <v>6.46875</v>
      </c>
      <c r="AX339" s="129">
        <f t="shared" si="280"/>
        <v>146.41745490447835</v>
      </c>
      <c r="AY339" s="36">
        <f t="shared" si="306"/>
        <v>1.0871360329957849E-2</v>
      </c>
      <c r="AZ339" s="37">
        <f t="shared" si="281"/>
        <v>65293033.035506874</v>
      </c>
      <c r="BA339" s="36">
        <f t="shared" si="258"/>
        <v>1.9975150281775436</v>
      </c>
      <c r="BB339" s="37">
        <f t="shared" si="282"/>
        <v>-1.2058040931281227E-4</v>
      </c>
      <c r="BC339" s="37">
        <f t="shared" si="283"/>
        <v>-4.6802639561555039E-2</v>
      </c>
      <c r="BD339" s="37">
        <f t="shared" si="284"/>
        <v>-7.258055846302355</v>
      </c>
      <c r="BE339" s="39">
        <f t="shared" si="285"/>
        <v>1.7655076642922232E-2</v>
      </c>
      <c r="BF339" s="39">
        <f>BF338+(1000*$C$2*($B339-$B338))/(BerechnungenCLT!$W$47*2*AZ339)</f>
        <v>1.3472372355260442E-2</v>
      </c>
      <c r="BG339" s="37">
        <f t="shared" si="259"/>
        <v>2.2424667395195957E-6</v>
      </c>
      <c r="BH339" s="173">
        <f t="shared" si="286"/>
        <v>1317.6866107139367</v>
      </c>
      <c r="BI339">
        <v>-258.4442139317884</v>
      </c>
      <c r="BP339" s="129">
        <v>136.40092597823639</v>
      </c>
      <c r="BQ339" s="9">
        <v>6.71875</v>
      </c>
      <c r="BR339" s="129">
        <f t="shared" si="287"/>
        <v>143.56755792076711</v>
      </c>
      <c r="BS339" s="36">
        <f t="shared" si="307"/>
        <v>1.0715761537396269E-2</v>
      </c>
      <c r="BT339" s="37">
        <f t="shared" si="288"/>
        <v>61799776.515312798</v>
      </c>
      <c r="BU339" s="36">
        <f t="shared" si="260"/>
        <v>1.9973815444653584</v>
      </c>
      <c r="BV339" s="37">
        <f t="shared" si="289"/>
        <v>-1.273962640746055E-4</v>
      </c>
      <c r="BW339" s="37">
        <f t="shared" si="290"/>
        <v>-5.3036694027262944E-2</v>
      </c>
      <c r="BX339" s="37">
        <f t="shared" si="291"/>
        <v>-8.21835366334731</v>
      </c>
      <c r="BY339" s="39">
        <f t="shared" si="292"/>
        <v>1.8289970521420267E-2</v>
      </c>
      <c r="BZ339" s="39">
        <f>BZ338+(1000*$C$2*($B339-$B338))/(BerechnungenCLT!$W$47*2*BT339)</f>
        <v>1.5274658836150447E-2</v>
      </c>
      <c r="CA339" s="37">
        <f t="shared" si="261"/>
        <v>2.3231080436867573E-6</v>
      </c>
      <c r="CB339" s="173">
        <f t="shared" si="293"/>
        <v>1372.2894762228091</v>
      </c>
      <c r="CC339" s="9">
        <v>-259.225404314488</v>
      </c>
      <c r="CJ339" s="9">
        <f t="shared" si="309"/>
        <v>288</v>
      </c>
      <c r="CK339" s="129">
        <v>138</v>
      </c>
      <c r="CL339" s="9">
        <v>4.171875</v>
      </c>
      <c r="CM339" s="129">
        <f t="shared" si="294"/>
        <v>143.31742241151022</v>
      </c>
      <c r="CN339" s="36">
        <f t="shared" si="308"/>
        <v>7.9890766002988951E-3</v>
      </c>
      <c r="CO339" s="173">
        <f t="shared" si="295"/>
        <v>1359.1605633794832</v>
      </c>
      <c r="CP339" s="9">
        <v>-631.695182241054</v>
      </c>
      <c r="CQ339" s="129"/>
      <c r="CR339" s="36">
        <f t="shared" si="296"/>
        <v>0.63489929101951281</v>
      </c>
      <c r="CS339" s="17">
        <f t="shared" si="262"/>
        <v>0.45641705008251338</v>
      </c>
      <c r="CT339" s="9">
        <f t="shared" si="263"/>
        <v>5.4842933662260691</v>
      </c>
      <c r="CU339" s="9">
        <f t="shared" si="297"/>
        <v>144.99021530052252</v>
      </c>
      <c r="CV339" s="9">
        <v>10.199999999999999</v>
      </c>
      <c r="CW339" s="9">
        <f t="shared" si="298"/>
        <v>151.00079906454636</v>
      </c>
      <c r="CX339">
        <f t="shared" si="299"/>
        <v>17</v>
      </c>
      <c r="CY339" s="9">
        <f t="shared" si="264"/>
        <v>387.52745782414564</v>
      </c>
      <c r="CZ339" s="17">
        <f t="shared" si="300"/>
        <v>0.36490344427885663</v>
      </c>
      <c r="DA339">
        <v>45</v>
      </c>
      <c r="DB339" s="9">
        <f t="shared" si="301"/>
        <v>6.2537364130434785</v>
      </c>
      <c r="DC339" s="9">
        <f t="shared" si="302"/>
        <v>6.888648599388997</v>
      </c>
    </row>
    <row r="340" spans="2:107" x14ac:dyDescent="0.25">
      <c r="B340" s="9">
        <f t="shared" si="303"/>
        <v>289</v>
      </c>
      <c r="C340" s="9">
        <v>138.08766631465886</v>
      </c>
      <c r="D340" s="9"/>
      <c r="E340" s="9">
        <f t="shared" si="265"/>
        <v>138.08766631465886</v>
      </c>
      <c r="F340" s="36">
        <f t="shared" si="304"/>
        <v>0</v>
      </c>
      <c r="G340" s="37">
        <f t="shared" si="310"/>
        <v>0</v>
      </c>
      <c r="H340" s="36" t="e">
        <f t="shared" si="250"/>
        <v>#DIV/0!</v>
      </c>
      <c r="I340" s="37" t="e">
        <f t="shared" si="266"/>
        <v>#DIV/0!</v>
      </c>
      <c r="J340" s="37" t="e">
        <f t="shared" si="267"/>
        <v>#DIV/0!</v>
      </c>
      <c r="K340" s="37" t="e">
        <f t="shared" si="268"/>
        <v>#DIV/0!</v>
      </c>
      <c r="L340" s="39" t="e">
        <f t="shared" si="251"/>
        <v>#DIV/0!</v>
      </c>
      <c r="M340" s="39" t="e">
        <f>M339+(1000*$C$2*(B340-B339))/(BerechnungenCLT!$W$47*2*'Berechnung freier Bereich'!G340)</f>
        <v>#DIV/0!</v>
      </c>
      <c r="N340" s="17" t="e">
        <f t="shared" si="269"/>
        <v>#DIV/0!</v>
      </c>
      <c r="O340" s="173">
        <f t="shared" si="270"/>
        <v>1410.2439729250229</v>
      </c>
      <c r="P340" s="173"/>
      <c r="Q340" s="173"/>
      <c r="R340" s="37" t="e">
        <f t="shared" si="252"/>
        <v>#DIV/0!</v>
      </c>
      <c r="S340" s="37" t="e">
        <f t="shared" si="253"/>
        <v>#DIV/0!</v>
      </c>
      <c r="T340" s="37" t="e">
        <f t="shared" si="254"/>
        <v>#DIV/0!</v>
      </c>
      <c r="U340" s="39" t="e">
        <f t="shared" si="255"/>
        <v>#DIV/0!</v>
      </c>
      <c r="V340" s="39" t="e">
        <f t="shared" si="271"/>
        <v>#DIV/0!</v>
      </c>
      <c r="W340" s="9" t="e">
        <f t="shared" si="272"/>
        <v>#DIV/0!</v>
      </c>
      <c r="AB340" s="129">
        <v>139.09442941657633</v>
      </c>
      <c r="AC340" s="9">
        <v>6.46875</v>
      </c>
      <c r="AD340" s="129">
        <f t="shared" si="273"/>
        <v>146.52343853335091</v>
      </c>
      <c r="AE340" s="36">
        <f t="shared" si="305"/>
        <v>1.1332221595752067E-2</v>
      </c>
      <c r="AF340" s="37">
        <f t="shared" si="274"/>
        <v>68020624.120737731</v>
      </c>
      <c r="AG340" s="36">
        <f t="shared" si="256"/>
        <v>1.9972965989509941</v>
      </c>
      <c r="AH340" s="37">
        <f t="shared" si="275"/>
        <v>-1.1574519861390246E-4</v>
      </c>
      <c r="AI340" s="37">
        <f t="shared" si="276"/>
        <v>-5.0374538212653655E-2</v>
      </c>
      <c r="AJ340" s="37">
        <f t="shared" si="277"/>
        <v>-7.9551474086480356</v>
      </c>
      <c r="AK340" s="39">
        <f t="shared" si="278"/>
        <v>1.6959384494634629E-2</v>
      </c>
      <c r="AL340" s="39">
        <f>AL339+(1000*$C$2*($B340-$B339))/(BerechnungenCLT!$W$47*2*AF340)</f>
        <v>1.4505020252635593E-2</v>
      </c>
      <c r="AM340" s="37">
        <f t="shared" si="257"/>
        <v>2.1541031183905249E-6</v>
      </c>
      <c r="AN340" s="173">
        <f t="shared" si="279"/>
        <v>1318.5399045879765</v>
      </c>
      <c r="AO340" s="173">
        <v>-258.25402289902519</v>
      </c>
      <c r="AV340" s="129">
        <v>139.75444677637819</v>
      </c>
      <c r="AW340" s="9">
        <v>6.4375</v>
      </c>
      <c r="AX340" s="129">
        <f t="shared" si="280"/>
        <v>146.77767515233271</v>
      </c>
      <c r="AY340" s="36">
        <f t="shared" si="306"/>
        <v>1.074753580830793E-2</v>
      </c>
      <c r="AZ340" s="37">
        <f t="shared" si="281"/>
        <v>64919844.11827483</v>
      </c>
      <c r="BA340" s="36">
        <f t="shared" si="258"/>
        <v>1.9975989804605236</v>
      </c>
      <c r="BB340" s="37">
        <f t="shared" si="282"/>
        <v>-1.2127356058269E-4</v>
      </c>
      <c r="BC340" s="37">
        <f t="shared" si="283"/>
        <v>-4.6923913122137728E-2</v>
      </c>
      <c r="BD340" s="37">
        <f t="shared" si="284"/>
        <v>-7.3049191226442014</v>
      </c>
      <c r="BE340" s="39">
        <f t="shared" si="285"/>
        <v>1.7800251279772812E-2</v>
      </c>
      <c r="BF340" s="39">
        <f>BF339+(1000*$C$2*($B340-$B339))/(BerechnungenCLT!$W$47*2*AZ340)</f>
        <v>1.3507432967063101E-2</v>
      </c>
      <c r="BG340" s="37">
        <f t="shared" si="259"/>
        <v>2.2609061550567561E-6</v>
      </c>
      <c r="BH340" s="173">
        <f t="shared" si="286"/>
        <v>1310.1390513136894</v>
      </c>
      <c r="BI340">
        <v>-258.1536470453367</v>
      </c>
      <c r="BP340" s="129">
        <v>136.77209541692764</v>
      </c>
      <c r="BQ340" s="9">
        <v>6.71875</v>
      </c>
      <c r="BR340" s="129">
        <f t="shared" si="287"/>
        <v>143.88215883461598</v>
      </c>
      <c r="BS340" s="36">
        <f t="shared" si="307"/>
        <v>1.0657219193420076E-2</v>
      </c>
      <c r="BT340" s="37">
        <f t="shared" si="288"/>
        <v>61762788.112849146</v>
      </c>
      <c r="BU340" s="36">
        <f t="shared" si="260"/>
        <v>1.9974352458696041</v>
      </c>
      <c r="BV340" s="37">
        <f t="shared" si="289"/>
        <v>-1.2747255895105032E-4</v>
      </c>
      <c r="BW340" s="37">
        <f t="shared" si="290"/>
        <v>-5.3164166586213993E-2</v>
      </c>
      <c r="BX340" s="37">
        <f t="shared" si="291"/>
        <v>-8.2714540936540484</v>
      </c>
      <c r="BY340" s="39">
        <f t="shared" si="292"/>
        <v>1.8341026974049972E-2</v>
      </c>
      <c r="BZ340" s="39">
        <f>BZ339+(1000*$C$2*($B340-$B339))/(BerechnungenCLT!$W$47*2*BT340)</f>
        <v>1.5311511600128025E-2</v>
      </c>
      <c r="CA340" s="37">
        <f t="shared" si="261"/>
        <v>2.3295929997804407E-6</v>
      </c>
      <c r="CB340" s="173">
        <f t="shared" si="293"/>
        <v>1365.5913722127198</v>
      </c>
      <c r="CC340" s="9">
        <v>-257.96013284644829</v>
      </c>
      <c r="CJ340" s="9">
        <f t="shared" si="309"/>
        <v>289</v>
      </c>
      <c r="CK340" s="129">
        <v>138.79030053508922</v>
      </c>
      <c r="CL340" s="9">
        <v>4.140625</v>
      </c>
      <c r="CM340" s="129">
        <f t="shared" si="294"/>
        <v>143.92770408033147</v>
      </c>
      <c r="CN340" s="36">
        <f t="shared" si="308"/>
        <v>7.7570384139434489E-3</v>
      </c>
      <c r="CO340" s="173">
        <f t="shared" si="295"/>
        <v>1345.727383895691</v>
      </c>
      <c r="CP340" s="9">
        <v>-630.17225333281601</v>
      </c>
      <c r="CQ340" s="129"/>
      <c r="CR340" s="36">
        <f t="shared" si="296"/>
        <v>0.63286851700070357</v>
      </c>
      <c r="CS340" s="17">
        <f t="shared" si="262"/>
        <v>0.45495716518397972</v>
      </c>
      <c r="CT340" s="9">
        <f t="shared" si="263"/>
        <v>5.460678916871978</v>
      </c>
      <c r="CU340" s="9">
        <f t="shared" si="297"/>
        <v>145.56553645405501</v>
      </c>
      <c r="CV340" s="9">
        <v>10.199999999999999</v>
      </c>
      <c r="CW340" s="9">
        <f t="shared" si="298"/>
        <v>151.44576104201053</v>
      </c>
      <c r="CX340">
        <f t="shared" si="299"/>
        <v>17</v>
      </c>
      <c r="CY340" s="9">
        <f t="shared" si="264"/>
        <v>385.32079672391433</v>
      </c>
      <c r="CZ340" s="17">
        <f t="shared" si="300"/>
        <v>0.36282560896790433</v>
      </c>
      <c r="DA340">
        <v>45</v>
      </c>
      <c r="DB340" s="9">
        <f t="shared" si="301"/>
        <v>6.2181263508526721</v>
      </c>
      <c r="DC340" s="9">
        <f t="shared" si="302"/>
        <v>6.8510051553191369</v>
      </c>
    </row>
    <row r="341" spans="2:107" x14ac:dyDescent="0.25">
      <c r="B341" s="9">
        <f t="shared" si="303"/>
        <v>290</v>
      </c>
      <c r="C341" s="9">
        <v>138.47956980397387</v>
      </c>
      <c r="D341" s="9"/>
      <c r="E341" s="9">
        <f t="shared" si="265"/>
        <v>138.47956980397387</v>
      </c>
      <c r="F341" s="36">
        <f t="shared" si="304"/>
        <v>0</v>
      </c>
      <c r="G341" s="37">
        <f t="shared" si="310"/>
        <v>0</v>
      </c>
      <c r="H341" s="36" t="e">
        <f t="shared" si="250"/>
        <v>#DIV/0!</v>
      </c>
      <c r="I341" s="37" t="e">
        <f t="shared" si="266"/>
        <v>#DIV/0!</v>
      </c>
      <c r="J341" s="37" t="e">
        <f t="shared" si="267"/>
        <v>#DIV/0!</v>
      </c>
      <c r="K341" s="37" t="e">
        <f t="shared" si="268"/>
        <v>#DIV/0!</v>
      </c>
      <c r="L341" s="39" t="e">
        <f t="shared" si="251"/>
        <v>#DIV/0!</v>
      </c>
      <c r="M341" s="39" t="e">
        <f>M340+(1000*$C$2*(B341-B340))/(BerechnungenCLT!$W$47*2*'Berechnung freier Bereich'!G341)</f>
        <v>#DIV/0!</v>
      </c>
      <c r="N341" s="17" t="e">
        <f t="shared" si="269"/>
        <v>#DIV/0!</v>
      </c>
      <c r="O341" s="173">
        <f t="shared" si="270"/>
        <v>1402.2731584513731</v>
      </c>
      <c r="P341" s="173"/>
      <c r="Q341" s="173"/>
      <c r="R341" s="37" t="e">
        <f t="shared" si="252"/>
        <v>#DIV/0!</v>
      </c>
      <c r="S341" s="37" t="e">
        <f t="shared" si="253"/>
        <v>#DIV/0!</v>
      </c>
      <c r="T341" s="37" t="e">
        <f t="shared" si="254"/>
        <v>#DIV/0!</v>
      </c>
      <c r="U341" s="39" t="e">
        <f t="shared" si="255"/>
        <v>#DIV/0!</v>
      </c>
      <c r="V341" s="39" t="e">
        <f t="shared" si="271"/>
        <v>#DIV/0!</v>
      </c>
      <c r="W341" s="9" t="e">
        <f t="shared" si="272"/>
        <v>#DIV/0!</v>
      </c>
      <c r="AB341" s="129">
        <v>139.65916641652629</v>
      </c>
      <c r="AC341" s="9">
        <v>6.40625</v>
      </c>
      <c r="AD341" s="129">
        <f t="shared" si="273"/>
        <v>146.90706039199185</v>
      </c>
      <c r="AE341" s="36">
        <f t="shared" si="305"/>
        <v>1.1092658199810921E-2</v>
      </c>
      <c r="AF341" s="37">
        <f t="shared" si="274"/>
        <v>67023092.286247492</v>
      </c>
      <c r="AG341" s="36">
        <f t="shared" si="256"/>
        <v>1.9974436690703323</v>
      </c>
      <c r="AH341" s="37">
        <f t="shared" si="275"/>
        <v>-1.174678812948753E-4</v>
      </c>
      <c r="AI341" s="37">
        <f t="shared" si="276"/>
        <v>-5.0492006093948529E-2</v>
      </c>
      <c r="AJ341" s="37">
        <f t="shared" si="277"/>
        <v>-8.0055806808013372</v>
      </c>
      <c r="AK341" s="39">
        <f t="shared" si="278"/>
        <v>1.7256861131505576E-2</v>
      </c>
      <c r="AL341" s="39">
        <f>AL340+(1000*$C$2*($B341-$B340))/(BerechnungenCLT!$W$47*2*AF341)</f>
        <v>1.453898062920549E-2</v>
      </c>
      <c r="AM341" s="37">
        <f t="shared" si="257"/>
        <v>2.1918872343963125E-6</v>
      </c>
      <c r="AN341" s="173">
        <f t="shared" si="279"/>
        <v>1309.8272247839998</v>
      </c>
      <c r="AO341" s="173">
        <v>-259.05118181791386</v>
      </c>
      <c r="AV341" s="129">
        <v>140.19062619611626</v>
      </c>
      <c r="AW341" s="9">
        <v>6.40625</v>
      </c>
      <c r="AX341" s="129">
        <f t="shared" si="280"/>
        <v>147.11022632120665</v>
      </c>
      <c r="AY341" s="36">
        <f t="shared" si="306"/>
        <v>1.0617363997228435E-2</v>
      </c>
      <c r="AZ341" s="37">
        <f t="shared" si="281"/>
        <v>64476800.757680334</v>
      </c>
      <c r="BA341" s="36">
        <f t="shared" si="258"/>
        <v>1.9976816959339418</v>
      </c>
      <c r="BB341" s="37">
        <f t="shared" si="282"/>
        <v>-1.2210687497174821E-4</v>
      </c>
      <c r="BC341" s="37">
        <f t="shared" si="283"/>
        <v>-4.704601999710948E-2</v>
      </c>
      <c r="BD341" s="37">
        <f t="shared" si="284"/>
        <v>-7.351904089203825</v>
      </c>
      <c r="BE341" s="39">
        <f t="shared" si="285"/>
        <v>1.7963170012469165E-2</v>
      </c>
      <c r="BF341" s="39">
        <f>BF340+(1000*$C$2*($B341-$B340))/(BerechnungenCLT!$W$47*2*AZ341)</f>
        <v>1.3542734492978976E-2</v>
      </c>
      <c r="BG341" s="37">
        <f t="shared" si="259"/>
        <v>2.2815993441436873E-6</v>
      </c>
      <c r="BH341" s="173">
        <f t="shared" si="286"/>
        <v>1303.1373557165828</v>
      </c>
      <c r="BI341">
        <v>-257.9909368908875</v>
      </c>
      <c r="BP341" s="129">
        <v>137.1183267331356</v>
      </c>
      <c r="BQ341" s="9">
        <v>6.6875</v>
      </c>
      <c r="BR341" s="129">
        <f t="shared" si="287"/>
        <v>144.14101331403455</v>
      </c>
      <c r="BS341" s="36">
        <f t="shared" si="307"/>
        <v>1.0548945144399895E-2</v>
      </c>
      <c r="BT341" s="37">
        <f t="shared" si="288"/>
        <v>61398067.689992853</v>
      </c>
      <c r="BU341" s="36">
        <f t="shared" si="260"/>
        <v>1.9975085815731997</v>
      </c>
      <c r="BV341" s="37">
        <f t="shared" si="289"/>
        <v>-1.2822977896386807E-4</v>
      </c>
      <c r="BW341" s="37">
        <f t="shared" si="290"/>
        <v>-5.3292396365177859E-2</v>
      </c>
      <c r="BX341" s="37">
        <f t="shared" si="291"/>
        <v>-8.3246823751297452</v>
      </c>
      <c r="BY341" s="39">
        <f t="shared" si="292"/>
        <v>1.8483170276886614E-2</v>
      </c>
      <c r="BZ341" s="39">
        <f>BZ340+(1000*$C$2*($B341-$B340))/(BerechnungenCLT!$W$47*2*BT341)</f>
        <v>1.5348583279067702E-2</v>
      </c>
      <c r="CA341" s="37">
        <f t="shared" si="261"/>
        <v>2.3476473891950806E-6</v>
      </c>
      <c r="CB341" s="173">
        <f t="shared" si="293"/>
        <v>1359.7219769861663</v>
      </c>
      <c r="CC341" s="9">
        <v>-258.05164462824308</v>
      </c>
      <c r="CJ341" s="9">
        <f t="shared" si="309"/>
        <v>290</v>
      </c>
      <c r="CK341" s="129">
        <v>139.52474894182146</v>
      </c>
      <c r="CL341" s="9">
        <v>4.09375</v>
      </c>
      <c r="CM341" s="129">
        <f t="shared" si="294"/>
        <v>144.47733390405801</v>
      </c>
      <c r="CN341" s="36">
        <f t="shared" si="308"/>
        <v>7.5119424807566062E-3</v>
      </c>
      <c r="CO341" s="173">
        <f t="shared" si="295"/>
        <v>1333.5858339876247</v>
      </c>
      <c r="CP341" s="9">
        <v>-631.6372636787786</v>
      </c>
      <c r="CQ341" s="129"/>
      <c r="CR341" s="36">
        <f t="shared" si="296"/>
        <v>0.63104948806472927</v>
      </c>
      <c r="CS341" s="17">
        <f t="shared" si="262"/>
        <v>0.45364949980662683</v>
      </c>
      <c r="CT341" s="9">
        <f t="shared" si="263"/>
        <v>5.414422370237383</v>
      </c>
      <c r="CU341" s="9">
        <f t="shared" si="297"/>
        <v>146.07507243740247</v>
      </c>
      <c r="CV341" s="9">
        <v>10.199999999999999</v>
      </c>
      <c r="CW341" s="9">
        <f t="shared" si="298"/>
        <v>151.86462475612686</v>
      </c>
      <c r="CX341">
        <f t="shared" si="299"/>
        <v>17</v>
      </c>
      <c r="CY341" s="9">
        <f t="shared" si="264"/>
        <v>383.29249531229402</v>
      </c>
      <c r="CZ341" s="17">
        <f t="shared" si="300"/>
        <v>0.36091572063304522</v>
      </c>
      <c r="DA341">
        <v>45</v>
      </c>
      <c r="DB341" s="9">
        <f t="shared" si="301"/>
        <v>6.1853945736885523</v>
      </c>
      <c r="DC341" s="9">
        <f t="shared" si="302"/>
        <v>6.8164534424522785</v>
      </c>
    </row>
    <row r="342" spans="2:107" x14ac:dyDescent="0.25">
      <c r="B342" s="9">
        <f t="shared" si="303"/>
        <v>291</v>
      </c>
      <c r="C342" s="9">
        <v>138.85498071093537</v>
      </c>
      <c r="D342" s="9"/>
      <c r="E342" s="9">
        <f t="shared" si="265"/>
        <v>138.85498071093537</v>
      </c>
      <c r="F342" s="36">
        <f t="shared" si="304"/>
        <v>0</v>
      </c>
      <c r="G342" s="37">
        <f t="shared" si="310"/>
        <v>0</v>
      </c>
      <c r="H342" s="36" t="e">
        <f t="shared" si="250"/>
        <v>#DIV/0!</v>
      </c>
      <c r="I342" s="37" t="e">
        <f t="shared" si="266"/>
        <v>#DIV/0!</v>
      </c>
      <c r="J342" s="37" t="e">
        <f t="shared" si="267"/>
        <v>#DIV/0!</v>
      </c>
      <c r="K342" s="37" t="e">
        <f t="shared" si="268"/>
        <v>#DIV/0!</v>
      </c>
      <c r="L342" s="39" t="e">
        <f t="shared" si="251"/>
        <v>#DIV/0!</v>
      </c>
      <c r="M342" s="39" t="e">
        <f>M341+(1000*$C$2*(B342-B341))/(BerechnungenCLT!$W$47*2*'Berechnung freier Bereich'!G342)</f>
        <v>#DIV/0!</v>
      </c>
      <c r="N342" s="17" t="e">
        <f t="shared" si="269"/>
        <v>#DIV/0!</v>
      </c>
      <c r="O342" s="173">
        <f t="shared" si="270"/>
        <v>1394.7009848872069</v>
      </c>
      <c r="P342" s="173"/>
      <c r="Q342" s="173"/>
      <c r="R342" s="37" t="e">
        <f t="shared" si="252"/>
        <v>#DIV/0!</v>
      </c>
      <c r="S342" s="37" t="e">
        <f t="shared" si="253"/>
        <v>#DIV/0!</v>
      </c>
      <c r="T342" s="37" t="e">
        <f t="shared" si="254"/>
        <v>#DIV/0!</v>
      </c>
      <c r="U342" s="39" t="e">
        <f t="shared" si="255"/>
        <v>#DIV/0!</v>
      </c>
      <c r="V342" s="39" t="e">
        <f t="shared" si="271"/>
        <v>#DIV/0!</v>
      </c>
      <c r="W342" s="9" t="e">
        <f t="shared" si="272"/>
        <v>#DIV/0!</v>
      </c>
      <c r="AB342" s="129">
        <v>140.18833318861513</v>
      </c>
      <c r="AC342" s="9">
        <v>6.40625</v>
      </c>
      <c r="AD342" s="129">
        <f t="shared" si="273"/>
        <v>147.32199174896596</v>
      </c>
      <c r="AE342" s="36">
        <f t="shared" si="305"/>
        <v>1.0953793725851091E-2</v>
      </c>
      <c r="AF342" s="37">
        <f t="shared" si="274"/>
        <v>66619262.74008166</v>
      </c>
      <c r="AG342" s="36">
        <f t="shared" si="256"/>
        <v>1.9975397636173411</v>
      </c>
      <c r="AH342" s="37">
        <f t="shared" si="275"/>
        <v>-1.1817994263030992E-4</v>
      </c>
      <c r="AI342" s="37">
        <f t="shared" si="276"/>
        <v>-5.0610186036578839E-2</v>
      </c>
      <c r="AJ342" s="37">
        <f t="shared" si="277"/>
        <v>-8.0561317768666001</v>
      </c>
      <c r="AK342" s="39">
        <f t="shared" si="278"/>
        <v>1.7410504533075789E-2</v>
      </c>
      <c r="AL342" s="39">
        <f>AL341+(1000*$C$2*($B342-$B341))/(BerechnungenCLT!$W$47*2*AF342)</f>
        <v>1.4573146865205434E-2</v>
      </c>
      <c r="AM342" s="37">
        <f t="shared" si="257"/>
        <v>2.2114023135282957E-6</v>
      </c>
      <c r="AN342" s="173">
        <f t="shared" si="279"/>
        <v>1301.2391846088744</v>
      </c>
      <c r="AO342" s="173">
        <v>-257.38757317393248</v>
      </c>
      <c r="AV342" s="129">
        <v>140.59889896634311</v>
      </c>
      <c r="AW342" s="9">
        <v>6.375</v>
      </c>
      <c r="AX342" s="129">
        <f t="shared" si="280"/>
        <v>147.41380269419847</v>
      </c>
      <c r="AY342" s="36">
        <f t="shared" si="306"/>
        <v>1.0482627662531304E-2</v>
      </c>
      <c r="AZ342" s="37">
        <f t="shared" si="281"/>
        <v>63973132.855812721</v>
      </c>
      <c r="BA342" s="36">
        <f t="shared" si="258"/>
        <v>1.9977623531401287</v>
      </c>
      <c r="BB342" s="37">
        <f t="shared" si="282"/>
        <v>-1.2306823657427045E-4</v>
      </c>
      <c r="BC342" s="37">
        <f t="shared" si="283"/>
        <v>-4.7169088233683751E-2</v>
      </c>
      <c r="BD342" s="37">
        <f t="shared" si="284"/>
        <v>-7.3990116433192217</v>
      </c>
      <c r="BE342" s="39">
        <f t="shared" si="285"/>
        <v>1.8141956744282442E-2</v>
      </c>
      <c r="BF342" s="39">
        <f>BF341+(1000*$C$2*($B342-$B341))/(BerechnungenCLT!$W$47*2*AZ342)</f>
        <v>1.357831395190668E-2</v>
      </c>
      <c r="BG342" s="37">
        <f t="shared" si="259"/>
        <v>2.30430801359143E-6</v>
      </c>
      <c r="BH342" s="173">
        <f t="shared" si="286"/>
        <v>1296.7036752874274</v>
      </c>
      <c r="BI342">
        <v>-257.96412647767835</v>
      </c>
      <c r="BP342" s="129">
        <v>137.43888073217437</v>
      </c>
      <c r="BQ342" s="9">
        <v>6.65625</v>
      </c>
      <c r="BR342" s="129">
        <f t="shared" si="287"/>
        <v>144.37709743806866</v>
      </c>
      <c r="BS342" s="36">
        <f t="shared" si="307"/>
        <v>1.0442687146762247E-2</v>
      </c>
      <c r="BT342" s="37">
        <f t="shared" si="288"/>
        <v>61019373.263257809</v>
      </c>
      <c r="BU342" s="36">
        <f t="shared" si="260"/>
        <v>1.9975776897391746</v>
      </c>
      <c r="BV342" s="37">
        <f t="shared" si="289"/>
        <v>-1.2902559019623816E-4</v>
      </c>
      <c r="BW342" s="37">
        <f t="shared" si="290"/>
        <v>-5.3421421955374096E-2</v>
      </c>
      <c r="BX342" s="37">
        <f t="shared" si="291"/>
        <v>-8.378039284290022</v>
      </c>
      <c r="BY342" s="39">
        <f t="shared" si="292"/>
        <v>1.8628340207766592E-2</v>
      </c>
      <c r="BZ342" s="39">
        <f>BZ341+(1000*$C$2*($B342-$B341))/(BerechnungenCLT!$W$47*2*BT342)</f>
        <v>1.5385885029826431E-2</v>
      </c>
      <c r="CA342" s="37">
        <f t="shared" si="261"/>
        <v>2.3660862070014714E-6</v>
      </c>
      <c r="CB342" s="173">
        <f t="shared" si="293"/>
        <v>1354.3558823263911</v>
      </c>
      <c r="CC342" s="9">
        <v>-258.23998183258271</v>
      </c>
      <c r="CJ342" s="9">
        <f t="shared" si="309"/>
        <v>291</v>
      </c>
      <c r="CK342" s="129">
        <v>140.20562783700092</v>
      </c>
      <c r="CL342" s="9">
        <v>4.0625</v>
      </c>
      <c r="CM342" s="129">
        <f t="shared" si="294"/>
        <v>145.00623457664955</v>
      </c>
      <c r="CN342" s="36">
        <f t="shared" si="308"/>
        <v>7.3124432580087733E-3</v>
      </c>
      <c r="CO342" s="173">
        <f t="shared" si="295"/>
        <v>1322.2965192456943</v>
      </c>
      <c r="CP342" s="9">
        <v>-631.10782939321098</v>
      </c>
      <c r="CQ342" s="129"/>
      <c r="CR342" s="36">
        <f t="shared" si="296"/>
        <v>0.62930788548879835</v>
      </c>
      <c r="CS342" s="17">
        <f t="shared" si="262"/>
        <v>0.45239749476997598</v>
      </c>
      <c r="CT342" s="9">
        <f t="shared" si="263"/>
        <v>5.3879608710905007</v>
      </c>
      <c r="CU342" s="9">
        <f t="shared" si="297"/>
        <v>146.57251553440895</v>
      </c>
      <c r="CV342" s="9">
        <v>7.2</v>
      </c>
      <c r="CW342" s="9">
        <f t="shared" si="298"/>
        <v>148.71378008942435</v>
      </c>
      <c r="CX342">
        <f t="shared" si="299"/>
        <v>12</v>
      </c>
      <c r="CY342" s="9">
        <f t="shared" si="264"/>
        <v>381.43111660186008</v>
      </c>
      <c r="CZ342" s="17">
        <f t="shared" si="300"/>
        <v>0.35916300998291911</v>
      </c>
      <c r="DA342">
        <v>45</v>
      </c>
      <c r="DB342" s="9">
        <f t="shared" si="301"/>
        <v>6.1553565168105626</v>
      </c>
      <c r="DC342" s="9">
        <f t="shared" si="302"/>
        <v>6.784672351961059</v>
      </c>
    </row>
    <row r="343" spans="2:107" x14ac:dyDescent="0.25">
      <c r="B343" s="9">
        <f t="shared" si="303"/>
        <v>292</v>
      </c>
      <c r="C343" s="9">
        <v>139.21251445424193</v>
      </c>
      <c r="D343" s="9"/>
      <c r="E343" s="9">
        <f t="shared" si="265"/>
        <v>139.21251445424193</v>
      </c>
      <c r="F343" s="36">
        <f t="shared" si="304"/>
        <v>0</v>
      </c>
      <c r="G343" s="37">
        <f t="shared" si="310"/>
        <v>0</v>
      </c>
      <c r="H343" s="36" t="e">
        <f t="shared" si="250"/>
        <v>#DIV/0!</v>
      </c>
      <c r="I343" s="37" t="e">
        <f t="shared" si="266"/>
        <v>#DIV/0!</v>
      </c>
      <c r="J343" s="37" t="e">
        <f t="shared" si="267"/>
        <v>#DIV/0!</v>
      </c>
      <c r="K343" s="37" t="e">
        <f t="shared" si="268"/>
        <v>#DIV/0!</v>
      </c>
      <c r="L343" s="39" t="e">
        <f t="shared" si="251"/>
        <v>#DIV/0!</v>
      </c>
      <c r="M343" s="39" t="e">
        <f>M342+(1000*$C$2*(B343-B342))/(BerechnungenCLT!$W$47*2*'Berechnung freier Bereich'!G343)</f>
        <v>#DIV/0!</v>
      </c>
      <c r="N343" s="17" t="e">
        <f t="shared" si="269"/>
        <v>#DIV/0!</v>
      </c>
      <c r="O343" s="173">
        <f t="shared" si="270"/>
        <v>1387.5462785540051</v>
      </c>
      <c r="P343" s="173"/>
      <c r="Q343" s="173"/>
      <c r="R343" s="37" t="e">
        <f t="shared" si="252"/>
        <v>#DIV/0!</v>
      </c>
      <c r="S343" s="37" t="e">
        <f t="shared" si="253"/>
        <v>#DIV/0!</v>
      </c>
      <c r="T343" s="37" t="e">
        <f t="shared" si="254"/>
        <v>#DIV/0!</v>
      </c>
      <c r="U343" s="39" t="e">
        <f t="shared" si="255"/>
        <v>#DIV/0!</v>
      </c>
      <c r="V343" s="39" t="e">
        <f t="shared" si="271"/>
        <v>#DIV/0!</v>
      </c>
      <c r="W343" s="9" t="e">
        <f t="shared" si="272"/>
        <v>#DIV/0!</v>
      </c>
      <c r="AB343" s="129">
        <v>140.67821711136182</v>
      </c>
      <c r="AC343" s="9">
        <v>6.34375</v>
      </c>
      <c r="AD343" s="129">
        <f t="shared" si="273"/>
        <v>147.62660524983698</v>
      </c>
      <c r="AE343" s="36">
        <f t="shared" si="305"/>
        <v>1.0698792658815584E-2</v>
      </c>
      <c r="AF343" s="37">
        <f t="shared" si="274"/>
        <v>65426225.024887308</v>
      </c>
      <c r="AG343" s="36">
        <f t="shared" si="256"/>
        <v>1.9976786209735125</v>
      </c>
      <c r="AH343" s="37">
        <f t="shared" si="275"/>
        <v>-1.2033493672761314E-4</v>
      </c>
      <c r="AI343" s="37">
        <f t="shared" si="276"/>
        <v>-5.073052097330645E-2</v>
      </c>
      <c r="AJ343" s="37">
        <f t="shared" si="277"/>
        <v>-8.106802130371543</v>
      </c>
      <c r="AK343" s="39">
        <f t="shared" si="278"/>
        <v>1.7764638202051455E-2</v>
      </c>
      <c r="AL343" s="39">
        <f>AL342+(1000*$C$2*($B343-$B342))/(BerechnungenCLT!$W$47*2*AF343)</f>
        <v>1.4607936117558815E-2</v>
      </c>
      <c r="AM343" s="37">
        <f t="shared" si="257"/>
        <v>2.2563827455073512E-6</v>
      </c>
      <c r="AN343" s="173">
        <f t="shared" si="279"/>
        <v>1294.0772739716319</v>
      </c>
      <c r="AO343" s="173">
        <v>-258.56355375266094</v>
      </c>
      <c r="AV343" s="129">
        <v>140.9767489822944</v>
      </c>
      <c r="AW343" s="9">
        <v>6.34375</v>
      </c>
      <c r="AX343" s="129">
        <f t="shared" si="280"/>
        <v>147.68723629746435</v>
      </c>
      <c r="AY343" s="36">
        <f t="shared" si="306"/>
        <v>1.0345356404548509E-2</v>
      </c>
      <c r="AZ343" s="37">
        <f t="shared" si="281"/>
        <v>63420022.010145895</v>
      </c>
      <c r="BA343" s="36">
        <f t="shared" si="258"/>
        <v>1.9978401133001298</v>
      </c>
      <c r="BB343" s="37">
        <f t="shared" si="282"/>
        <v>-1.2414156285592057E-4</v>
      </c>
      <c r="BC343" s="37">
        <f t="shared" si="283"/>
        <v>-4.7293229796539674E-2</v>
      </c>
      <c r="BD343" s="37">
        <f t="shared" si="284"/>
        <v>-7.446242802334333</v>
      </c>
      <c r="BE343" s="39">
        <f t="shared" si="285"/>
        <v>1.8334124327838864E-2</v>
      </c>
      <c r="BF343" s="39">
        <f>BF342+(1000*$C$2*($B343-$B342))/(BerechnungenCLT!$W$47*2*AZ343)</f>
        <v>1.361420371322773E-2</v>
      </c>
      <c r="BG343" s="37">
        <f t="shared" si="259"/>
        <v>2.3287162573648656E-6</v>
      </c>
      <c r="BH343" s="173">
        <f t="shared" si="286"/>
        <v>1290.8590309903095</v>
      </c>
      <c r="BI343">
        <v>-258.08092856169088</v>
      </c>
      <c r="BP343" s="129">
        <v>137.73301821935783</v>
      </c>
      <c r="BQ343" s="9">
        <v>6.65625</v>
      </c>
      <c r="BR343" s="129">
        <f t="shared" si="287"/>
        <v>144.6224114805006</v>
      </c>
      <c r="BS343" s="36">
        <f t="shared" si="307"/>
        <v>1.0389051846623313E-2</v>
      </c>
      <c r="BT343" s="37">
        <f t="shared" si="288"/>
        <v>60937940.331478663</v>
      </c>
      <c r="BU343" s="36">
        <f t="shared" si="260"/>
        <v>1.9976207397055843</v>
      </c>
      <c r="BV343" s="37">
        <f t="shared" si="289"/>
        <v>-1.2919801039992505E-4</v>
      </c>
      <c r="BW343" s="37">
        <f t="shared" si="290"/>
        <v>-5.3550619965774024E-2</v>
      </c>
      <c r="BX343" s="37">
        <f t="shared" si="291"/>
        <v>-8.4315253052505952</v>
      </c>
      <c r="BY343" s="39">
        <f t="shared" si="292"/>
        <v>1.8684927822519959E-2</v>
      </c>
      <c r="BZ343" s="39">
        <f>BZ342+(1000*$C$2*($B343-$B342))/(BerechnungenCLT!$W$47*2*BT343)</f>
        <v>1.5423236627870911E-2</v>
      </c>
      <c r="CA343" s="37">
        <f t="shared" si="261"/>
        <v>2.3732737059016272E-6</v>
      </c>
      <c r="CB343" s="173">
        <f t="shared" si="293"/>
        <v>1349.1857219813076</v>
      </c>
      <c r="CC343" s="9">
        <v>-257.25416847952772</v>
      </c>
      <c r="CJ343" s="9">
        <f t="shared" si="309"/>
        <v>292</v>
      </c>
      <c r="CK343" s="129">
        <v>140.83521983743177</v>
      </c>
      <c r="CL343" s="9">
        <v>4.03125</v>
      </c>
      <c r="CM343" s="129">
        <f t="shared" si="294"/>
        <v>145.49664557706888</v>
      </c>
      <c r="CN343" s="36">
        <f t="shared" si="308"/>
        <v>7.1283209704531818E-3</v>
      </c>
      <c r="CO343" s="173">
        <f t="shared" si="295"/>
        <v>1311.9722781254275</v>
      </c>
      <c r="CP343" s="9">
        <v>-631.03436936396804</v>
      </c>
      <c r="CQ343" s="129"/>
      <c r="CR343" s="36">
        <f t="shared" si="296"/>
        <v>0.62770071164560504</v>
      </c>
      <c r="CS343" s="17">
        <f t="shared" si="262"/>
        <v>0.45124212799786606</v>
      </c>
      <c r="CT343" s="9">
        <f t="shared" si="263"/>
        <v>5.3602043114454911</v>
      </c>
      <c r="CU343" s="9">
        <f t="shared" si="297"/>
        <v>147.03334556694145</v>
      </c>
      <c r="CV343" s="9">
        <v>7.2</v>
      </c>
      <c r="CW343" s="9">
        <f t="shared" si="298"/>
        <v>149.1607430189232</v>
      </c>
      <c r="CX343">
        <f t="shared" si="299"/>
        <v>12</v>
      </c>
      <c r="CY343" s="9">
        <f t="shared" si="264"/>
        <v>379.72596088864333</v>
      </c>
      <c r="CZ343" s="17">
        <f t="shared" si="300"/>
        <v>0.35755740196670749</v>
      </c>
      <c r="DA343">
        <v>45</v>
      </c>
      <c r="DB343" s="9">
        <f t="shared" si="301"/>
        <v>6.1278395134128525</v>
      </c>
      <c r="DC343" s="9">
        <f t="shared" si="302"/>
        <v>6.7555469331518108</v>
      </c>
    </row>
    <row r="344" spans="2:107" x14ac:dyDescent="0.25">
      <c r="B344" s="9">
        <f t="shared" si="303"/>
        <v>293</v>
      </c>
      <c r="C344" s="9">
        <v>139.55078645259232</v>
      </c>
      <c r="D344" s="9"/>
      <c r="E344" s="9">
        <f t="shared" si="265"/>
        <v>139.55078645259232</v>
      </c>
      <c r="F344" s="36">
        <f t="shared" si="304"/>
        <v>0</v>
      </c>
      <c r="G344" s="37">
        <f t="shared" si="310"/>
        <v>0</v>
      </c>
      <c r="H344" s="36" t="e">
        <f t="shared" si="250"/>
        <v>#DIV/0!</v>
      </c>
      <c r="I344" s="37" t="e">
        <f t="shared" si="266"/>
        <v>#DIV/0!</v>
      </c>
      <c r="J344" s="37" t="e">
        <f t="shared" si="267"/>
        <v>#DIV/0!</v>
      </c>
      <c r="K344" s="37" t="e">
        <f t="shared" si="268"/>
        <v>#DIV/0!</v>
      </c>
      <c r="L344" s="39" t="e">
        <f t="shared" si="251"/>
        <v>#DIV/0!</v>
      </c>
      <c r="M344" s="39" t="e">
        <f>M343+(1000*$C$2*(B344-B343))/(BerechnungenCLT!$W$47*2*'Berechnung freier Bereich'!G344)</f>
        <v>#DIV/0!</v>
      </c>
      <c r="N344" s="17" t="e">
        <f t="shared" si="269"/>
        <v>#DIV/0!</v>
      </c>
      <c r="O344" s="173">
        <f t="shared" si="270"/>
        <v>1380.8275894116871</v>
      </c>
      <c r="P344" s="173"/>
      <c r="Q344" s="173"/>
      <c r="R344" s="37" t="e">
        <f t="shared" si="252"/>
        <v>#DIV/0!</v>
      </c>
      <c r="S344" s="37" t="e">
        <f t="shared" si="253"/>
        <v>#DIV/0!</v>
      </c>
      <c r="T344" s="37" t="e">
        <f t="shared" si="254"/>
        <v>#DIV/0!</v>
      </c>
      <c r="U344" s="39" t="e">
        <f t="shared" si="255"/>
        <v>#DIV/0!</v>
      </c>
      <c r="V344" s="39" t="e">
        <f t="shared" si="271"/>
        <v>#DIV/0!</v>
      </c>
      <c r="W344" s="9" t="e">
        <f t="shared" si="272"/>
        <v>#DIV/0!</v>
      </c>
      <c r="AB344" s="129">
        <v>141.12510556328525</v>
      </c>
      <c r="AC344" s="9">
        <v>6.34375</v>
      </c>
      <c r="AD344" s="129">
        <f t="shared" si="273"/>
        <v>147.95795842391306</v>
      </c>
      <c r="AE344" s="36">
        <f t="shared" si="305"/>
        <v>1.0549296817290509E-2</v>
      </c>
      <c r="AF344" s="37">
        <f t="shared" si="274"/>
        <v>64859330.784942977</v>
      </c>
      <c r="AG344" s="36">
        <f t="shared" si="256"/>
        <v>1.9977671733601656</v>
      </c>
      <c r="AH344" s="37">
        <f t="shared" si="275"/>
        <v>-1.2138670802511757E-4</v>
      </c>
      <c r="AI344" s="37">
        <f t="shared" si="276"/>
        <v>-5.0851907681331569E-2</v>
      </c>
      <c r="AJ344" s="37">
        <f t="shared" si="277"/>
        <v>-8.1575933446988618</v>
      </c>
      <c r="AK344" s="39">
        <f t="shared" si="278"/>
        <v>1.796012949919602E-2</v>
      </c>
      <c r="AL344" s="39">
        <f>AL343+(1000*$C$2*($B344-$B343))/(BerechnungenCLT!$W$47*2*AF344)</f>
        <v>1.464302944068401E-2</v>
      </c>
      <c r="AM344" s="37">
        <f t="shared" si="257"/>
        <v>2.2812131521138257E-6</v>
      </c>
      <c r="AN344" s="173">
        <f t="shared" si="279"/>
        <v>1287.1190719058191</v>
      </c>
      <c r="AO344" s="173">
        <v>-257.28106144382377</v>
      </c>
      <c r="AV344" s="129">
        <v>141.32166013920573</v>
      </c>
      <c r="AW344" s="9">
        <v>6.3125</v>
      </c>
      <c r="AX344" s="129">
        <f t="shared" si="280"/>
        <v>147.92950341465695</v>
      </c>
      <c r="AY344" s="36">
        <f t="shared" si="306"/>
        <v>1.0207835025688807E-2</v>
      </c>
      <c r="AZ344" s="37">
        <f t="shared" si="281"/>
        <v>62830650.084770925</v>
      </c>
      <c r="BA344" s="36">
        <f t="shared" si="258"/>
        <v>1.9979141198081904</v>
      </c>
      <c r="BB344" s="37">
        <f t="shared" si="282"/>
        <v>-1.2530605107656984E-4</v>
      </c>
      <c r="BC344" s="37">
        <f t="shared" si="283"/>
        <v>-4.7418535847616246E-2</v>
      </c>
      <c r="BD344" s="37">
        <f t="shared" si="284"/>
        <v>-7.4935986851564111</v>
      </c>
      <c r="BE344" s="39">
        <f t="shared" si="285"/>
        <v>1.8536461910608617E-2</v>
      </c>
      <c r="BF344" s="39">
        <f>BF343+(1000*$C$2*($B344-$B343))/(BerechnungenCLT!$W$47*2*AZ344)</f>
        <v>1.3650430132178497E-2</v>
      </c>
      <c r="BG344" s="37">
        <f t="shared" si="259"/>
        <v>2.3544162477241747E-6</v>
      </c>
      <c r="BH344" s="173">
        <f t="shared" si="286"/>
        <v>1285.6234769696307</v>
      </c>
      <c r="BI344">
        <v>-258.34876186033824</v>
      </c>
      <c r="BP344" s="129">
        <v>138</v>
      </c>
      <c r="BQ344" s="9">
        <v>6.59375</v>
      </c>
      <c r="BR344" s="129">
        <f t="shared" si="287"/>
        <v>144.78022368612901</v>
      </c>
      <c r="BS344" s="36">
        <f t="shared" si="307"/>
        <v>1.0239808851389094E-2</v>
      </c>
      <c r="BT344" s="37">
        <f t="shared" si="288"/>
        <v>60242170.574552879</v>
      </c>
      <c r="BU344" s="36">
        <f t="shared" si="260"/>
        <v>1.997702393868884</v>
      </c>
      <c r="BV344" s="37">
        <f t="shared" si="289"/>
        <v>-1.3069018884293127E-4</v>
      </c>
      <c r="BW344" s="37">
        <f t="shared" si="290"/>
        <v>-5.3681310154616954E-2</v>
      </c>
      <c r="BX344" s="37">
        <f t="shared" si="291"/>
        <v>-8.4851412703107911</v>
      </c>
      <c r="BY344" s="39">
        <f t="shared" si="292"/>
        <v>1.8921354774262031E-2</v>
      </c>
      <c r="BZ344" s="39">
        <f>BZ343+(1000*$C$2*($B344-$B343))/(BerechnungenCLT!$W$47*2*BT344)</f>
        <v>1.5461019619937956E-2</v>
      </c>
      <c r="CA344" s="37">
        <f t="shared" si="261"/>
        <v>2.4033035713239417E-6</v>
      </c>
      <c r="CB344" s="173">
        <f t="shared" si="293"/>
        <v>1345.1352583589551</v>
      </c>
      <c r="CC344" s="9">
        <v>-258.91295938933195</v>
      </c>
      <c r="CJ344" s="9">
        <f t="shared" si="309"/>
        <v>293</v>
      </c>
      <c r="CK344" s="129">
        <v>141.41580755991833</v>
      </c>
      <c r="CL344" s="9">
        <v>4</v>
      </c>
      <c r="CM344" s="129">
        <f t="shared" si="294"/>
        <v>145.95014406522105</v>
      </c>
      <c r="CN344" s="36">
        <f t="shared" si="308"/>
        <v>6.9590162554372297E-3</v>
      </c>
      <c r="CO344" s="173">
        <f t="shared" si="295"/>
        <v>1302.5470041470164</v>
      </c>
      <c r="CP344" s="9">
        <v>-631.39552608892893</v>
      </c>
      <c r="CQ344" s="129"/>
      <c r="CR344" s="36">
        <f t="shared" si="296"/>
        <v>0.62622105491412539</v>
      </c>
      <c r="CS344" s="17">
        <f t="shared" si="262"/>
        <v>0.45017843085712389</v>
      </c>
      <c r="CT344" s="9">
        <f t="shared" si="263"/>
        <v>5.3312194354369318</v>
      </c>
      <c r="CU344" s="9">
        <f t="shared" si="297"/>
        <v>147.45919328588857</v>
      </c>
      <c r="CV344" s="9">
        <v>7.2</v>
      </c>
      <c r="CW344" s="9">
        <f t="shared" si="298"/>
        <v>149.5776132694632</v>
      </c>
      <c r="CX344">
        <f t="shared" si="299"/>
        <v>12</v>
      </c>
      <c r="CY344" s="9">
        <f t="shared" si="264"/>
        <v>378.16698219591166</v>
      </c>
      <c r="CZ344" s="17">
        <f t="shared" si="300"/>
        <v>0.35608943709596197</v>
      </c>
      <c r="DA344">
        <v>45</v>
      </c>
      <c r="DB344" s="9">
        <f t="shared" si="301"/>
        <v>6.1026814462332117</v>
      </c>
      <c r="DC344" s="9">
        <f t="shared" si="302"/>
        <v>6.7289083702729808</v>
      </c>
    </row>
    <row r="345" spans="2:107" x14ac:dyDescent="0.25">
      <c r="B345" s="9">
        <f t="shared" si="303"/>
        <v>294</v>
      </c>
      <c r="C345" s="9">
        <v>139.86841212468516</v>
      </c>
      <c r="D345" s="9"/>
      <c r="E345" s="9">
        <f t="shared" si="265"/>
        <v>139.86841212468516</v>
      </c>
      <c r="F345" s="36">
        <f t="shared" si="304"/>
        <v>0</v>
      </c>
      <c r="G345" s="37">
        <f t="shared" si="310"/>
        <v>0</v>
      </c>
      <c r="H345" s="36" t="e">
        <f t="shared" si="250"/>
        <v>#DIV/0!</v>
      </c>
      <c r="I345" s="37" t="e">
        <f t="shared" si="266"/>
        <v>#DIV/0!</v>
      </c>
      <c r="J345" s="37" t="e">
        <f t="shared" si="267"/>
        <v>#DIV/0!</v>
      </c>
      <c r="K345" s="37" t="e">
        <f t="shared" si="268"/>
        <v>#DIV/0!</v>
      </c>
      <c r="L345" s="39" t="e">
        <f t="shared" si="251"/>
        <v>#DIV/0!</v>
      </c>
      <c r="M345" s="39" t="e">
        <f>M344+(1000*$C$2*(B345-B344))/(BerechnungenCLT!$W$47*2*'Berechnung freier Bereich'!G345)</f>
        <v>#DIV/0!</v>
      </c>
      <c r="N345" s="17" t="e">
        <f t="shared" si="269"/>
        <v>#DIV/0!</v>
      </c>
      <c r="O345" s="173">
        <f t="shared" si="270"/>
        <v>1374.5632972240267</v>
      </c>
      <c r="P345" s="173"/>
      <c r="Q345" s="173"/>
      <c r="R345" s="37" t="e">
        <f t="shared" si="252"/>
        <v>#DIV/0!</v>
      </c>
      <c r="S345" s="37" t="e">
        <f t="shared" si="253"/>
        <v>#DIV/0!</v>
      </c>
      <c r="T345" s="37" t="e">
        <f t="shared" si="254"/>
        <v>#DIV/0!</v>
      </c>
      <c r="U345" s="39" t="e">
        <f t="shared" si="255"/>
        <v>#DIV/0!</v>
      </c>
      <c r="V345" s="39" t="e">
        <f t="shared" si="271"/>
        <v>#DIV/0!</v>
      </c>
      <c r="W345" s="9" t="e">
        <f t="shared" si="272"/>
        <v>#DIV/0!</v>
      </c>
      <c r="AB345" s="129">
        <v>141.52528592290443</v>
      </c>
      <c r="AC345" s="9">
        <v>6.28125</v>
      </c>
      <c r="AD345" s="129">
        <f t="shared" si="273"/>
        <v>148.17965240009772</v>
      </c>
      <c r="AE345" s="36">
        <f t="shared" si="305"/>
        <v>1.0295831053325854E-2</v>
      </c>
      <c r="AF345" s="37">
        <f t="shared" si="274"/>
        <v>63571632.974873893</v>
      </c>
      <c r="AG345" s="36">
        <f t="shared" si="256"/>
        <v>1.9978912842940719</v>
      </c>
      <c r="AH345" s="37">
        <f t="shared" si="275"/>
        <v>-1.2384549963988101E-4</v>
      </c>
      <c r="AI345" s="37">
        <f t="shared" si="276"/>
        <v>-5.0975753180971452E-2</v>
      </c>
      <c r="AJ345" s="37">
        <f t="shared" si="277"/>
        <v>-8.2085071751300127</v>
      </c>
      <c r="AK345" s="39">
        <f t="shared" si="278"/>
        <v>1.8351383087953997E-2</v>
      </c>
      <c r="AL345" s="39">
        <f>AL344+(1000*$C$2*($B345-$B344))/(BerechnungenCLT!$W$47*2*AF345)</f>
        <v>1.4678833609090688E-2</v>
      </c>
      <c r="AM345" s="37">
        <f t="shared" si="257"/>
        <v>2.3309083857994392E-6</v>
      </c>
      <c r="AN345" s="173">
        <f t="shared" si="279"/>
        <v>1281.5991989365468</v>
      </c>
      <c r="AO345" s="173">
        <v>-258.87087964428167</v>
      </c>
      <c r="AV345" s="129">
        <v>141.63111633231279</v>
      </c>
      <c r="AW345" s="9">
        <v>6.3125</v>
      </c>
      <c r="AX345" s="129">
        <f t="shared" si="280"/>
        <v>148.17210974262451</v>
      </c>
      <c r="AY345" s="36">
        <f t="shared" si="306"/>
        <v>1.0123850456258986E-2</v>
      </c>
      <c r="AZ345" s="37">
        <f t="shared" si="281"/>
        <v>62551024.744659729</v>
      </c>
      <c r="BA345" s="36">
        <f t="shared" si="258"/>
        <v>1.9979638525701768</v>
      </c>
      <c r="BB345" s="37">
        <f t="shared" si="282"/>
        <v>-1.2586621371648356E-4</v>
      </c>
      <c r="BC345" s="37">
        <f t="shared" si="283"/>
        <v>-4.754440206133273E-2</v>
      </c>
      <c r="BD345" s="37">
        <f t="shared" si="284"/>
        <v>-7.5410801541108858</v>
      </c>
      <c r="BE345" s="39">
        <f t="shared" si="285"/>
        <v>1.8649862431687432E-2</v>
      </c>
      <c r="BF345" s="39">
        <f>BF344+(1000*$C$2*($B345-$B344))/(BerechnungenCLT!$W$47*2*AZ345)</f>
        <v>1.3686818496113562E-2</v>
      </c>
      <c r="BG345" s="37">
        <f t="shared" si="259"/>
        <v>2.3688198610251328E-6</v>
      </c>
      <c r="BH345" s="173">
        <f t="shared" si="286"/>
        <v>1280.7300288790832</v>
      </c>
      <c r="BI345">
        <v>-257.43653709683201</v>
      </c>
      <c r="BP345" s="129">
        <v>138.23950055995229</v>
      </c>
      <c r="BQ345" s="9">
        <v>6.59375</v>
      </c>
      <c r="BR345" s="129">
        <f t="shared" si="287"/>
        <v>144.98164653941791</v>
      </c>
      <c r="BS345" s="36">
        <f t="shared" si="307"/>
        <v>1.0198178824682462E-2</v>
      </c>
      <c r="BT345" s="37">
        <f t="shared" si="288"/>
        <v>60184008.45350752</v>
      </c>
      <c r="BU345" s="36">
        <f t="shared" si="260"/>
        <v>1.9977351685009184</v>
      </c>
      <c r="BV345" s="37">
        <f t="shared" si="289"/>
        <v>-1.3081648848262367E-4</v>
      </c>
      <c r="BW345" s="37">
        <f t="shared" si="290"/>
        <v>-5.3812126643099575E-2</v>
      </c>
      <c r="BX345" s="37">
        <f t="shared" si="291"/>
        <v>-8.53888798870965</v>
      </c>
      <c r="BY345" s="39">
        <f t="shared" si="292"/>
        <v>1.8965989894715578E-2</v>
      </c>
      <c r="BZ345" s="39">
        <f>BZ344+(1000*$C$2*($B345-$B344))/(BerechnungenCLT!$W$47*2*BT345)</f>
        <v>1.5498839125673907E-2</v>
      </c>
      <c r="CA345" s="37">
        <f t="shared" si="261"/>
        <v>2.4089729192999338E-6</v>
      </c>
      <c r="CB345" s="173">
        <f t="shared" si="293"/>
        <v>1340.9502604504735</v>
      </c>
      <c r="CC345" s="9">
        <v>-258.10742686998884</v>
      </c>
      <c r="CJ345" s="9">
        <f t="shared" si="309"/>
        <v>294</v>
      </c>
      <c r="CK345" s="129">
        <v>141.94967362126476</v>
      </c>
      <c r="CL345" s="9">
        <v>3.9765625</v>
      </c>
      <c r="CM345" s="129">
        <f t="shared" si="294"/>
        <v>146.37696266228585</v>
      </c>
      <c r="CN345" s="36">
        <f t="shared" si="308"/>
        <v>6.817441748373781E-3</v>
      </c>
      <c r="CO345" s="173">
        <f t="shared" si="295"/>
        <v>1293.881469423854</v>
      </c>
      <c r="CP345" s="9">
        <v>-630.89163282422817</v>
      </c>
      <c r="CQ345" s="129"/>
      <c r="CR345" s="36">
        <f t="shared" si="296"/>
        <v>0.6248341667072338</v>
      </c>
      <c r="CS345" s="17">
        <f t="shared" si="262"/>
        <v>0.44918142324798449</v>
      </c>
      <c r="CT345" s="9">
        <f t="shared" si="263"/>
        <v>5.3117457145656921</v>
      </c>
      <c r="CU345" s="9">
        <f t="shared" si="297"/>
        <v>147.8634832472388</v>
      </c>
      <c r="CV345" s="9">
        <v>7.2</v>
      </c>
      <c r="CW345" s="9">
        <f t="shared" si="298"/>
        <v>149.96576316980119</v>
      </c>
      <c r="CX345">
        <f t="shared" si="299"/>
        <v>12</v>
      </c>
      <c r="CY345" s="9">
        <f t="shared" si="264"/>
        <v>376.7447139217706</v>
      </c>
      <c r="CZ345" s="17">
        <f t="shared" si="300"/>
        <v>0.35475020143292901</v>
      </c>
      <c r="DA345">
        <v>45</v>
      </c>
      <c r="DB345" s="9">
        <f t="shared" si="301"/>
        <v>6.0797295476889071</v>
      </c>
      <c r="DC345" s="9">
        <f t="shared" si="302"/>
        <v>6.7045686253076191</v>
      </c>
    </row>
    <row r="346" spans="2:107" x14ac:dyDescent="0.25">
      <c r="B346" s="9">
        <f t="shared" si="303"/>
        <v>295</v>
      </c>
      <c r="C346" s="9">
        <v>140.16400688921922</v>
      </c>
      <c r="D346" s="9"/>
      <c r="E346" s="9">
        <f t="shared" si="265"/>
        <v>140.16400688921922</v>
      </c>
      <c r="F346" s="36">
        <f t="shared" si="304"/>
        <v>0</v>
      </c>
      <c r="G346" s="37">
        <f t="shared" si="310"/>
        <v>0</v>
      </c>
      <c r="H346" s="36" t="e">
        <f t="shared" si="250"/>
        <v>#DIV/0!</v>
      </c>
      <c r="I346" s="37" t="e">
        <f t="shared" si="266"/>
        <v>#DIV/0!</v>
      </c>
      <c r="J346" s="37" t="e">
        <f t="shared" si="267"/>
        <v>#DIV/0!</v>
      </c>
      <c r="K346" s="37" t="e">
        <f t="shared" si="268"/>
        <v>#DIV/0!</v>
      </c>
      <c r="L346" s="39" t="e">
        <f t="shared" si="251"/>
        <v>#DIV/0!</v>
      </c>
      <c r="M346" s="39" t="e">
        <f>M345+(1000*$C$2*(B346-B345))/(BerechnungenCLT!$W$47*2*'Berechnung freier Bereich'!G346)</f>
        <v>#DIV/0!</v>
      </c>
      <c r="N346" s="17" t="e">
        <f t="shared" si="269"/>
        <v>#DIV/0!</v>
      </c>
      <c r="O346" s="173">
        <f t="shared" si="270"/>
        <v>1368.7717208913728</v>
      </c>
      <c r="P346" s="173"/>
      <c r="Q346" s="173"/>
      <c r="R346" s="37" t="e">
        <f t="shared" si="252"/>
        <v>#DIV/0!</v>
      </c>
      <c r="S346" s="37" t="e">
        <f t="shared" si="253"/>
        <v>#DIV/0!</v>
      </c>
      <c r="T346" s="37" t="e">
        <f t="shared" si="254"/>
        <v>#DIV/0!</v>
      </c>
      <c r="U346" s="39" t="e">
        <f t="shared" si="255"/>
        <v>#DIV/0!</v>
      </c>
      <c r="V346" s="39" t="e">
        <f t="shared" si="271"/>
        <v>#DIV/0!</v>
      </c>
      <c r="W346" s="9" t="e">
        <f t="shared" si="272"/>
        <v>#DIV/0!</v>
      </c>
      <c r="AB346" s="129">
        <v>141.87504556873816</v>
      </c>
      <c r="AC346" s="9">
        <v>6.28125</v>
      </c>
      <c r="AD346" s="129">
        <f t="shared" si="273"/>
        <v>148.42552307701942</v>
      </c>
      <c r="AE346" s="36">
        <f t="shared" si="305"/>
        <v>1.0155928633575147E-2</v>
      </c>
      <c r="AF346" s="37">
        <f t="shared" si="274"/>
        <v>62964762.86766655</v>
      </c>
      <c r="AG346" s="36">
        <f t="shared" si="256"/>
        <v>1.9979649337524248</v>
      </c>
      <c r="AH346" s="37">
        <f t="shared" si="275"/>
        <v>-1.2503915349039359E-4</v>
      </c>
      <c r="AI346" s="37">
        <f t="shared" si="276"/>
        <v>-5.1100792334461846E-2</v>
      </c>
      <c r="AJ346" s="37">
        <f t="shared" si="277"/>
        <v>-8.2595454478877297</v>
      </c>
      <c r="AK346" s="39">
        <f t="shared" si="278"/>
        <v>1.8559001761919387E-2</v>
      </c>
      <c r="AL346" s="39">
        <f>AL345+(1000*$C$2*($B346-$B345))/(BerechnungenCLT!$W$47*2*AF346)</f>
        <v>1.4714982867012991E-2</v>
      </c>
      <c r="AM346" s="37">
        <f t="shared" si="257"/>
        <v>2.3572791561046027E-6</v>
      </c>
      <c r="AN346" s="173">
        <f t="shared" si="279"/>
        <v>1276.345497721047</v>
      </c>
      <c r="AO346" s="173">
        <v>-257.98272845613815</v>
      </c>
      <c r="AV346" s="129">
        <v>141.9026014568511</v>
      </c>
      <c r="AW346" s="9">
        <v>6.28125</v>
      </c>
      <c r="AX346" s="129">
        <f t="shared" si="280"/>
        <v>148.349541471789</v>
      </c>
      <c r="AY346" s="36">
        <f t="shared" si="306"/>
        <v>9.9937356676978919E-3</v>
      </c>
      <c r="AZ346" s="37">
        <f t="shared" si="281"/>
        <v>61937550.579308107</v>
      </c>
      <c r="BA346" s="36">
        <f t="shared" si="258"/>
        <v>1.998028053703965</v>
      </c>
      <c r="BB346" s="37">
        <f t="shared" si="282"/>
        <v>-1.2711288346179124E-4</v>
      </c>
      <c r="BC346" s="37">
        <f t="shared" si="283"/>
        <v>-4.7671514944794519E-2</v>
      </c>
      <c r="BD346" s="37">
        <f t="shared" si="284"/>
        <v>-7.5886881126139496</v>
      </c>
      <c r="BE346" s="39">
        <f t="shared" si="285"/>
        <v>1.8857137976713682E-2</v>
      </c>
      <c r="BF346" s="39">
        <f>BF345+(1000*$C$2*($B346-$B345))/(BerechnungenCLT!$W$47*2*AZ346)</f>
        <v>1.3723567276645421E-2</v>
      </c>
      <c r="BG346" s="37">
        <f t="shared" si="259"/>
        <v>2.3951470486685522E-6</v>
      </c>
      <c r="BH346" s="173">
        <f t="shared" si="286"/>
        <v>1276.7714246507662</v>
      </c>
      <c r="BI346">
        <v>-258.01446388760394</v>
      </c>
      <c r="BP346" s="129">
        <v>138.45284910721611</v>
      </c>
      <c r="BQ346" s="9">
        <v>6.59375</v>
      </c>
      <c r="BR346" s="129">
        <f t="shared" si="287"/>
        <v>145.16325929165896</v>
      </c>
      <c r="BS346" s="36">
        <f t="shared" si="307"/>
        <v>1.0164329976210834E-2</v>
      </c>
      <c r="BT346" s="37">
        <f t="shared" si="288"/>
        <v>60151254.099462681</v>
      </c>
      <c r="BU346" s="36">
        <f t="shared" si="260"/>
        <v>1.9977626610724861</v>
      </c>
      <c r="BV346" s="37">
        <f t="shared" si="289"/>
        <v>-1.3088772240189619E-4</v>
      </c>
      <c r="BW346" s="37">
        <f t="shared" si="290"/>
        <v>-5.3943014365501474E-2</v>
      </c>
      <c r="BX346" s="37">
        <f t="shared" si="291"/>
        <v>-8.5927655592139498</v>
      </c>
      <c r="BY346" s="39">
        <f t="shared" si="292"/>
        <v>1.9000088385121135E-2</v>
      </c>
      <c r="BZ346" s="39">
        <f>BZ345+(1000*$C$2*($B346-$B345))/(BerechnungenCLT!$W$47*2*BT346)</f>
        <v>1.5536679225385815E-2</v>
      </c>
      <c r="CA346" s="37">
        <f t="shared" si="261"/>
        <v>2.4133039529254913E-6</v>
      </c>
      <c r="CB346" s="173">
        <f t="shared" si="293"/>
        <v>1337.2180698782167</v>
      </c>
      <c r="CC346" s="9">
        <v>-257.38905115270455</v>
      </c>
      <c r="CJ346" s="9">
        <f t="shared" si="309"/>
        <v>295</v>
      </c>
      <c r="CK346" s="129">
        <v>142.43910063827531</v>
      </c>
      <c r="CL346" s="9">
        <v>3.953125</v>
      </c>
      <c r="CM346" s="129">
        <f t="shared" si="294"/>
        <v>146.76962409353928</v>
      </c>
      <c r="CN346" s="36">
        <f t="shared" si="308"/>
        <v>6.6888364907128108E-3</v>
      </c>
      <c r="CO346" s="173">
        <f t="shared" si="295"/>
        <v>1286.0008123984605</v>
      </c>
      <c r="CP346" s="9">
        <v>-630.76673688235303</v>
      </c>
      <c r="CQ346" s="129"/>
      <c r="CR346" s="36">
        <f t="shared" si="296"/>
        <v>0.62356314195497831</v>
      </c>
      <c r="CS346" s="17">
        <f t="shared" si="262"/>
        <v>0.44826770767732321</v>
      </c>
      <c r="CT346" s="9">
        <f t="shared" si="263"/>
        <v>5.2912020191901661</v>
      </c>
      <c r="CU346" s="9">
        <f t="shared" si="297"/>
        <v>148.23544516333916</v>
      </c>
      <c r="CV346" s="9">
        <v>7.2</v>
      </c>
      <c r="CW346" s="9">
        <f t="shared" si="298"/>
        <v>150.3264730026454</v>
      </c>
      <c r="CX346">
        <f t="shared" si="299"/>
        <v>12</v>
      </c>
      <c r="CY346" s="9">
        <f t="shared" si="264"/>
        <v>375.45020250824035</v>
      </c>
      <c r="CZ346" s="17">
        <f t="shared" si="300"/>
        <v>0.35353126413205305</v>
      </c>
      <c r="DA346">
        <v>45</v>
      </c>
      <c r="DB346" s="9">
        <f t="shared" si="301"/>
        <v>6.0588393294593441</v>
      </c>
      <c r="DC346" s="9">
        <f t="shared" si="302"/>
        <v>6.6824065570463462</v>
      </c>
    </row>
    <row r="347" spans="2:107" x14ac:dyDescent="0.25">
      <c r="B347" s="9">
        <f t="shared" si="303"/>
        <v>296</v>
      </c>
      <c r="C347" s="9">
        <v>140.43618616489312</v>
      </c>
      <c r="D347" s="9"/>
      <c r="E347" s="9">
        <f t="shared" si="265"/>
        <v>140.43618616489312</v>
      </c>
      <c r="F347" s="36">
        <f t="shared" si="304"/>
        <v>0</v>
      </c>
      <c r="G347" s="37">
        <f t="shared" si="310"/>
        <v>0</v>
      </c>
      <c r="H347" s="36" t="e">
        <f t="shared" si="250"/>
        <v>#DIV/0!</v>
      </c>
      <c r="I347" s="37" t="e">
        <f t="shared" si="266"/>
        <v>#DIV/0!</v>
      </c>
      <c r="J347" s="37" t="e">
        <f t="shared" si="267"/>
        <v>#DIV/0!</v>
      </c>
      <c r="K347" s="37" t="e">
        <f t="shared" si="268"/>
        <v>#DIV/0!</v>
      </c>
      <c r="L347" s="39" t="e">
        <f t="shared" si="251"/>
        <v>#DIV/0!</v>
      </c>
      <c r="M347" s="39" t="e">
        <f>M346+(1000*$C$2*(B347-B346))/(BerechnungenCLT!$W$47*2*'Berechnung freier Bereich'!G347)</f>
        <v>#DIV/0!</v>
      </c>
      <c r="N347" s="17" t="e">
        <f t="shared" si="269"/>
        <v>#DIV/0!</v>
      </c>
      <c r="O347" s="173">
        <f t="shared" si="270"/>
        <v>1363.4712312524209</v>
      </c>
      <c r="P347" s="173"/>
      <c r="Q347" s="173"/>
      <c r="R347" s="37" t="e">
        <f t="shared" si="252"/>
        <v>#DIV/0!</v>
      </c>
      <c r="S347" s="37" t="e">
        <f t="shared" si="253"/>
        <v>#DIV/0!</v>
      </c>
      <c r="T347" s="37" t="e">
        <f t="shared" si="254"/>
        <v>#DIV/0!</v>
      </c>
      <c r="U347" s="39" t="e">
        <f t="shared" si="255"/>
        <v>#DIV/0!</v>
      </c>
      <c r="V347" s="39" t="e">
        <f t="shared" si="271"/>
        <v>#DIV/0!</v>
      </c>
      <c r="W347" s="9" t="e">
        <f t="shared" si="272"/>
        <v>#DIV/0!</v>
      </c>
      <c r="AB347" s="129">
        <v>142.17095322422395</v>
      </c>
      <c r="AC347" s="9">
        <v>6.28125</v>
      </c>
      <c r="AD347" s="129">
        <f t="shared" si="273"/>
        <v>148.63474836469379</v>
      </c>
      <c r="AE347" s="36">
        <f t="shared" si="305"/>
        <v>1.0038973201832196E-2</v>
      </c>
      <c r="AF347" s="37">
        <f t="shared" si="274"/>
        <v>62455505.852112435</v>
      </c>
      <c r="AG347" s="36">
        <f t="shared" si="256"/>
        <v>1.9980252706837531</v>
      </c>
      <c r="AH347" s="37">
        <f t="shared" si="275"/>
        <v>-1.2605871237900002E-4</v>
      </c>
      <c r="AI347" s="37">
        <f t="shared" si="276"/>
        <v>-5.1226851046840848E-2</v>
      </c>
      <c r="AJ347" s="37">
        <f t="shared" si="277"/>
        <v>-8.3107092695783802</v>
      </c>
      <c r="AK347" s="39">
        <f t="shared" si="278"/>
        <v>1.8736704993629977E-2</v>
      </c>
      <c r="AL347" s="39">
        <f>AL346+(1000*$C$2*($B347-$B346))/(BerechnungenCLT!$W$47*2*AF347)</f>
        <v>1.475142688298669E-2</v>
      </c>
      <c r="AM347" s="37">
        <f t="shared" si="257"/>
        <v>2.3798502043461795E-6</v>
      </c>
      <c r="AN347" s="173">
        <f t="shared" si="279"/>
        <v>1271.9152942725614</v>
      </c>
      <c r="AO347" s="173">
        <v>-257.2626413934135</v>
      </c>
      <c r="AV347" s="129">
        <v>142.13380017108443</v>
      </c>
      <c r="AW347" s="9">
        <v>6.28125</v>
      </c>
      <c r="AX347" s="129">
        <f t="shared" si="280"/>
        <v>148.52930628239682</v>
      </c>
      <c r="AY347" s="36">
        <f t="shared" si="306"/>
        <v>9.9280423963677821E-3</v>
      </c>
      <c r="AZ347" s="37">
        <f t="shared" si="281"/>
        <v>61704202.584159374</v>
      </c>
      <c r="BA347" s="36">
        <f t="shared" si="258"/>
        <v>1.9980648496755802</v>
      </c>
      <c r="BB347" s="37">
        <f t="shared" si="282"/>
        <v>-1.2759358875042906E-4</v>
      </c>
      <c r="BC347" s="37">
        <f t="shared" si="283"/>
        <v>-4.7799108533544944E-2</v>
      </c>
      <c r="BD347" s="37">
        <f t="shared" si="284"/>
        <v>-7.6364234243531195</v>
      </c>
      <c r="BE347" s="39">
        <f t="shared" si="285"/>
        <v>1.895138722318266E-2</v>
      </c>
      <c r="BF347" s="39">
        <f>BF346+(1000*$C$2*($B347-$B346))/(BerechnungenCLT!$W$47*2*AZ347)</f>
        <v>1.3760455030762581E-2</v>
      </c>
      <c r="BG347" s="37">
        <f t="shared" si="259"/>
        <v>2.4071181550367702E-6</v>
      </c>
      <c r="BH347" s="173">
        <f t="shared" si="286"/>
        <v>1273.1635670537746</v>
      </c>
      <c r="BI347">
        <v>-257.3949457185991</v>
      </c>
      <c r="BP347" s="129">
        <v>138.64178853033036</v>
      </c>
      <c r="BQ347" s="9">
        <v>6.5625</v>
      </c>
      <c r="BR347" s="129">
        <f t="shared" si="287"/>
        <v>145.29438602322466</v>
      </c>
      <c r="BS347" s="36">
        <f t="shared" si="307"/>
        <v>1.0088132290075208E-2</v>
      </c>
      <c r="BT347" s="37">
        <f t="shared" si="288"/>
        <v>59834499.008153178</v>
      </c>
      <c r="BU347" s="36">
        <f t="shared" si="260"/>
        <v>1.9978059650975033</v>
      </c>
      <c r="BV347" s="37">
        <f t="shared" si="289"/>
        <v>-1.3158062287149081E-4</v>
      </c>
      <c r="BW347" s="37">
        <f t="shared" si="290"/>
        <v>-5.4074594988372963E-2</v>
      </c>
      <c r="BX347" s="37">
        <f t="shared" si="291"/>
        <v>-8.6467743638908878</v>
      </c>
      <c r="BY347" s="39">
        <f t="shared" si="292"/>
        <v>1.911792581266673E-2</v>
      </c>
      <c r="BZ347" s="39">
        <f>BZ346+(1000*$C$2*($B347-$B346))/(BerechnungenCLT!$W$47*2*BT347)</f>
        <v>1.5574719645054238E-2</v>
      </c>
      <c r="CA347" s="37">
        <f t="shared" si="261"/>
        <v>2.4282711217056655E-6</v>
      </c>
      <c r="CB347" s="173">
        <f t="shared" si="293"/>
        <v>1334.2050193823952</v>
      </c>
      <c r="CC347" s="9">
        <v>-258.03199668385054</v>
      </c>
      <c r="CJ347" s="9">
        <f t="shared" si="309"/>
        <v>296</v>
      </c>
      <c r="CK347" s="129">
        <v>142.88637122775415</v>
      </c>
      <c r="CL347" s="9">
        <v>3.9296875</v>
      </c>
      <c r="CM347" s="129">
        <f t="shared" si="294"/>
        <v>147.12965524227332</v>
      </c>
      <c r="CN347" s="36">
        <f t="shared" si="308"/>
        <v>6.5723834484328076E-3</v>
      </c>
      <c r="CO347" s="173">
        <f t="shared" si="295"/>
        <v>1278.851237069734</v>
      </c>
      <c r="CP347" s="9">
        <v>-631.00107591276708</v>
      </c>
      <c r="CQ347" s="129"/>
      <c r="CR347" s="36">
        <f t="shared" si="296"/>
        <v>0.62240182711000758</v>
      </c>
      <c r="CS347" s="17">
        <f t="shared" si="262"/>
        <v>0.44743286047674208</v>
      </c>
      <c r="CT347" s="9">
        <f t="shared" si="263"/>
        <v>5.2696453664304821</v>
      </c>
      <c r="CU347" s="9">
        <f t="shared" si="297"/>
        <v>148.57654428745914</v>
      </c>
      <c r="CV347" s="9">
        <v>7.2</v>
      </c>
      <c r="CW347" s="9">
        <f t="shared" si="298"/>
        <v>150.66094488139402</v>
      </c>
      <c r="CX347">
        <f t="shared" si="299"/>
        <v>12</v>
      </c>
      <c r="CY347" s="9">
        <f t="shared" si="264"/>
        <v>374.27494812986345</v>
      </c>
      <c r="CZ347" s="17">
        <f t="shared" si="300"/>
        <v>0.35242462159120858</v>
      </c>
      <c r="DA347">
        <v>45</v>
      </c>
      <c r="DB347" s="9">
        <f t="shared" si="301"/>
        <v>6.0398736253466305</v>
      </c>
      <c r="DC347" s="9">
        <f t="shared" si="302"/>
        <v>6.6622790027584688</v>
      </c>
    </row>
    <row r="348" spans="2:107" x14ac:dyDescent="0.25">
      <c r="B348" s="9">
        <f t="shared" si="303"/>
        <v>297</v>
      </c>
      <c r="C348" s="9">
        <v>140.6835653704056</v>
      </c>
      <c r="D348" s="9"/>
      <c r="E348" s="9">
        <f t="shared" si="265"/>
        <v>140.6835653704056</v>
      </c>
      <c r="F348" s="36">
        <f t="shared" si="304"/>
        <v>0</v>
      </c>
      <c r="G348" s="37">
        <f t="shared" si="310"/>
        <v>0</v>
      </c>
      <c r="H348" s="36" t="e">
        <f t="shared" si="250"/>
        <v>#DIV/0!</v>
      </c>
      <c r="I348" s="37" t="e">
        <f t="shared" si="266"/>
        <v>#DIV/0!</v>
      </c>
      <c r="J348" s="37" t="e">
        <f t="shared" si="267"/>
        <v>#DIV/0!</v>
      </c>
      <c r="K348" s="37" t="e">
        <f t="shared" si="268"/>
        <v>#DIV/0!</v>
      </c>
      <c r="L348" s="39" t="e">
        <f t="shared" si="251"/>
        <v>#DIV/0!</v>
      </c>
      <c r="M348" s="39" t="e">
        <f>M347+(1000*$C$2*(B348-B347))/(BerechnungenCLT!$W$47*2*'Berechnung freier Bereich'!G348)</f>
        <v>#DIV/0!</v>
      </c>
      <c r="N348" s="17" t="e">
        <f t="shared" si="269"/>
        <v>#DIV/0!</v>
      </c>
      <c r="O348" s="173">
        <f t="shared" si="270"/>
        <v>1358.6803677523553</v>
      </c>
      <c r="P348" s="173"/>
      <c r="Q348" s="173"/>
      <c r="R348" s="37" t="e">
        <f t="shared" si="252"/>
        <v>#DIV/0!</v>
      </c>
      <c r="S348" s="37" t="e">
        <f t="shared" si="253"/>
        <v>#DIV/0!</v>
      </c>
      <c r="T348" s="37" t="e">
        <f t="shared" si="254"/>
        <v>#DIV/0!</v>
      </c>
      <c r="U348" s="39" t="e">
        <f t="shared" si="255"/>
        <v>#DIV/0!</v>
      </c>
      <c r="V348" s="39" t="e">
        <f t="shared" si="271"/>
        <v>#DIV/0!</v>
      </c>
      <c r="W348" s="9" t="e">
        <f t="shared" si="272"/>
        <v>#DIV/0!</v>
      </c>
      <c r="AB348" s="129">
        <v>142.41378736639359</v>
      </c>
      <c r="AC348" s="9">
        <v>6.25</v>
      </c>
      <c r="AD348" s="129">
        <f t="shared" si="273"/>
        <v>148.78005161424454</v>
      </c>
      <c r="AE348" s="36">
        <f t="shared" si="305"/>
        <v>9.9006939824830883E-3</v>
      </c>
      <c r="AF348" s="37">
        <f t="shared" si="274"/>
        <v>61758768.181175016</v>
      </c>
      <c r="AG348" s="36">
        <f t="shared" si="256"/>
        <v>1.9980894708706107</v>
      </c>
      <c r="AH348" s="37">
        <f t="shared" si="275"/>
        <v>-1.2748085625024203E-4</v>
      </c>
      <c r="AI348" s="37">
        <f t="shared" si="276"/>
        <v>-5.1354331903091091E-2</v>
      </c>
      <c r="AJ348" s="37">
        <f t="shared" si="277"/>
        <v>-8.3619998610533468</v>
      </c>
      <c r="AK348" s="39">
        <f t="shared" si="278"/>
        <v>1.8966608372739099E-2</v>
      </c>
      <c r="AL348" s="39">
        <f>AL347+(1000*$C$2*($B348-$B347))/(BerechnungenCLT!$W$47*2*AF348)</f>
        <v>1.4788282045742571E-2</v>
      </c>
      <c r="AM348" s="37">
        <f t="shared" si="257"/>
        <v>2.4090514755376048E-6</v>
      </c>
      <c r="AN348" s="173">
        <f t="shared" si="279"/>
        <v>1268.5268374936288</v>
      </c>
      <c r="AO348" s="173">
        <v>-258.03132929103646</v>
      </c>
      <c r="AV348" s="129">
        <v>142.32540114302859</v>
      </c>
      <c r="AW348" s="9">
        <v>6.25</v>
      </c>
      <c r="AX348" s="129">
        <f t="shared" si="280"/>
        <v>148.65003786993759</v>
      </c>
      <c r="AY348" s="36">
        <f t="shared" si="306"/>
        <v>9.8285785259914615E-3</v>
      </c>
      <c r="AZ348" s="37">
        <f t="shared" si="281"/>
        <v>61216656.087431148</v>
      </c>
      <c r="BA348" s="36">
        <f t="shared" si="258"/>
        <v>1.9981115268795315</v>
      </c>
      <c r="BB348" s="37">
        <f t="shared" si="282"/>
        <v>-1.2860977962356998E-4</v>
      </c>
      <c r="BC348" s="37">
        <f t="shared" si="283"/>
        <v>-4.7927718313168513E-2</v>
      </c>
      <c r="BD348" s="37">
        <f t="shared" si="284"/>
        <v>-7.6842868377764759</v>
      </c>
      <c r="BE348" s="39">
        <f t="shared" si="285"/>
        <v>1.9117848611488006E-2</v>
      </c>
      <c r="BF348" s="39">
        <f>BF347+(1000*$C$2*($B348-$B347))/(BerechnungenCLT!$W$47*2*AZ348)</f>
        <v>1.3797636569226052E-2</v>
      </c>
      <c r="BG348" s="37">
        <f t="shared" si="259"/>
        <v>2.4282613159665553E-6</v>
      </c>
      <c r="BH348" s="173">
        <f t="shared" si="286"/>
        <v>1270.4318105988243</v>
      </c>
      <c r="BI348">
        <v>-258.24021085209961</v>
      </c>
      <c r="BP348" s="129">
        <v>138.80806171783394</v>
      </c>
      <c r="BQ348" s="9">
        <v>6.5625</v>
      </c>
      <c r="BR348" s="129">
        <f t="shared" si="287"/>
        <v>145.4395209810412</v>
      </c>
      <c r="BS348" s="36">
        <f t="shared" si="307"/>
        <v>1.0067106898512713E-2</v>
      </c>
      <c r="BT348" s="37">
        <f t="shared" si="288"/>
        <v>59840559.66845002</v>
      </c>
      <c r="BU348" s="36">
        <f t="shared" si="260"/>
        <v>1.9978246447641248</v>
      </c>
      <c r="BV348" s="37">
        <f t="shared" si="289"/>
        <v>-1.3156729636750603E-4</v>
      </c>
      <c r="BW348" s="37">
        <f t="shared" si="290"/>
        <v>-5.4206162284740469E-2</v>
      </c>
      <c r="BX348" s="37">
        <f t="shared" si="291"/>
        <v>-8.7009147425274449</v>
      </c>
      <c r="BY348" s="39">
        <f t="shared" si="292"/>
        <v>1.9135084560460758E-2</v>
      </c>
      <c r="BZ348" s="39">
        <f>BZ347+(1000*$C$2*($B348-$B347))/(BerechnungenCLT!$W$47*2*BT348)</f>
        <v>1.5612756211983608E-2</v>
      </c>
      <c r="CA348" s="37">
        <f t="shared" si="261"/>
        <v>2.4304505470346036E-6</v>
      </c>
      <c r="CB348" s="173">
        <f t="shared" si="293"/>
        <v>1331.2832374957652</v>
      </c>
      <c r="CC348" s="9">
        <v>-257.46693119306809</v>
      </c>
      <c r="CJ348" s="9">
        <f t="shared" si="309"/>
        <v>297</v>
      </c>
      <c r="CK348" s="129">
        <v>143.29376800650556</v>
      </c>
      <c r="CL348" s="9">
        <v>3.9140625</v>
      </c>
      <c r="CM348" s="129">
        <f t="shared" si="294"/>
        <v>147.46689322566741</v>
      </c>
      <c r="CN348" s="36">
        <f t="shared" si="308"/>
        <v>6.480311141284628E-3</v>
      </c>
      <c r="CO348" s="173">
        <f t="shared" si="295"/>
        <v>1272.3093775397365</v>
      </c>
      <c r="CP348" s="9">
        <v>-630.27932201385511</v>
      </c>
      <c r="CQ348" s="129"/>
      <c r="CR348" s="36">
        <f t="shared" si="296"/>
        <v>0.62131756626692247</v>
      </c>
      <c r="CS348" s="17">
        <f t="shared" si="262"/>
        <v>0.44665340593565067</v>
      </c>
      <c r="CT348" s="9">
        <f t="shared" si="263"/>
        <v>5.2578519917036948</v>
      </c>
      <c r="CU348" s="9">
        <f t="shared" si="297"/>
        <v>148.89962502723506</v>
      </c>
      <c r="CV348" s="9">
        <v>7.2</v>
      </c>
      <c r="CW348" s="9">
        <f t="shared" si="298"/>
        <v>150.97031930786198</v>
      </c>
      <c r="CX348">
        <f t="shared" si="299"/>
        <v>12</v>
      </c>
      <c r="CY348" s="9">
        <f t="shared" si="264"/>
        <v>373.21085155150752</v>
      </c>
      <c r="CZ348" s="17">
        <f t="shared" si="300"/>
        <v>0.35142264741196566</v>
      </c>
      <c r="DA348">
        <v>45</v>
      </c>
      <c r="DB348" s="9">
        <f t="shared" si="301"/>
        <v>6.0227017336917186</v>
      </c>
      <c r="DC348" s="9">
        <f t="shared" si="302"/>
        <v>6.6440220699721761</v>
      </c>
    </row>
    <row r="349" spans="2:107" x14ac:dyDescent="0.25">
      <c r="B349" s="9">
        <f t="shared" si="303"/>
        <v>298</v>
      </c>
      <c r="C349" s="9">
        <v>140.90475992445528</v>
      </c>
      <c r="D349" s="9"/>
      <c r="E349" s="9">
        <f t="shared" si="265"/>
        <v>140.90475992445528</v>
      </c>
      <c r="F349" s="36">
        <f t="shared" si="304"/>
        <v>0</v>
      </c>
      <c r="G349" s="37">
        <f t="shared" si="310"/>
        <v>0</v>
      </c>
      <c r="H349" s="36" t="e">
        <f t="shared" si="250"/>
        <v>#DIV/0!</v>
      </c>
      <c r="I349" s="37" t="e">
        <f t="shared" si="266"/>
        <v>#DIV/0!</v>
      </c>
      <c r="J349" s="37" t="e">
        <f t="shared" si="267"/>
        <v>#DIV/0!</v>
      </c>
      <c r="K349" s="37" t="e">
        <f t="shared" si="268"/>
        <v>#DIV/0!</v>
      </c>
      <c r="L349" s="39" t="e">
        <f t="shared" si="251"/>
        <v>#DIV/0!</v>
      </c>
      <c r="M349" s="39" t="e">
        <f>M348+(1000*$C$2*(B349-B348))/(BerechnungenCLT!$W$47*2*'Berechnung freier Bereich'!G349)</f>
        <v>#DIV/0!</v>
      </c>
      <c r="N349" s="17" t="e">
        <f t="shared" si="269"/>
        <v>#DIV/0!</v>
      </c>
      <c r="O349" s="173">
        <f t="shared" si="270"/>
        <v>1354.4179594749469</v>
      </c>
      <c r="P349" s="173"/>
      <c r="Q349" s="173"/>
      <c r="R349" s="37" t="e">
        <f t="shared" si="252"/>
        <v>#DIV/0!</v>
      </c>
      <c r="S349" s="37" t="e">
        <f t="shared" si="253"/>
        <v>#DIV/0!</v>
      </c>
      <c r="T349" s="37" t="e">
        <f t="shared" si="254"/>
        <v>#DIV/0!</v>
      </c>
      <c r="U349" s="39" t="e">
        <f t="shared" si="255"/>
        <v>#DIV/0!</v>
      </c>
      <c r="V349" s="39" t="e">
        <f t="shared" si="271"/>
        <v>#DIV/0!</v>
      </c>
      <c r="W349" s="9" t="e">
        <f t="shared" si="272"/>
        <v>#DIV/0!</v>
      </c>
      <c r="AB349" s="129">
        <v>142.60756714893219</v>
      </c>
      <c r="AC349" s="9">
        <v>6.25</v>
      </c>
      <c r="AD349" s="129">
        <f t="shared" si="273"/>
        <v>148.92640603042929</v>
      </c>
      <c r="AE349" s="36">
        <f t="shared" si="305"/>
        <v>9.8384174806843052E-3</v>
      </c>
      <c r="AF349" s="37">
        <f t="shared" si="274"/>
        <v>61513247.7961502</v>
      </c>
      <c r="AG349" s="36">
        <f t="shared" si="256"/>
        <v>1.9981221959976434</v>
      </c>
      <c r="AH349" s="37">
        <f t="shared" si="275"/>
        <v>-1.2798967589529759E-4</v>
      </c>
      <c r="AI349" s="37">
        <f t="shared" si="276"/>
        <v>-5.1482321578986391E-2</v>
      </c>
      <c r="AJ349" s="37">
        <f t="shared" si="277"/>
        <v>-8.4134181877943863</v>
      </c>
      <c r="AK349" s="39">
        <f t="shared" si="278"/>
        <v>1.9061042440086138E-2</v>
      </c>
      <c r="AL349" s="39">
        <f>AL348+(1000*$C$2*($B349-$B348))/(BerechnungenCLT!$W$47*2*AF349)</f>
        <v>1.4825284310042821E-2</v>
      </c>
      <c r="AM349" s="37">
        <f t="shared" si="257"/>
        <v>2.4210460570048106E-6</v>
      </c>
      <c r="AN349" s="173">
        <f t="shared" si="279"/>
        <v>1265.5685705310693</v>
      </c>
      <c r="AO349" s="173">
        <v>-257.59252034789796</v>
      </c>
      <c r="AV349" s="129">
        <v>142.48040553335537</v>
      </c>
      <c r="AW349" s="9">
        <v>6.25</v>
      </c>
      <c r="AX349" s="129">
        <f t="shared" si="280"/>
        <v>148.77634477987058</v>
      </c>
      <c r="AY349" s="36">
        <f t="shared" si="306"/>
        <v>9.7934412470187908E-3</v>
      </c>
      <c r="AZ349" s="37">
        <f t="shared" si="281"/>
        <v>61115490.118276164</v>
      </c>
      <c r="BA349" s="36">
        <f t="shared" si="258"/>
        <v>1.9981322242508293</v>
      </c>
      <c r="BB349" s="37">
        <f t="shared" si="282"/>
        <v>-1.2882267054489363E-4</v>
      </c>
      <c r="BC349" s="37">
        <f t="shared" si="283"/>
        <v>-4.8056540983713404E-2</v>
      </c>
      <c r="BD349" s="37">
        <f t="shared" si="284"/>
        <v>-7.732278967424917</v>
      </c>
      <c r="BE349" s="39">
        <f t="shared" si="285"/>
        <v>1.9165766048450772E-2</v>
      </c>
      <c r="BF349" s="39">
        <f>BF348+(1000*$C$2*($B349-$B348))/(BerechnungenCLT!$W$47*2*AZ349)</f>
        <v>1.3834879655201719E-2</v>
      </c>
      <c r="BG349" s="37">
        <f t="shared" si="259"/>
        <v>2.4343475687087725E-6</v>
      </c>
      <c r="BH349" s="173">
        <f t="shared" si="286"/>
        <v>1267.9788941770025</v>
      </c>
      <c r="BI349">
        <v>-257.85443890091403</v>
      </c>
      <c r="BP349" s="129">
        <v>138.95341155826571</v>
      </c>
      <c r="BQ349" s="9">
        <v>6.53125</v>
      </c>
      <c r="BR349" s="129">
        <f t="shared" si="287"/>
        <v>145.53644085384721</v>
      </c>
      <c r="BS349" s="36">
        <f t="shared" si="307"/>
        <v>1.0002103905103083E-2</v>
      </c>
      <c r="BT349" s="37">
        <f t="shared" si="288"/>
        <v>59555036.296652049</v>
      </c>
      <c r="BU349" s="36">
        <f t="shared" si="260"/>
        <v>1.9978599234801995</v>
      </c>
      <c r="BV349" s="37">
        <f t="shared" si="289"/>
        <v>-1.321980664990206E-4</v>
      </c>
      <c r="BW349" s="37">
        <f t="shared" si="290"/>
        <v>-5.4338360351239491E-2</v>
      </c>
      <c r="BX349" s="37">
        <f t="shared" si="291"/>
        <v>-8.7551870038454354</v>
      </c>
      <c r="BY349" s="39">
        <f t="shared" si="292"/>
        <v>1.9239636086027672E-2</v>
      </c>
      <c r="BZ349" s="39">
        <f>BZ348+(1000*$C$2*($B349-$B348))/(BerechnungenCLT!$W$47*2*BT349)</f>
        <v>1.5650975136770794E-2</v>
      </c>
      <c r="CA349" s="37">
        <f t="shared" si="261"/>
        <v>2.4437302015720324E-6</v>
      </c>
      <c r="CB349" s="173">
        <f t="shared" si="293"/>
        <v>1329.0167786158327</v>
      </c>
      <c r="CC349" s="9">
        <v>-258.25840550445173</v>
      </c>
      <c r="CJ349" s="9">
        <f t="shared" si="309"/>
        <v>298</v>
      </c>
      <c r="CK349" s="129">
        <v>143.6635735913338</v>
      </c>
      <c r="CL349" s="9">
        <v>3.890625</v>
      </c>
      <c r="CM349" s="129">
        <f t="shared" si="294"/>
        <v>147.76608637632515</v>
      </c>
      <c r="CN349" s="36">
        <f t="shared" si="308"/>
        <v>6.3853173536983438E-3</v>
      </c>
      <c r="CO349" s="173">
        <f t="shared" si="295"/>
        <v>1266.4747181675227</v>
      </c>
      <c r="CP349" s="9">
        <v>-631.16838748244231</v>
      </c>
      <c r="CQ349" s="129"/>
      <c r="CR349" s="36">
        <f t="shared" si="296"/>
        <v>0.62035847416310719</v>
      </c>
      <c r="CS349" s="17">
        <f t="shared" si="262"/>
        <v>0.44596393282554864</v>
      </c>
      <c r="CT349" s="9">
        <f t="shared" si="263"/>
        <v>5.2344479635602204</v>
      </c>
      <c r="CU349" s="9">
        <f t="shared" si="297"/>
        <v>149.18309544010557</v>
      </c>
      <c r="CV349" s="9">
        <v>7.2</v>
      </c>
      <c r="CW349" s="9">
        <f t="shared" si="298"/>
        <v>151.25569363681177</v>
      </c>
      <c r="CX349">
        <f t="shared" si="299"/>
        <v>12</v>
      </c>
      <c r="CY349" s="9">
        <f t="shared" si="264"/>
        <v>372.25016643298989</v>
      </c>
      <c r="CZ349" s="17">
        <f t="shared" si="300"/>
        <v>0.35051804748869109</v>
      </c>
      <c r="DA349">
        <v>45</v>
      </c>
      <c r="DB349" s="9">
        <f t="shared" si="301"/>
        <v>6.007198647688794</v>
      </c>
      <c r="DC349" s="9">
        <f t="shared" si="302"/>
        <v>6.6275595156519866</v>
      </c>
    </row>
    <row r="350" spans="2:107" x14ac:dyDescent="0.25">
      <c r="B350" s="9">
        <f t="shared" si="303"/>
        <v>299</v>
      </c>
      <c r="C350" s="9">
        <v>141.09838524574087</v>
      </c>
      <c r="D350" s="9"/>
      <c r="E350" s="9">
        <f t="shared" si="265"/>
        <v>141.09838524574087</v>
      </c>
      <c r="F350" s="36">
        <f t="shared" si="304"/>
        <v>0</v>
      </c>
      <c r="G350" s="37">
        <f t="shared" si="310"/>
        <v>0</v>
      </c>
      <c r="H350" s="36" t="e">
        <f t="shared" si="250"/>
        <v>#DIV/0!</v>
      </c>
      <c r="I350" s="37" t="e">
        <f t="shared" si="266"/>
        <v>#DIV/0!</v>
      </c>
      <c r="J350" s="37" t="e">
        <f t="shared" si="267"/>
        <v>#DIV/0!</v>
      </c>
      <c r="K350" s="37" t="e">
        <f t="shared" si="268"/>
        <v>#DIV/0!</v>
      </c>
      <c r="L350" s="39" t="e">
        <f t="shared" si="251"/>
        <v>#DIV/0!</v>
      </c>
      <c r="M350" s="39" t="e">
        <f>M349+(1000*$C$2*(B350-B349))/(BerechnungenCLT!$W$47*2*'Berechnung freier Bereich'!G350)</f>
        <v>#DIV/0!</v>
      </c>
      <c r="N350" s="17" t="e">
        <f t="shared" si="269"/>
        <v>#DIV/0!</v>
      </c>
      <c r="O350" s="173">
        <f t="shared" si="270"/>
        <v>1350.7032511423067</v>
      </c>
      <c r="P350" s="173"/>
      <c r="Q350" s="173"/>
      <c r="R350" s="37" t="e">
        <f t="shared" si="252"/>
        <v>#DIV/0!</v>
      </c>
      <c r="S350" s="37" t="e">
        <f t="shared" si="253"/>
        <v>#DIV/0!</v>
      </c>
      <c r="T350" s="37" t="e">
        <f t="shared" si="254"/>
        <v>#DIV/0!</v>
      </c>
      <c r="U350" s="39" t="e">
        <f t="shared" si="255"/>
        <v>#DIV/0!</v>
      </c>
      <c r="V350" s="39" t="e">
        <f t="shared" si="271"/>
        <v>#DIV/0!</v>
      </c>
      <c r="W350" s="9" t="e">
        <f t="shared" si="272"/>
        <v>#DIV/0!</v>
      </c>
      <c r="AB350" s="129">
        <v>142.75639508698208</v>
      </c>
      <c r="AC350" s="9">
        <v>6.25</v>
      </c>
      <c r="AD350" s="129">
        <f t="shared" si="273"/>
        <v>149.04272505993222</v>
      </c>
      <c r="AE350" s="36">
        <f t="shared" si="305"/>
        <v>9.7967030838668392E-3</v>
      </c>
      <c r="AF350" s="37">
        <f t="shared" si="274"/>
        <v>61363554.693685263</v>
      </c>
      <c r="AG350" s="36">
        <f t="shared" si="256"/>
        <v>1.9981448282604786</v>
      </c>
      <c r="AH350" s="37">
        <f t="shared" si="275"/>
        <v>-1.2830189984913937E-4</v>
      </c>
      <c r="AI350" s="37">
        <f t="shared" si="276"/>
        <v>-5.1610623478835528E-2</v>
      </c>
      <c r="AJ350" s="37">
        <f t="shared" si="277"/>
        <v>-8.4649646603232966</v>
      </c>
      <c r="AK350" s="39">
        <f t="shared" si="278"/>
        <v>1.9122464783882239E-2</v>
      </c>
      <c r="AL350" s="39">
        <f>AL349+(1000*$C$2*($B350-$B349))/(BerechnungenCLT!$W$47*2*AF350)</f>
        <v>1.4862376839383436E-2</v>
      </c>
      <c r="AM350" s="37">
        <f t="shared" si="257"/>
        <v>2.4288476409804491E-6</v>
      </c>
      <c r="AN350" s="173">
        <f t="shared" si="279"/>
        <v>1263.2696656381643</v>
      </c>
      <c r="AO350" s="173">
        <v>-257.27522812997813</v>
      </c>
      <c r="AV350" s="129">
        <v>142.60187398807818</v>
      </c>
      <c r="AW350" s="9">
        <v>6.25</v>
      </c>
      <c r="AX350" s="129">
        <f t="shared" si="280"/>
        <v>148.87769488838177</v>
      </c>
      <c r="AY350" s="36">
        <f t="shared" si="306"/>
        <v>9.7696150971172176E-3</v>
      </c>
      <c r="AZ350" s="37">
        <f t="shared" si="281"/>
        <v>61059896.809891254</v>
      </c>
      <c r="BA350" s="36">
        <f t="shared" si="258"/>
        <v>1.9981469679844133</v>
      </c>
      <c r="BB350" s="37">
        <f t="shared" si="282"/>
        <v>-1.2893995994144909E-4</v>
      </c>
      <c r="BC350" s="37">
        <f t="shared" si="283"/>
        <v>-4.8185480943654851E-2</v>
      </c>
      <c r="BD350" s="37">
        <f t="shared" si="284"/>
        <v>-7.7803999783886013</v>
      </c>
      <c r="BE350" s="39">
        <f t="shared" si="285"/>
        <v>1.9196284015083224E-2</v>
      </c>
      <c r="BF350" s="39">
        <f>BF349+(1000*$C$2*($B350-$B349))/(BerechnungenCLT!$W$47*2*AZ350)</f>
        <v>1.387215664995339E-2</v>
      </c>
      <c r="BG350" s="37">
        <f t="shared" si="259"/>
        <v>2.4382238206512114E-6</v>
      </c>
      <c r="BH350" s="173">
        <f t="shared" si="286"/>
        <v>1266.0410482537782</v>
      </c>
      <c r="BI350">
        <v>-257.56885753350377</v>
      </c>
      <c r="BP350" s="129">
        <v>139.07958094016453</v>
      </c>
      <c r="BQ350" s="9">
        <v>6.53125</v>
      </c>
      <c r="BR350" s="129">
        <f t="shared" si="287"/>
        <v>145.64932569810225</v>
      </c>
      <c r="BS350" s="36">
        <f t="shared" si="307"/>
        <v>9.9903073989289441E-3</v>
      </c>
      <c r="BT350" s="37">
        <f t="shared" si="288"/>
        <v>59584626.129852444</v>
      </c>
      <c r="BU350" s="36">
        <f t="shared" si="260"/>
        <v>1.9978721199246874</v>
      </c>
      <c r="BV350" s="37">
        <f t="shared" si="289"/>
        <v>-1.3213241669988288E-4</v>
      </c>
      <c r="BW350" s="37">
        <f t="shared" si="290"/>
        <v>-5.4470492767939374E-2</v>
      </c>
      <c r="BX350" s="37">
        <f t="shared" si="291"/>
        <v>-8.8095914304050247</v>
      </c>
      <c r="BY350" s="39">
        <f t="shared" si="292"/>
        <v>1.9244997395198606E-2</v>
      </c>
      <c r="BZ350" s="39">
        <f>BZ349+(1000*$C$2*($B350-$B349))/(BerechnungenCLT!$W$47*2*BT350)</f>
        <v>1.5689175081970746E-2</v>
      </c>
      <c r="CA350" s="37">
        <f t="shared" si="261"/>
        <v>2.4444111704366403E-6</v>
      </c>
      <c r="CB350" s="173">
        <f t="shared" si="293"/>
        <v>1326.7860693408318</v>
      </c>
      <c r="CC350" s="9">
        <v>-257.82492759072233</v>
      </c>
      <c r="CJ350" s="9">
        <f t="shared" si="309"/>
        <v>299</v>
      </c>
      <c r="CK350" s="129">
        <v>143.99807059904305</v>
      </c>
      <c r="CL350" s="9">
        <v>3.875</v>
      </c>
      <c r="CM350" s="129">
        <f t="shared" si="294"/>
        <v>148.04533102569445</v>
      </c>
      <c r="CN350" s="36">
        <f t="shared" si="308"/>
        <v>6.3125865110032703E-3</v>
      </c>
      <c r="CO350" s="173">
        <f t="shared" si="295"/>
        <v>1261.1572103202836</v>
      </c>
      <c r="CP350" s="9">
        <v>-631.0526685517442</v>
      </c>
      <c r="CQ350" s="129"/>
      <c r="CR350" s="36">
        <f t="shared" si="296"/>
        <v>0.61946573829637908</v>
      </c>
      <c r="CS350" s="17">
        <f t="shared" si="262"/>
        <v>0.44532216195486363</v>
      </c>
      <c r="CT350" s="9">
        <f t="shared" si="263"/>
        <v>5.2209393527458312</v>
      </c>
      <c r="CU350" s="9">
        <f t="shared" si="297"/>
        <v>149.45110317512439</v>
      </c>
      <c r="CV350" s="9">
        <v>7.2</v>
      </c>
      <c r="CW350" s="9">
        <f t="shared" si="298"/>
        <v>151.51814158533728</v>
      </c>
      <c r="CX350">
        <f t="shared" si="299"/>
        <v>12</v>
      </c>
      <c r="CY350" s="9">
        <f t="shared" si="264"/>
        <v>371.38545646657781</v>
      </c>
      <c r="CZ350" s="17">
        <f t="shared" si="300"/>
        <v>0.34970381964837832</v>
      </c>
      <c r="DA350">
        <v>45</v>
      </c>
      <c r="DB350" s="9">
        <f t="shared" si="301"/>
        <v>5.9932443636903514</v>
      </c>
      <c r="DC350" s="9">
        <f t="shared" si="302"/>
        <v>6.6127120453019845</v>
      </c>
    </row>
    <row r="351" spans="2:107" x14ac:dyDescent="0.25">
      <c r="B351" s="9">
        <f t="shared" si="303"/>
        <v>300</v>
      </c>
      <c r="C351" s="9">
        <v>141.26305675296109</v>
      </c>
      <c r="D351" s="9"/>
      <c r="E351" s="9">
        <f t="shared" si="265"/>
        <v>141.26305675296109</v>
      </c>
      <c r="F351" s="36">
        <f t="shared" si="304"/>
        <v>0</v>
      </c>
      <c r="G351" s="37">
        <f t="shared" si="310"/>
        <v>0</v>
      </c>
      <c r="H351" s="36" t="e">
        <f t="shared" si="250"/>
        <v>#DIV/0!</v>
      </c>
      <c r="I351" s="37" t="e">
        <f t="shared" si="266"/>
        <v>#DIV/0!</v>
      </c>
      <c r="J351" s="37" t="e">
        <f t="shared" si="267"/>
        <v>#DIV/0!</v>
      </c>
      <c r="K351" s="37" t="e">
        <f t="shared" si="268"/>
        <v>#DIV/0!</v>
      </c>
      <c r="L351" s="39" t="e">
        <f t="shared" si="251"/>
        <v>#DIV/0!</v>
      </c>
      <c r="M351" s="39" t="e">
        <f>M350+(1000*$C$2*(B351-B350))/(BerechnungenCLT!$W$47*2*'Berechnung freier Bereich'!G351)</f>
        <v>#DIV/0!</v>
      </c>
      <c r="N351" s="17" t="e">
        <f t="shared" si="269"/>
        <v>#DIV/0!</v>
      </c>
      <c r="O351" s="173">
        <f t="shared" si="270"/>
        <v>1347.5560347998787</v>
      </c>
      <c r="P351" s="173"/>
      <c r="Q351" s="173"/>
      <c r="R351" s="37" t="e">
        <f t="shared" si="252"/>
        <v>#DIV/0!</v>
      </c>
      <c r="S351" s="37" t="e">
        <f t="shared" si="253"/>
        <v>#DIV/0!</v>
      </c>
      <c r="T351" s="37" t="e">
        <f t="shared" si="254"/>
        <v>#DIV/0!</v>
      </c>
      <c r="U351" s="39" t="e">
        <f t="shared" si="255"/>
        <v>#DIV/0!</v>
      </c>
      <c r="V351" s="39" t="e">
        <f t="shared" si="271"/>
        <v>#DIV/0!</v>
      </c>
      <c r="W351" s="9" t="e">
        <f t="shared" si="272"/>
        <v>#DIV/0!</v>
      </c>
      <c r="AB351" s="129">
        <v>142.86437369568571</v>
      </c>
      <c r="AC351" s="9">
        <v>6.21875</v>
      </c>
      <c r="AD351" s="129">
        <f t="shared" si="273"/>
        <v>149.09888060441364</v>
      </c>
      <c r="AE351" s="36">
        <f t="shared" si="305"/>
        <v>9.7214064299027507E-3</v>
      </c>
      <c r="AF351" s="37">
        <f t="shared" si="274"/>
        <v>60959945.341387838</v>
      </c>
      <c r="AG351" s="36">
        <f t="shared" si="256"/>
        <v>1.9981773182125255</v>
      </c>
      <c r="AH351" s="37">
        <f t="shared" si="275"/>
        <v>-1.2915137316160119E-4</v>
      </c>
      <c r="AI351" s="37">
        <f t="shared" si="276"/>
        <v>-5.1739774851997128E-2</v>
      </c>
      <c r="AJ351" s="37">
        <f t="shared" si="277"/>
        <v>-8.5166398594887127</v>
      </c>
      <c r="AK351" s="39">
        <f t="shared" si="278"/>
        <v>1.9256325166917648E-2</v>
      </c>
      <c r="AL351" s="39">
        <f>AL350+(1000*$C$2*($B351-$B350))/(BerechnungenCLT!$W$47*2*AF351)</f>
        <v>1.489971495443871E-2</v>
      </c>
      <c r="AM351" s="37">
        <f t="shared" si="257"/>
        <v>2.4458499719681541E-6</v>
      </c>
      <c r="AN351" s="173">
        <f t="shared" si="279"/>
        <v>1261.8497101363666</v>
      </c>
      <c r="AO351" s="173">
        <v>-258.41239429570965</v>
      </c>
      <c r="AV351" s="129">
        <v>142.69286715321047</v>
      </c>
      <c r="AW351" s="9">
        <v>6.25</v>
      </c>
      <c r="AX351" s="129">
        <f t="shared" si="280"/>
        <v>148.95548637738474</v>
      </c>
      <c r="AY351" s="36">
        <f t="shared" si="306"/>
        <v>9.7547092633820873E-3</v>
      </c>
      <c r="AZ351" s="37">
        <f t="shared" si="281"/>
        <v>61037211.643406779</v>
      </c>
      <c r="BA351" s="36">
        <f t="shared" si="258"/>
        <v>1.9981568840841182</v>
      </c>
      <c r="BB351" s="37">
        <f t="shared" si="282"/>
        <v>-1.2898788192836522E-4</v>
      </c>
      <c r="BC351" s="37">
        <f t="shared" si="283"/>
        <v>-4.8314468825583219E-2</v>
      </c>
      <c r="BD351" s="37">
        <f t="shared" si="284"/>
        <v>-7.8286499532732208</v>
      </c>
      <c r="BE351" s="39">
        <f t="shared" si="285"/>
        <v>1.9213452689428319E-2</v>
      </c>
      <c r="BF351" s="39">
        <f>BF350+(1000*$C$2*($B351-$B350))/(BerechnungenCLT!$W$47*2*AZ351)</f>
        <v>1.3909447499119593E-2</v>
      </c>
      <c r="BG351" s="37">
        <f t="shared" si="259"/>
        <v>2.4404045068050692E-6</v>
      </c>
      <c r="BH351" s="173">
        <f t="shared" si="286"/>
        <v>1264.5760890704685</v>
      </c>
      <c r="BI351">
        <v>-257.37110331885327</v>
      </c>
      <c r="BP351" s="129">
        <v>139.18831275206932</v>
      </c>
      <c r="BQ351" s="9">
        <v>6.53125</v>
      </c>
      <c r="BR351" s="129">
        <f t="shared" si="287"/>
        <v>145.7477687947532</v>
      </c>
      <c r="BS351" s="36">
        <f t="shared" si="307"/>
        <v>9.9819196044796041E-3</v>
      </c>
      <c r="BT351" s="37">
        <f t="shared" si="288"/>
        <v>59621122.860681094</v>
      </c>
      <c r="BU351" s="36">
        <f t="shared" si="260"/>
        <v>1.9978818553323558</v>
      </c>
      <c r="BV351" s="37">
        <f t="shared" si="289"/>
        <v>-1.3205153259346805E-4</v>
      </c>
      <c r="BW351" s="37">
        <f t="shared" si="290"/>
        <v>-5.4602544300532845E-2</v>
      </c>
      <c r="BX351" s="37">
        <f t="shared" si="291"/>
        <v>-8.8641279489392613</v>
      </c>
      <c r="BY351" s="39">
        <f t="shared" si="292"/>
        <v>1.9246216241425598E-2</v>
      </c>
      <c r="BZ351" s="39">
        <f>BZ350+(1000*$C$2*($B351-$B350))/(BerechnungenCLT!$W$47*2*BT351)</f>
        <v>1.5727351643291785E-2</v>
      </c>
      <c r="CA351" s="37">
        <f t="shared" si="261"/>
        <v>2.4445659826858251E-6</v>
      </c>
      <c r="CB351" s="173">
        <f t="shared" si="293"/>
        <v>1324.8573781714751</v>
      </c>
      <c r="CC351" s="9">
        <v>-257.45013871361925</v>
      </c>
      <c r="CJ351" s="9">
        <f t="shared" si="309"/>
        <v>300</v>
      </c>
      <c r="CK351" s="129">
        <v>144.29954164643755</v>
      </c>
      <c r="CL351" s="9">
        <v>3.859375</v>
      </c>
      <c r="CM351" s="129">
        <f t="shared" si="294"/>
        <v>148.29784947057527</v>
      </c>
      <c r="CN351" s="36">
        <f t="shared" si="308"/>
        <v>6.2480640134278086E-3</v>
      </c>
      <c r="CO351" s="173">
        <f t="shared" si="295"/>
        <v>1256.3861053673975</v>
      </c>
      <c r="CP351" s="9">
        <v>-631.21052637352602</v>
      </c>
      <c r="CQ351" s="129"/>
      <c r="CR351" s="36">
        <f t="shared" si="296"/>
        <v>0.61866044205885573</v>
      </c>
      <c r="CS351" s="17">
        <f t="shared" si="262"/>
        <v>0.44474324977403135</v>
      </c>
      <c r="CT351" s="9">
        <f t="shared" si="263"/>
        <v>5.2066557529013444</v>
      </c>
      <c r="CU351" s="9">
        <f t="shared" si="297"/>
        <v>149.69363069827034</v>
      </c>
      <c r="CV351" s="9">
        <v>7.2</v>
      </c>
      <c r="CW351" s="9">
        <f t="shared" si="298"/>
        <v>151.75873292320946</v>
      </c>
      <c r="CX351">
        <f t="shared" si="299"/>
        <v>12</v>
      </c>
      <c r="CY351" s="9">
        <f t="shared" si="264"/>
        <v>370.60955682566015</v>
      </c>
      <c r="CZ351" s="17">
        <f t="shared" si="300"/>
        <v>0.34897321734996251</v>
      </c>
      <c r="DA351">
        <v>45</v>
      </c>
      <c r="DB351" s="9">
        <f t="shared" si="301"/>
        <v>5.980723259083935</v>
      </c>
      <c r="DC351" s="9">
        <f t="shared" si="302"/>
        <v>6.5993852662605521</v>
      </c>
    </row>
    <row r="352" spans="2:107" x14ac:dyDescent="0.25">
      <c r="B352" s="9">
        <f t="shared" si="303"/>
        <v>301</v>
      </c>
      <c r="C352" s="9">
        <v>141.39738986481456</v>
      </c>
      <c r="D352" s="9"/>
      <c r="E352" s="9">
        <f t="shared" si="265"/>
        <v>141.39738986481456</v>
      </c>
      <c r="F352" s="36">
        <f t="shared" si="304"/>
        <v>0</v>
      </c>
      <c r="G352" s="37">
        <f t="shared" si="310"/>
        <v>0</v>
      </c>
      <c r="H352" s="36" t="e">
        <f t="shared" si="250"/>
        <v>#DIV/0!</v>
      </c>
      <c r="I352" s="37" t="e">
        <f t="shared" si="266"/>
        <v>#DIV/0!</v>
      </c>
      <c r="J352" s="37" t="e">
        <f t="shared" si="267"/>
        <v>#DIV/0!</v>
      </c>
      <c r="K352" s="37" t="e">
        <f t="shared" si="268"/>
        <v>#DIV/0!</v>
      </c>
      <c r="L352" s="39" t="e">
        <f t="shared" si="251"/>
        <v>#DIV/0!</v>
      </c>
      <c r="M352" s="39" t="e">
        <f>M351+(1000*$C$2*(B352-B351))/(BerechnungenCLT!$W$47*2*'Berechnung freier Bereich'!G352)</f>
        <v>#DIV/0!</v>
      </c>
      <c r="N352" s="17" t="e">
        <f t="shared" si="269"/>
        <v>#DIV/0!</v>
      </c>
      <c r="O352" s="173">
        <f t="shared" si="270"/>
        <v>1344.9967880276083</v>
      </c>
      <c r="P352" s="173"/>
      <c r="Q352" s="173"/>
      <c r="R352" s="37" t="e">
        <f t="shared" si="252"/>
        <v>#DIV/0!</v>
      </c>
      <c r="S352" s="37" t="e">
        <f t="shared" si="253"/>
        <v>#DIV/0!</v>
      </c>
      <c r="T352" s="37" t="e">
        <f t="shared" si="254"/>
        <v>#DIV/0!</v>
      </c>
      <c r="U352" s="39" t="e">
        <f t="shared" si="255"/>
        <v>#DIV/0!</v>
      </c>
      <c r="V352" s="39" t="e">
        <f t="shared" si="271"/>
        <v>#DIV/0!</v>
      </c>
      <c r="W352" s="9" t="e">
        <f t="shared" si="272"/>
        <v>#DIV/0!</v>
      </c>
      <c r="AB352" s="129">
        <v>142.93560549018542</v>
      </c>
      <c r="AC352" s="9">
        <v>6.21875</v>
      </c>
      <c r="AD352" s="129">
        <f t="shared" si="273"/>
        <v>149.15898361123348</v>
      </c>
      <c r="AE352" s="36">
        <f t="shared" si="305"/>
        <v>9.7084186253303551E-3</v>
      </c>
      <c r="AF352" s="37">
        <f t="shared" si="274"/>
        <v>60933161.558679879</v>
      </c>
      <c r="AG352" s="36">
        <f t="shared" si="256"/>
        <v>1.9981854468109972</v>
      </c>
      <c r="AH352" s="37">
        <f t="shared" si="275"/>
        <v>-1.2920814294387916E-4</v>
      </c>
      <c r="AI352" s="37">
        <f t="shared" si="276"/>
        <v>-5.1868982994941006E-2</v>
      </c>
      <c r="AJ352" s="37">
        <f t="shared" si="277"/>
        <v>-8.5684442384121819</v>
      </c>
      <c r="AK352" s="39">
        <f t="shared" si="278"/>
        <v>1.9272555275803984E-2</v>
      </c>
      <c r="AL352" s="39">
        <f>AL351+(1000*$C$2*($B352-$B351))/(BerechnungenCLT!$W$47*2*AF352)</f>
        <v>1.4937069481837194E-2</v>
      </c>
      <c r="AM352" s="37">
        <f t="shared" si="257"/>
        <v>2.4479114458485849E-6</v>
      </c>
      <c r="AN352" s="173">
        <f t="shared" si="279"/>
        <v>1260.7152315828221</v>
      </c>
      <c r="AO352" s="173">
        <v>-258.29399079648158</v>
      </c>
      <c r="AV352" s="129">
        <v>142.75644567476556</v>
      </c>
      <c r="AW352" s="9">
        <v>6.21875</v>
      </c>
      <c r="AX352" s="129">
        <f t="shared" si="280"/>
        <v>148.97997780627557</v>
      </c>
      <c r="AY352" s="36">
        <f t="shared" si="306"/>
        <v>9.6967541482835019E-3</v>
      </c>
      <c r="AZ352" s="37">
        <f t="shared" si="281"/>
        <v>60710859.472034618</v>
      </c>
      <c r="BA352" s="36">
        <f t="shared" si="258"/>
        <v>1.9981809016835173</v>
      </c>
      <c r="BB352" s="37">
        <f t="shared" si="282"/>
        <v>-1.2968125829816292E-4</v>
      </c>
      <c r="BC352" s="37">
        <f t="shared" si="283"/>
        <v>-4.8444150083881379E-2</v>
      </c>
      <c r="BD352" s="37">
        <f t="shared" si="284"/>
        <v>-7.8770292627279535</v>
      </c>
      <c r="BE352" s="39">
        <f t="shared" si="285"/>
        <v>1.9319910983150203E-2</v>
      </c>
      <c r="BF352" s="39">
        <f>BF351+(1000*$C$2*($B352-$B351))/(BerechnungenCLT!$W$47*2*AZ352)</f>
        <v>1.3946938805826729E-2</v>
      </c>
      <c r="BG352" s="37">
        <f t="shared" si="259"/>
        <v>2.4539263502751193E-6</v>
      </c>
      <c r="BH352" s="173">
        <f t="shared" si="286"/>
        <v>1263.8126990096575</v>
      </c>
      <c r="BI352">
        <v>-258.59657821199528</v>
      </c>
      <c r="BP352" s="129">
        <v>139.28134988251901</v>
      </c>
      <c r="BQ352" s="9">
        <v>6.5</v>
      </c>
      <c r="BR352" s="129">
        <f t="shared" si="287"/>
        <v>145.80164529211427</v>
      </c>
      <c r="BS352" s="36">
        <f t="shared" si="307"/>
        <v>9.9274424807523458E-3</v>
      </c>
      <c r="BT352" s="37">
        <f t="shared" si="288"/>
        <v>59356491.299533777</v>
      </c>
      <c r="BU352" s="36">
        <f t="shared" si="260"/>
        <v>1.9979092060281374</v>
      </c>
      <c r="BV352" s="37">
        <f t="shared" si="289"/>
        <v>-1.3264026353859351E-4</v>
      </c>
      <c r="BW352" s="37">
        <f t="shared" si="290"/>
        <v>-5.4735184564071435E-2</v>
      </c>
      <c r="BX352" s="37">
        <f t="shared" si="291"/>
        <v>-8.9187968133715643</v>
      </c>
      <c r="BY352" s="39">
        <f t="shared" si="292"/>
        <v>1.9339168655906569E-2</v>
      </c>
      <c r="BZ352" s="39">
        <f>BZ351+(1000*$C$2*($B352-$B351))/(BerechnungenCLT!$W$47*2*BT352)</f>
        <v>1.5765698408794378E-2</v>
      </c>
      <c r="CA352" s="37">
        <f t="shared" si="261"/>
        <v>2.4563723714117094E-6</v>
      </c>
      <c r="CB352" s="173">
        <f t="shared" si="293"/>
        <v>1323.4922357068451</v>
      </c>
      <c r="CC352" s="9">
        <v>-258.42132593407246</v>
      </c>
      <c r="CJ352" s="9">
        <f t="shared" si="309"/>
        <v>301</v>
      </c>
      <c r="CK352" s="129">
        <v>144.5702693503215</v>
      </c>
      <c r="CL352" s="9">
        <v>3.84375</v>
      </c>
      <c r="CM352" s="129">
        <f t="shared" si="294"/>
        <v>148.52521220774827</v>
      </c>
      <c r="CN352" s="36">
        <f t="shared" si="308"/>
        <v>6.1908193361196462E-3</v>
      </c>
      <c r="CO352" s="173">
        <f t="shared" si="295"/>
        <v>1252.1194946049043</v>
      </c>
      <c r="CP352" s="9">
        <v>-631.62415665571109</v>
      </c>
      <c r="CQ352" s="129"/>
      <c r="CR352" s="36">
        <f t="shared" si="296"/>
        <v>0.61793698679193887</v>
      </c>
      <c r="CS352" s="17">
        <f t="shared" si="262"/>
        <v>0.44422317151364676</v>
      </c>
      <c r="CT352" s="9">
        <f t="shared" si="263"/>
        <v>5.1916472347484257</v>
      </c>
      <c r="CU352" s="9">
        <f t="shared" si="297"/>
        <v>149.91210171437945</v>
      </c>
      <c r="CV352" s="9">
        <v>7.2</v>
      </c>
      <c r="CW352" s="9">
        <f t="shared" si="298"/>
        <v>151.97855255642824</v>
      </c>
      <c r="CX352">
        <f t="shared" si="299"/>
        <v>12</v>
      </c>
      <c r="CY352" s="9">
        <f t="shared" si="264"/>
        <v>369.91553948165324</v>
      </c>
      <c r="CZ352" s="17">
        <f t="shared" si="300"/>
        <v>0.34831971702603887</v>
      </c>
      <c r="DA352">
        <v>45</v>
      </c>
      <c r="DB352" s="9">
        <f t="shared" si="301"/>
        <v>5.9695235325926355</v>
      </c>
      <c r="DC352" s="9">
        <f t="shared" si="302"/>
        <v>6.5874618694794682</v>
      </c>
    </row>
    <row r="353" spans="2:107" x14ac:dyDescent="0.25">
      <c r="B353" s="9">
        <f t="shared" si="303"/>
        <v>302</v>
      </c>
      <c r="C353" s="9">
        <v>141.5</v>
      </c>
      <c r="D353" s="9"/>
      <c r="E353" s="9">
        <f t="shared" si="265"/>
        <v>141.5</v>
      </c>
      <c r="F353" s="36">
        <f t="shared" si="304"/>
        <v>0</v>
      </c>
      <c r="G353" s="37">
        <f t="shared" si="310"/>
        <v>0</v>
      </c>
      <c r="H353" s="36" t="e">
        <f t="shared" si="250"/>
        <v>#DIV/0!</v>
      </c>
      <c r="I353" s="37" t="e">
        <f t="shared" si="266"/>
        <v>#DIV/0!</v>
      </c>
      <c r="J353" s="37" t="e">
        <f t="shared" si="267"/>
        <v>#DIV/0!</v>
      </c>
      <c r="K353" s="37" t="e">
        <f t="shared" si="268"/>
        <v>#DIV/0!</v>
      </c>
      <c r="L353" s="39" t="e">
        <f t="shared" si="251"/>
        <v>#DIV/0!</v>
      </c>
      <c r="M353" s="39" t="e">
        <f>M352+(1000*$C$2*(B353-B352))/(BerechnungenCLT!$W$47*2*'Berechnung freier Bereich'!G353)</f>
        <v>#DIV/0!</v>
      </c>
      <c r="N353" s="17" t="e">
        <f t="shared" si="269"/>
        <v>#DIV/0!</v>
      </c>
      <c r="O353" s="173">
        <f t="shared" si="270"/>
        <v>1343.0468196534675</v>
      </c>
      <c r="P353" s="173"/>
      <c r="Q353" s="173"/>
      <c r="R353" s="37" t="e">
        <f t="shared" si="252"/>
        <v>#DIV/0!</v>
      </c>
      <c r="S353" s="37" t="e">
        <f t="shared" si="253"/>
        <v>#DIV/0!</v>
      </c>
      <c r="T353" s="37" t="e">
        <f t="shared" si="254"/>
        <v>#DIV/0!</v>
      </c>
      <c r="U353" s="39" t="e">
        <f t="shared" si="255"/>
        <v>#DIV/0!</v>
      </c>
      <c r="V353" s="39" t="e">
        <f t="shared" si="271"/>
        <v>#DIV/0!</v>
      </c>
      <c r="W353" s="9" t="e">
        <f t="shared" si="272"/>
        <v>#DIV/0!</v>
      </c>
      <c r="AB353" s="129">
        <v>142.97419298562357</v>
      </c>
      <c r="AC353" s="9">
        <v>6.21875</v>
      </c>
      <c r="AD353" s="129">
        <f t="shared" si="273"/>
        <v>149.1932567643897</v>
      </c>
      <c r="AE353" s="36">
        <f t="shared" si="305"/>
        <v>9.7041082950958171E-3</v>
      </c>
      <c r="AF353" s="37">
        <f t="shared" si="274"/>
        <v>60936445.3146635</v>
      </c>
      <c r="AG353" s="36">
        <f t="shared" si="256"/>
        <v>1.9981888631448064</v>
      </c>
      <c r="AH353" s="37">
        <f t="shared" si="275"/>
        <v>-1.2920118014829216E-4</v>
      </c>
      <c r="AI353" s="37">
        <f t="shared" si="276"/>
        <v>-5.19981841750893E-2</v>
      </c>
      <c r="AJ353" s="37">
        <f t="shared" si="277"/>
        <v>-8.6203778219971969</v>
      </c>
      <c r="AK353" s="39">
        <f t="shared" si="278"/>
        <v>1.9275944844126321E-2</v>
      </c>
      <c r="AL353" s="39">
        <f>AL352+(1000*$C$2*($B353-$B352))/(BerechnungenCLT!$W$47*2*AF353)</f>
        <v>1.4974421996267048E-2</v>
      </c>
      <c r="AM353" s="37">
        <f t="shared" si="257"/>
        <v>2.4483419732474688E-6</v>
      </c>
      <c r="AN353" s="173">
        <f t="shared" si="279"/>
        <v>1260.0865162624484</v>
      </c>
      <c r="AO353" s="173">
        <v>-258.25262423689935</v>
      </c>
      <c r="AV353" s="129">
        <v>142.79567019875688</v>
      </c>
      <c r="AW353" s="9">
        <v>6.21875</v>
      </c>
      <c r="AX353" s="129">
        <f t="shared" si="280"/>
        <v>149.01541986625327</v>
      </c>
      <c r="AY353" s="36">
        <f t="shared" si="306"/>
        <v>9.6933410352972281E-3</v>
      </c>
      <c r="AZ353" s="37">
        <f t="shared" si="281"/>
        <v>60720512.00506857</v>
      </c>
      <c r="BA353" s="36">
        <f t="shared" si="258"/>
        <v>1.9981840397187036</v>
      </c>
      <c r="BB353" s="37">
        <f t="shared" si="282"/>
        <v>-1.2966064331010907E-4</v>
      </c>
      <c r="BC353" s="37">
        <f t="shared" si="283"/>
        <v>-4.857381072719149E-2</v>
      </c>
      <c r="BD353" s="37">
        <f t="shared" si="284"/>
        <v>-7.9255382431334898</v>
      </c>
      <c r="BE353" s="39">
        <f t="shared" si="285"/>
        <v>1.9321435202984405E-2</v>
      </c>
      <c r="BF353" s="39">
        <f>BF352+(1000*$C$2*($B353-$B352))/(BerechnungenCLT!$W$47*2*AZ353)</f>
        <v>1.39844241526685E-2</v>
      </c>
      <c r="BG353" s="37">
        <f t="shared" si="259"/>
        <v>2.4541199496772094E-6</v>
      </c>
      <c r="BH353" s="173">
        <f t="shared" si="286"/>
        <v>1263.1660306166493</v>
      </c>
      <c r="BI353">
        <v>-258.53531974437288</v>
      </c>
      <c r="BP353" s="129">
        <v>139.36043522005235</v>
      </c>
      <c r="BQ353" s="9">
        <v>6.5</v>
      </c>
      <c r="BR353" s="129">
        <f t="shared" si="287"/>
        <v>145.87495449022248</v>
      </c>
      <c r="BS353" s="36">
        <f t="shared" si="307"/>
        <v>9.9239501814894684E-3</v>
      </c>
      <c r="BT353" s="37">
        <f t="shared" si="288"/>
        <v>59398976.697118819</v>
      </c>
      <c r="BU353" s="36">
        <f t="shared" si="260"/>
        <v>1.9979151336667025</v>
      </c>
      <c r="BV353" s="37">
        <f t="shared" si="289"/>
        <v>-1.3254539196595755E-4</v>
      </c>
      <c r="BW353" s="37">
        <f t="shared" si="290"/>
        <v>-5.4867729956037392E-2</v>
      </c>
      <c r="BX353" s="37">
        <f t="shared" si="291"/>
        <v>-8.9735982706316193</v>
      </c>
      <c r="BY353" s="39">
        <f t="shared" si="292"/>
        <v>1.9335053020922758E-2</v>
      </c>
      <c r="BZ353" s="39">
        <f>BZ352+(1000*$C$2*($B353-$B352))/(BerechnungenCLT!$W$47*2*BT353)</f>
        <v>1.5804017746592503E-2</v>
      </c>
      <c r="CA353" s="37">
        <f t="shared" si="261"/>
        <v>2.4558496223605519E-6</v>
      </c>
      <c r="CB353" s="173">
        <f t="shared" si="293"/>
        <v>1322.0783921792929</v>
      </c>
      <c r="CC353" s="9">
        <v>-258.14526287212465</v>
      </c>
      <c r="CJ353" s="9">
        <f t="shared" si="309"/>
        <v>302</v>
      </c>
      <c r="CK353" s="129">
        <v>144.81253632749909</v>
      </c>
      <c r="CL353" s="9">
        <v>3.8359375</v>
      </c>
      <c r="CM353" s="129">
        <f t="shared" si="294"/>
        <v>148.73701047478605</v>
      </c>
      <c r="CN353" s="36">
        <f t="shared" si="308"/>
        <v>6.152642495696567E-3</v>
      </c>
      <c r="CO353" s="173">
        <f t="shared" si="295"/>
        <v>1248.2489096512554</v>
      </c>
      <c r="CP353" s="9">
        <v>-630.95409034216857</v>
      </c>
      <c r="CQ353" s="129"/>
      <c r="CR353" s="36">
        <f t="shared" si="296"/>
        <v>0.61726443252036789</v>
      </c>
      <c r="CS353" s="17">
        <f t="shared" si="262"/>
        <v>0.44373968501272804</v>
      </c>
      <c r="CT353" s="9">
        <f t="shared" si="263"/>
        <v>5.1867402843042596</v>
      </c>
      <c r="CU353" s="9">
        <f t="shared" si="297"/>
        <v>150.11899091765963</v>
      </c>
      <c r="CV353" s="9">
        <v>7.2</v>
      </c>
      <c r="CW353" s="9">
        <f t="shared" si="298"/>
        <v>152.17871835222348</v>
      </c>
      <c r="CX353">
        <f t="shared" si="299"/>
        <v>12</v>
      </c>
      <c r="CY353" s="9">
        <f t="shared" si="264"/>
        <v>369.29668201368816</v>
      </c>
      <c r="CZ353" s="17">
        <f t="shared" si="300"/>
        <v>0.34773698871345404</v>
      </c>
      <c r="DA353">
        <v>45</v>
      </c>
      <c r="DB353" s="9">
        <f t="shared" si="301"/>
        <v>5.9595367009404292</v>
      </c>
      <c r="DC353" s="9">
        <f t="shared" si="302"/>
        <v>6.5768021233948</v>
      </c>
    </row>
    <row r="354" spans="2:107" x14ac:dyDescent="0.25">
      <c r="B354" s="9">
        <f t="shared" si="303"/>
        <v>303</v>
      </c>
      <c r="C354" s="9">
        <v>141.5704543268933</v>
      </c>
      <c r="D354" s="9"/>
      <c r="E354" s="9">
        <f t="shared" si="265"/>
        <v>141.5704543268933</v>
      </c>
      <c r="F354" s="36">
        <f t="shared" si="304"/>
        <v>0</v>
      </c>
      <c r="G354" s="37">
        <f t="shared" si="310"/>
        <v>0</v>
      </c>
      <c r="H354" s="36" t="e">
        <f t="shared" si="250"/>
        <v>#DIV/0!</v>
      </c>
      <c r="I354" s="37" t="e">
        <f t="shared" si="266"/>
        <v>#DIV/0!</v>
      </c>
      <c r="J354" s="37" t="e">
        <f t="shared" si="267"/>
        <v>#DIV/0!</v>
      </c>
      <c r="K354" s="37" t="e">
        <f t="shared" si="268"/>
        <v>#DIV/0!</v>
      </c>
      <c r="L354" s="39" t="e">
        <f t="shared" si="251"/>
        <v>#DIV/0!</v>
      </c>
      <c r="M354" s="39" t="e">
        <f>M353+(1000*$C$2*(B354-B353))/(BerechnungenCLT!$W$47*2*'Berechnung freier Bereich'!G354)</f>
        <v>#DIV/0!</v>
      </c>
      <c r="N354" s="17" t="e">
        <f t="shared" si="269"/>
        <v>#DIV/0!</v>
      </c>
      <c r="O354" s="173">
        <f t="shared" si="270"/>
        <v>1341.7103838154389</v>
      </c>
      <c r="P354" s="173"/>
      <c r="Q354" s="173"/>
      <c r="R354" s="37" t="e">
        <f t="shared" si="252"/>
        <v>#DIV/0!</v>
      </c>
      <c r="S354" s="37" t="e">
        <f t="shared" si="253"/>
        <v>#DIV/0!</v>
      </c>
      <c r="T354" s="37" t="e">
        <f t="shared" si="254"/>
        <v>#DIV/0!</v>
      </c>
      <c r="U354" s="39" t="e">
        <f t="shared" si="255"/>
        <v>#DIV/0!</v>
      </c>
      <c r="V354" s="39" t="e">
        <f t="shared" si="271"/>
        <v>#DIV/0!</v>
      </c>
      <c r="W354" s="9" t="e">
        <f t="shared" si="272"/>
        <v>#DIV/0!</v>
      </c>
      <c r="AB354" s="129">
        <v>142.98423869714264</v>
      </c>
      <c r="AC354" s="9">
        <v>6.21875</v>
      </c>
      <c r="AD354" s="129">
        <f t="shared" si="273"/>
        <v>149.20363284696302</v>
      </c>
      <c r="AE354" s="36">
        <f t="shared" si="305"/>
        <v>9.705302129375426E-3</v>
      </c>
      <c r="AF354" s="37">
        <f t="shared" si="274"/>
        <v>60952460.973464757</v>
      </c>
      <c r="AG354" s="36">
        <f t="shared" si="256"/>
        <v>1.9981889238633392</v>
      </c>
      <c r="AH354" s="37">
        <f t="shared" si="275"/>
        <v>-1.2916723169100386E-4</v>
      </c>
      <c r="AI354" s="37">
        <f t="shared" si="276"/>
        <v>-5.2127351406780306E-2</v>
      </c>
      <c r="AJ354" s="37">
        <f t="shared" si="277"/>
        <v>-8.6724405897881311</v>
      </c>
      <c r="AK354" s="39">
        <f t="shared" si="278"/>
        <v>1.9272220213083145E-2</v>
      </c>
      <c r="AL354" s="39">
        <f>AL353+(1000*$C$2*($B354-$B353))/(BerechnungenCLT!$W$47*2*AF354)</f>
        <v>1.5011764696078804E-2</v>
      </c>
      <c r="AM354" s="37">
        <f t="shared" si="257"/>
        <v>2.4478688877208388E-6</v>
      </c>
      <c r="AN354" s="173">
        <f t="shared" si="279"/>
        <v>1259.9103807647248</v>
      </c>
      <c r="AO354" s="173">
        <v>-258.27157830162264</v>
      </c>
      <c r="AV354" s="129">
        <v>142.81360137119788</v>
      </c>
      <c r="AW354" s="9">
        <v>6.21875</v>
      </c>
      <c r="AX354" s="129">
        <f t="shared" si="280"/>
        <v>149.0323516539091</v>
      </c>
      <c r="AY354" s="36">
        <f t="shared" si="306"/>
        <v>9.6929414033959469E-3</v>
      </c>
      <c r="AZ354" s="37">
        <f t="shared" si="281"/>
        <v>60732502.152029641</v>
      </c>
      <c r="BA354" s="36">
        <f t="shared" si="258"/>
        <v>1.9981850562457049</v>
      </c>
      <c r="BB354" s="37">
        <f t="shared" si="282"/>
        <v>-1.2963504498774022E-4</v>
      </c>
      <c r="BC354" s="37">
        <f t="shared" si="283"/>
        <v>-4.8703445772179228E-2</v>
      </c>
      <c r="BD354" s="37">
        <f t="shared" si="284"/>
        <v>-7.9741768713831753</v>
      </c>
      <c r="BE354" s="39">
        <f t="shared" si="285"/>
        <v>1.9319815611283226E-2</v>
      </c>
      <c r="BF354" s="39">
        <f>BF353+(1000*$C$2*($B354-$B353))/(BerechnungenCLT!$W$47*2*AZ354)</f>
        <v>1.4021902098945473E-2</v>
      </c>
      <c r="BG354" s="37">
        <f t="shared" si="259"/>
        <v>2.4539142365786513E-6</v>
      </c>
      <c r="BH354" s="173">
        <f t="shared" si="286"/>
        <v>1262.8642613019504</v>
      </c>
      <c r="BI354">
        <v>-258.52226695279018</v>
      </c>
      <c r="BP354" s="129">
        <v>139.42731165320836</v>
      </c>
      <c r="BQ354" s="9">
        <v>6.5</v>
      </c>
      <c r="BR354" s="129">
        <f t="shared" si="287"/>
        <v>145.93764537825172</v>
      </c>
      <c r="BS354" s="36">
        <f t="shared" si="307"/>
        <v>9.9220791228554536E-3</v>
      </c>
      <c r="BT354" s="37">
        <f t="shared" si="288"/>
        <v>59441675.417644098</v>
      </c>
      <c r="BU354" s="36">
        <f t="shared" si="260"/>
        <v>1.9979196986405983</v>
      </c>
      <c r="BV354" s="37">
        <f t="shared" si="289"/>
        <v>-1.3245018067507952E-4</v>
      </c>
      <c r="BW354" s="37">
        <f t="shared" si="290"/>
        <v>-5.500018013671247E-2</v>
      </c>
      <c r="BX354" s="37">
        <f t="shared" si="291"/>
        <v>-9.0285322256779938</v>
      </c>
      <c r="BY354" s="39">
        <f t="shared" si="292"/>
        <v>1.9329467497645123E-2</v>
      </c>
      <c r="BZ354" s="39">
        <f>BZ353+(1000*$C$2*($B354-$B353))/(BerechnungenCLT!$W$47*2*BT354)</f>
        <v>1.5842309558472427E-2</v>
      </c>
      <c r="CA354" s="37">
        <f t="shared" si="261"/>
        <v>2.4551401748500008E-6</v>
      </c>
      <c r="CB354" s="173">
        <f t="shared" si="293"/>
        <v>1320.8781097810545</v>
      </c>
      <c r="CC354" s="9">
        <v>-257.9108991482737</v>
      </c>
      <c r="CJ354" s="9">
        <f t="shared" si="309"/>
        <v>303</v>
      </c>
      <c r="CK354" s="129">
        <v>145.02862519477463</v>
      </c>
      <c r="CL354" s="9">
        <v>3.8203125</v>
      </c>
      <c r="CM354" s="129">
        <f t="shared" si="294"/>
        <v>148.91885579711004</v>
      </c>
      <c r="CN354" s="36">
        <f t="shared" si="308"/>
        <v>6.1072244709842556E-3</v>
      </c>
      <c r="CO354" s="173">
        <f t="shared" si="295"/>
        <v>1244.8715396783671</v>
      </c>
      <c r="CP354" s="9">
        <v>-631.82053356584663</v>
      </c>
      <c r="CQ354" s="129"/>
      <c r="CR354" s="36">
        <f t="shared" si="296"/>
        <v>0.61668804855880954</v>
      </c>
      <c r="CS354" s="17">
        <f t="shared" si="262"/>
        <v>0.44332533352238868</v>
      </c>
      <c r="CT354" s="9">
        <f t="shared" si="263"/>
        <v>5.1704410433477754</v>
      </c>
      <c r="CU354" s="9">
        <f t="shared" si="297"/>
        <v>150.29369394881044</v>
      </c>
      <c r="CV354" s="9">
        <v>7.2</v>
      </c>
      <c r="CW354" s="9">
        <f t="shared" si="298"/>
        <v>152.36039722567912</v>
      </c>
      <c r="CX354">
        <f t="shared" si="299"/>
        <v>12</v>
      </c>
      <c r="CY354" s="9">
        <f t="shared" si="264"/>
        <v>368.74643959362947</v>
      </c>
      <c r="CZ354" s="17">
        <f t="shared" si="300"/>
        <v>0.34721886967385074</v>
      </c>
      <c r="DA354">
        <v>45</v>
      </c>
      <c r="DB354" s="9">
        <f t="shared" si="301"/>
        <v>5.950657146759565</v>
      </c>
      <c r="DC354" s="9">
        <f t="shared" si="302"/>
        <v>6.5673461335152492</v>
      </c>
    </row>
    <row r="355" spans="2:107" x14ac:dyDescent="0.25">
      <c r="B355" s="9">
        <f t="shared" si="303"/>
        <v>304</v>
      </c>
      <c r="C355" s="9">
        <v>141.61212701257909</v>
      </c>
      <c r="D355" s="9"/>
      <c r="E355" s="9">
        <f t="shared" si="265"/>
        <v>141.61212701257909</v>
      </c>
      <c r="F355" s="36">
        <f t="shared" si="304"/>
        <v>0</v>
      </c>
      <c r="G355" s="37">
        <f t="shared" si="310"/>
        <v>0</v>
      </c>
      <c r="H355" s="36" t="e">
        <f t="shared" si="250"/>
        <v>#DIV/0!</v>
      </c>
      <c r="I355" s="37" t="e">
        <f t="shared" si="266"/>
        <v>#DIV/0!</v>
      </c>
      <c r="J355" s="37" t="e">
        <f t="shared" si="267"/>
        <v>#DIV/0!</v>
      </c>
      <c r="K355" s="37" t="e">
        <f t="shared" si="268"/>
        <v>#DIV/0!</v>
      </c>
      <c r="L355" s="39" t="e">
        <f t="shared" si="251"/>
        <v>#DIV/0!</v>
      </c>
      <c r="M355" s="39" t="e">
        <f>M354+(1000*$C$2*(B355-B354))/(BerechnungenCLT!$W$47*2*'Berechnung freier Bereich'!G355)</f>
        <v>#DIV/0!</v>
      </c>
      <c r="N355" s="17" t="e">
        <f t="shared" si="269"/>
        <v>#DIV/0!</v>
      </c>
      <c r="O355" s="173">
        <f t="shared" si="270"/>
        <v>1340.9208405824088</v>
      </c>
      <c r="P355" s="173"/>
      <c r="Q355" s="173"/>
      <c r="R355" s="37" t="e">
        <f t="shared" si="252"/>
        <v>#DIV/0!</v>
      </c>
      <c r="S355" s="37" t="e">
        <f t="shared" si="253"/>
        <v>#DIV/0!</v>
      </c>
      <c r="T355" s="37" t="e">
        <f t="shared" si="254"/>
        <v>#DIV/0!</v>
      </c>
      <c r="U355" s="39" t="e">
        <f t="shared" si="255"/>
        <v>#DIV/0!</v>
      </c>
      <c r="V355" s="39" t="e">
        <f t="shared" si="271"/>
        <v>#DIV/0!</v>
      </c>
      <c r="W355" s="9" t="e">
        <f t="shared" si="272"/>
        <v>#DIV/0!</v>
      </c>
      <c r="AB355" s="129">
        <v>142.96984513988494</v>
      </c>
      <c r="AC355" s="9">
        <v>6.21875</v>
      </c>
      <c r="AD355" s="129">
        <f t="shared" si="273"/>
        <v>149.19234452061193</v>
      </c>
      <c r="AE355" s="36">
        <f t="shared" si="305"/>
        <v>9.7092943365692432E-3</v>
      </c>
      <c r="AF355" s="37">
        <f t="shared" si="274"/>
        <v>60966846.990124963</v>
      </c>
      <c r="AG355" s="36">
        <f t="shared" si="256"/>
        <v>1.9981867976542695</v>
      </c>
      <c r="AH355" s="37">
        <f t="shared" si="275"/>
        <v>-1.2913675279896996E-4</v>
      </c>
      <c r="AI355" s="37">
        <f t="shared" si="276"/>
        <v>-5.2256488159579277E-2</v>
      </c>
      <c r="AJ355" s="37">
        <f t="shared" si="277"/>
        <v>-8.7246325095713111</v>
      </c>
      <c r="AK355" s="39">
        <f t="shared" si="278"/>
        <v>1.9266214913857022E-2</v>
      </c>
      <c r="AL355" s="39">
        <f>AL354+(1000*$C$2*($B355-$B354))/(BerechnungenCLT!$W$47*2*AF355)</f>
        <v>1.5049098584335951E-2</v>
      </c>
      <c r="AM355" s="37">
        <f t="shared" si="257"/>
        <v>2.4471061221974821E-6</v>
      </c>
      <c r="AN355" s="173">
        <f t="shared" si="279"/>
        <v>1260.1318898787154</v>
      </c>
      <c r="AO355" s="173">
        <v>-258.33316126252163</v>
      </c>
      <c r="AV355" s="129">
        <v>142.81329983810187</v>
      </c>
      <c r="AW355" s="9">
        <v>6.21875</v>
      </c>
      <c r="AX355" s="129">
        <f t="shared" si="280"/>
        <v>149.03279427763204</v>
      </c>
      <c r="AY355" s="36">
        <f t="shared" si="306"/>
        <v>9.6941059802826985E-3</v>
      </c>
      <c r="AZ355" s="37">
        <f t="shared" si="281"/>
        <v>60739864.273464046</v>
      </c>
      <c r="BA355" s="36">
        <f t="shared" si="258"/>
        <v>1.9981846239048511</v>
      </c>
      <c r="BB355" s="37">
        <f t="shared" si="282"/>
        <v>-1.2961933226011448E-4</v>
      </c>
      <c r="BC355" s="37">
        <f t="shared" si="283"/>
        <v>-4.8833065104439341E-2</v>
      </c>
      <c r="BD355" s="37">
        <f t="shared" si="284"/>
        <v>-8.0229451268214849</v>
      </c>
      <c r="BE355" s="39">
        <f t="shared" si="285"/>
        <v>1.9317531279125673E-2</v>
      </c>
      <c r="BF355" s="39">
        <f>BF354+(1000*$C$2*($B355-$B354))/(BerechnungenCLT!$W$47*2*AZ355)</f>
        <v>1.4059375502617768E-2</v>
      </c>
      <c r="BG355" s="37">
        <f t="shared" si="259"/>
        <v>2.4536240912006993E-6</v>
      </c>
      <c r="BH355" s="173">
        <f t="shared" si="286"/>
        <v>1262.8630402592783</v>
      </c>
      <c r="BI355">
        <v>-258.54288415031016</v>
      </c>
      <c r="BP355" s="129">
        <v>139.48372207052586</v>
      </c>
      <c r="BQ355" s="9">
        <v>6.5</v>
      </c>
      <c r="BR355" s="129">
        <f t="shared" si="287"/>
        <v>145.99110862580562</v>
      </c>
      <c r="BS355" s="36">
        <f t="shared" si="307"/>
        <v>9.9214060411603588E-3</v>
      </c>
      <c r="BT355" s="37">
        <f t="shared" si="288"/>
        <v>59483370.478387438</v>
      </c>
      <c r="BU355" s="36">
        <f t="shared" si="260"/>
        <v>1.9979231785461411</v>
      </c>
      <c r="BV355" s="37">
        <f t="shared" si="289"/>
        <v>-1.3235733929295372E-4</v>
      </c>
      <c r="BW355" s="37">
        <f t="shared" si="290"/>
        <v>-5.5132537476005425E-2</v>
      </c>
      <c r="BX355" s="37">
        <f t="shared" si="291"/>
        <v>-9.0835985844843528</v>
      </c>
      <c r="BY355" s="39">
        <f t="shared" si="292"/>
        <v>1.9322994698140219E-2</v>
      </c>
      <c r="BZ355" s="39">
        <f>BZ354+(1000*$C$2*($B355-$B354))/(BerechnungenCLT!$W$47*2*BT355)</f>
        <v>1.5880574529583084E-2</v>
      </c>
      <c r="CA355" s="37">
        <f t="shared" si="261"/>
        <v>2.454318029588618E-6</v>
      </c>
      <c r="CB355" s="173">
        <f t="shared" si="293"/>
        <v>1319.8615452760541</v>
      </c>
      <c r="CC355" s="9">
        <v>-257.71240765720773</v>
      </c>
      <c r="CJ355" s="9">
        <f t="shared" si="309"/>
        <v>304</v>
      </c>
      <c r="CK355" s="129">
        <v>145.22081856895232</v>
      </c>
      <c r="CL355" s="9">
        <v>3.8203125</v>
      </c>
      <c r="CM355" s="129">
        <f t="shared" si="294"/>
        <v>149.09631369087884</v>
      </c>
      <c r="CN355" s="36">
        <f t="shared" si="308"/>
        <v>6.0917424239642949E-3</v>
      </c>
      <c r="CO355" s="173">
        <f t="shared" si="295"/>
        <v>1241.7464795606593</v>
      </c>
      <c r="CP355" s="9">
        <v>-630.23444448913301</v>
      </c>
      <c r="CQ355" s="129"/>
      <c r="CR355" s="36">
        <f t="shared" si="296"/>
        <v>0.61612651005388419</v>
      </c>
      <c r="CS355" s="17">
        <f t="shared" si="262"/>
        <v>0.44292165414905971</v>
      </c>
      <c r="CT355" s="9">
        <f t="shared" si="263"/>
        <v>5.1751533900588953</v>
      </c>
      <c r="CU355" s="9">
        <f t="shared" si="297"/>
        <v>150.47072462202905</v>
      </c>
      <c r="CV355" s="9">
        <v>7.2</v>
      </c>
      <c r="CW355" s="9">
        <f t="shared" si="298"/>
        <v>152.52481919138071</v>
      </c>
      <c r="CX355">
        <f t="shared" si="299"/>
        <v>12</v>
      </c>
      <c r="CY355" s="9">
        <f t="shared" si="264"/>
        <v>368.25841987896399</v>
      </c>
      <c r="CZ355" s="17">
        <f t="shared" si="300"/>
        <v>0.34675934075232012</v>
      </c>
      <c r="DA355">
        <v>45</v>
      </c>
      <c r="DB355" s="9">
        <f t="shared" si="301"/>
        <v>5.9427817134237637</v>
      </c>
      <c r="DC355" s="9">
        <f t="shared" si="302"/>
        <v>6.5589088304734897</v>
      </c>
    </row>
    <row r="356" spans="2:107" x14ac:dyDescent="0.25">
      <c r="B356" s="9">
        <f t="shared" si="303"/>
        <v>305</v>
      </c>
      <c r="C356" s="9">
        <v>141.62934397381923</v>
      </c>
      <c r="D356" s="9"/>
      <c r="E356" s="9">
        <f t="shared" si="265"/>
        <v>141.62934397381923</v>
      </c>
      <c r="F356" s="36">
        <f t="shared" si="304"/>
        <v>0</v>
      </c>
      <c r="G356" s="37">
        <f t="shared" si="310"/>
        <v>0</v>
      </c>
      <c r="H356" s="36" t="e">
        <f t="shared" si="250"/>
        <v>#DIV/0!</v>
      </c>
      <c r="I356" s="37" t="e">
        <f t="shared" si="266"/>
        <v>#DIV/0!</v>
      </c>
      <c r="J356" s="37" t="e">
        <f t="shared" si="267"/>
        <v>#DIV/0!</v>
      </c>
      <c r="K356" s="37" t="e">
        <f t="shared" si="268"/>
        <v>#DIV/0!</v>
      </c>
      <c r="L356" s="39" t="e">
        <f t="shared" si="251"/>
        <v>#DIV/0!</v>
      </c>
      <c r="M356" s="39" t="e">
        <f>M355+(1000*$C$2*(B356-B355))/(BerechnungenCLT!$W$47*2*'Berechnung freier Bereich'!G356)</f>
        <v>#DIV/0!</v>
      </c>
      <c r="N356" s="17" t="e">
        <f t="shared" si="269"/>
        <v>#DIV/0!</v>
      </c>
      <c r="O356" s="173">
        <f t="shared" si="270"/>
        <v>1340.5948462898755</v>
      </c>
      <c r="P356" s="173"/>
      <c r="Q356" s="173"/>
      <c r="R356" s="37" t="e">
        <f t="shared" si="252"/>
        <v>#DIV/0!</v>
      </c>
      <c r="S356" s="37" t="e">
        <f t="shared" si="253"/>
        <v>#DIV/0!</v>
      </c>
      <c r="T356" s="37" t="e">
        <f t="shared" si="254"/>
        <v>#DIV/0!</v>
      </c>
      <c r="U356" s="39" t="e">
        <f t="shared" si="255"/>
        <v>#DIV/0!</v>
      </c>
      <c r="V356" s="39" t="e">
        <f t="shared" si="271"/>
        <v>#DIV/0!</v>
      </c>
      <c r="W356" s="9" t="e">
        <f t="shared" si="272"/>
        <v>#DIV/0!</v>
      </c>
      <c r="AB356" s="129">
        <v>142.93511482899282</v>
      </c>
      <c r="AC356" s="9">
        <v>6.21875</v>
      </c>
      <c r="AD356" s="129">
        <f t="shared" si="273"/>
        <v>149.16193583641086</v>
      </c>
      <c r="AE356" s="36">
        <f t="shared" si="305"/>
        <v>9.7138713605790898E-3</v>
      </c>
      <c r="AF356" s="37">
        <f t="shared" si="274"/>
        <v>60968442.414222926</v>
      </c>
      <c r="AG356" s="36">
        <f t="shared" si="256"/>
        <v>1.9981834705320947</v>
      </c>
      <c r="AH356" s="37">
        <f t="shared" si="275"/>
        <v>-1.2913337354440499E-4</v>
      </c>
      <c r="AI356" s="37">
        <f t="shared" si="276"/>
        <v>-5.2385621533123684E-2</v>
      </c>
      <c r="AJ356" s="37">
        <f t="shared" si="277"/>
        <v>-8.7769535644176617</v>
      </c>
      <c r="AK356" s="39">
        <f t="shared" si="278"/>
        <v>1.9261783978969813E-2</v>
      </c>
      <c r="AL356" s="39">
        <f>AL355+(1000*$C$2*($B356-$B355))/(BerechnungenCLT!$W$47*2*AF356)</f>
        <v>1.508643149563875E-2</v>
      </c>
      <c r="AM356" s="37">
        <f t="shared" si="257"/>
        <v>2.4465433252008723E-6</v>
      </c>
      <c r="AN356" s="173">
        <f t="shared" si="279"/>
        <v>1260.6939830414501</v>
      </c>
      <c r="AO356" s="173">
        <v>-258.41865060492739</v>
      </c>
      <c r="AV356" s="129">
        <v>142.7978262454823</v>
      </c>
      <c r="AW356" s="9">
        <v>6.21875</v>
      </c>
      <c r="AX356" s="129">
        <f t="shared" si="280"/>
        <v>149.01894182024577</v>
      </c>
      <c r="AY356" s="36">
        <f t="shared" si="306"/>
        <v>9.6956584237614905E-3</v>
      </c>
      <c r="AZ356" s="37">
        <f t="shared" si="281"/>
        <v>60737403.070747077</v>
      </c>
      <c r="BA356" s="36">
        <f t="shared" si="258"/>
        <v>1.9981833132255216</v>
      </c>
      <c r="BB356" s="37">
        <f t="shared" si="282"/>
        <v>-1.296245846982597E-4</v>
      </c>
      <c r="BC356" s="37">
        <f t="shared" si="283"/>
        <v>-4.8962689689137598E-2</v>
      </c>
      <c r="BD356" s="37">
        <f t="shared" si="284"/>
        <v>-8.0718430042182732</v>
      </c>
      <c r="BE356" s="39">
        <f t="shared" si="285"/>
        <v>1.9316518445623484E-2</v>
      </c>
      <c r="BF356" s="39">
        <f>BF355+(1000*$C$2*($B356-$B355))/(BerechnungenCLT!$W$47*2*AZ356)</f>
        <v>1.4096850424788357E-2</v>
      </c>
      <c r="BG356" s="37">
        <f t="shared" si="259"/>
        <v>2.4534954457415331E-6</v>
      </c>
      <c r="BH356" s="173">
        <f t="shared" si="286"/>
        <v>1263.1168751969697</v>
      </c>
      <c r="BI356">
        <v>-258.58198657661069</v>
      </c>
      <c r="BP356" s="129">
        <v>139.53140936054376</v>
      </c>
      <c r="BQ356" s="9">
        <v>6.5</v>
      </c>
      <c r="BR356" s="129">
        <f t="shared" si="287"/>
        <v>146.03679258944979</v>
      </c>
      <c r="BS356" s="36">
        <f t="shared" si="307"/>
        <v>9.9215957245602886E-3</v>
      </c>
      <c r="BT356" s="37">
        <f t="shared" si="288"/>
        <v>59523386.463981263</v>
      </c>
      <c r="BU356" s="36">
        <f t="shared" si="260"/>
        <v>1.9979258120598264</v>
      </c>
      <c r="BV356" s="37">
        <f t="shared" si="289"/>
        <v>-1.3226835898291056E-4</v>
      </c>
      <c r="BW356" s="37">
        <f t="shared" si="290"/>
        <v>-5.5264805834988336E-2</v>
      </c>
      <c r="BX356" s="37">
        <f t="shared" si="291"/>
        <v>-9.1387972561398492</v>
      </c>
      <c r="BY356" s="39">
        <f t="shared" si="292"/>
        <v>1.9316046906934198E-2</v>
      </c>
      <c r="BZ356" s="39">
        <f>BZ355+(1000*$C$2*($B356-$B355))/(BerechnungenCLT!$W$47*2*BT356)</f>
        <v>1.5918813776173955E-2</v>
      </c>
      <c r="CA356" s="37">
        <f t="shared" si="261"/>
        <v>2.453435553063155E-6</v>
      </c>
      <c r="CB356" s="173">
        <f t="shared" si="293"/>
        <v>1318.998585190923</v>
      </c>
      <c r="CC356" s="9">
        <v>-257.54390852785036</v>
      </c>
      <c r="CJ356" s="9">
        <f t="shared" si="309"/>
        <v>305</v>
      </c>
      <c r="CK356" s="129">
        <v>145.39139906683639</v>
      </c>
      <c r="CL356" s="9">
        <v>3.8046875</v>
      </c>
      <c r="CM356" s="129">
        <f t="shared" si="294"/>
        <v>149.23935970323294</v>
      </c>
      <c r="CN356" s="36">
        <f t="shared" si="308"/>
        <v>6.0549073060183131E-3</v>
      </c>
      <c r="CO356" s="173">
        <f t="shared" si="295"/>
        <v>1239.1042751964155</v>
      </c>
      <c r="CP356" s="9">
        <v>-631.47614794493825</v>
      </c>
      <c r="CQ356" s="129"/>
      <c r="CR356" s="36">
        <f t="shared" si="296"/>
        <v>0.61567453654829385</v>
      </c>
      <c r="CS356" s="17">
        <f t="shared" si="262"/>
        <v>0.44259673897423601</v>
      </c>
      <c r="CT356" s="9">
        <f t="shared" si="263"/>
        <v>5.1577707176303544</v>
      </c>
      <c r="CU356" s="9">
        <f t="shared" si="297"/>
        <v>150.60783239887755</v>
      </c>
      <c r="CV356" s="9">
        <v>7.2</v>
      </c>
      <c r="CW356" s="9">
        <f t="shared" si="298"/>
        <v>152.67328925678106</v>
      </c>
      <c r="CX356">
        <f t="shared" si="299"/>
        <v>12</v>
      </c>
      <c r="CY356" s="9">
        <f t="shared" si="264"/>
        <v>367.82636058923896</v>
      </c>
      <c r="CZ356" s="17">
        <f t="shared" si="300"/>
        <v>0.34635250526293693</v>
      </c>
      <c r="DA356">
        <v>45</v>
      </c>
      <c r="DB356" s="9">
        <f t="shared" si="301"/>
        <v>5.9358093431872954</v>
      </c>
      <c r="DC356" s="9">
        <f t="shared" si="302"/>
        <v>6.5514844763263183</v>
      </c>
    </row>
    <row r="357" spans="2:107" x14ac:dyDescent="0.25">
      <c r="B357" s="9">
        <f t="shared" si="303"/>
        <v>306</v>
      </c>
      <c r="C357" s="9">
        <v>141.62643112737558</v>
      </c>
      <c r="D357" s="9"/>
      <c r="E357" s="9">
        <f t="shared" si="265"/>
        <v>141.62643112737558</v>
      </c>
      <c r="F357" s="36">
        <f t="shared" si="304"/>
        <v>0</v>
      </c>
      <c r="G357" s="37">
        <f t="shared" si="310"/>
        <v>0</v>
      </c>
      <c r="H357" s="36" t="e">
        <f t="shared" si="250"/>
        <v>#DIV/0!</v>
      </c>
      <c r="I357" s="37" t="e">
        <f t="shared" si="266"/>
        <v>#DIV/0!</v>
      </c>
      <c r="J357" s="37" t="e">
        <f t="shared" si="267"/>
        <v>#DIV/0!</v>
      </c>
      <c r="K357" s="37" t="e">
        <f t="shared" si="268"/>
        <v>#DIV/0!</v>
      </c>
      <c r="L357" s="39" t="e">
        <f t="shared" si="251"/>
        <v>#DIV/0!</v>
      </c>
      <c r="M357" s="39" t="e">
        <f>M356+(1000*$C$2*(B357-B356))/(BerechnungenCLT!$W$47*2*'Berechnung freier Bereich'!G357)</f>
        <v>#DIV/0!</v>
      </c>
      <c r="N357" s="17" t="e">
        <f t="shared" si="269"/>
        <v>#DIV/0!</v>
      </c>
      <c r="O357" s="173">
        <f t="shared" si="270"/>
        <v>1340.6499911813489</v>
      </c>
      <c r="P357" s="173"/>
      <c r="Q357" s="173"/>
      <c r="R357" s="37" t="e">
        <f t="shared" si="252"/>
        <v>#DIV/0!</v>
      </c>
      <c r="S357" s="37" t="e">
        <f t="shared" si="253"/>
        <v>#DIV/0!</v>
      </c>
      <c r="T357" s="37" t="e">
        <f t="shared" si="254"/>
        <v>#DIV/0!</v>
      </c>
      <c r="U357" s="39" t="e">
        <f t="shared" si="255"/>
        <v>#DIV/0!</v>
      </c>
      <c r="V357" s="39" t="e">
        <f t="shared" si="271"/>
        <v>#DIV/0!</v>
      </c>
      <c r="W357" s="9" t="e">
        <f t="shared" si="272"/>
        <v>#DIV/0!</v>
      </c>
      <c r="AB357" s="129">
        <v>142.88415027960875</v>
      </c>
      <c r="AC357" s="9">
        <v>6.21875</v>
      </c>
      <c r="AD357" s="129">
        <f t="shared" si="273"/>
        <v>149.1152668396301</v>
      </c>
      <c r="AE357" s="36">
        <f t="shared" si="305"/>
        <v>9.7173233388425269E-3</v>
      </c>
      <c r="AF357" s="37">
        <f t="shared" si="274"/>
        <v>60949400.152084373</v>
      </c>
      <c r="AG357" s="36">
        <f t="shared" si="256"/>
        <v>1.9981797493184656</v>
      </c>
      <c r="AH357" s="37">
        <f t="shared" si="275"/>
        <v>-1.2917371834753234E-4</v>
      </c>
      <c r="AI357" s="37">
        <f t="shared" si="276"/>
        <v>-5.2514795251471215E-2</v>
      </c>
      <c r="AJ357" s="37">
        <f t="shared" si="277"/>
        <v>-8.8294037728099592</v>
      </c>
      <c r="AK357" s="39">
        <f t="shared" si="278"/>
        <v>1.9261773480059505E-2</v>
      </c>
      <c r="AL357" s="39">
        <f>AL356+(1000*$C$2*($B357-$B356))/(BerechnungenCLT!$W$47*2*AF357)</f>
        <v>1.5123776070765664E-2</v>
      </c>
      <c r="AM357" s="37">
        <f t="shared" si="257"/>
        <v>2.4465419916775109E-6</v>
      </c>
      <c r="AN357" s="173">
        <f t="shared" si="279"/>
        <v>1261.5371806276642</v>
      </c>
      <c r="AO357" s="173">
        <v>-258.50825638967308</v>
      </c>
      <c r="AV357" s="129">
        <v>142.77024123935257</v>
      </c>
      <c r="AW357" s="9">
        <v>6.21875</v>
      </c>
      <c r="AX357" s="129">
        <f t="shared" si="280"/>
        <v>148.99316318060323</v>
      </c>
      <c r="AY357" s="36">
        <f t="shared" si="306"/>
        <v>9.6967001299797049E-3</v>
      </c>
      <c r="AZ357" s="37">
        <f t="shared" si="281"/>
        <v>60721740.760844149</v>
      </c>
      <c r="BA357" s="36">
        <f t="shared" si="258"/>
        <v>1.9981815942649019</v>
      </c>
      <c r="BB357" s="37">
        <f t="shared" si="282"/>
        <v>-1.2965801951734005E-4</v>
      </c>
      <c r="BC357" s="37">
        <f t="shared" si="283"/>
        <v>-4.9092347708654935E-2</v>
      </c>
      <c r="BD357" s="37">
        <f t="shared" si="284"/>
        <v>-8.1208705229171692</v>
      </c>
      <c r="BE357" s="39">
        <f t="shared" si="285"/>
        <v>1.9318158459620885E-2</v>
      </c>
      <c r="BF357" s="39">
        <f>BF356+(1000*$C$2*($B357-$B356))/(BerechnungenCLT!$W$47*2*AZ357)</f>
        <v>1.4134335013082434E-2</v>
      </c>
      <c r="BG357" s="37">
        <f t="shared" si="259"/>
        <v>2.453703752786351E-6</v>
      </c>
      <c r="BH357" s="173">
        <f t="shared" si="286"/>
        <v>1263.5789666356695</v>
      </c>
      <c r="BI357">
        <v>-258.62371724049939</v>
      </c>
      <c r="BP357" s="129">
        <v>139.57211641180092</v>
      </c>
      <c r="BQ357" s="9">
        <v>6.5</v>
      </c>
      <c r="BR357" s="129">
        <f t="shared" si="287"/>
        <v>146.07620395056969</v>
      </c>
      <c r="BS357" s="36">
        <f t="shared" si="307"/>
        <v>9.9224026481315956E-3</v>
      </c>
      <c r="BT357" s="37">
        <f t="shared" si="288"/>
        <v>59561604.78999465</v>
      </c>
      <c r="BU357" s="36">
        <f t="shared" si="260"/>
        <v>1.9979277995785125</v>
      </c>
      <c r="BV357" s="37">
        <f t="shared" si="289"/>
        <v>-1.3218348760842883E-4</v>
      </c>
      <c r="BW357" s="37">
        <f t="shared" si="290"/>
        <v>-5.5396989322596762E-2</v>
      </c>
      <c r="BX357" s="37">
        <f t="shared" si="291"/>
        <v>-9.1941281537186423</v>
      </c>
      <c r="BY357" s="39">
        <f t="shared" si="292"/>
        <v>1.9308862094786453E-2</v>
      </c>
      <c r="BZ357" s="39">
        <f>BZ356+(1000*$C$2*($B357-$B356))/(BerechnungenCLT!$W$47*2*BT357)</f>
        <v>1.5957028486152727E-2</v>
      </c>
      <c r="CA357" s="37">
        <f t="shared" si="261"/>
        <v>2.4525229712263905E-6</v>
      </c>
      <c r="CB357" s="173">
        <f t="shared" si="293"/>
        <v>1318.2587856187151</v>
      </c>
      <c r="CC357" s="9">
        <v>-257.39945736960595</v>
      </c>
      <c r="CJ357" s="9">
        <f t="shared" si="309"/>
        <v>306</v>
      </c>
      <c r="CK357" s="129">
        <v>145.54264930523104</v>
      </c>
      <c r="CL357" s="9">
        <v>3.8046875</v>
      </c>
      <c r="CM357" s="129">
        <f t="shared" si="294"/>
        <v>149.38144576356456</v>
      </c>
      <c r="CN357" s="36">
        <f t="shared" si="308"/>
        <v>6.0465010837116662E-3</v>
      </c>
      <c r="CO357" s="173">
        <f t="shared" si="295"/>
        <v>1236.640634488911</v>
      </c>
      <c r="CP357" s="9">
        <v>-630.22061975813688</v>
      </c>
      <c r="CQ357" s="129"/>
      <c r="CR357" s="36">
        <f t="shared" si="296"/>
        <v>0.61522619056099459</v>
      </c>
      <c r="CS357" s="17">
        <f t="shared" si="262"/>
        <v>0.44227443155346252</v>
      </c>
      <c r="CT357" s="9">
        <f t="shared" si="263"/>
        <v>5.1615294422102522</v>
      </c>
      <c r="CU357" s="9">
        <f t="shared" si="297"/>
        <v>150.7504517705691</v>
      </c>
      <c r="CV357" s="9">
        <v>7.2</v>
      </c>
      <c r="CW357" s="9">
        <f t="shared" si="298"/>
        <v>152.80719718202809</v>
      </c>
      <c r="CX357">
        <f t="shared" si="299"/>
        <v>12</v>
      </c>
      <c r="CY357" s="9">
        <f t="shared" si="264"/>
        <v>367.44410957901937</v>
      </c>
      <c r="CZ357" s="17">
        <f t="shared" si="300"/>
        <v>0.34599257022506535</v>
      </c>
      <c r="DA357">
        <v>45</v>
      </c>
      <c r="DB357" s="9">
        <f t="shared" si="301"/>
        <v>5.9296407556117083</v>
      </c>
      <c r="DC357" s="9">
        <f t="shared" si="302"/>
        <v>6.5448673116514771</v>
      </c>
    </row>
    <row r="358" spans="2:107" x14ac:dyDescent="0.25">
      <c r="B358" s="9">
        <f t="shared" si="303"/>
        <v>307</v>
      </c>
      <c r="C358" s="9">
        <v>141.60771439000999</v>
      </c>
      <c r="D358" s="9"/>
      <c r="E358" s="9">
        <f t="shared" si="265"/>
        <v>141.60771439000999</v>
      </c>
      <c r="F358" s="36">
        <f t="shared" si="304"/>
        <v>0</v>
      </c>
      <c r="G358" s="37">
        <f t="shared" si="310"/>
        <v>0</v>
      </c>
      <c r="H358" s="36" t="e">
        <f t="shared" si="250"/>
        <v>#DIV/0!</v>
      </c>
      <c r="I358" s="37" t="e">
        <f t="shared" si="266"/>
        <v>#DIV/0!</v>
      </c>
      <c r="J358" s="37" t="e">
        <f t="shared" si="267"/>
        <v>#DIV/0!</v>
      </c>
      <c r="K358" s="37" t="e">
        <f t="shared" si="268"/>
        <v>#DIV/0!</v>
      </c>
      <c r="L358" s="39" t="e">
        <f t="shared" si="251"/>
        <v>#DIV/0!</v>
      </c>
      <c r="M358" s="39" t="e">
        <f>M357+(1000*$C$2*(B358-B357))/(BerechnungenCLT!$W$47*2*'Berechnung freier Bereich'!G358)</f>
        <v>#DIV/0!</v>
      </c>
      <c r="N358" s="17" t="e">
        <f t="shared" si="269"/>
        <v>#DIV/0!</v>
      </c>
      <c r="O358" s="173">
        <f t="shared" si="270"/>
        <v>1341.0044104610579</v>
      </c>
      <c r="P358" s="173"/>
      <c r="Q358" s="173"/>
      <c r="R358" s="37" t="e">
        <f t="shared" si="252"/>
        <v>#DIV/0!</v>
      </c>
      <c r="S358" s="37" t="e">
        <f t="shared" si="253"/>
        <v>#DIV/0!</v>
      </c>
      <c r="T358" s="37" t="e">
        <f t="shared" si="254"/>
        <v>#DIV/0!</v>
      </c>
      <c r="U358" s="39" t="e">
        <f t="shared" si="255"/>
        <v>#DIV/0!</v>
      </c>
      <c r="V358" s="39" t="e">
        <f t="shared" si="271"/>
        <v>#DIV/0!</v>
      </c>
      <c r="W358" s="9" t="e">
        <f t="shared" si="272"/>
        <v>#DIV/0!</v>
      </c>
      <c r="AB358" s="129">
        <v>142.82105400687502</v>
      </c>
      <c r="AC358" s="9">
        <v>6.21875</v>
      </c>
      <c r="AD358" s="129">
        <f t="shared" si="273"/>
        <v>149.05551397549883</v>
      </c>
      <c r="AE358" s="36">
        <f t="shared" si="305"/>
        <v>9.7184468919857669E-3</v>
      </c>
      <c r="AF358" s="37">
        <f t="shared" si="274"/>
        <v>60905220.426847808</v>
      </c>
      <c r="AG358" s="36">
        <f t="shared" si="256"/>
        <v>1.9981762635758522</v>
      </c>
      <c r="AH358" s="37">
        <f t="shared" si="275"/>
        <v>-1.2926741900807319E-4</v>
      </c>
      <c r="AI358" s="37">
        <f t="shared" si="276"/>
        <v>-5.2644062670479289E-2</v>
      </c>
      <c r="AJ358" s="37">
        <f t="shared" si="277"/>
        <v>-8.8819832017709341</v>
      </c>
      <c r="AK358" s="39">
        <f t="shared" si="278"/>
        <v>1.9268021580534516E-2</v>
      </c>
      <c r="AL358" s="39">
        <f>AL357+(1000*$C$2*($B358-$B357))/(BerechnungenCLT!$W$47*2*AF358)</f>
        <v>1.5161147735082252E-2</v>
      </c>
      <c r="AM358" s="37">
        <f t="shared" si="257"/>
        <v>2.4473355967002335E-6</v>
      </c>
      <c r="AN358" s="173">
        <f t="shared" si="279"/>
        <v>1262.5993513230328</v>
      </c>
      <c r="AO358" s="173">
        <v>-258.5811033467869</v>
      </c>
      <c r="AV358" s="129">
        <v>142.7336054657261</v>
      </c>
      <c r="AW358" s="9">
        <v>6.21875</v>
      </c>
      <c r="AX358" s="129">
        <f t="shared" si="280"/>
        <v>148.9580025333166</v>
      </c>
      <c r="AY358" s="36">
        <f t="shared" si="306"/>
        <v>9.6966120000333764E-3</v>
      </c>
      <c r="AZ358" s="37">
        <f t="shared" si="281"/>
        <v>60691334.995538846</v>
      </c>
      <c r="BA358" s="36">
        <f t="shared" si="258"/>
        <v>1.9981798375741695</v>
      </c>
      <c r="BB358" s="37">
        <f t="shared" si="282"/>
        <v>-1.2972297691713497E-4</v>
      </c>
      <c r="BC358" s="37">
        <f t="shared" si="283"/>
        <v>-4.9222070685572071E-2</v>
      </c>
      <c r="BD358" s="37">
        <f t="shared" si="284"/>
        <v>-8.1700277321142831</v>
      </c>
      <c r="BE358" s="39">
        <f t="shared" si="285"/>
        <v>1.9323275524251962E-2</v>
      </c>
      <c r="BF358" s="39">
        <f>BF357+(1000*$C$2*($B358-$B357))/(BerechnungenCLT!$W$47*2*AZ358)</f>
        <v>1.4171838380788669E-2</v>
      </c>
      <c r="BG358" s="37">
        <f t="shared" si="259"/>
        <v>2.454353698831404E-6</v>
      </c>
      <c r="BH358" s="173">
        <f t="shared" si="286"/>
        <v>1264.2010730640829</v>
      </c>
      <c r="BI358">
        <v>-258.65153678752256</v>
      </c>
      <c r="BP358" s="129">
        <v>139.60758611283623</v>
      </c>
      <c r="BQ358" s="9">
        <v>6.5</v>
      </c>
      <c r="BR358" s="129">
        <f t="shared" si="287"/>
        <v>146.11090811571384</v>
      </c>
      <c r="BS358" s="36">
        <f t="shared" si="307"/>
        <v>9.9236720766618675E-3</v>
      </c>
      <c r="BT358" s="37">
        <f t="shared" si="288"/>
        <v>59598474.177695259</v>
      </c>
      <c r="BU358" s="36">
        <f t="shared" si="260"/>
        <v>1.9979293037004049</v>
      </c>
      <c r="BV358" s="37">
        <f t="shared" si="289"/>
        <v>-1.321017149738187E-4</v>
      </c>
      <c r="BW358" s="37">
        <f t="shared" si="290"/>
        <v>-5.5529091037570581E-2</v>
      </c>
      <c r="BX358" s="37">
        <f t="shared" si="291"/>
        <v>-9.2495911938987252</v>
      </c>
      <c r="BY358" s="39">
        <f t="shared" si="292"/>
        <v>1.9301501538467845E-2</v>
      </c>
      <c r="BZ358" s="39">
        <f>BZ357+(1000*$C$2*($B358-$B357))/(BerechnungenCLT!$W$47*2*BT358)</f>
        <v>1.5995219555375969E-2</v>
      </c>
      <c r="CA358" s="37">
        <f t="shared" si="261"/>
        <v>2.4515880671722949E-6</v>
      </c>
      <c r="CB358" s="173">
        <f t="shared" si="293"/>
        <v>1317.6113234672994</v>
      </c>
      <c r="CC358" s="9">
        <v>-257.2730357532588</v>
      </c>
      <c r="CJ358" s="9">
        <f t="shared" si="309"/>
        <v>307</v>
      </c>
      <c r="CK358" s="129">
        <v>145.67685190094048</v>
      </c>
      <c r="CL358" s="9">
        <v>3.7890625</v>
      </c>
      <c r="CM358" s="129">
        <f t="shared" si="294"/>
        <v>149.49284481752318</v>
      </c>
      <c r="CN358" s="36">
        <f t="shared" si="308"/>
        <v>6.0155885358495458E-3</v>
      </c>
      <c r="CO358" s="173">
        <f t="shared" si="295"/>
        <v>1234.5835491932507</v>
      </c>
      <c r="CP358" s="9">
        <v>-631.76680646860746</v>
      </c>
      <c r="CQ358" s="129"/>
      <c r="CR358" s="36">
        <f t="shared" si="296"/>
        <v>0.61487508970093951</v>
      </c>
      <c r="CS358" s="17">
        <f t="shared" si="262"/>
        <v>0.44202203180897631</v>
      </c>
      <c r="CT358" s="9">
        <f t="shared" si="263"/>
        <v>5.1432673857815434</v>
      </c>
      <c r="CU358" s="9">
        <f t="shared" si="297"/>
        <v>150.85667459117931</v>
      </c>
      <c r="CV358" s="9">
        <v>7.2</v>
      </c>
      <c r="CW358" s="9">
        <f t="shared" si="298"/>
        <v>152.9280252451108</v>
      </c>
      <c r="CX358">
        <f t="shared" si="299"/>
        <v>12</v>
      </c>
      <c r="CY358" s="9">
        <f t="shared" si="264"/>
        <v>367.10560725253322</v>
      </c>
      <c r="CZ358" s="17">
        <f t="shared" si="300"/>
        <v>0.34567382980464517</v>
      </c>
      <c r="DA358">
        <v>45</v>
      </c>
      <c r="DB358" s="9">
        <f t="shared" si="301"/>
        <v>5.9241781637816162</v>
      </c>
      <c r="DC358" s="9">
        <f t="shared" si="302"/>
        <v>6.5390536358634685</v>
      </c>
    </row>
    <row r="359" spans="2:107" x14ac:dyDescent="0.25">
      <c r="B359" s="9">
        <f t="shared" si="303"/>
        <v>308</v>
      </c>
      <c r="C359" s="9">
        <v>141.57751967848429</v>
      </c>
      <c r="D359" s="9"/>
      <c r="E359" s="9">
        <f t="shared" si="265"/>
        <v>141.57751967848429</v>
      </c>
      <c r="F359" s="36">
        <f t="shared" si="304"/>
        <v>0</v>
      </c>
      <c r="G359" s="37">
        <f t="shared" si="310"/>
        <v>0</v>
      </c>
      <c r="H359" s="36" t="e">
        <f t="shared" si="250"/>
        <v>#DIV/0!</v>
      </c>
      <c r="I359" s="37" t="e">
        <f t="shared" si="266"/>
        <v>#DIV/0!</v>
      </c>
      <c r="J359" s="37" t="e">
        <f t="shared" si="267"/>
        <v>#DIV/0!</v>
      </c>
      <c r="K359" s="37" t="e">
        <f t="shared" si="268"/>
        <v>#DIV/0!</v>
      </c>
      <c r="L359" s="39" t="e">
        <f t="shared" si="251"/>
        <v>#DIV/0!</v>
      </c>
      <c r="M359" s="39" t="e">
        <f>M358+(1000*$C$2*(B359-B358))/(BerechnungenCLT!$W$47*2*'Berechnung freier Bereich'!G359)</f>
        <v>#DIV/0!</v>
      </c>
      <c r="N359" s="17" t="e">
        <f t="shared" si="269"/>
        <v>#DIV/0!</v>
      </c>
      <c r="O359" s="173">
        <f t="shared" si="270"/>
        <v>1341.576472456095</v>
      </c>
      <c r="P359" s="173"/>
      <c r="Q359" s="173"/>
      <c r="R359" s="37" t="e">
        <f t="shared" si="252"/>
        <v>#DIV/0!</v>
      </c>
      <c r="S359" s="37" t="e">
        <f t="shared" si="253"/>
        <v>#DIV/0!</v>
      </c>
      <c r="T359" s="37" t="e">
        <f t="shared" si="254"/>
        <v>#DIV/0!</v>
      </c>
      <c r="U359" s="39" t="e">
        <f t="shared" si="255"/>
        <v>#DIV/0!</v>
      </c>
      <c r="V359" s="39" t="e">
        <f t="shared" si="271"/>
        <v>#DIV/0!</v>
      </c>
      <c r="W359" s="9" t="e">
        <f t="shared" si="272"/>
        <v>#DIV/0!</v>
      </c>
      <c r="AB359" s="129">
        <v>142.74992852593408</v>
      </c>
      <c r="AC359" s="9">
        <v>6.21875</v>
      </c>
      <c r="AD359" s="129">
        <f t="shared" si="273"/>
        <v>148.98616850812277</v>
      </c>
      <c r="AE359" s="36">
        <f t="shared" si="305"/>
        <v>9.716543109772215E-3</v>
      </c>
      <c r="AF359" s="37">
        <f t="shared" si="274"/>
        <v>60834734.142715894</v>
      </c>
      <c r="AG359" s="36">
        <f t="shared" si="256"/>
        <v>1.9981734662628272</v>
      </c>
      <c r="AH359" s="37">
        <f t="shared" si="275"/>
        <v>-1.2941719495685643E-4</v>
      </c>
      <c r="AI359" s="37">
        <f t="shared" si="276"/>
        <v>-5.2773479865436144E-2</v>
      </c>
      <c r="AJ359" s="37">
        <f t="shared" si="277"/>
        <v>-8.9346919730388912</v>
      </c>
      <c r="AK359" s="39">
        <f t="shared" si="278"/>
        <v>1.9281372015690787E-2</v>
      </c>
      <c r="AL359" s="39">
        <f>AL358+(1000*$C$2*($B359-$B358))/(BerechnungenCLT!$W$47*2*AF359)</f>
        <v>1.5198562700151059E-2</v>
      </c>
      <c r="AM359" s="37">
        <f t="shared" si="257"/>
        <v>2.4490313076507753E-6</v>
      </c>
      <c r="AN359" s="173">
        <f t="shared" si="279"/>
        <v>1263.8155273746033</v>
      </c>
      <c r="AO359" s="173">
        <v>-258.61523550594228</v>
      </c>
      <c r="AV359" s="129">
        <v>142.69097957061624</v>
      </c>
      <c r="AW359" s="9">
        <v>6.21875</v>
      </c>
      <c r="AX359" s="129">
        <f t="shared" si="280"/>
        <v>148.91617908659899</v>
      </c>
      <c r="AY359" s="36">
        <f t="shared" si="306"/>
        <v>9.695054401166605E-3</v>
      </c>
      <c r="AZ359" s="37">
        <f t="shared" si="281"/>
        <v>60646477.582447767</v>
      </c>
      <c r="BA359" s="36">
        <f t="shared" si="258"/>
        <v>1.9981783146135372</v>
      </c>
      <c r="BB359" s="37">
        <f t="shared" si="282"/>
        <v>-1.2981892704309352E-4</v>
      </c>
      <c r="BC359" s="37">
        <f t="shared" si="283"/>
        <v>-4.9351889612615163E-2</v>
      </c>
      <c r="BD359" s="37">
        <f t="shared" si="284"/>
        <v>-8.2193147122633761</v>
      </c>
      <c r="BE359" s="39">
        <f t="shared" si="285"/>
        <v>1.9332138588379441E-2</v>
      </c>
      <c r="BF359" s="39">
        <f>BF358+(1000*$C$2*($B359-$B358))/(BerechnungenCLT!$W$47*2*AZ359)</f>
        <v>1.4209369488012919E-2</v>
      </c>
      <c r="BG359" s="37">
        <f t="shared" si="259"/>
        <v>2.4554794445258622E-6</v>
      </c>
      <c r="BH359" s="173">
        <f t="shared" si="286"/>
        <v>1264.9334035597963</v>
      </c>
      <c r="BI359">
        <v>-258.64822836631629</v>
      </c>
      <c r="BP359" s="129">
        <v>139.63956135218862</v>
      </c>
      <c r="BQ359" s="9">
        <v>6.46875</v>
      </c>
      <c r="BR359" s="129">
        <f t="shared" si="287"/>
        <v>146.11126518231202</v>
      </c>
      <c r="BS359" s="36">
        <f t="shared" si="307"/>
        <v>9.8765421935717718E-3</v>
      </c>
      <c r="BT359" s="37">
        <f t="shared" si="288"/>
        <v>59328547.138043918</v>
      </c>
      <c r="BU359" s="36">
        <f t="shared" si="260"/>
        <v>1.9979498378010858</v>
      </c>
      <c r="BV359" s="37">
        <f t="shared" si="289"/>
        <v>-1.3270273803229308E-4</v>
      </c>
      <c r="BW359" s="37">
        <f t="shared" si="290"/>
        <v>-5.5661793775602875E-2</v>
      </c>
      <c r="BX359" s="37">
        <f t="shared" si="291"/>
        <v>-9.3051866363053115</v>
      </c>
      <c r="BY359" s="39">
        <f t="shared" si="292"/>
        <v>1.9389364947055256E-2</v>
      </c>
      <c r="BZ359" s="39">
        <f>BZ358+(1000*$C$2*($B359-$B358))/(BerechnungenCLT!$W$47*2*BT359)</f>
        <v>1.6033584382473858E-2</v>
      </c>
      <c r="CA359" s="37">
        <f t="shared" si="261"/>
        <v>2.4627480737450832E-6</v>
      </c>
      <c r="CB359" s="173">
        <f t="shared" si="293"/>
        <v>1317.3131685831584</v>
      </c>
      <c r="CC359" s="9">
        <v>-258.45740254551885</v>
      </c>
      <c r="CJ359" s="9">
        <f t="shared" si="309"/>
        <v>308</v>
      </c>
      <c r="CK359" s="129">
        <v>145.79628947076898</v>
      </c>
      <c r="CL359" s="9">
        <v>3.7890625</v>
      </c>
      <c r="CM359" s="129">
        <f t="shared" si="294"/>
        <v>149.60696265608848</v>
      </c>
      <c r="CN359" s="36">
        <f t="shared" si="308"/>
        <v>6.0119556790838849E-3</v>
      </c>
      <c r="CO359" s="173">
        <f t="shared" si="295"/>
        <v>1232.632117203128</v>
      </c>
      <c r="CP359" s="9">
        <v>-630.76821066093942</v>
      </c>
      <c r="CQ359" s="129"/>
      <c r="CR359" s="36">
        <f t="shared" si="296"/>
        <v>0.61451579645631482</v>
      </c>
      <c r="CS359" s="17">
        <f t="shared" si="262"/>
        <v>0.44176374271471253</v>
      </c>
      <c r="CT359" s="9">
        <f t="shared" si="263"/>
        <v>5.146274535862414</v>
      </c>
      <c r="CU359" s="9">
        <f t="shared" si="297"/>
        <v>150.97191546746433</v>
      </c>
      <c r="CV359" s="9">
        <v>7.2</v>
      </c>
      <c r="CW359" s="9">
        <f t="shared" si="298"/>
        <v>153.03735422868746</v>
      </c>
      <c r="CX359">
        <f t="shared" si="299"/>
        <v>12</v>
      </c>
      <c r="CY359" s="9">
        <f t="shared" si="264"/>
        <v>366.80487119292684</v>
      </c>
      <c r="CZ359" s="17">
        <f t="shared" si="300"/>
        <v>0.3453906508407974</v>
      </c>
      <c r="DA359">
        <v>45</v>
      </c>
      <c r="DB359" s="9">
        <f t="shared" si="301"/>
        <v>5.9193250262588331</v>
      </c>
      <c r="DC359" s="9">
        <f t="shared" si="302"/>
        <v>6.5338410880362936</v>
      </c>
    </row>
    <row r="360" spans="2:107" x14ac:dyDescent="0.25">
      <c r="B360" s="9">
        <f t="shared" si="303"/>
        <v>309</v>
      </c>
      <c r="C360" s="9">
        <v>141.54017290956034</v>
      </c>
      <c r="D360" s="9"/>
      <c r="E360" s="9">
        <f t="shared" si="265"/>
        <v>141.54017290956034</v>
      </c>
      <c r="F360" s="36">
        <f t="shared" si="304"/>
        <v>0</v>
      </c>
      <c r="G360" s="37">
        <f t="shared" si="310"/>
        <v>0</v>
      </c>
      <c r="H360" s="36" t="e">
        <f t="shared" si="250"/>
        <v>#DIV/0!</v>
      </c>
      <c r="I360" s="37" t="e">
        <f t="shared" si="266"/>
        <v>#DIV/0!</v>
      </c>
      <c r="J360" s="37" t="e">
        <f t="shared" si="267"/>
        <v>#DIV/0!</v>
      </c>
      <c r="K360" s="37" t="e">
        <f t="shared" si="268"/>
        <v>#DIV/0!</v>
      </c>
      <c r="L360" s="39" t="e">
        <f t="shared" si="251"/>
        <v>#DIV/0!</v>
      </c>
      <c r="M360" s="39" t="e">
        <f>M359+(1000*$C$2*(B360-B359))/(BerechnungenCLT!$W$47*2*'Berechnung freier Bereich'!G360)</f>
        <v>#DIV/0!</v>
      </c>
      <c r="N360" s="17" t="e">
        <f t="shared" si="269"/>
        <v>#DIV/0!</v>
      </c>
      <c r="O360" s="173">
        <f t="shared" si="270"/>
        <v>1342.2845421954164</v>
      </c>
      <c r="P360" s="173"/>
      <c r="Q360" s="173"/>
      <c r="R360" s="37" t="e">
        <f t="shared" si="252"/>
        <v>#DIV/0!</v>
      </c>
      <c r="S360" s="37" t="e">
        <f t="shared" si="253"/>
        <v>#DIV/0!</v>
      </c>
      <c r="T360" s="37" t="e">
        <f t="shared" si="254"/>
        <v>#DIV/0!</v>
      </c>
      <c r="U360" s="39" t="e">
        <f t="shared" si="255"/>
        <v>#DIV/0!</v>
      </c>
      <c r="V360" s="39" t="e">
        <f t="shared" si="271"/>
        <v>#DIV/0!</v>
      </c>
      <c r="W360" s="9" t="e">
        <f t="shared" si="272"/>
        <v>#DIV/0!</v>
      </c>
      <c r="AB360" s="129">
        <v>142.67487635192828</v>
      </c>
      <c r="AC360" s="9">
        <v>6.21875</v>
      </c>
      <c r="AD360" s="129">
        <f t="shared" si="273"/>
        <v>148.91103459801806</v>
      </c>
      <c r="AE360" s="36">
        <f t="shared" si="305"/>
        <v>9.71141373642136E-3</v>
      </c>
      <c r="AF360" s="37">
        <f t="shared" si="274"/>
        <v>60740060.874721929</v>
      </c>
      <c r="AG360" s="36">
        <f t="shared" si="256"/>
        <v>1.9981716333923836</v>
      </c>
      <c r="AH360" s="37">
        <f t="shared" si="275"/>
        <v>-1.2961891271289308E-4</v>
      </c>
      <c r="AI360" s="37">
        <f t="shared" si="276"/>
        <v>-5.2903098778149041E-2</v>
      </c>
      <c r="AJ360" s="37">
        <f t="shared" si="277"/>
        <v>-8.9875302623606839</v>
      </c>
      <c r="AK360" s="39">
        <f t="shared" si="278"/>
        <v>1.9301686395547104E-2</v>
      </c>
      <c r="AL360" s="39">
        <f>AL359+(1000*$C$2*($B360-$B359))/(BerechnungenCLT!$W$47*2*AF360)</f>
        <v>1.5236035982530781E-2</v>
      </c>
      <c r="AM360" s="37">
        <f t="shared" si="257"/>
        <v>2.4516115468693918E-6</v>
      </c>
      <c r="AN360" s="173">
        <f t="shared" si="279"/>
        <v>1265.1177602993916</v>
      </c>
      <c r="AO360" s="173">
        <v>-258.58765090676138</v>
      </c>
      <c r="AV360" s="129">
        <v>142.64542420003639</v>
      </c>
      <c r="AW360" s="9">
        <v>6.21875</v>
      </c>
      <c r="AX360" s="129">
        <f t="shared" si="280"/>
        <v>148.87058664756978</v>
      </c>
      <c r="AY360" s="36">
        <f t="shared" si="306"/>
        <v>9.6919663007583728E-3</v>
      </c>
      <c r="AZ360" s="37">
        <f t="shared" si="281"/>
        <v>60589282.595065221</v>
      </c>
      <c r="BA360" s="36">
        <f t="shared" si="258"/>
        <v>1.9981771977412959</v>
      </c>
      <c r="BB360" s="37">
        <f t="shared" si="282"/>
        <v>-1.2994147333471854E-4</v>
      </c>
      <c r="BC360" s="37">
        <f t="shared" si="283"/>
        <v>-4.9481831085949883E-2</v>
      </c>
      <c r="BD360" s="37">
        <f t="shared" si="284"/>
        <v>-8.2687315726126585</v>
      </c>
      <c r="BE360" s="39">
        <f t="shared" si="285"/>
        <v>1.9344463365189093E-2</v>
      </c>
      <c r="BF360" s="39">
        <f>BF359+(1000*$C$2*($B360-$B359))/(BerechnungenCLT!$W$47*2*AZ360)</f>
        <v>1.4246936023799981E-2</v>
      </c>
      <c r="BG360" s="37">
        <f t="shared" si="259"/>
        <v>2.4570448810644071E-6</v>
      </c>
      <c r="BH360" s="173">
        <f t="shared" si="286"/>
        <v>1265.7245363239101</v>
      </c>
      <c r="BI360">
        <v>-258.59592098529839</v>
      </c>
      <c r="BP360" s="129">
        <v>139.66978501839688</v>
      </c>
      <c r="BQ360" s="9">
        <v>6.46875</v>
      </c>
      <c r="BR360" s="129">
        <f t="shared" si="287"/>
        <v>146.14148715161744</v>
      </c>
      <c r="BS360" s="36">
        <f t="shared" si="307"/>
        <v>9.8786288147091322E-3</v>
      </c>
      <c r="BT360" s="37">
        <f t="shared" si="288"/>
        <v>59366176.426806144</v>
      </c>
      <c r="BU360" s="36">
        <f t="shared" si="260"/>
        <v>1.9979507052859089</v>
      </c>
      <c r="BV360" s="37">
        <f t="shared" si="289"/>
        <v>-1.3261862431721979E-4</v>
      </c>
      <c r="BW360" s="37">
        <f t="shared" si="290"/>
        <v>-5.5794412399920092E-2</v>
      </c>
      <c r="BX360" s="37">
        <f t="shared" si="291"/>
        <v>-9.3609147393930723</v>
      </c>
      <c r="BY360" s="39">
        <f t="shared" si="292"/>
        <v>1.9381082981720154E-2</v>
      </c>
      <c r="BZ360" s="39">
        <f>BZ359+(1000*$C$2*($B360-$B359))/(BerechnungenCLT!$W$47*2*BT360)</f>
        <v>1.6071924892001641E-2</v>
      </c>
      <c r="CA360" s="37">
        <f t="shared" si="261"/>
        <v>2.4616961365500518E-6</v>
      </c>
      <c r="CB360" s="173">
        <f t="shared" si="293"/>
        <v>1316.756035821461</v>
      </c>
      <c r="CC360" s="9">
        <v>-258.34809286131048</v>
      </c>
      <c r="CJ360" s="9">
        <f t="shared" si="309"/>
        <v>309</v>
      </c>
      <c r="CK360" s="129">
        <v>145.90324463152075</v>
      </c>
      <c r="CL360" s="9">
        <v>3.78125</v>
      </c>
      <c r="CM360" s="129">
        <f t="shared" si="294"/>
        <v>149.70215267840703</v>
      </c>
      <c r="CN360" s="36">
        <f t="shared" si="308"/>
        <v>5.9974955575900794E-3</v>
      </c>
      <c r="CO360" s="173">
        <f t="shared" si="295"/>
        <v>1230.9468607666122</v>
      </c>
      <c r="CP360" s="9">
        <v>-631.20728175210354</v>
      </c>
      <c r="CQ360" s="129"/>
      <c r="CR360" s="36">
        <f t="shared" si="296"/>
        <v>0.61421638746246754</v>
      </c>
      <c r="CS360" s="17">
        <f t="shared" si="262"/>
        <v>0.44154850327174427</v>
      </c>
      <c r="CT360" s="9">
        <f t="shared" si="263"/>
        <v>5.1381671168381979</v>
      </c>
      <c r="CU360" s="9">
        <f t="shared" si="297"/>
        <v>151.06540645800752</v>
      </c>
      <c r="CV360" s="9">
        <v>7.2</v>
      </c>
      <c r="CW360" s="9">
        <f t="shared" si="298"/>
        <v>153.13686788774055</v>
      </c>
      <c r="CX360">
        <f t="shared" si="299"/>
        <v>12</v>
      </c>
      <c r="CY360" s="9">
        <f t="shared" si="264"/>
        <v>366.53598290286828</v>
      </c>
      <c r="CZ360" s="17">
        <f t="shared" si="300"/>
        <v>0.34513746036051629</v>
      </c>
      <c r="DA360">
        <v>45</v>
      </c>
      <c r="DB360" s="9">
        <f t="shared" si="301"/>
        <v>5.914985833108438</v>
      </c>
      <c r="DC360" s="9">
        <f t="shared" si="302"/>
        <v>6.5292024779757645</v>
      </c>
    </row>
    <row r="361" spans="2:107" x14ac:dyDescent="0.25">
      <c r="B361" s="9">
        <f t="shared" si="303"/>
        <v>310</v>
      </c>
      <c r="C361" s="9">
        <v>141.5</v>
      </c>
      <c r="D361" s="9"/>
      <c r="E361" s="9">
        <f t="shared" si="265"/>
        <v>141.5</v>
      </c>
      <c r="F361" s="36">
        <f t="shared" si="304"/>
        <v>0</v>
      </c>
      <c r="G361" s="37">
        <f>(PI()/4)*(E361^4-C361^4)</f>
        <v>0</v>
      </c>
      <c r="H361" s="36" t="e">
        <f t="shared" si="250"/>
        <v>#DIV/0!</v>
      </c>
      <c r="I361" s="37" t="e">
        <f t="shared" si="266"/>
        <v>#DIV/0!</v>
      </c>
      <c r="J361" s="37" t="e">
        <f t="shared" si="267"/>
        <v>#DIV/0!</v>
      </c>
      <c r="K361" s="37" t="e">
        <f t="shared" si="268"/>
        <v>#DIV/0!</v>
      </c>
      <c r="L361" s="39" t="e">
        <f t="shared" si="251"/>
        <v>#DIV/0!</v>
      </c>
      <c r="M361" s="39" t="e">
        <f>M360+(1000*$C$2*(B361-B360))/(BerechnungenCLT!$W$47*2*'Berechnung freier Bereich'!G361)</f>
        <v>#DIV/0!</v>
      </c>
      <c r="N361" s="17" t="e">
        <f t="shared" si="269"/>
        <v>#DIV/0!</v>
      </c>
      <c r="O361" s="173">
        <f t="shared" si="270"/>
        <v>1343.0468196534675</v>
      </c>
      <c r="P361" s="173"/>
      <c r="Q361" s="173"/>
      <c r="R361" s="37" t="e">
        <f t="shared" si="252"/>
        <v>#DIV/0!</v>
      </c>
      <c r="S361" s="37" t="e">
        <f t="shared" si="253"/>
        <v>#DIV/0!</v>
      </c>
      <c r="T361" s="37" t="e">
        <f t="shared" si="254"/>
        <v>#DIV/0!</v>
      </c>
      <c r="U361" s="39" t="e">
        <f t="shared" si="255"/>
        <v>#DIV/0!</v>
      </c>
      <c r="V361" s="39" t="e">
        <f t="shared" si="271"/>
        <v>#DIV/0!</v>
      </c>
      <c r="W361" s="9" t="e">
        <f t="shared" si="272"/>
        <v>#DIV/0!</v>
      </c>
      <c r="AB361" s="129">
        <v>142.6</v>
      </c>
      <c r="AC361" s="9">
        <v>6.21875</v>
      </c>
      <c r="AD361" s="129">
        <f t="shared" si="273"/>
        <v>148.83453292363936</v>
      </c>
      <c r="AE361" s="36">
        <f t="shared" si="305"/>
        <v>9.7038422558856207E-3</v>
      </c>
      <c r="AF361" s="37">
        <f t="shared" si="274"/>
        <v>60629717.995542139</v>
      </c>
      <c r="AG361" s="36">
        <f t="shared" si="256"/>
        <v>1.9981706880699348</v>
      </c>
      <c r="AH361" s="37">
        <f t="shared" si="275"/>
        <v>-1.2985481227663419E-4</v>
      </c>
      <c r="AI361" s="37">
        <f t="shared" si="276"/>
        <v>-5.3032953590425674E-2</v>
      </c>
      <c r="AJ361" s="37">
        <f t="shared" si="277"/>
        <v>-9.0404982885449705</v>
      </c>
      <c r="AK361" s="39">
        <f t="shared" si="278"/>
        <v>1.9326880333079718E-2</v>
      </c>
      <c r="AL361" s="39">
        <f>AL360+(1000*$C$2*($B361-$B360))/(BerechnungenCLT!$W$47*2*AF361)</f>
        <v>1.5273577464301935E-2</v>
      </c>
      <c r="AM361" s="37">
        <f t="shared" si="257"/>
        <v>2.454811565090614E-6</v>
      </c>
      <c r="AN361" s="173">
        <f t="shared" si="279"/>
        <v>1266.4323661243745</v>
      </c>
      <c r="AO361" s="173">
        <v>-258.48218001738178</v>
      </c>
      <c r="AV361" s="129">
        <v>142.6</v>
      </c>
      <c r="AW361" s="9">
        <v>6.21875</v>
      </c>
      <c r="AX361" s="129">
        <f t="shared" si="280"/>
        <v>148.82442974838571</v>
      </c>
      <c r="AY361" s="36">
        <f t="shared" si="306"/>
        <v>9.6877811426322093E-3</v>
      </c>
      <c r="AZ361" s="37">
        <f t="shared" si="281"/>
        <v>60525083.553095497</v>
      </c>
      <c r="BA361" s="36">
        <f t="shared" si="258"/>
        <v>1.9981764817385941</v>
      </c>
      <c r="BB361" s="37">
        <f t="shared" si="282"/>
        <v>-1.3007930243978544E-4</v>
      </c>
      <c r="BC361" s="37">
        <f t="shared" si="283"/>
        <v>-4.961191038838967E-2</v>
      </c>
      <c r="BD361" s="37">
        <f t="shared" si="284"/>
        <v>-8.3182784433498274</v>
      </c>
      <c r="BE361" s="39">
        <f t="shared" si="285"/>
        <v>1.9358978007668868E-2</v>
      </c>
      <c r="BF361" s="39">
        <f>BF360+(1000*$C$2*($B361-$B360))/(BerechnungenCLT!$W$47*2*AZ361)</f>
        <v>1.4284542406464835E-2</v>
      </c>
      <c r="BG361" s="37">
        <f t="shared" si="259"/>
        <v>2.4588884642815867E-6</v>
      </c>
      <c r="BH361" s="173">
        <f t="shared" si="286"/>
        <v>1266.5201776365589</v>
      </c>
      <c r="BI361">
        <v>-258.48218001738178</v>
      </c>
      <c r="BP361" s="129">
        <v>139.69999999999999</v>
      </c>
      <c r="BQ361" s="9">
        <v>6.46875</v>
      </c>
      <c r="BR361" s="129">
        <f t="shared" si="287"/>
        <v>146.17199017990922</v>
      </c>
      <c r="BS361" s="36">
        <f t="shared" si="307"/>
        <v>9.8811672174965101E-3</v>
      </c>
      <c r="BT361" s="37">
        <f t="shared" si="288"/>
        <v>59406653.651375696</v>
      </c>
      <c r="BU361" s="36">
        <f t="shared" si="260"/>
        <v>1.9979513928387109</v>
      </c>
      <c r="BV361" s="37">
        <f t="shared" si="289"/>
        <v>-1.325282634988829E-4</v>
      </c>
      <c r="BW361" s="37">
        <f t="shared" si="290"/>
        <v>-5.5926940663418974E-2</v>
      </c>
      <c r="BX361" s="37">
        <f t="shared" si="291"/>
        <v>-9.4167754159247412</v>
      </c>
      <c r="BY361" s="39">
        <f t="shared" si="292"/>
        <v>1.9371920030719133E-2</v>
      </c>
      <c r="BZ361" s="39">
        <f>BZ360+(1000*$C$2*($B361-$B360))/(BerechnungenCLT!$W$47*2*BT361)</f>
        <v>1.6110239277899847E-2</v>
      </c>
      <c r="CA361" s="37">
        <f t="shared" si="261"/>
        <v>2.460532300602397E-6</v>
      </c>
      <c r="CB361" s="173">
        <f t="shared" si="293"/>
        <v>1316.1967483211072</v>
      </c>
      <c r="CC361" s="9">
        <v>-258.23836041646359</v>
      </c>
      <c r="CJ361" s="9">
        <f t="shared" si="309"/>
        <v>310</v>
      </c>
      <c r="CK361" s="129">
        <v>146</v>
      </c>
      <c r="CL361" s="9">
        <v>3.78125</v>
      </c>
      <c r="CM361" s="129">
        <f t="shared" si="294"/>
        <v>149.79602861974143</v>
      </c>
      <c r="CN361" s="36">
        <f t="shared" si="308"/>
        <v>5.9968144448919536E-3</v>
      </c>
      <c r="CO361" s="173">
        <f t="shared" si="295"/>
        <v>1229.3607583506146</v>
      </c>
      <c r="CP361" s="9">
        <v>-630.39395712657188</v>
      </c>
      <c r="CQ361" s="129"/>
      <c r="CR361" s="36">
        <f t="shared" si="296"/>
        <v>0.61392137081848253</v>
      </c>
      <c r="CS361" s="17">
        <f t="shared" si="262"/>
        <v>0.44133642140572638</v>
      </c>
      <c r="CT361" s="9">
        <f t="shared" si="263"/>
        <v>5.1406362356718081</v>
      </c>
      <c r="CU361" s="9">
        <f t="shared" si="297"/>
        <v>151.16072787419245</v>
      </c>
      <c r="CV361" s="9">
        <v>7.2</v>
      </c>
      <c r="CW361" s="9">
        <f t="shared" si="298"/>
        <v>153.22814044618536</v>
      </c>
      <c r="CX361">
        <f t="shared" si="299"/>
        <v>12</v>
      </c>
      <c r="CY361" s="9">
        <f t="shared" si="264"/>
        <v>366.29307657350756</v>
      </c>
      <c r="CZ361" s="17">
        <f t="shared" si="300"/>
        <v>0.34490873500330282</v>
      </c>
      <c r="DA361">
        <v>45</v>
      </c>
      <c r="DB361" s="9">
        <f t="shared" si="301"/>
        <v>5.9110659246575343</v>
      </c>
      <c r="DC361" s="9">
        <f t="shared" si="302"/>
        <v>6.5249874737545444</v>
      </c>
    </row>
    <row r="362" spans="2:107" x14ac:dyDescent="0.25">
      <c r="B362" s="9">
        <f t="shared" si="303"/>
        <v>311</v>
      </c>
      <c r="C362" s="9">
        <v>141.46060276757777</v>
      </c>
      <c r="D362" s="9"/>
      <c r="E362" s="9">
        <f t="shared" si="265"/>
        <v>141.46060276757777</v>
      </c>
      <c r="F362" s="36">
        <f t="shared" si="304"/>
        <v>0</v>
      </c>
      <c r="G362" s="37">
        <f t="shared" ref="G362:G391" si="311">(PI()/4)*(E362^4-C362^4)</f>
        <v>0</v>
      </c>
      <c r="H362" s="36" t="e">
        <f t="shared" si="250"/>
        <v>#DIV/0!</v>
      </c>
      <c r="I362" s="37" t="e">
        <f t="shared" si="266"/>
        <v>#DIV/0!</v>
      </c>
      <c r="J362" s="37" t="e">
        <f t="shared" si="267"/>
        <v>#DIV/0!</v>
      </c>
      <c r="K362" s="37" t="e">
        <f t="shared" si="268"/>
        <v>#DIV/0!</v>
      </c>
      <c r="L362" s="39" t="e">
        <f t="shared" si="251"/>
        <v>#DIV/0!</v>
      </c>
      <c r="M362" s="39" t="e">
        <f>M361+(1000*$C$2*(B362-B361))/(BerechnungenCLT!$W$47*2*'Berechnung freier Bereich'!G362)</f>
        <v>#DIV/0!</v>
      </c>
      <c r="N362" s="17" t="e">
        <f t="shared" si="269"/>
        <v>#DIV/0!</v>
      </c>
      <c r="O362" s="173">
        <f t="shared" si="270"/>
        <v>1343.7950095353021</v>
      </c>
      <c r="P362" s="173"/>
      <c r="Q362" s="173"/>
      <c r="R362" s="37" t="e">
        <f t="shared" si="252"/>
        <v>#DIV/0!</v>
      </c>
      <c r="S362" s="37" t="e">
        <f t="shared" si="253"/>
        <v>#DIV/0!</v>
      </c>
      <c r="T362" s="37" t="e">
        <f t="shared" si="254"/>
        <v>#DIV/0!</v>
      </c>
      <c r="U362" s="39" t="e">
        <f t="shared" si="255"/>
        <v>#DIV/0!</v>
      </c>
      <c r="V362" s="39" t="e">
        <f t="shared" si="271"/>
        <v>#DIV/0!</v>
      </c>
      <c r="W362" s="9" t="e">
        <f t="shared" si="272"/>
        <v>#DIV/0!</v>
      </c>
      <c r="AB362" s="129">
        <v>142.52870935286501</v>
      </c>
      <c r="AC362" s="9">
        <v>6.21875</v>
      </c>
      <c r="AD362" s="129">
        <f t="shared" si="273"/>
        <v>148.76142898831202</v>
      </c>
      <c r="AE362" s="36">
        <f t="shared" si="305"/>
        <v>9.696213451770852E-3</v>
      </c>
      <c r="AF362" s="37">
        <f t="shared" si="274"/>
        <v>60522047.201397926</v>
      </c>
      <c r="AG362" s="36">
        <f t="shared" si="256"/>
        <v>1.9981699395248147</v>
      </c>
      <c r="AH362" s="37">
        <f t="shared" si="275"/>
        <v>-1.3008582843368428E-4</v>
      </c>
      <c r="AI362" s="37">
        <f t="shared" si="276"/>
        <v>-5.3163039418859359E-2</v>
      </c>
      <c r="AJ362" s="37">
        <f t="shared" si="277"/>
        <v>-9.0935962850496121</v>
      </c>
      <c r="AK362" s="39">
        <f t="shared" si="278"/>
        <v>1.9351753728923265E-2</v>
      </c>
      <c r="AL362" s="39">
        <f>AL361+(1000*$C$2*($B362-$B361))/(BerechnungenCLT!$W$47*2*AF362)</f>
        <v>1.5311185733654519E-2</v>
      </c>
      <c r="AM362" s="37">
        <f t="shared" si="257"/>
        <v>2.4579708695788459E-6</v>
      </c>
      <c r="AN362" s="173">
        <f t="shared" si="279"/>
        <v>1267.6882362869776</v>
      </c>
      <c r="AO362" s="173">
        <v>-258.33643960938252</v>
      </c>
      <c r="AV362" s="129">
        <v>142.55725088407661</v>
      </c>
      <c r="AW362" s="9">
        <v>6.21875</v>
      </c>
      <c r="AX362" s="129">
        <f t="shared" si="280"/>
        <v>148.78087424512134</v>
      </c>
      <c r="AY362" s="36">
        <f t="shared" si="306"/>
        <v>9.6836574306058913E-3</v>
      </c>
      <c r="AZ362" s="37">
        <f t="shared" si="281"/>
        <v>60463501.42616716</v>
      </c>
      <c r="BA362" s="36">
        <f t="shared" si="258"/>
        <v>1.9981758743439064</v>
      </c>
      <c r="BB362" s="37">
        <f t="shared" si="282"/>
        <v>-1.3021178831845024E-4</v>
      </c>
      <c r="BC362" s="37">
        <f t="shared" si="283"/>
        <v>-4.974212217670812E-2</v>
      </c>
      <c r="BD362" s="37">
        <f t="shared" si="284"/>
        <v>-8.3679554596323769</v>
      </c>
      <c r="BE362" s="39">
        <f t="shared" si="285"/>
        <v>1.9373023703039706E-2</v>
      </c>
      <c r="BF362" s="39">
        <f>BF361+(1000*$C$2*($B362-$B361))/(BerechnungenCLT!$W$47*2*AZ362)</f>
        <v>1.4322187091261982E-2</v>
      </c>
      <c r="BG362" s="37">
        <f t="shared" si="259"/>
        <v>2.4606724839910203E-6</v>
      </c>
      <c r="BH362" s="173">
        <f t="shared" si="286"/>
        <v>1267.2706645960038</v>
      </c>
      <c r="BI362">
        <v>-258.33643960938252</v>
      </c>
      <c r="BP362" s="129">
        <v>139.73165510468664</v>
      </c>
      <c r="BQ362" s="9">
        <v>6.46875</v>
      </c>
      <c r="BR362" s="129">
        <f t="shared" si="287"/>
        <v>146.20400526959099</v>
      </c>
      <c r="BS362" s="36">
        <f t="shared" si="307"/>
        <v>9.8839177108114139E-3</v>
      </c>
      <c r="BT362" s="37">
        <f t="shared" si="288"/>
        <v>59449652.48144491</v>
      </c>
      <c r="BU362" s="36">
        <f t="shared" si="260"/>
        <v>1.9979520767509613</v>
      </c>
      <c r="BV362" s="37">
        <f t="shared" si="289"/>
        <v>-1.3243240826603129E-4</v>
      </c>
      <c r="BW362" s="37">
        <f t="shared" si="290"/>
        <v>-5.6059373071685008E-2</v>
      </c>
      <c r="BX362" s="37">
        <f t="shared" si="291"/>
        <v>-9.4727685727922939</v>
      </c>
      <c r="BY362" s="39">
        <f t="shared" si="292"/>
        <v>1.9362148515991464E-2</v>
      </c>
      <c r="BZ362" s="39">
        <f>BZ361+(1000*$C$2*($B362-$B361))/(BerechnungenCLT!$W$47*2*BT362)</f>
        <v>1.6148525951713968E-2</v>
      </c>
      <c r="CA362" s="37">
        <f t="shared" si="261"/>
        <v>2.4592911676855196E-6</v>
      </c>
      <c r="CB362" s="173">
        <f t="shared" si="293"/>
        <v>1315.6106502289742</v>
      </c>
      <c r="CC362" s="9">
        <v>-258.12336772213524</v>
      </c>
      <c r="CJ362" s="9">
        <f t="shared" si="309"/>
        <v>311</v>
      </c>
      <c r="CK362" s="129">
        <v>146.0884989613549</v>
      </c>
      <c r="CL362" s="9">
        <v>3.7734375</v>
      </c>
      <c r="CM362" s="129">
        <f t="shared" si="294"/>
        <v>149.87424294839155</v>
      </c>
      <c r="CN362" s="36">
        <f t="shared" si="308"/>
        <v>5.9839378940059126E-3</v>
      </c>
      <c r="CO362" s="173">
        <f t="shared" si="295"/>
        <v>1227.9761715489601</v>
      </c>
      <c r="CP362" s="9">
        <v>-630.98765957407329</v>
      </c>
      <c r="CQ362" s="129"/>
      <c r="CR362" s="36">
        <f t="shared" si="296"/>
        <v>0.61367576897672693</v>
      </c>
      <c r="CS362" s="17">
        <f t="shared" si="262"/>
        <v>0.44115986290315046</v>
      </c>
      <c r="CT362" s="9">
        <f t="shared" si="263"/>
        <v>5.132068192017365</v>
      </c>
      <c r="CU362" s="9">
        <f t="shared" si="297"/>
        <v>151.23730460580822</v>
      </c>
      <c r="CV362" s="9">
        <v>7.2</v>
      </c>
      <c r="CW362" s="9">
        <f t="shared" si="298"/>
        <v>153.31198065587455</v>
      </c>
      <c r="CX362">
        <f t="shared" si="299"/>
        <v>12</v>
      </c>
      <c r="CY362" s="9">
        <f t="shared" si="264"/>
        <v>366.07117986665708</v>
      </c>
      <c r="CZ362" s="17">
        <f t="shared" si="300"/>
        <v>0.34469979271813289</v>
      </c>
      <c r="DA362">
        <v>45</v>
      </c>
      <c r="DB362" s="9">
        <f t="shared" si="301"/>
        <v>5.9074850596438484</v>
      </c>
      <c r="DC362" s="9">
        <f t="shared" si="302"/>
        <v>6.5211610086356711</v>
      </c>
    </row>
    <row r="363" spans="2:107" x14ac:dyDescent="0.25">
      <c r="B363" s="9">
        <f t="shared" si="303"/>
        <v>312</v>
      </c>
      <c r="C363" s="9">
        <v>141.42268663411878</v>
      </c>
      <c r="D363" s="9"/>
      <c r="E363" s="9">
        <f t="shared" si="265"/>
        <v>141.42268663411878</v>
      </c>
      <c r="F363" s="36">
        <f t="shared" si="304"/>
        <v>0</v>
      </c>
      <c r="G363" s="37">
        <f t="shared" si="311"/>
        <v>0</v>
      </c>
      <c r="H363" s="36" t="e">
        <f t="shared" si="250"/>
        <v>#DIV/0!</v>
      </c>
      <c r="I363" s="37" t="e">
        <f t="shared" si="266"/>
        <v>#DIV/0!</v>
      </c>
      <c r="J363" s="37" t="e">
        <f t="shared" si="267"/>
        <v>#DIV/0!</v>
      </c>
      <c r="K363" s="37" t="e">
        <f t="shared" si="268"/>
        <v>#DIV/0!</v>
      </c>
      <c r="L363" s="39" t="e">
        <f t="shared" si="251"/>
        <v>#DIV/0!</v>
      </c>
      <c r="M363" s="39" t="e">
        <f>M362+(1000*$C$2*(B363-B362))/(BerechnungenCLT!$W$47*2*'Berechnung freier Bereich'!G363)</f>
        <v>#DIV/0!</v>
      </c>
      <c r="N363" s="17" t="e">
        <f t="shared" si="269"/>
        <v>#DIV/0!</v>
      </c>
      <c r="O363" s="173">
        <f t="shared" si="270"/>
        <v>1344.515662526898</v>
      </c>
      <c r="P363" s="173"/>
      <c r="Q363" s="173"/>
      <c r="R363" s="37" t="e">
        <f t="shared" si="252"/>
        <v>#DIV/0!</v>
      </c>
      <c r="S363" s="37" t="e">
        <f t="shared" si="253"/>
        <v>#DIV/0!</v>
      </c>
      <c r="T363" s="37" t="e">
        <f t="shared" si="254"/>
        <v>#DIV/0!</v>
      </c>
      <c r="U363" s="39" t="e">
        <f t="shared" si="255"/>
        <v>#DIV/0!</v>
      </c>
      <c r="V363" s="39" t="e">
        <f t="shared" si="271"/>
        <v>#DIV/0!</v>
      </c>
      <c r="W363" s="9" t="e">
        <f t="shared" si="272"/>
        <v>#DIV/0!</v>
      </c>
      <c r="AB363" s="129">
        <v>142.46164376353249</v>
      </c>
      <c r="AC363" s="9">
        <v>6.21875</v>
      </c>
      <c r="AD363" s="129">
        <f t="shared" si="273"/>
        <v>148.69268116597314</v>
      </c>
      <c r="AE363" s="36">
        <f t="shared" si="305"/>
        <v>9.6890767907221696E-3</v>
      </c>
      <c r="AF363" s="37">
        <f t="shared" si="274"/>
        <v>60421130.42340216</v>
      </c>
      <c r="AG363" s="36">
        <f t="shared" si="256"/>
        <v>1.9981692209685975</v>
      </c>
      <c r="AH363" s="37">
        <f t="shared" si="275"/>
        <v>-1.3030310081135155E-4</v>
      </c>
      <c r="AI363" s="37">
        <f t="shared" si="276"/>
        <v>-5.329334251967071E-2</v>
      </c>
      <c r="AJ363" s="37">
        <f t="shared" si="277"/>
        <v>-9.1468244760188764</v>
      </c>
      <c r="AK363" s="39">
        <f t="shared" si="278"/>
        <v>1.9375117423879953E-2</v>
      </c>
      <c r="AL363" s="39">
        <f>AL362+(1000*$C$2*($B363-$B362))/(BerechnungenCLT!$W$47*2*AF363)</f>
        <v>1.5348856817213695E-2</v>
      </c>
      <c r="AM363" s="37">
        <f t="shared" si="257"/>
        <v>2.4609384187949894E-6</v>
      </c>
      <c r="AN363" s="173">
        <f t="shared" si="279"/>
        <v>1268.8711774629414</v>
      </c>
      <c r="AO363" s="173">
        <v>-258.19082242620345</v>
      </c>
      <c r="AV363" s="129">
        <v>142.51765383606053</v>
      </c>
      <c r="AW363" s="9">
        <v>6.21875</v>
      </c>
      <c r="AX363" s="129">
        <f t="shared" si="280"/>
        <v>148.74054145882002</v>
      </c>
      <c r="AY363" s="36">
        <f t="shared" si="306"/>
        <v>9.6798562194771124E-3</v>
      </c>
      <c r="AZ363" s="37">
        <f t="shared" si="281"/>
        <v>60406616.507065378</v>
      </c>
      <c r="BA363" s="36">
        <f t="shared" si="258"/>
        <v>1.9981753049054831</v>
      </c>
      <c r="BB363" s="37">
        <f t="shared" si="282"/>
        <v>-1.3033440877748104E-4</v>
      </c>
      <c r="BC363" s="37">
        <f t="shared" si="283"/>
        <v>-4.98724565854856E-2</v>
      </c>
      <c r="BD363" s="37">
        <f t="shared" si="284"/>
        <v>-8.4177627490134732</v>
      </c>
      <c r="BE363" s="39">
        <f t="shared" si="285"/>
        <v>1.9386010532277714E-2</v>
      </c>
      <c r="BF363" s="39">
        <f>BF362+(1000*$C$2*($B363-$B362))/(BerechnungenCLT!$W$47*2*AZ363)</f>
        <v>1.4359867226063999E-2</v>
      </c>
      <c r="BG363" s="37">
        <f t="shared" si="259"/>
        <v>2.4623220113879873E-6</v>
      </c>
      <c r="BH363" s="173">
        <f t="shared" si="286"/>
        <v>1267.9663128884742</v>
      </c>
      <c r="BI363">
        <v>-258.19082242620345</v>
      </c>
      <c r="BP363" s="129">
        <v>139.7650228167449</v>
      </c>
      <c r="BQ363" s="9">
        <v>6.46875</v>
      </c>
      <c r="BR363" s="129">
        <f t="shared" si="287"/>
        <v>146.23774701168784</v>
      </c>
      <c r="BS363" s="36">
        <f t="shared" si="307"/>
        <v>9.8868087934112347E-3</v>
      </c>
      <c r="BT363" s="37">
        <f t="shared" si="288"/>
        <v>59494948.201109573</v>
      </c>
      <c r="BU363" s="36">
        <f t="shared" si="260"/>
        <v>1.9979528005664322</v>
      </c>
      <c r="BV363" s="37">
        <f t="shared" si="289"/>
        <v>-1.3233158254181924E-4</v>
      </c>
      <c r="BW363" s="37">
        <f t="shared" si="290"/>
        <v>-5.6191704654226828E-2</v>
      </c>
      <c r="BX363" s="37">
        <f t="shared" si="291"/>
        <v>-9.5288941116552497</v>
      </c>
      <c r="BY363" s="39">
        <f t="shared" si="292"/>
        <v>1.9351872489406851E-2</v>
      </c>
      <c r="BZ363" s="39">
        <f>BZ362+(1000*$C$2*($B363-$B362))/(BerechnungenCLT!$W$47*2*BT363)</f>
        <v>1.6186783476457516E-2</v>
      </c>
      <c r="CA363" s="37">
        <f t="shared" si="261"/>
        <v>2.4579859539899644E-6</v>
      </c>
      <c r="CB363" s="173">
        <f t="shared" si="293"/>
        <v>1314.9933166680048</v>
      </c>
      <c r="CC363" s="9">
        <v>-258.00224661556962</v>
      </c>
      <c r="CJ363" s="9">
        <f t="shared" si="309"/>
        <v>312</v>
      </c>
      <c r="CK363" s="129">
        <v>146.16932797410936</v>
      </c>
      <c r="CL363" s="9">
        <v>3.7734375</v>
      </c>
      <c r="CM363" s="129">
        <f t="shared" si="294"/>
        <v>149.95291836827857</v>
      </c>
      <c r="CN363" s="36">
        <f t="shared" si="308"/>
        <v>5.9837569304828754E-3</v>
      </c>
      <c r="CO363" s="173">
        <f t="shared" si="295"/>
        <v>1226.6536441569363</v>
      </c>
      <c r="CP363" s="9">
        <v>-630.3080873778448</v>
      </c>
      <c r="CQ363" s="129"/>
      <c r="CR363" s="36">
        <f t="shared" si="296"/>
        <v>0.61342889907205422</v>
      </c>
      <c r="CS363" s="17">
        <f t="shared" si="262"/>
        <v>0.44098239281421098</v>
      </c>
      <c r="CT363" s="9">
        <f t="shared" si="263"/>
        <v>5.1341335547468576</v>
      </c>
      <c r="CU363" s="9">
        <f t="shared" si="297"/>
        <v>151.31727554184357</v>
      </c>
      <c r="CV363" s="9">
        <v>7.2</v>
      </c>
      <c r="CW363" s="9">
        <f t="shared" si="298"/>
        <v>153.38870045292168</v>
      </c>
      <c r="CX363">
        <f t="shared" si="299"/>
        <v>12</v>
      </c>
      <c r="CY363" s="9">
        <f t="shared" si="264"/>
        <v>365.86874907986629</v>
      </c>
      <c r="CZ363" s="17">
        <f t="shared" si="300"/>
        <v>0.34450917992454455</v>
      </c>
      <c r="DA363">
        <v>45</v>
      </c>
      <c r="DB363" s="9">
        <f t="shared" si="301"/>
        <v>5.9042183265210326</v>
      </c>
      <c r="DC363" s="9">
        <f t="shared" si="302"/>
        <v>6.517647343345784</v>
      </c>
    </row>
    <row r="364" spans="2:107" x14ac:dyDescent="0.25">
      <c r="B364" s="9">
        <f t="shared" si="303"/>
        <v>313</v>
      </c>
      <c r="C364" s="9">
        <v>141.38623292246081</v>
      </c>
      <c r="D364" s="9"/>
      <c r="E364" s="9">
        <f t="shared" si="265"/>
        <v>141.38623292246081</v>
      </c>
      <c r="F364" s="36">
        <f t="shared" si="304"/>
        <v>0</v>
      </c>
      <c r="G364" s="37">
        <f t="shared" si="311"/>
        <v>0</v>
      </c>
      <c r="H364" s="36" t="e">
        <f t="shared" si="250"/>
        <v>#DIV/0!</v>
      </c>
      <c r="I364" s="37" t="e">
        <f t="shared" si="266"/>
        <v>#DIV/0!</v>
      </c>
      <c r="J364" s="37" t="e">
        <f t="shared" si="267"/>
        <v>#DIV/0!</v>
      </c>
      <c r="K364" s="37" t="e">
        <f t="shared" si="268"/>
        <v>#DIV/0!</v>
      </c>
      <c r="L364" s="39" t="e">
        <f t="shared" si="251"/>
        <v>#DIV/0!</v>
      </c>
      <c r="M364" s="39" t="e">
        <f>M363+(1000*$C$2*(B364-B363))/(BerechnungenCLT!$W$47*2*'Berechnung freier Bereich'!G364)</f>
        <v>#DIV/0!</v>
      </c>
      <c r="N364" s="17" t="e">
        <f t="shared" si="269"/>
        <v>#DIV/0!</v>
      </c>
      <c r="O364" s="173">
        <f t="shared" si="270"/>
        <v>1345.2090667394996</v>
      </c>
      <c r="P364" s="173"/>
      <c r="Q364" s="173"/>
      <c r="R364" s="37" t="e">
        <f t="shared" si="252"/>
        <v>#DIV/0!</v>
      </c>
      <c r="S364" s="37" t="e">
        <f t="shared" si="253"/>
        <v>#DIV/0!</v>
      </c>
      <c r="T364" s="37" t="e">
        <f t="shared" si="254"/>
        <v>#DIV/0!</v>
      </c>
      <c r="U364" s="39" t="e">
        <f t="shared" si="255"/>
        <v>#DIV/0!</v>
      </c>
      <c r="V364" s="39" t="e">
        <f t="shared" si="271"/>
        <v>#DIV/0!</v>
      </c>
      <c r="W364" s="9" t="e">
        <f t="shared" si="272"/>
        <v>#DIV/0!</v>
      </c>
      <c r="AB364" s="129">
        <v>142.39874995258501</v>
      </c>
      <c r="AC364" s="9">
        <v>6.21875</v>
      </c>
      <c r="AD364" s="129">
        <f t="shared" si="273"/>
        <v>148.62823214379924</v>
      </c>
      <c r="AE364" s="36">
        <f t="shared" si="305"/>
        <v>9.6824218078017388E-3</v>
      </c>
      <c r="AF364" s="37">
        <f t="shared" si="274"/>
        <v>60326835.091467127</v>
      </c>
      <c r="AG364" s="36">
        <f t="shared" si="256"/>
        <v>1.9981685335038024</v>
      </c>
      <c r="AH364" s="37">
        <f t="shared" si="275"/>
        <v>-1.3050677425327075E-4</v>
      </c>
      <c r="AI364" s="37">
        <f t="shared" si="276"/>
        <v>-5.3423849293923978E-2</v>
      </c>
      <c r="AJ364" s="37">
        <f t="shared" si="277"/>
        <v>-9.2001830719256734</v>
      </c>
      <c r="AK364" s="39">
        <f t="shared" si="278"/>
        <v>1.9396991140053527E-2</v>
      </c>
      <c r="AL364" s="39">
        <f>AL363+(1000*$C$2*($B364-$B363))/(BerechnungenCLT!$W$47*2*AF364)</f>
        <v>1.5386586783479435E-2</v>
      </c>
      <c r="AM364" s="37">
        <f t="shared" si="257"/>
        <v>2.4637167177500716E-6</v>
      </c>
      <c r="AN364" s="173">
        <f t="shared" si="279"/>
        <v>1269.9818442510837</v>
      </c>
      <c r="AO364" s="173">
        <v>-258.04532832896672</v>
      </c>
      <c r="AV364" s="129">
        <v>142.48116910730221</v>
      </c>
      <c r="AW364" s="9">
        <v>6.21875</v>
      </c>
      <c r="AX364" s="129">
        <f t="shared" si="280"/>
        <v>148.70338935920745</v>
      </c>
      <c r="AY364" s="36">
        <f t="shared" si="306"/>
        <v>9.6763710777951189E-3</v>
      </c>
      <c r="AZ364" s="37">
        <f t="shared" si="281"/>
        <v>60354346.159532987</v>
      </c>
      <c r="BA364" s="36">
        <f t="shared" si="258"/>
        <v>1.9981747738229925</v>
      </c>
      <c r="BB364" s="37">
        <f t="shared" si="282"/>
        <v>-1.3044728589861197E-4</v>
      </c>
      <c r="BC364" s="37">
        <f t="shared" si="283"/>
        <v>-5.0002903871384209E-2</v>
      </c>
      <c r="BD364" s="37">
        <f t="shared" si="284"/>
        <v>-8.4677004292419085</v>
      </c>
      <c r="BE364" s="39">
        <f t="shared" si="285"/>
        <v>1.9397953545833149E-2</v>
      </c>
      <c r="BF364" s="39">
        <f>BF363+(1000*$C$2*($B364-$B363))/(BerechnungenCLT!$W$47*2*AZ364)</f>
        <v>1.4397579994037717E-2</v>
      </c>
      <c r="BG364" s="37">
        <f t="shared" si="259"/>
        <v>2.463838958111548E-6</v>
      </c>
      <c r="BH364" s="173">
        <f t="shared" si="286"/>
        <v>1268.6076987103443</v>
      </c>
      <c r="BI364">
        <v>-258.04532832896672</v>
      </c>
      <c r="BP364" s="129">
        <v>139.80008153961276</v>
      </c>
      <c r="BQ364" s="9">
        <v>6.46875</v>
      </c>
      <c r="BR364" s="129">
        <f t="shared" si="287"/>
        <v>146.27319309896401</v>
      </c>
      <c r="BS364" s="36">
        <f t="shared" si="307"/>
        <v>9.8898378974188825E-3</v>
      </c>
      <c r="BT364" s="37">
        <f t="shared" si="288"/>
        <v>59542510.534334779</v>
      </c>
      <c r="BU364" s="36">
        <f t="shared" si="260"/>
        <v>1.9979535640310646</v>
      </c>
      <c r="BV364" s="37">
        <f t="shared" si="289"/>
        <v>-1.3222587657194009E-4</v>
      </c>
      <c r="BW364" s="37">
        <f t="shared" si="290"/>
        <v>-5.6323930530798767E-2</v>
      </c>
      <c r="BX364" s="37">
        <f t="shared" si="291"/>
        <v>-9.5851519292477629</v>
      </c>
      <c r="BY364" s="39">
        <f t="shared" si="292"/>
        <v>1.9341101176487175E-2</v>
      </c>
      <c r="BZ364" s="39">
        <f>BZ363+(1000*$C$2*($B364-$B363))/(BerechnungenCLT!$W$47*2*BT364)</f>
        <v>1.6225010441234342E-2</v>
      </c>
      <c r="CA364" s="37">
        <f t="shared" si="261"/>
        <v>2.4566178312991453E-6</v>
      </c>
      <c r="CB364" s="173">
        <f t="shared" si="293"/>
        <v>1314.3452174751392</v>
      </c>
      <c r="CC364" s="9">
        <v>-257.87508927897358</v>
      </c>
      <c r="CJ364" s="9">
        <f t="shared" si="309"/>
        <v>313</v>
      </c>
      <c r="CK364" s="129">
        <v>146.24273426513122</v>
      </c>
      <c r="CL364" s="9">
        <v>3.765625</v>
      </c>
      <c r="CM364" s="129">
        <f t="shared" si="294"/>
        <v>150.01660921948573</v>
      </c>
      <c r="CN364" s="36">
        <f t="shared" si="308"/>
        <v>5.9711551551739689E-3</v>
      </c>
      <c r="CO364" s="173">
        <f t="shared" si="295"/>
        <v>1225.5186129659896</v>
      </c>
      <c r="CP364" s="9">
        <v>-631.03134200864383</v>
      </c>
      <c r="CQ364" s="129"/>
      <c r="CR364" s="36">
        <f t="shared" si="296"/>
        <v>0.61322918014391981</v>
      </c>
      <c r="CS364" s="17">
        <f t="shared" si="262"/>
        <v>0.44083881866739094</v>
      </c>
      <c r="CT364" s="9">
        <f t="shared" si="263"/>
        <v>5.1251725218524342</v>
      </c>
      <c r="CU364" s="9">
        <f t="shared" si="297"/>
        <v>151.37913531859908</v>
      </c>
      <c r="CV364" s="9">
        <v>7.2</v>
      </c>
      <c r="CW364" s="9">
        <f t="shared" si="298"/>
        <v>153.45850845171447</v>
      </c>
      <c r="CX364">
        <f t="shared" si="299"/>
        <v>12</v>
      </c>
      <c r="CY364" s="9">
        <f t="shared" si="264"/>
        <v>365.68510188531877</v>
      </c>
      <c r="CZ364" s="17">
        <f t="shared" si="300"/>
        <v>0.34433625412930202</v>
      </c>
      <c r="DA364">
        <v>45</v>
      </c>
      <c r="DB364" s="9">
        <f t="shared" si="301"/>
        <v>5.901254714202711</v>
      </c>
      <c r="DC364" s="9">
        <f t="shared" si="302"/>
        <v>6.514484015267012</v>
      </c>
    </row>
    <row r="365" spans="2:107" x14ac:dyDescent="0.25">
      <c r="B365" s="9">
        <f t="shared" si="303"/>
        <v>314</v>
      </c>
      <c r="C365" s="9">
        <v>141.35122295544167</v>
      </c>
      <c r="D365" s="9"/>
      <c r="E365" s="9">
        <f t="shared" si="265"/>
        <v>141.35122295544167</v>
      </c>
      <c r="F365" s="36">
        <f t="shared" si="304"/>
        <v>0</v>
      </c>
      <c r="G365" s="37">
        <f t="shared" si="311"/>
        <v>0</v>
      </c>
      <c r="H365" s="36" t="e">
        <f t="shared" si="250"/>
        <v>#DIV/0!</v>
      </c>
      <c r="I365" s="37" t="e">
        <f t="shared" si="266"/>
        <v>#DIV/0!</v>
      </c>
      <c r="J365" s="37" t="e">
        <f t="shared" si="267"/>
        <v>#DIV/0!</v>
      </c>
      <c r="K365" s="37" t="e">
        <f t="shared" si="268"/>
        <v>#DIV/0!</v>
      </c>
      <c r="L365" s="39" t="e">
        <f t="shared" si="251"/>
        <v>#DIV/0!</v>
      </c>
      <c r="M365" s="39" t="e">
        <f>M364+(1000*$C$2*(B365-B364))/(BerechnungenCLT!$W$47*2*'Berechnung freier Bereich'!G365)</f>
        <v>#DIV/0!</v>
      </c>
      <c r="N365" s="17" t="e">
        <f t="shared" si="269"/>
        <v>#DIV/0!</v>
      </c>
      <c r="O365" s="173">
        <f t="shared" si="270"/>
        <v>1345.8755138550769</v>
      </c>
      <c r="P365" s="173"/>
      <c r="Q365" s="173"/>
      <c r="R365" s="37" t="e">
        <f t="shared" si="252"/>
        <v>#DIV/0!</v>
      </c>
      <c r="S365" s="37" t="e">
        <f t="shared" si="253"/>
        <v>#DIV/0!</v>
      </c>
      <c r="T365" s="37" t="e">
        <f t="shared" si="254"/>
        <v>#DIV/0!</v>
      </c>
      <c r="U365" s="39" t="e">
        <f t="shared" si="255"/>
        <v>#DIV/0!</v>
      </c>
      <c r="V365" s="39" t="e">
        <f t="shared" si="271"/>
        <v>#DIV/0!</v>
      </c>
      <c r="W365" s="9" t="e">
        <f t="shared" si="272"/>
        <v>#DIV/0!</v>
      </c>
      <c r="AB365" s="129">
        <v>142.33997464060519</v>
      </c>
      <c r="AC365" s="9">
        <v>6.21875</v>
      </c>
      <c r="AD365" s="129">
        <f t="shared" si="273"/>
        <v>148.56802464987959</v>
      </c>
      <c r="AE365" s="36">
        <f t="shared" si="305"/>
        <v>9.6762381526411759E-3</v>
      </c>
      <c r="AF365" s="37">
        <f t="shared" si="274"/>
        <v>60239031.192027099</v>
      </c>
      <c r="AG365" s="36">
        <f t="shared" si="256"/>
        <v>1.9981678782048977</v>
      </c>
      <c r="AH365" s="37">
        <f t="shared" si="275"/>
        <v>-1.3069699981726178E-4</v>
      </c>
      <c r="AI365" s="37">
        <f t="shared" si="276"/>
        <v>-5.3554546293741241E-2</v>
      </c>
      <c r="AJ365" s="37">
        <f t="shared" si="277"/>
        <v>-9.2536722697195053</v>
      </c>
      <c r="AK365" s="39">
        <f t="shared" si="278"/>
        <v>1.9417395090516255E-2</v>
      </c>
      <c r="AL365" s="39">
        <f>AL364+(1000*$C$2*($B365-$B364))/(BerechnungenCLT!$W$47*2*AF365)</f>
        <v>1.5424371744623053E-2</v>
      </c>
      <c r="AM365" s="37">
        <f t="shared" si="257"/>
        <v>2.4663083338156877E-6</v>
      </c>
      <c r="AN365" s="173">
        <f t="shared" si="279"/>
        <v>1271.0209143707716</v>
      </c>
      <c r="AO365" s="173">
        <v>-257.89995717899041</v>
      </c>
      <c r="AV365" s="129">
        <v>142.44775694915219</v>
      </c>
      <c r="AW365" s="9">
        <v>6.21875</v>
      </c>
      <c r="AX365" s="129">
        <f t="shared" si="280"/>
        <v>148.66937594218817</v>
      </c>
      <c r="AY365" s="36">
        <f t="shared" si="306"/>
        <v>9.6731956344376906E-3</v>
      </c>
      <c r="AZ365" s="37">
        <f t="shared" si="281"/>
        <v>60306608.991212532</v>
      </c>
      <c r="BA365" s="36">
        <f t="shared" si="258"/>
        <v>1.998174281474921</v>
      </c>
      <c r="BB365" s="37">
        <f t="shared" si="282"/>
        <v>-1.3055054463174346E-4</v>
      </c>
      <c r="BC365" s="37">
        <f t="shared" si="283"/>
        <v>-5.0133454416015952E-2</v>
      </c>
      <c r="BD365" s="37">
        <f t="shared" si="284"/>
        <v>-8.5177686083856088</v>
      </c>
      <c r="BE365" s="39">
        <f t="shared" si="285"/>
        <v>1.9408867999314083E-2</v>
      </c>
      <c r="BF365" s="39">
        <f>BF364+(1000*$C$2*($B365-$B364))/(BerechnungenCLT!$W$47*2*AZ365)</f>
        <v>1.4435322614473424E-2</v>
      </c>
      <c r="BG365" s="37">
        <f t="shared" si="259"/>
        <v>2.4652252618589657E-6</v>
      </c>
      <c r="BH365" s="173">
        <f t="shared" si="286"/>
        <v>1269.1954106629669</v>
      </c>
      <c r="BI365">
        <v>-257.89995717899041</v>
      </c>
      <c r="BP365" s="129">
        <v>139.83680967672811</v>
      </c>
      <c r="BQ365" s="9">
        <v>6.46875</v>
      </c>
      <c r="BR365" s="129">
        <f t="shared" si="287"/>
        <v>146.31032123331298</v>
      </c>
      <c r="BS365" s="36">
        <f t="shared" si="307"/>
        <v>9.8930024692740377E-3</v>
      </c>
      <c r="BT365" s="37">
        <f t="shared" si="288"/>
        <v>59592309.396407731</v>
      </c>
      <c r="BU365" s="36">
        <f t="shared" si="260"/>
        <v>1.9979543668820088</v>
      </c>
      <c r="BV365" s="37">
        <f t="shared" si="289"/>
        <v>-1.321153808006472E-4</v>
      </c>
      <c r="BW365" s="37">
        <f t="shared" si="290"/>
        <v>-5.6456045911599417E-2</v>
      </c>
      <c r="BX365" s="37">
        <f t="shared" si="291"/>
        <v>-9.6415419174689614</v>
      </c>
      <c r="BY365" s="39">
        <f t="shared" si="292"/>
        <v>1.9329843804804164E-2</v>
      </c>
      <c r="BZ365" s="39">
        <f>BZ364+(1000*$C$2*($B365-$B364))/(BerechnungenCLT!$W$47*2*BT365)</f>
        <v>1.626320546129606E-2</v>
      </c>
      <c r="CA365" s="37">
        <f t="shared" si="261"/>
        <v>2.4551879716568371E-6</v>
      </c>
      <c r="CB365" s="173">
        <f t="shared" si="293"/>
        <v>1313.6668244445377</v>
      </c>
      <c r="CC365" s="9">
        <v>-257.74198827856162</v>
      </c>
      <c r="CJ365" s="9">
        <f t="shared" si="309"/>
        <v>314</v>
      </c>
      <c r="CK365" s="129">
        <v>146.30896506128823</v>
      </c>
      <c r="CL365" s="9">
        <v>3.765625</v>
      </c>
      <c r="CM365" s="129">
        <f t="shared" si="294"/>
        <v>150.08120570581747</v>
      </c>
      <c r="CN365" s="36">
        <f t="shared" si="308"/>
        <v>5.971204996987842E-3</v>
      </c>
      <c r="CO365" s="173">
        <f t="shared" si="295"/>
        <v>1224.4369584423673</v>
      </c>
      <c r="CP365" s="9">
        <v>-630.47438767240635</v>
      </c>
      <c r="CQ365" s="129"/>
      <c r="CR365" s="36">
        <f t="shared" si="296"/>
        <v>0.61302674189411188</v>
      </c>
      <c r="CS365" s="17">
        <f t="shared" si="262"/>
        <v>0.44069328965183185</v>
      </c>
      <c r="CT365" s="9">
        <f t="shared" si="263"/>
        <v>5.1268649944386739</v>
      </c>
      <c r="CU365" s="9">
        <f t="shared" si="297"/>
        <v>151.44483719699895</v>
      </c>
      <c r="CV365" s="9">
        <v>7.2</v>
      </c>
      <c r="CW365" s="9">
        <f t="shared" si="298"/>
        <v>153.52161439323456</v>
      </c>
      <c r="CX365">
        <f t="shared" si="299"/>
        <v>12</v>
      </c>
      <c r="CY365" s="9">
        <f t="shared" si="264"/>
        <v>365.51956441855799</v>
      </c>
      <c r="CZ365" s="17">
        <f t="shared" si="300"/>
        <v>0.34418038080843505</v>
      </c>
      <c r="DA365">
        <v>45</v>
      </c>
      <c r="DB365" s="9">
        <f t="shared" si="301"/>
        <v>5.898583348180245</v>
      </c>
      <c r="DC365" s="9">
        <f t="shared" si="302"/>
        <v>6.5116101870585634</v>
      </c>
    </row>
    <row r="366" spans="2:107" x14ac:dyDescent="0.25">
      <c r="B366" s="9">
        <f t="shared" si="303"/>
        <v>315</v>
      </c>
      <c r="C366" s="9">
        <v>141.31763805589915</v>
      </c>
      <c r="D366" s="9"/>
      <c r="E366" s="9">
        <f t="shared" si="265"/>
        <v>141.31763805589915</v>
      </c>
      <c r="F366" s="36">
        <f t="shared" si="304"/>
        <v>0</v>
      </c>
      <c r="G366" s="37">
        <f t="shared" si="311"/>
        <v>0</v>
      </c>
      <c r="H366" s="36" t="e">
        <f t="shared" si="250"/>
        <v>#DIV/0!</v>
      </c>
      <c r="I366" s="37" t="e">
        <f t="shared" si="266"/>
        <v>#DIV/0!</v>
      </c>
      <c r="J366" s="37" t="e">
        <f t="shared" si="267"/>
        <v>#DIV/0!</v>
      </c>
      <c r="K366" s="37" t="e">
        <f t="shared" si="268"/>
        <v>#DIV/0!</v>
      </c>
      <c r="L366" s="39" t="e">
        <f t="shared" si="251"/>
        <v>#DIV/0!</v>
      </c>
      <c r="M366" s="39" t="e">
        <f>M365+(1000*$C$2*(B366-B365))/(BerechnungenCLT!$W$47*2*'Berechnung freier Bereich'!G366)</f>
        <v>#DIV/0!</v>
      </c>
      <c r="N366" s="17" t="e">
        <f t="shared" si="269"/>
        <v>#DIV/0!</v>
      </c>
      <c r="O366" s="173">
        <f t="shared" si="270"/>
        <v>1346.515299032546</v>
      </c>
      <c r="P366" s="173"/>
      <c r="Q366" s="173"/>
      <c r="R366" s="37" t="e">
        <f t="shared" si="252"/>
        <v>#DIV/0!</v>
      </c>
      <c r="S366" s="37" t="e">
        <f t="shared" si="253"/>
        <v>#DIV/0!</v>
      </c>
      <c r="T366" s="37" t="e">
        <f t="shared" si="254"/>
        <v>#DIV/0!</v>
      </c>
      <c r="U366" s="39" t="e">
        <f t="shared" si="255"/>
        <v>#DIV/0!</v>
      </c>
      <c r="V366" s="39" t="e">
        <f t="shared" si="271"/>
        <v>#DIV/0!</v>
      </c>
      <c r="W366" s="9" t="e">
        <f t="shared" si="272"/>
        <v>#DIV/0!</v>
      </c>
      <c r="AB366" s="129">
        <v>142.28526454817549</v>
      </c>
      <c r="AC366" s="9">
        <v>6.21875</v>
      </c>
      <c r="AD366" s="129">
        <f t="shared" si="273"/>
        <v>148.51200145406864</v>
      </c>
      <c r="AE366" s="36">
        <f t="shared" si="305"/>
        <v>9.670515588120784E-3</v>
      </c>
      <c r="AF366" s="37">
        <f t="shared" si="274"/>
        <v>60157591.18001385</v>
      </c>
      <c r="AG366" s="36">
        <f t="shared" si="256"/>
        <v>1.9981672561173998</v>
      </c>
      <c r="AH366" s="37">
        <f t="shared" si="275"/>
        <v>-1.3087393451538431E-4</v>
      </c>
      <c r="AI366" s="37">
        <f t="shared" si="276"/>
        <v>-5.3685420228256626E-2</v>
      </c>
      <c r="AJ366" s="37">
        <f t="shared" si="277"/>
        <v>-9.3072922529805044</v>
      </c>
      <c r="AK366" s="39">
        <f t="shared" si="278"/>
        <v>1.9436349953048437E-2</v>
      </c>
      <c r="AL366" s="39">
        <f>AL365+(1000*$C$2*($B366-$B365))/(BerechnungenCLT!$W$47*2*AF366)</f>
        <v>1.54622078582086E-2</v>
      </c>
      <c r="AM366" s="37">
        <f t="shared" si="257"/>
        <v>2.46871589338851E-6</v>
      </c>
      <c r="AN366" s="173">
        <f t="shared" si="279"/>
        <v>1271.989088001608</v>
      </c>
      <c r="AO366" s="173">
        <v>-257.75470883778723</v>
      </c>
      <c r="AV366" s="129">
        <v>142.41737761296085</v>
      </c>
      <c r="AW366" s="9">
        <v>6.21875</v>
      </c>
      <c r="AX366" s="129">
        <f t="shared" si="280"/>
        <v>148.638459230103</v>
      </c>
      <c r="AY366" s="36">
        <f t="shared" si="306"/>
        <v>9.6703235779218299E-3</v>
      </c>
      <c r="AZ366" s="37">
        <f t="shared" si="281"/>
        <v>60263324.81212166</v>
      </c>
      <c r="BA366" s="36">
        <f t="shared" si="258"/>
        <v>1.9981738282183115</v>
      </c>
      <c r="BB366" s="37">
        <f t="shared" si="282"/>
        <v>-1.3064431266017313E-4</v>
      </c>
      <c r="BC366" s="37">
        <f t="shared" si="283"/>
        <v>-5.0264098728676126E-2</v>
      </c>
      <c r="BD366" s="37">
        <f t="shared" si="284"/>
        <v>-8.5679673849579547</v>
      </c>
      <c r="BE366" s="39">
        <f t="shared" si="285"/>
        <v>1.9418769340983973E-2</v>
      </c>
      <c r="BF366" s="39">
        <f>BF365+(1000*$C$2*($B366-$B365))/(BerechnungenCLT!$W$47*2*AZ366)</f>
        <v>1.4473092343575097E-2</v>
      </c>
      <c r="BG366" s="37">
        <f t="shared" si="259"/>
        <v>2.4664828847977057E-6</v>
      </c>
      <c r="BH366" s="173">
        <f t="shared" si="286"/>
        <v>1269.7300493491744</v>
      </c>
      <c r="BI366">
        <v>-257.75470883778723</v>
      </c>
      <c r="BP366" s="129">
        <v>139.87518563152889</v>
      </c>
      <c r="BQ366" s="9">
        <v>6.46875</v>
      </c>
      <c r="BR366" s="129">
        <f t="shared" si="287"/>
        <v>146.34910912576902</v>
      </c>
      <c r="BS366" s="36">
        <f t="shared" si="307"/>
        <v>9.8962999696114873E-3</v>
      </c>
      <c r="BT366" s="37">
        <f t="shared" si="288"/>
        <v>59644314.885302454</v>
      </c>
      <c r="BU366" s="36">
        <f t="shared" si="260"/>
        <v>1.9979552088477548</v>
      </c>
      <c r="BV366" s="37">
        <f t="shared" si="289"/>
        <v>-1.3200018583223717E-4</v>
      </c>
      <c r="BW366" s="37">
        <f t="shared" si="290"/>
        <v>-5.6588046097431656E-2</v>
      </c>
      <c r="BX366" s="37">
        <f t="shared" si="291"/>
        <v>-9.6980639634734764</v>
      </c>
      <c r="BY366" s="39">
        <f t="shared" si="292"/>
        <v>1.9318109600983867E-2</v>
      </c>
      <c r="BZ366" s="39">
        <f>BZ365+(1000*$C$2*($B366-$B365))/(BerechnungenCLT!$W$47*2*BT366)</f>
        <v>1.6301367178088298E-2</v>
      </c>
      <c r="CA366" s="37">
        <f t="shared" si="261"/>
        <v>2.4536975469867012E-6</v>
      </c>
      <c r="CB366" s="173">
        <f t="shared" si="293"/>
        <v>1312.9586111720294</v>
      </c>
      <c r="CC366" s="9">
        <v>-257.60303653403633</v>
      </c>
      <c r="CJ366" s="9">
        <f t="shared" si="309"/>
        <v>315</v>
      </c>
      <c r="CK366" s="129">
        <v>146.36826758944832</v>
      </c>
      <c r="CL366" s="9">
        <v>3.765625</v>
      </c>
      <c r="CM366" s="129">
        <f t="shared" si="294"/>
        <v>150.13910253248957</v>
      </c>
      <c r="CN366" s="36">
        <f t="shared" si="308"/>
        <v>5.9713401346106598E-3</v>
      </c>
      <c r="CO366" s="173">
        <f t="shared" si="295"/>
        <v>1223.4691925449233</v>
      </c>
      <c r="CP366" s="9">
        <v>-629.97607568713488</v>
      </c>
      <c r="CQ366" s="129"/>
      <c r="CR366" s="36">
        <f t="shared" si="296"/>
        <v>0.61284540271405064</v>
      </c>
      <c r="CS366" s="17">
        <f t="shared" si="262"/>
        <v>0.44056292835705863</v>
      </c>
      <c r="CT366" s="9">
        <f t="shared" si="263"/>
        <v>5.1283820189447873</v>
      </c>
      <c r="CU366" s="9">
        <f t="shared" si="297"/>
        <v>151.50374499845782</v>
      </c>
      <c r="CV366" s="9">
        <v>7.2</v>
      </c>
      <c r="CW366" s="9">
        <f t="shared" si="298"/>
        <v>153.57822917348736</v>
      </c>
      <c r="CX366">
        <f t="shared" si="299"/>
        <v>12</v>
      </c>
      <c r="CY366" s="9">
        <f t="shared" si="264"/>
        <v>365.3714706095721</v>
      </c>
      <c r="CZ366" s="17">
        <f t="shared" si="300"/>
        <v>0.34404093277737491</v>
      </c>
      <c r="DA366">
        <v>45</v>
      </c>
      <c r="DB366" s="9">
        <f t="shared" si="301"/>
        <v>5.8961934797280797</v>
      </c>
      <c r="DC366" s="9">
        <f t="shared" si="302"/>
        <v>6.5090389373813826</v>
      </c>
    </row>
    <row r="367" spans="2:107" x14ac:dyDescent="0.25">
      <c r="B367" s="9">
        <f t="shared" si="303"/>
        <v>316</v>
      </c>
      <c r="C367" s="9">
        <v>141.28545954667104</v>
      </c>
      <c r="D367" s="9"/>
      <c r="E367" s="9">
        <f t="shared" si="265"/>
        <v>141.28545954667104</v>
      </c>
      <c r="F367" s="36">
        <f t="shared" si="304"/>
        <v>0</v>
      </c>
      <c r="G367" s="37">
        <f t="shared" si="311"/>
        <v>0</v>
      </c>
      <c r="H367" s="36" t="e">
        <f t="shared" si="250"/>
        <v>#DIV/0!</v>
      </c>
      <c r="I367" s="37" t="e">
        <f t="shared" si="266"/>
        <v>#DIV/0!</v>
      </c>
      <c r="J367" s="37" t="e">
        <f t="shared" si="267"/>
        <v>#DIV/0!</v>
      </c>
      <c r="K367" s="37" t="e">
        <f t="shared" si="268"/>
        <v>#DIV/0!</v>
      </c>
      <c r="L367" s="39" t="e">
        <f t="shared" si="251"/>
        <v>#DIV/0!</v>
      </c>
      <c r="M367" s="39" t="e">
        <f>M366+(1000*$C$2*(B367-B366))/(BerechnungenCLT!$W$47*2*'Berechnung freier Bereich'!G367)</f>
        <v>#DIV/0!</v>
      </c>
      <c r="N367" s="17" t="e">
        <f t="shared" si="269"/>
        <v>#DIV/0!</v>
      </c>
      <c r="O367" s="173">
        <f t="shared" si="270"/>
        <v>1347.1287208142705</v>
      </c>
      <c r="P367" s="173"/>
      <c r="Q367" s="173"/>
      <c r="R367" s="37" t="e">
        <f t="shared" si="252"/>
        <v>#DIV/0!</v>
      </c>
      <c r="S367" s="37" t="e">
        <f t="shared" si="253"/>
        <v>#DIV/0!</v>
      </c>
      <c r="T367" s="37" t="e">
        <f t="shared" si="254"/>
        <v>#DIV/0!</v>
      </c>
      <c r="U367" s="39" t="e">
        <f t="shared" si="255"/>
        <v>#DIV/0!</v>
      </c>
      <c r="V367" s="39" t="e">
        <f t="shared" si="271"/>
        <v>#DIV/0!</v>
      </c>
      <c r="W367" s="9" t="e">
        <f t="shared" si="272"/>
        <v>#DIV/0!</v>
      </c>
      <c r="AB367" s="129">
        <v>142.23456639587857</v>
      </c>
      <c r="AC367" s="9">
        <v>6.21875</v>
      </c>
      <c r="AD367" s="129">
        <f t="shared" si="273"/>
        <v>148.46010536880306</v>
      </c>
      <c r="AE367" s="36">
        <f t="shared" si="305"/>
        <v>9.6652439890631998E-3</v>
      </c>
      <c r="AF367" s="37">
        <f t="shared" si="274"/>
        <v>60082389.893148415</v>
      </c>
      <c r="AG367" s="36">
        <f t="shared" si="256"/>
        <v>1.998166668257114</v>
      </c>
      <c r="AH367" s="37">
        <f t="shared" si="275"/>
        <v>-1.3103774105354302E-4</v>
      </c>
      <c r="AI367" s="37">
        <f t="shared" si="276"/>
        <v>-5.3816457969310172E-2</v>
      </c>
      <c r="AJ367" s="37">
        <f t="shared" si="277"/>
        <v>-9.361043192079288</v>
      </c>
      <c r="AK367" s="39">
        <f t="shared" si="278"/>
        <v>1.9453876844098928E-2</v>
      </c>
      <c r="AL367" s="39">
        <f>AL366+(1000*$C$2*($B367-$B366))/(BerechnungenCLT!$W$47*2*AF367)</f>
        <v>1.5500091328838977E-2</v>
      </c>
      <c r="AM367" s="37">
        <f t="shared" si="257"/>
        <v>2.470942078582878E-6</v>
      </c>
      <c r="AN367" s="173">
        <f t="shared" si="279"/>
        <v>1272.8870871166171</v>
      </c>
      <c r="AO367" s="173">
        <v>-257.60958316706552</v>
      </c>
      <c r="AV367" s="129">
        <v>142.38999135007879</v>
      </c>
      <c r="AW367" s="9">
        <v>6.21875</v>
      </c>
      <c r="AX367" s="129">
        <f t="shared" si="280"/>
        <v>148.61059727197537</v>
      </c>
      <c r="AY367" s="36">
        <f t="shared" si="306"/>
        <v>9.6677486557276305E-3</v>
      </c>
      <c r="AZ367" s="37">
        <f t="shared" si="281"/>
        <v>60224414.594138876</v>
      </c>
      <c r="BA367" s="36">
        <f t="shared" si="258"/>
        <v>1.998173414388644</v>
      </c>
      <c r="BB367" s="37">
        <f t="shared" si="282"/>
        <v>-1.307287202665912E-4</v>
      </c>
      <c r="BC367" s="37">
        <f t="shared" si="283"/>
        <v>-5.0394827448942719E-2</v>
      </c>
      <c r="BD367" s="37">
        <f t="shared" si="284"/>
        <v>-8.6182968480467643</v>
      </c>
      <c r="BE367" s="39">
        <f t="shared" si="285"/>
        <v>1.9427673199419109E-2</v>
      </c>
      <c r="BF367" s="39">
        <f>BF366+(1000*$C$2*($B367-$B366))/(BerechnungenCLT!$W$47*2*AZ367)</f>
        <v>1.4510886475211895E-2</v>
      </c>
      <c r="BG367" s="37">
        <f t="shared" si="259"/>
        <v>2.4676138119977401E-6</v>
      </c>
      <c r="BH367" s="173">
        <f t="shared" si="286"/>
        <v>1270.2122269691793</v>
      </c>
      <c r="BI367">
        <v>-257.60958316706552</v>
      </c>
      <c r="BP367" s="129">
        <v>139.91518780745309</v>
      </c>
      <c r="BQ367" s="9">
        <v>6.46875</v>
      </c>
      <c r="BR367" s="129">
        <f t="shared" si="287"/>
        <v>146.3895344965174</v>
      </c>
      <c r="BS367" s="36">
        <f t="shared" si="307"/>
        <v>9.8997278731432041E-3</v>
      </c>
      <c r="BT367" s="37">
        <f t="shared" si="288"/>
        <v>59698497.273214579</v>
      </c>
      <c r="BU367" s="36">
        <f t="shared" si="260"/>
        <v>1.9979560896482778</v>
      </c>
      <c r="BV367" s="37">
        <f t="shared" si="289"/>
        <v>-1.3188038239329123E-4</v>
      </c>
      <c r="BW367" s="37">
        <f t="shared" si="290"/>
        <v>-5.6719926479824948E-2</v>
      </c>
      <c r="BX367" s="37">
        <f t="shared" si="291"/>
        <v>-9.7547179497621048</v>
      </c>
      <c r="BY367" s="39">
        <f t="shared" si="292"/>
        <v>1.9305907787776612E-2</v>
      </c>
      <c r="BZ367" s="39">
        <f>BZ366+(1000*$C$2*($B367-$B366))/(BerechnungenCLT!$W$47*2*BT367)</f>
        <v>1.6339494259286054E-2</v>
      </c>
      <c r="CA367" s="37">
        <f t="shared" si="261"/>
        <v>2.45214772872012E-6</v>
      </c>
      <c r="CB367" s="173">
        <f t="shared" si="293"/>
        <v>1312.2210529016263</v>
      </c>
      <c r="CC367" s="9">
        <v>-257.45832728847455</v>
      </c>
      <c r="CJ367" s="9">
        <f t="shared" si="309"/>
        <v>316</v>
      </c>
      <c r="CK367" s="129">
        <v>146.42088907647928</v>
      </c>
      <c r="CL367" s="9">
        <v>3.7578125</v>
      </c>
      <c r="CM367" s="129">
        <f t="shared" si="294"/>
        <v>150.18270771384297</v>
      </c>
      <c r="CN367" s="36">
        <f t="shared" si="308"/>
        <v>5.9589955495136133E-3</v>
      </c>
      <c r="CO367" s="173">
        <f t="shared" si="295"/>
        <v>1222.6754647007642</v>
      </c>
      <c r="CP367" s="9">
        <v>-630.87624945924676</v>
      </c>
      <c r="CQ367" s="129"/>
      <c r="CR367" s="36">
        <f t="shared" si="296"/>
        <v>0.61270889081572333</v>
      </c>
      <c r="CS367" s="17">
        <f t="shared" si="262"/>
        <v>0.44046479254431314</v>
      </c>
      <c r="CT367" s="9">
        <f t="shared" si="263"/>
        <v>5.1188824581777803</v>
      </c>
      <c r="CU367" s="9">
        <f t="shared" si="297"/>
        <v>151.54522868460162</v>
      </c>
      <c r="CV367" s="9">
        <v>7.2</v>
      </c>
      <c r="CW367" s="9">
        <f t="shared" si="298"/>
        <v>153.6285648689832</v>
      </c>
      <c r="CX367">
        <f t="shared" si="299"/>
        <v>12</v>
      </c>
      <c r="CY367" s="9">
        <f t="shared" si="264"/>
        <v>365.240161544155</v>
      </c>
      <c r="CZ367" s="17">
        <f t="shared" si="300"/>
        <v>0.34391728958959988</v>
      </c>
      <c r="DA367">
        <v>45</v>
      </c>
      <c r="DB367" s="9">
        <f t="shared" si="301"/>
        <v>5.8940744755977095</v>
      </c>
      <c r="DC367" s="9">
        <f t="shared" si="302"/>
        <v>6.5067834253405072</v>
      </c>
    </row>
    <row r="368" spans="2:107" x14ac:dyDescent="0.25">
      <c r="B368" s="9">
        <f t="shared" si="303"/>
        <v>317</v>
      </c>
      <c r="C368" s="9">
        <v>141.2546687505951</v>
      </c>
      <c r="D368" s="9"/>
      <c r="E368" s="9">
        <f t="shared" si="265"/>
        <v>141.2546687505951</v>
      </c>
      <c r="F368" s="36">
        <f t="shared" si="304"/>
        <v>0</v>
      </c>
      <c r="G368" s="37">
        <f t="shared" si="311"/>
        <v>0</v>
      </c>
      <c r="H368" s="36" t="e">
        <f t="shared" si="250"/>
        <v>#DIV/0!</v>
      </c>
      <c r="I368" s="37" t="e">
        <f t="shared" si="266"/>
        <v>#DIV/0!</v>
      </c>
      <c r="J368" s="37" t="e">
        <f t="shared" si="267"/>
        <v>#DIV/0!</v>
      </c>
      <c r="K368" s="37" t="e">
        <f t="shared" si="268"/>
        <v>#DIV/0!</v>
      </c>
      <c r="L368" s="39" t="e">
        <f t="shared" si="251"/>
        <v>#DIV/0!</v>
      </c>
      <c r="M368" s="39" t="e">
        <f>M367+(1000*$C$2*(B368-B367))/(BerechnungenCLT!$W$47*2*'Berechnung freier Bereich'!G368)</f>
        <v>#DIV/0!</v>
      </c>
      <c r="N368" s="17" t="e">
        <f t="shared" si="269"/>
        <v>#DIV/0!</v>
      </c>
      <c r="O368" s="173">
        <f t="shared" si="270"/>
        <v>1347.7160810329026</v>
      </c>
      <c r="P368" s="173"/>
      <c r="Q368" s="173"/>
      <c r="R368" s="37" t="e">
        <f t="shared" si="252"/>
        <v>#DIV/0!</v>
      </c>
      <c r="S368" s="37" t="e">
        <f t="shared" si="253"/>
        <v>#DIV/0!</v>
      </c>
      <c r="T368" s="37" t="e">
        <f t="shared" si="254"/>
        <v>#DIV/0!</v>
      </c>
      <c r="U368" s="39" t="e">
        <f t="shared" si="255"/>
        <v>#DIV/0!</v>
      </c>
      <c r="V368" s="39" t="e">
        <f t="shared" si="271"/>
        <v>#DIV/0!</v>
      </c>
      <c r="W368" s="9" t="e">
        <f t="shared" si="272"/>
        <v>#DIV/0!</v>
      </c>
      <c r="AB368" s="129">
        <v>142.18782690429691</v>
      </c>
      <c r="AC368" s="9">
        <v>6.21875</v>
      </c>
      <c r="AD368" s="129">
        <f t="shared" si="273"/>
        <v>148.41227924988144</v>
      </c>
      <c r="AE368" s="36">
        <f t="shared" si="305"/>
        <v>9.6604133409413963E-3</v>
      </c>
      <c r="AF368" s="37">
        <f t="shared" si="274"/>
        <v>60013304.468488812</v>
      </c>
      <c r="AG368" s="36">
        <f t="shared" si="256"/>
        <v>1.9981661156093102</v>
      </c>
      <c r="AH368" s="37">
        <f t="shared" si="275"/>
        <v>-1.3118858757111602E-4</v>
      </c>
      <c r="AI368" s="37">
        <f t="shared" si="276"/>
        <v>-5.3947646556881286E-2</v>
      </c>
      <c r="AJ368" s="37">
        <f t="shared" si="277"/>
        <v>-9.414925244342383</v>
      </c>
      <c r="AK368" s="39">
        <f t="shared" si="278"/>
        <v>1.9469997293001997E-2</v>
      </c>
      <c r="AL368" s="39">
        <f>AL367+(1000*$C$2*($B368-$B367))/(BerechnungenCLT!$W$47*2*AF368)</f>
        <v>1.5538018409726767E-2</v>
      </c>
      <c r="AM368" s="37">
        <f t="shared" si="257"/>
        <v>2.4729896239559394E-6</v>
      </c>
      <c r="AN368" s="173">
        <f t="shared" si="279"/>
        <v>1273.7156548098912</v>
      </c>
      <c r="AO368" s="173">
        <v>-257.46458002872754</v>
      </c>
      <c r="AV368" s="129">
        <v>142.36555841185634</v>
      </c>
      <c r="AW368" s="9">
        <v>6.21875</v>
      </c>
      <c r="AX368" s="129">
        <f t="shared" si="280"/>
        <v>148.58574814374452</v>
      </c>
      <c r="AY368" s="36">
        <f t="shared" si="306"/>
        <v>9.6654646736350405E-3</v>
      </c>
      <c r="AZ368" s="37">
        <f t="shared" si="281"/>
        <v>60189800.431476429</v>
      </c>
      <c r="BA368" s="36">
        <f t="shared" si="258"/>
        <v>1.9981730402996534</v>
      </c>
      <c r="BB368" s="37">
        <f t="shared" si="282"/>
        <v>-1.3080390019999389E-4</v>
      </c>
      <c r="BC368" s="37">
        <f t="shared" si="283"/>
        <v>-5.0525631349142716E-2</v>
      </c>
      <c r="BD368" s="37">
        <f t="shared" si="284"/>
        <v>-8.6687570774458074</v>
      </c>
      <c r="BE368" s="39">
        <f t="shared" si="285"/>
        <v>1.9435595371335788E-2</v>
      </c>
      <c r="BF368" s="39">
        <f>BF367+(1000*$C$2*($B368-$B367))/(BerechnungenCLT!$W$47*2*AZ368)</f>
        <v>1.4548702341631177E-2</v>
      </c>
      <c r="BG368" s="37">
        <f t="shared" si="259"/>
        <v>2.4686200498854151E-6</v>
      </c>
      <c r="BH368" s="173">
        <f t="shared" si="286"/>
        <v>1270.6425669163123</v>
      </c>
      <c r="BI368">
        <v>-257.46458002872754</v>
      </c>
      <c r="BP368" s="129">
        <v>139.95679460793855</v>
      </c>
      <c r="BQ368" s="9">
        <v>6.46875</v>
      </c>
      <c r="BR368" s="129">
        <f t="shared" si="287"/>
        <v>146.43157507490361</v>
      </c>
      <c r="BS368" s="36">
        <f t="shared" si="307"/>
        <v>9.9032836685449648E-3</v>
      </c>
      <c r="BT368" s="37">
        <f t="shared" si="288"/>
        <v>59754826.998270102</v>
      </c>
      <c r="BU368" s="36">
        <f t="shared" si="260"/>
        <v>1.9979570089951357</v>
      </c>
      <c r="BV368" s="37">
        <f t="shared" si="289"/>
        <v>-1.3175606129567268E-4</v>
      </c>
      <c r="BW368" s="37">
        <f t="shared" si="290"/>
        <v>-5.6851682541120621E-2</v>
      </c>
      <c r="BX368" s="37">
        <f t="shared" si="291"/>
        <v>-9.8115037542725769</v>
      </c>
      <c r="BY368" s="39">
        <f t="shared" si="292"/>
        <v>1.9293247581190897E-2</v>
      </c>
      <c r="BZ368" s="39">
        <f>BZ367+(1000*$C$2*($B368-$B367))/(BerechnungenCLT!$W$47*2*BT368)</f>
        <v>1.637758539881836E-2</v>
      </c>
      <c r="CA368" s="37">
        <f t="shared" si="261"/>
        <v>2.4505396874321598E-6</v>
      </c>
      <c r="CB368" s="173">
        <f t="shared" si="293"/>
        <v>1311.4546263741561</v>
      </c>
      <c r="CC368" s="9">
        <v>-257.30795407862877</v>
      </c>
      <c r="CJ368" s="9">
        <f t="shared" si="309"/>
        <v>317</v>
      </c>
      <c r="CK368" s="129">
        <v>146.46707674924892</v>
      </c>
      <c r="CL368" s="9">
        <v>3.7578125</v>
      </c>
      <c r="CM368" s="129">
        <f t="shared" si="294"/>
        <v>150.22789446072741</v>
      </c>
      <c r="CN368" s="36">
        <f t="shared" si="308"/>
        <v>5.9592453040587749E-3</v>
      </c>
      <c r="CO368" s="173">
        <f t="shared" si="295"/>
        <v>1221.922475481437</v>
      </c>
      <c r="CP368" s="9">
        <v>-630.48772198136135</v>
      </c>
      <c r="CQ368" s="129"/>
      <c r="CR368" s="36">
        <f t="shared" si="296"/>
        <v>0.61256748585951626</v>
      </c>
      <c r="CS368" s="17">
        <f t="shared" si="262"/>
        <v>0.44036313920512693</v>
      </c>
      <c r="CT368" s="9">
        <f t="shared" si="263"/>
        <v>5.1200640999830291</v>
      </c>
      <c r="CU368" s="9">
        <f t="shared" si="297"/>
        <v>151.59123548551406</v>
      </c>
      <c r="CV368" s="9">
        <v>7.2</v>
      </c>
      <c r="CW368" s="9">
        <f t="shared" si="298"/>
        <v>153.67283475943307</v>
      </c>
      <c r="CX368">
        <f t="shared" si="299"/>
        <v>12</v>
      </c>
      <c r="CY368" s="9">
        <f t="shared" si="264"/>
        <v>365.1249848543614</v>
      </c>
      <c r="CZ368" s="17">
        <f t="shared" si="300"/>
        <v>0.3438088369626755</v>
      </c>
      <c r="DA368">
        <v>45</v>
      </c>
      <c r="DB368" s="9">
        <f t="shared" si="301"/>
        <v>5.8922158081811071</v>
      </c>
      <c r="DC368" s="9">
        <f t="shared" si="302"/>
        <v>6.5047833382828806</v>
      </c>
    </row>
    <row r="369" spans="2:107" x14ac:dyDescent="0.25">
      <c r="B369" s="9">
        <f t="shared" si="303"/>
        <v>318</v>
      </c>
      <c r="C369" s="9">
        <v>141.22524699050913</v>
      </c>
      <c r="D369" s="9"/>
      <c r="E369" s="9">
        <f t="shared" si="265"/>
        <v>141.22524699050913</v>
      </c>
      <c r="F369" s="36">
        <f t="shared" si="304"/>
        <v>0</v>
      </c>
      <c r="G369" s="37">
        <f t="shared" si="311"/>
        <v>0</v>
      </c>
      <c r="H369" s="36" t="e">
        <f t="shared" si="250"/>
        <v>#DIV/0!</v>
      </c>
      <c r="I369" s="37" t="e">
        <f t="shared" si="266"/>
        <v>#DIV/0!</v>
      </c>
      <c r="J369" s="37" t="e">
        <f t="shared" si="267"/>
        <v>#DIV/0!</v>
      </c>
      <c r="K369" s="37" t="e">
        <f t="shared" si="268"/>
        <v>#DIV/0!</v>
      </c>
      <c r="L369" s="39" t="e">
        <f t="shared" si="251"/>
        <v>#DIV/0!</v>
      </c>
      <c r="M369" s="39" t="e">
        <f>M368+(1000*$C$2*(B369-B368))/(BerechnungenCLT!$W$47*2*'Berechnung freier Bereich'!G369)</f>
        <v>#DIV/0!</v>
      </c>
      <c r="N369" s="17" t="e">
        <f t="shared" si="269"/>
        <v>#DIV/0!</v>
      </c>
      <c r="O369" s="173">
        <f t="shared" si="270"/>
        <v>1348.277684718606</v>
      </c>
      <c r="P369" s="173"/>
      <c r="Q369" s="173"/>
      <c r="R369" s="37" t="e">
        <f t="shared" si="252"/>
        <v>#DIV/0!</v>
      </c>
      <c r="S369" s="37" t="e">
        <f t="shared" si="253"/>
        <v>#DIV/0!</v>
      </c>
      <c r="T369" s="37" t="e">
        <f t="shared" si="254"/>
        <v>#DIV/0!</v>
      </c>
      <c r="U369" s="39" t="e">
        <f t="shared" si="255"/>
        <v>#DIV/0!</v>
      </c>
      <c r="V369" s="39" t="e">
        <f t="shared" si="271"/>
        <v>#DIV/0!</v>
      </c>
      <c r="W369" s="9" t="e">
        <f t="shared" si="272"/>
        <v>#DIV/0!</v>
      </c>
      <c r="AB369" s="129">
        <v>142.14499279401318</v>
      </c>
      <c r="AC369" s="9">
        <v>6.21875</v>
      </c>
      <c r="AD369" s="129">
        <f t="shared" si="273"/>
        <v>148.36846599721005</v>
      </c>
      <c r="AE369" s="36">
        <f t="shared" si="305"/>
        <v>9.6560137386031003E-3</v>
      </c>
      <c r="AF369" s="37">
        <f t="shared" si="274"/>
        <v>59950214.261191942</v>
      </c>
      <c r="AG369" s="36">
        <f t="shared" si="256"/>
        <v>1.998165599128028</v>
      </c>
      <c r="AH369" s="37">
        <f t="shared" si="275"/>
        <v>-1.3132664738102406E-4</v>
      </c>
      <c r="AI369" s="37">
        <f t="shared" si="276"/>
        <v>-5.4078973204262311E-2</v>
      </c>
      <c r="AJ369" s="37">
        <f t="shared" si="277"/>
        <v>-9.4689385542229552</v>
      </c>
      <c r="AK369" s="39">
        <f t="shared" si="278"/>
        <v>1.9484733216479061E-2</v>
      </c>
      <c r="AL369" s="39">
        <f>AL368+(1000*$C$2*($B369-$B368))/(BerechnungenCLT!$W$47*2*AF369)</f>
        <v>1.5575985404189927E-2</v>
      </c>
      <c r="AM369" s="37">
        <f t="shared" si="257"/>
        <v>2.474861313268977E-6</v>
      </c>
      <c r="AN369" s="173">
        <f t="shared" si="279"/>
        <v>1274.4755546195418</v>
      </c>
      <c r="AO369" s="173">
        <v>-257.31969928487069</v>
      </c>
      <c r="AV369" s="129">
        <v>142.34403904964407</v>
      </c>
      <c r="AW369" s="9">
        <v>6.21875</v>
      </c>
      <c r="AX369" s="129">
        <f t="shared" si="280"/>
        <v>148.56386994848842</v>
      </c>
      <c r="AY369" s="36">
        <f t="shared" si="306"/>
        <v>9.6634654950744497E-3</v>
      </c>
      <c r="AZ369" s="37">
        <f t="shared" si="281"/>
        <v>60159405.502126537</v>
      </c>
      <c r="BA369" s="36">
        <f t="shared" si="258"/>
        <v>1.9981727062431813</v>
      </c>
      <c r="BB369" s="37">
        <f t="shared" si="282"/>
        <v>-1.308699875436451E-4</v>
      </c>
      <c r="BC369" s="37">
        <f t="shared" si="283"/>
        <v>-5.0656501336686359E-2</v>
      </c>
      <c r="BD369" s="37">
        <f t="shared" si="284"/>
        <v>-8.7193481437887215</v>
      </c>
      <c r="BE369" s="39">
        <f t="shared" si="285"/>
        <v>1.944255180959439E-2</v>
      </c>
      <c r="BF369" s="39">
        <f>BF368+(1000*$C$2*($B369-$B368))/(BerechnungenCLT!$W$47*2*AZ369)</f>
        <v>1.4586537314133348E-2</v>
      </c>
      <c r="BG369" s="37">
        <f t="shared" si="259"/>
        <v>2.4695036247197775E-6</v>
      </c>
      <c r="BH369" s="173">
        <f t="shared" si="286"/>
        <v>1271.0217033729432</v>
      </c>
      <c r="BI369">
        <v>-257.31969928487069</v>
      </c>
      <c r="BP369" s="129">
        <v>139.99998443642335</v>
      </c>
      <c r="BQ369" s="9">
        <v>6.4375</v>
      </c>
      <c r="BR369" s="129">
        <f t="shared" si="287"/>
        <v>146.44392732329214</v>
      </c>
      <c r="BS369" s="36">
        <f t="shared" si="307"/>
        <v>9.8580285729130551E-3</v>
      </c>
      <c r="BT369" s="37">
        <f t="shared" si="288"/>
        <v>59504538.434035659</v>
      </c>
      <c r="BU369" s="36">
        <f t="shared" si="260"/>
        <v>1.9979771924009426</v>
      </c>
      <c r="BV369" s="37">
        <f t="shared" si="289"/>
        <v>-1.323102549131467E-4</v>
      </c>
      <c r="BW369" s="37">
        <f t="shared" si="290"/>
        <v>-5.6983992796033771E-2</v>
      </c>
      <c r="BX369" s="37">
        <f t="shared" si="291"/>
        <v>-9.8684215919411535</v>
      </c>
      <c r="BY369" s="39">
        <f t="shared" si="292"/>
        <v>1.9376033354627113E-2</v>
      </c>
      <c r="BZ369" s="39">
        <f>BZ368+(1000*$C$2*($B369-$B368))/(BerechnungenCLT!$W$47*2*BT369)</f>
        <v>1.6415836757669638E-2</v>
      </c>
      <c r="CA369" s="37">
        <f t="shared" si="261"/>
        <v>2.4610547561113173E-6</v>
      </c>
      <c r="CB369" s="173">
        <f t="shared" si="293"/>
        <v>1310.9460880622516</v>
      </c>
      <c r="CC369" s="9">
        <v>-258.45676203757182</v>
      </c>
      <c r="CJ369" s="9">
        <f t="shared" si="309"/>
        <v>318</v>
      </c>
      <c r="CK369" s="129">
        <v>146.50707783462508</v>
      </c>
      <c r="CL369" s="9">
        <v>3.7578125</v>
      </c>
      <c r="CM369" s="129">
        <f t="shared" si="294"/>
        <v>150.26706961180602</v>
      </c>
      <c r="CN369" s="36">
        <f t="shared" si="308"/>
        <v>5.959526500028612E-3</v>
      </c>
      <c r="CO369" s="173">
        <f t="shared" si="295"/>
        <v>1221.2705701985324</v>
      </c>
      <c r="CP369" s="9">
        <v>-630.15135180648247</v>
      </c>
      <c r="CQ369" s="129"/>
      <c r="CR369" s="36">
        <f t="shared" si="296"/>
        <v>0.61244494122005844</v>
      </c>
      <c r="CS369" s="17">
        <f t="shared" si="262"/>
        <v>0.44027504418968766</v>
      </c>
      <c r="CT369" s="9">
        <f t="shared" si="263"/>
        <v>5.12108857804939</v>
      </c>
      <c r="CU369" s="9">
        <f t="shared" si="297"/>
        <v>151.63113629780838</v>
      </c>
      <c r="CV369" s="9">
        <v>7.2</v>
      </c>
      <c r="CW369" s="9">
        <f t="shared" si="298"/>
        <v>153.71125334782667</v>
      </c>
      <c r="CX369">
        <f t="shared" si="299"/>
        <v>12</v>
      </c>
      <c r="CY369" s="9">
        <f t="shared" si="264"/>
        <v>365.02529413697084</v>
      </c>
      <c r="CZ369" s="17">
        <f t="shared" si="300"/>
        <v>0.34371496623066933</v>
      </c>
      <c r="DA369">
        <v>45</v>
      </c>
      <c r="DB369" s="9">
        <f t="shared" si="301"/>
        <v>5.8906070461261857</v>
      </c>
      <c r="DC369" s="9">
        <f t="shared" si="302"/>
        <v>6.5030520061911368</v>
      </c>
    </row>
    <row r="370" spans="2:107" x14ac:dyDescent="0.25">
      <c r="B370" s="9">
        <f t="shared" si="303"/>
        <v>319</v>
      </c>
      <c r="C370" s="9">
        <v>141.19717558925097</v>
      </c>
      <c r="D370" s="9"/>
      <c r="E370" s="9">
        <f t="shared" si="265"/>
        <v>141.19717558925097</v>
      </c>
      <c r="F370" s="36">
        <f t="shared" si="304"/>
        <v>0</v>
      </c>
      <c r="G370" s="37">
        <f t="shared" si="311"/>
        <v>0</v>
      </c>
      <c r="H370" s="36" t="e">
        <f t="shared" si="250"/>
        <v>#DIV/0!</v>
      </c>
      <c r="I370" s="37" t="e">
        <f t="shared" si="266"/>
        <v>#DIV/0!</v>
      </c>
      <c r="J370" s="37" t="e">
        <f t="shared" si="267"/>
        <v>#DIV/0!</v>
      </c>
      <c r="K370" s="37" t="e">
        <f t="shared" si="268"/>
        <v>#DIV/0!</v>
      </c>
      <c r="L370" s="39" t="e">
        <f t="shared" si="251"/>
        <v>#DIV/0!</v>
      </c>
      <c r="M370" s="39" t="e">
        <f>M369+(1000*$C$2*(B370-B369))/(BerechnungenCLT!$W$47*2*'Berechnung freier Bereich'!G370)</f>
        <v>#DIV/0!</v>
      </c>
      <c r="N370" s="17" t="e">
        <f t="shared" si="269"/>
        <v>#DIV/0!</v>
      </c>
      <c r="O370" s="173">
        <f t="shared" si="270"/>
        <v>1348.8138400067096</v>
      </c>
      <c r="P370" s="173"/>
      <c r="Q370" s="173"/>
      <c r="R370" s="37" t="e">
        <f t="shared" si="252"/>
        <v>#DIV/0!</v>
      </c>
      <c r="S370" s="37" t="e">
        <f t="shared" si="253"/>
        <v>#DIV/0!</v>
      </c>
      <c r="T370" s="37" t="e">
        <f t="shared" si="254"/>
        <v>#DIV/0!</v>
      </c>
      <c r="U370" s="39" t="e">
        <f t="shared" si="255"/>
        <v>#DIV/0!</v>
      </c>
      <c r="V370" s="39" t="e">
        <f t="shared" si="271"/>
        <v>#DIV/0!</v>
      </c>
      <c r="W370" s="9" t="e">
        <f t="shared" si="272"/>
        <v>#DIV/0!</v>
      </c>
      <c r="AB370" s="129">
        <v>142.1060107856099</v>
      </c>
      <c r="AC370" s="9">
        <v>6.1875</v>
      </c>
      <c r="AD370" s="129">
        <f t="shared" si="273"/>
        <v>148.29733921998559</v>
      </c>
      <c r="AE370" s="36">
        <f t="shared" si="305"/>
        <v>9.6024987404634537E-3</v>
      </c>
      <c r="AF370" s="37">
        <f t="shared" si="274"/>
        <v>59572517.055226535</v>
      </c>
      <c r="AG370" s="36">
        <f t="shared" si="256"/>
        <v>1.9981831109374482</v>
      </c>
      <c r="AH370" s="37">
        <f t="shared" si="275"/>
        <v>-1.3215927474405178E-4</v>
      </c>
      <c r="AI370" s="37">
        <f t="shared" si="276"/>
        <v>-5.4211132479006365E-2</v>
      </c>
      <c r="AJ370" s="37">
        <f t="shared" si="277"/>
        <v>-9.5230836070645903</v>
      </c>
      <c r="AK370" s="39">
        <f t="shared" si="278"/>
        <v>1.9598868797785919E-2</v>
      </c>
      <c r="AL370" s="39">
        <f>AL369+(1000*$C$2*($B370-$B369))/(BerechnungenCLT!$W$47*2*AF370)</f>
        <v>1.5614193114144668E-2</v>
      </c>
      <c r="AM370" s="37">
        <f t="shared" si="257"/>
        <v>2.4893582905437244E-6</v>
      </c>
      <c r="AN370" s="173">
        <f t="shared" si="279"/>
        <v>1275.4421933269721</v>
      </c>
      <c r="AO370" s="173">
        <v>-258.52915270773872</v>
      </c>
      <c r="AV370" s="129">
        <v>142.32539351479244</v>
      </c>
      <c r="AW370" s="9">
        <v>6.1875</v>
      </c>
      <c r="AX370" s="129">
        <f t="shared" si="280"/>
        <v>148.51366691059476</v>
      </c>
      <c r="AY370" s="36">
        <f t="shared" si="306"/>
        <v>9.6121606238372976E-3</v>
      </c>
      <c r="AZ370" s="37">
        <f t="shared" si="281"/>
        <v>59811424.793495782</v>
      </c>
      <c r="BA370" s="36">
        <f t="shared" si="258"/>
        <v>1.9981903330087281</v>
      </c>
      <c r="BB370" s="37">
        <f t="shared" si="282"/>
        <v>-1.3163138440321109E-4</v>
      </c>
      <c r="BC370" s="37">
        <f t="shared" si="283"/>
        <v>-5.078813272108957E-2</v>
      </c>
      <c r="BD370" s="37">
        <f t="shared" si="284"/>
        <v>-8.7700704608176103</v>
      </c>
      <c r="BE370" s="39">
        <f t="shared" si="285"/>
        <v>1.954905957823895E-2</v>
      </c>
      <c r="BF370" s="39">
        <f>BF369+(1000*$C$2*($B370-$B369))/(BerechnungenCLT!$W$47*2*AZ370)</f>
        <v>1.4624592409138666E-2</v>
      </c>
      <c r="BG370" s="37">
        <f t="shared" si="259"/>
        <v>2.4830317522672514E-6</v>
      </c>
      <c r="BH370" s="173">
        <f t="shared" si="286"/>
        <v>1271.62353716859</v>
      </c>
      <c r="BI370">
        <v>-258.52915270773872</v>
      </c>
      <c r="BP370" s="129">
        <v>140.04473569634524</v>
      </c>
      <c r="BQ370" s="9">
        <v>6.4375</v>
      </c>
      <c r="BR370" s="129">
        <f t="shared" si="287"/>
        <v>146.48912935346797</v>
      </c>
      <c r="BS370" s="36">
        <f t="shared" si="307"/>
        <v>9.8618141454767227E-3</v>
      </c>
      <c r="BT370" s="37">
        <f t="shared" si="288"/>
        <v>59564767.201846026</v>
      </c>
      <c r="BU370" s="36">
        <f t="shared" si="260"/>
        <v>1.997978178683941</v>
      </c>
      <c r="BV370" s="37">
        <f t="shared" si="289"/>
        <v>-1.3217646972441105E-4</v>
      </c>
      <c r="BW370" s="37">
        <f t="shared" si="290"/>
        <v>-5.7116169265758181E-2</v>
      </c>
      <c r="BX370" s="37">
        <f t="shared" si="291"/>
        <v>-9.9254716729720496</v>
      </c>
      <c r="BY370" s="39">
        <f t="shared" si="292"/>
        <v>1.9362415970943993E-2</v>
      </c>
      <c r="BZ370" s="39">
        <f>BZ369+(1000*$C$2*($B370-$B369))/(BerechnungenCLT!$W$47*2*BT370)</f>
        <v>1.6454049438753521E-2</v>
      </c>
      <c r="CA370" s="37">
        <f t="shared" si="261"/>
        <v>2.4593251385850794E-6</v>
      </c>
      <c r="CB370" s="173">
        <f t="shared" si="293"/>
        <v>1310.1231109704395</v>
      </c>
      <c r="CC370" s="9">
        <v>-258.29450975556131</v>
      </c>
      <c r="CJ370" s="9">
        <f t="shared" si="309"/>
        <v>319</v>
      </c>
      <c r="CK370" s="129">
        <v>146.5411395594756</v>
      </c>
      <c r="CL370" s="9">
        <v>3.75</v>
      </c>
      <c r="CM370" s="129">
        <f t="shared" si="294"/>
        <v>150.29264831915731</v>
      </c>
      <c r="CN370" s="36">
        <f t="shared" si="308"/>
        <v>5.9472759921772415E-3</v>
      </c>
      <c r="CO370" s="173">
        <f t="shared" si="295"/>
        <v>1220.7798593001889</v>
      </c>
      <c r="CP370" s="9">
        <v>-631.21044255402069</v>
      </c>
      <c r="CQ370" s="129"/>
      <c r="CR370" s="36">
        <f t="shared" si="296"/>
        <v>0.61236495193466445</v>
      </c>
      <c r="CS370" s="17">
        <f t="shared" si="262"/>
        <v>0.44021754141059477</v>
      </c>
      <c r="CT370" s="9">
        <f t="shared" si="263"/>
        <v>5.1111093683143469</v>
      </c>
      <c r="CU370" s="9">
        <f t="shared" si="297"/>
        <v>151.65430531065496</v>
      </c>
      <c r="CV370" s="9">
        <v>7.2</v>
      </c>
      <c r="CW370" s="9">
        <f t="shared" si="298"/>
        <v>153.74403637806449</v>
      </c>
      <c r="CX370">
        <f t="shared" si="299"/>
        <v>12</v>
      </c>
      <c r="CY370" s="9">
        <f t="shared" si="264"/>
        <v>364.94044839897703</v>
      </c>
      <c r="CZ370" s="17">
        <f t="shared" si="300"/>
        <v>0.34363507382201225</v>
      </c>
      <c r="DA370">
        <v>45</v>
      </c>
      <c r="DB370" s="9">
        <f t="shared" si="301"/>
        <v>5.8892378453883527</v>
      </c>
      <c r="DC370" s="9">
        <f t="shared" si="302"/>
        <v>6.501602819640687</v>
      </c>
    </row>
    <row r="371" spans="2:107" x14ac:dyDescent="0.25">
      <c r="B371" s="9">
        <f t="shared" si="303"/>
        <v>320</v>
      </c>
      <c r="C371" s="9">
        <v>141.17043586965835</v>
      </c>
      <c r="D371" s="9"/>
      <c r="E371" s="9">
        <f t="shared" si="265"/>
        <v>141.17043586965835</v>
      </c>
      <c r="F371" s="36">
        <f t="shared" si="304"/>
        <v>0</v>
      </c>
      <c r="G371" s="37">
        <f t="shared" si="311"/>
        <v>0</v>
      </c>
      <c r="H371" s="36" t="e">
        <f t="shared" ref="H371:H434" si="312">((E371^2-C371^2)*(E371+C371)^5*(E371-C371))/(2*(E371^4-C371^4)^2)</f>
        <v>#DIV/0!</v>
      </c>
      <c r="I371" s="37" t="e">
        <f t="shared" si="266"/>
        <v>#DIV/0!</v>
      </c>
      <c r="J371" s="37" t="e">
        <f t="shared" si="267"/>
        <v>#DIV/0!</v>
      </c>
      <c r="K371" s="37" t="e">
        <f t="shared" si="268"/>
        <v>#DIV/0!</v>
      </c>
      <c r="L371" s="39" t="e">
        <f t="shared" ref="L371:L434" si="313">-I371*E371</f>
        <v>#DIV/0!</v>
      </c>
      <c r="M371" s="39" t="e">
        <f>M370+(1000*$C$2*(B371-B370))/(BerechnungenCLT!$W$47*2*'Berechnung freier Bereich'!G371)</f>
        <v>#DIV/0!</v>
      </c>
      <c r="N371" s="17" t="e">
        <f t="shared" si="269"/>
        <v>#DIV/0!</v>
      </c>
      <c r="O371" s="173">
        <f t="shared" si="270"/>
        <v>1349.3248580458405</v>
      </c>
      <c r="P371" s="173"/>
      <c r="Q371" s="173"/>
      <c r="R371" s="37" t="e">
        <f t="shared" ref="R371:R434" si="314">-$C$11*($C$34)/($C$14*$C$18*G371)</f>
        <v>#DIV/0!</v>
      </c>
      <c r="S371" s="37" t="e">
        <f t="shared" ref="S371:S434" si="315">(-$C$11*($C$34)/($C$14*$C$18*G371))*$B$52+S370</f>
        <v>#DIV/0!</v>
      </c>
      <c r="T371" s="37" t="e">
        <f t="shared" ref="T371:T434" si="316">(-$C$11*($C$34)/(2*$C$14*$C$18*G371))*$B$52^2+S370*$B$52+T370</f>
        <v>#DIV/0!</v>
      </c>
      <c r="U371" s="39" t="e">
        <f t="shared" ref="U371:U434" si="317">-R371*E371</f>
        <v>#DIV/0!</v>
      </c>
      <c r="V371" s="39" t="e">
        <f t="shared" si="271"/>
        <v>#DIV/0!</v>
      </c>
      <c r="W371" s="9" t="e">
        <f t="shared" si="272"/>
        <v>#DIV/0!</v>
      </c>
      <c r="AB371" s="129">
        <v>142.07082759966963</v>
      </c>
      <c r="AC371" s="9">
        <v>6.1875</v>
      </c>
      <c r="AD371" s="129">
        <f t="shared" si="273"/>
        <v>148.26138447623669</v>
      </c>
      <c r="AE371" s="36">
        <f t="shared" si="305"/>
        <v>9.5989501267328917E-3</v>
      </c>
      <c r="AF371" s="37">
        <f t="shared" si="274"/>
        <v>59521336.772303142</v>
      </c>
      <c r="AG371" s="36">
        <f t="shared" ref="AG371:AG434" si="318">((AD371^2-AB371^2)*(AD371+AB371)^5*(AD371-AB371))/(2*(AD371^4-AB371^4)^2)</f>
        <v>1.9981826738009398</v>
      </c>
      <c r="AH371" s="37">
        <f t="shared" si="275"/>
        <v>-1.322729138092869E-4</v>
      </c>
      <c r="AI371" s="37">
        <f t="shared" si="276"/>
        <v>-5.4343405392815652E-2</v>
      </c>
      <c r="AJ371" s="37">
        <f t="shared" si="277"/>
        <v>-9.5773608760005011</v>
      </c>
      <c r="AK371" s="39">
        <f t="shared" si="278"/>
        <v>1.9610965330070802E-2</v>
      </c>
      <c r="AL371" s="39">
        <f>AL370+(1000*$C$2*($B371-$B370))/(BerechnungenCLT!$W$47*2*AF371)</f>
        <v>1.5652433677551824E-2</v>
      </c>
      <c r="AM371" s="37">
        <f t="shared" ref="AM371:AM434" si="319">AD371/AF371</f>
        <v>2.4908947365111371E-6</v>
      </c>
      <c r="AN371" s="173">
        <f t="shared" si="279"/>
        <v>1276.0672940152697</v>
      </c>
      <c r="AO371" s="173">
        <v>-258.38373916483403</v>
      </c>
      <c r="AV371" s="129">
        <v>142.30958205865196</v>
      </c>
      <c r="AW371" s="9">
        <v>6.1875</v>
      </c>
      <c r="AX371" s="129">
        <f t="shared" si="280"/>
        <v>148.49760625868345</v>
      </c>
      <c r="AY371" s="36">
        <f t="shared" si="306"/>
        <v>9.610720228400229E-3</v>
      </c>
      <c r="AZ371" s="37">
        <f t="shared" si="281"/>
        <v>59789359.324011892</v>
      </c>
      <c r="BA371" s="36">
        <f t="shared" ref="BA371:BA434" si="320">((AX371^2-AV371^2)*(AX371+AV371)^5*(AX371-AV371))/(2*(AX371^4-AV371^4)^2)</f>
        <v>1.9981900822588843</v>
      </c>
      <c r="BB371" s="37">
        <f t="shared" si="282"/>
        <v>-1.3167996342008814E-4</v>
      </c>
      <c r="BC371" s="37">
        <f t="shared" si="283"/>
        <v>-5.0919812684509659E-2</v>
      </c>
      <c r="BD371" s="37">
        <f t="shared" si="284"/>
        <v>-8.8209244335204104</v>
      </c>
      <c r="BE371" s="39">
        <f t="shared" si="285"/>
        <v>1.9554159360114089E-2</v>
      </c>
      <c r="BF371" s="39">
        <f>BF370+(1000*$C$2*($B371-$B370))/(BerechnungenCLT!$W$47*2*AZ371)</f>
        <v>1.4662661548508184E-2</v>
      </c>
      <c r="BG371" s="37">
        <f t="shared" ref="BG371:BG434" si="321">AX371/AZ371</f>
        <v>2.4836795031360304E-6</v>
      </c>
      <c r="BH371" s="173">
        <f t="shared" si="286"/>
        <v>1271.9022891760221</v>
      </c>
      <c r="BI371">
        <v>-258.38373916483403</v>
      </c>
      <c r="BP371" s="129">
        <v>140.0910267911423</v>
      </c>
      <c r="BQ371" s="9">
        <v>6.4375</v>
      </c>
      <c r="BR371" s="129">
        <f t="shared" si="287"/>
        <v>146.53587979273723</v>
      </c>
      <c r="BS371" s="36">
        <f t="shared" si="307"/>
        <v>9.8657195739319439E-3</v>
      </c>
      <c r="BT371" s="37">
        <f t="shared" si="288"/>
        <v>59627045.102415629</v>
      </c>
      <c r="BU371" s="36">
        <f t="shared" ref="BU371:BU434" si="322">((BR371^2-BP371^2)*(BR371+BP371)^5*(BR371-BP371))/(2*(BR371^4-BP371^4)^2)</f>
        <v>1.9979792022487979</v>
      </c>
      <c r="BV371" s="37">
        <f t="shared" si="289"/>
        <v>-1.320384170500751E-4</v>
      </c>
      <c r="BW371" s="37">
        <f t="shared" si="290"/>
        <v>-5.7248207682808257E-2</v>
      </c>
      <c r="BX371" s="37">
        <f t="shared" si="291"/>
        <v>-9.982653861446332</v>
      </c>
      <c r="BY371" s="39">
        <f t="shared" si="292"/>
        <v>1.9348365608873111E-2</v>
      </c>
      <c r="BZ371" s="39">
        <f>BZ370+(1000*$C$2*($B371-$B370))/(BerechnungenCLT!$W$47*2*BT371)</f>
        <v>1.6492222208324955E-2</v>
      </c>
      <c r="CA371" s="37">
        <f t="shared" ref="CA371:CA434" si="323">BR371/BT371</f>
        <v>2.4575405261328423E-6</v>
      </c>
      <c r="CB371" s="173">
        <f t="shared" si="293"/>
        <v>1309.272694787986</v>
      </c>
      <c r="CC371" s="9">
        <v>-258.12684777853354</v>
      </c>
      <c r="CJ371" s="9">
        <f t="shared" si="309"/>
        <v>320</v>
      </c>
      <c r="CK371" s="129">
        <v>146.5695091506683</v>
      </c>
      <c r="CL371" s="9">
        <v>3.75</v>
      </c>
      <c r="CM371" s="129">
        <f t="shared" si="294"/>
        <v>150.32049441090214</v>
      </c>
      <c r="CN371" s="36">
        <f t="shared" si="308"/>
        <v>5.9475722512315364E-3</v>
      </c>
      <c r="CO371" s="173">
        <f t="shared" si="295"/>
        <v>1220.3175973481136</v>
      </c>
      <c r="CP371" s="9">
        <v>-630.97142765782746</v>
      </c>
      <c r="CQ371" s="129"/>
      <c r="CR371" s="36">
        <f t="shared" si="296"/>
        <v>0.61227789369455676</v>
      </c>
      <c r="CS371" s="17">
        <f t="shared" ref="CS371:CS434" si="324">$CJ$7*CR371/$CR$51</f>
        <v>0.4401549568941252</v>
      </c>
      <c r="CT371" s="9">
        <f t="shared" ref="CT371:CT434" si="325">CL371*$CJ$7/CS371</f>
        <v>5.1118361039864757</v>
      </c>
      <c r="CU371" s="9">
        <f t="shared" si="297"/>
        <v>151.68268831834416</v>
      </c>
      <c r="CV371" s="9">
        <v>7.2</v>
      </c>
      <c r="CW371" s="9">
        <f t="shared" si="298"/>
        <v>153.77140085031732</v>
      </c>
      <c r="CX371">
        <f t="shared" si="299"/>
        <v>12</v>
      </c>
      <c r="CY371" s="9">
        <f t="shared" ref="CY371:CY434" si="326">$CJ$4*$CJ$6/(PI()*CK371*2*COS($CJ$3*PI()/180))</f>
        <v>364.86981152920282</v>
      </c>
      <c r="CZ371" s="17">
        <f t="shared" si="300"/>
        <v>0.34356856076196124</v>
      </c>
      <c r="DA371">
        <v>45</v>
      </c>
      <c r="DB371" s="9">
        <f t="shared" si="301"/>
        <v>5.8880979407036858</v>
      </c>
      <c r="DC371" s="9">
        <f t="shared" si="302"/>
        <v>6.500375848996514</v>
      </c>
    </row>
    <row r="372" spans="2:107" x14ac:dyDescent="0.25">
      <c r="B372" s="9">
        <f t="shared" si="303"/>
        <v>321</v>
      </c>
      <c r="C372" s="9">
        <v>141.1450091545691</v>
      </c>
      <c r="D372" s="9"/>
      <c r="E372" s="9">
        <f t="shared" ref="E372:E435" si="327">$C372+D372*SQRT((C373-C372)^2/(B373-B372)^2+1)</f>
        <v>141.1450091545691</v>
      </c>
      <c r="F372" s="36">
        <f t="shared" si="304"/>
        <v>0</v>
      </c>
      <c r="G372" s="37">
        <f t="shared" si="311"/>
        <v>0</v>
      </c>
      <c r="H372" s="36" t="e">
        <f t="shared" si="312"/>
        <v>#DIV/0!</v>
      </c>
      <c r="I372" s="37" t="e">
        <f t="shared" ref="I372:I435" si="328">-($C$11*($C$34))/($C$9*$C$18*G372)</f>
        <v>#DIV/0!</v>
      </c>
      <c r="J372" s="37" t="e">
        <f t="shared" ref="J372:J435" si="329">(-($C$11*($C$34))/($C$9*$C$18*G372))*$B$52+J371</f>
        <v>#DIV/0!</v>
      </c>
      <c r="K372" s="37" t="e">
        <f t="shared" ref="K372:K435" si="330">(-$C$11*($C$34)/(2*$C$9*$C$18*G372))*$B$52^2+J371*$B$52+K371</f>
        <v>#DIV/0!</v>
      </c>
      <c r="L372" s="39" t="e">
        <f t="shared" si="313"/>
        <v>#DIV/0!</v>
      </c>
      <c r="M372" s="39" t="e">
        <f>M371+(1000*$C$2*(B372-B371))/(BerechnungenCLT!$W$47*2*'Berechnung freier Bereich'!G372)</f>
        <v>#DIV/0!</v>
      </c>
      <c r="N372" s="17" t="e">
        <f t="shared" ref="N372:N435" si="331">-($C$11*($C$34))/G372*E372*D372</f>
        <v>#DIV/0!</v>
      </c>
      <c r="O372" s="173">
        <f t="shared" ref="O372:O435" si="332">$C$2*1000/(2*PI()*((C372+E372)/2)^2)</f>
        <v>1349.8110529065743</v>
      </c>
      <c r="P372" s="173"/>
      <c r="Q372" s="173"/>
      <c r="R372" s="37" t="e">
        <f t="shared" si="314"/>
        <v>#DIV/0!</v>
      </c>
      <c r="S372" s="37" t="e">
        <f t="shared" si="315"/>
        <v>#DIV/0!</v>
      </c>
      <c r="T372" s="37" t="e">
        <f t="shared" si="316"/>
        <v>#DIV/0!</v>
      </c>
      <c r="U372" s="39" t="e">
        <f t="shared" si="317"/>
        <v>#DIV/0!</v>
      </c>
      <c r="V372" s="39" t="e">
        <f t="shared" ref="V372:V435" si="333">(1000*$C$2*($B372-B371))/($C$16*2*$G372)+V371</f>
        <v>#DIV/0!</v>
      </c>
      <c r="W372" s="9" t="e">
        <f t="shared" ref="W372:W435" si="334">$C$14*U372</f>
        <v>#DIV/0!</v>
      </c>
      <c r="AB372" s="129">
        <v>142.0393899567749</v>
      </c>
      <c r="AC372" s="9">
        <v>6.1875</v>
      </c>
      <c r="AD372" s="129">
        <f t="shared" ref="AD372:AD435" si="335">$AB372+AC372*SQRT((AB373-AB372)^2/($B373-$B372)^2+1)</f>
        <v>148.22927108614215</v>
      </c>
      <c r="AE372" s="36">
        <f t="shared" si="305"/>
        <v>9.5958014350770397E-3</v>
      </c>
      <c r="AF372" s="37">
        <f t="shared" ref="AF372:AF435" si="336">(PI()/4)*(AD372^4-AB372^4)</f>
        <v>59475772.303045109</v>
      </c>
      <c r="AG372" s="36">
        <f t="shared" si="318"/>
        <v>1.998182275122397</v>
      </c>
      <c r="AH372" s="37">
        <f t="shared" ref="AH372:AH435" si="337">-($C$11*($C$34))/($C$9*$C$18*AF372)</f>
        <v>-1.3237424826668956E-4</v>
      </c>
      <c r="AI372" s="37">
        <f t="shared" ref="AI372:AI435" si="338">(-($C$11*($C$34))/($C$9*$C$18*AF372))*$B$52+AI371</f>
        <v>-5.4475779641082342E-2</v>
      </c>
      <c r="AJ372" s="37">
        <f t="shared" ref="AJ372:AJ435" si="339">(-$C$11*($C$34)/(2*$C$9*$C$18*AF372))*$B$52^2+AI371*$B$52+AJ371</f>
        <v>-9.6317704685174501</v>
      </c>
      <c r="AK372" s="39">
        <f t="shared" ref="AK372:AK435" si="340">-AH372*AD372</f>
        <v>1.9621738331147408E-2</v>
      </c>
      <c r="AL372" s="39">
        <f>AL371+(1000*$C$2*($B372-$B371))/(BerechnungenCLT!$W$47*2*AF372)</f>
        <v>1.5690703537106106E-2</v>
      </c>
      <c r="AM372" s="37">
        <f t="shared" si="319"/>
        <v>2.4922630736238953E-6</v>
      </c>
      <c r="AN372" s="173">
        <f t="shared" ref="AN372:AN435" si="341">$C$2*1000/(2*PI()*((AB372+AD372)/2)^2)</f>
        <v>1276.6261161207344</v>
      </c>
      <c r="AO372" s="173">
        <v>-258.23844827243022</v>
      </c>
      <c r="AV372" s="129">
        <v>142.29656493257298</v>
      </c>
      <c r="AW372" s="9">
        <v>6.1875</v>
      </c>
      <c r="AX372" s="129">
        <f t="shared" ref="AX372:AX435" si="342">AV372+AW372*SQRT((AV373-AV372)^2/($B373-$B372)^2+1)</f>
        <v>148.48439075719679</v>
      </c>
      <c r="AY372" s="36">
        <f t="shared" si="306"/>
        <v>9.6095452090607398E-3</v>
      </c>
      <c r="AZ372" s="37">
        <f t="shared" ref="AZ372:AZ435" si="343">(PI()/4)*(AX372^4-AV372^4)</f>
        <v>59771267.601187542</v>
      </c>
      <c r="BA372" s="36">
        <f t="shared" si="320"/>
        <v>1.9981898718894102</v>
      </c>
      <c r="BB372" s="37">
        <f t="shared" ref="BB372:BB435" si="344">-($C$11*($C$34))/($C$9*$C$18*AZ372)</f>
        <v>-1.3171982065409584E-4</v>
      </c>
      <c r="BC372" s="37">
        <f t="shared" ref="BC372:BC435" si="345">(-($C$11*($C$34))/($C$9*$C$18*AZ372))*$B$52+BC371</f>
        <v>-5.1051532505163755E-2</v>
      </c>
      <c r="BD372" s="37">
        <f t="shared" ref="BD372:BD435" si="346">(-$C$11*($C$34)/(2*$C$9*$C$18*AZ372))*$B$52^2+BC371*$B$52+BD371</f>
        <v>-8.8719101061152479</v>
      </c>
      <c r="BE372" s="39">
        <f t="shared" ref="BE372:BE435" si="347">-BB372*AX372</f>
        <v>1.9558337320470649E-2</v>
      </c>
      <c r="BF372" s="39">
        <f>BF371+(1000*$C$2*($B372-$B371))/(BerechnungenCLT!$W$47*2*AZ372)</f>
        <v>1.4700742210743875E-2</v>
      </c>
      <c r="BG372" s="37">
        <f t="shared" si="321"/>
        <v>2.4842101684697529E-6</v>
      </c>
      <c r="BH372" s="173">
        <f t="shared" ref="BH372:BH435" si="348">$C$2*1000/(2*PI()*((AV372+AX372)/2)^2)</f>
        <v>1272.1317873148507</v>
      </c>
      <c r="BI372">
        <v>-258.23844827243022</v>
      </c>
      <c r="BP372" s="129">
        <v>140.13883612425244</v>
      </c>
      <c r="BQ372" s="9">
        <v>6.4375</v>
      </c>
      <c r="BR372" s="129">
        <f t="shared" ref="BR372:BR435" si="349">BP372+BQ372*SQRT((BP373-BP372)^2/($B373-$B372)^2+1)</f>
        <v>146.58415641024067</v>
      </c>
      <c r="BS372" s="36">
        <f t="shared" si="307"/>
        <v>9.8697424138348144E-3</v>
      </c>
      <c r="BT372" s="37">
        <f t="shared" ref="BT372:BT435" si="350">(PI()/4)*(BR372^4-BP372^4)</f>
        <v>59691343.307245664</v>
      </c>
      <c r="BU372" s="36">
        <f t="shared" si="322"/>
        <v>1.9979802627777294</v>
      </c>
      <c r="BV372" s="37">
        <f t="shared" ref="BV372:BV435" si="351">-($C$11*($C$34))/($C$9*$C$18*BT372)</f>
        <v>-1.3189618816537366E-4</v>
      </c>
      <c r="BW372" s="37">
        <f t="shared" ref="BW372:BW435" si="352">(-($C$11*($C$34))/($C$9*$C$18*BT372))*$B$52+BW371</f>
        <v>-5.7380103870973628E-2</v>
      </c>
      <c r="BX372" s="37">
        <f t="shared" ref="BX372:BX435" si="353">(-$C$11*($C$34)/(2*$C$9*$C$18*BT372))*$B$52^2+BW371*$B$52+BX371</f>
        <v>-10.039968017223224</v>
      </c>
      <c r="BY372" s="39">
        <f t="shared" ref="BY372:BY435" si="354">-BV372*BR372</f>
        <v>1.9333891475947666E-2</v>
      </c>
      <c r="BZ372" s="39">
        <f>BZ371+(1000*$C$2*($B372-$B371))/(BerechnungenCLT!$W$47*2*BT372)</f>
        <v>1.6530353859026868E-2</v>
      </c>
      <c r="CA372" s="37">
        <f t="shared" si="323"/>
        <v>2.4557020882531803E-6</v>
      </c>
      <c r="CB372" s="173">
        <f t="shared" ref="CB372:CB435" si="355">$C$2*1000/(2*PI()*((BP372+BR372)/2)^2)</f>
        <v>1308.3953209086096</v>
      </c>
      <c r="CC372" s="9">
        <v>-257.95387101463382</v>
      </c>
      <c r="CJ372" s="9">
        <f t="shared" si="309"/>
        <v>321</v>
      </c>
      <c r="CK372" s="129">
        <v>146.59243383507101</v>
      </c>
      <c r="CL372" s="9">
        <v>3.75</v>
      </c>
      <c r="CM372" s="129">
        <f t="shared" ref="CM372:CM435" si="356">CK372+CL372*SQRT((CK373-CK372)^2/($B373-$B372)^2+1)</f>
        <v>150.34302300132848</v>
      </c>
      <c r="CN372" s="36">
        <f t="shared" si="308"/>
        <v>5.9478546690094718E-3</v>
      </c>
      <c r="CO372" s="173">
        <f t="shared" ref="CO372:CO435" si="357">$C$2*1000/(2*PI()*((CK372+CM372)/2)^2)</f>
        <v>1219.9440266981508</v>
      </c>
      <c r="CP372" s="9">
        <v>-630.77827105101437</v>
      </c>
      <c r="CQ372" s="129"/>
      <c r="CR372" s="36">
        <f t="shared" ref="CR372:CR435" si="358">(($CJ$5*$CJ$4)/(PI()*CM372*2*COS($CJ$3*PI()/180)))-(($CJ$5*$CJ$4)/(2*PI()*CM372*2*COS($CJ$3*PI()/180)))^2</f>
        <v>0.61220747658236674</v>
      </c>
      <c r="CS372" s="17">
        <f t="shared" si="324"/>
        <v>0.44010433536867116</v>
      </c>
      <c r="CT372" s="9">
        <f t="shared" si="325"/>
        <v>5.1124240757937471</v>
      </c>
      <c r="CU372" s="9">
        <f t="shared" ref="CU372:CU435" si="359">CK372+CT372*SQRT((CK373-CK372)^2/($B373-$B372)^2+1)</f>
        <v>151.70566112893391</v>
      </c>
      <c r="CV372" s="9">
        <v>7.2</v>
      </c>
      <c r="CW372" s="9">
        <f t="shared" ref="CW372:CW435" si="360">CK372+CV372*SQRT((CK373-CK372)^2/($B373-$B372)^2+1)</f>
        <v>153.79356503428536</v>
      </c>
      <c r="CX372">
        <f t="shared" ref="CX372:CX435" si="361">CV372/$CJ$8</f>
        <v>12</v>
      </c>
      <c r="CY372" s="9">
        <f t="shared" si="326"/>
        <v>364.81275179522771</v>
      </c>
      <c r="CZ372" s="17">
        <f t="shared" ref="CZ372:CZ435" si="362">CX372*CY372/(CV372/1000)/($CJ$9*10^6)</f>
        <v>0.34351483219889617</v>
      </c>
      <c r="DA372">
        <v>45</v>
      </c>
      <c r="DB372" s="9">
        <f t="shared" ref="DB372:DB435" si="363">$CL$51*$CK$51/CK372*COS($DA$51)/COS(DA372)</f>
        <v>5.887177137470589</v>
      </c>
      <c r="DC372" s="9">
        <f t="shared" ref="DC372:DC435" si="364">CR372+DB372*SQRT((CR373-CR372)^2/($B373-$B372)^2+1)</f>
        <v>6.499384622800612</v>
      </c>
    </row>
    <row r="373" spans="2:107" x14ac:dyDescent="0.25">
      <c r="B373" s="9">
        <f t="shared" ref="B373:B436" si="365">IF(ROW()=ROW($B$51)+$B$47,$C$34,ROUND((C$34/$B$47)*(ROW()-ROW($B$51)),0))</f>
        <v>322</v>
      </c>
      <c r="C373" s="9">
        <v>141.12087676682097</v>
      </c>
      <c r="D373" s="9"/>
      <c r="E373" s="9">
        <f t="shared" si="327"/>
        <v>141.12087676682097</v>
      </c>
      <c r="F373" s="36">
        <f t="shared" ref="F373:F436" si="366">($B373-$B372)*PI()*(E373^2-C373^2)*$C$10/1000/1000</f>
        <v>0</v>
      </c>
      <c r="G373" s="37">
        <f t="shared" si="311"/>
        <v>0</v>
      </c>
      <c r="H373" s="36" t="e">
        <f t="shared" si="312"/>
        <v>#DIV/0!</v>
      </c>
      <c r="I373" s="37" t="e">
        <f t="shared" si="328"/>
        <v>#DIV/0!</v>
      </c>
      <c r="J373" s="37" t="e">
        <f t="shared" si="329"/>
        <v>#DIV/0!</v>
      </c>
      <c r="K373" s="37" t="e">
        <f t="shared" si="330"/>
        <v>#DIV/0!</v>
      </c>
      <c r="L373" s="39" t="e">
        <f t="shared" si="313"/>
        <v>#DIV/0!</v>
      </c>
      <c r="M373" s="39" t="e">
        <f>M372+(1000*$C$2*(B373-B372))/(BerechnungenCLT!$W$47*2*'Berechnung freier Bereich'!G373)</f>
        <v>#DIV/0!</v>
      </c>
      <c r="N373" s="17" t="e">
        <f t="shared" si="331"/>
        <v>#DIV/0!</v>
      </c>
      <c r="O373" s="173">
        <f t="shared" si="332"/>
        <v>1350.272741490654</v>
      </c>
      <c r="P373" s="173"/>
      <c r="Q373" s="173"/>
      <c r="R373" s="37" t="e">
        <f t="shared" si="314"/>
        <v>#DIV/0!</v>
      </c>
      <c r="S373" s="37" t="e">
        <f t="shared" si="315"/>
        <v>#DIV/0!</v>
      </c>
      <c r="T373" s="37" t="e">
        <f t="shared" si="316"/>
        <v>#DIV/0!</v>
      </c>
      <c r="U373" s="39" t="e">
        <f t="shared" si="317"/>
        <v>#DIV/0!</v>
      </c>
      <c r="V373" s="39" t="e">
        <f t="shared" si="333"/>
        <v>#DIV/0!</v>
      </c>
      <c r="W373" s="9" t="e">
        <f t="shared" si="334"/>
        <v>#DIV/0!</v>
      </c>
      <c r="AB373" s="129">
        <v>142.01164457750835</v>
      </c>
      <c r="AC373" s="9">
        <v>6.1875</v>
      </c>
      <c r="AD373" s="129">
        <f t="shared" si="335"/>
        <v>148.20094215108233</v>
      </c>
      <c r="AE373" s="36">
        <f t="shared" ref="AE373:AE436" si="367">($B373-$B372)*PI()*(AD373^2-AB373^2)*$C$10/1000/1000</f>
        <v>9.5930432342861954E-3</v>
      </c>
      <c r="AF373" s="37">
        <f t="shared" si="336"/>
        <v>59435711.710558385</v>
      </c>
      <c r="AG373" s="36">
        <f t="shared" si="318"/>
        <v>1.9981819157163228</v>
      </c>
      <c r="AH373" s="37">
        <f t="shared" si="337"/>
        <v>-1.3246347056525265E-4</v>
      </c>
      <c r="AI373" s="37">
        <f t="shared" si="338"/>
        <v>-5.4608243111647595E-2</v>
      </c>
      <c r="AJ373" s="37">
        <f t="shared" si="339"/>
        <v>-9.6863124798938145</v>
      </c>
      <c r="AK373" s="39">
        <f t="shared" si="340"/>
        <v>1.9631211138372604E-2</v>
      </c>
      <c r="AL373" s="39">
        <f>AL372+(1000*$C$2*($B373-$B372))/(BerechnungenCLT!$W$47*2*AF373)</f>
        <v>1.5728999191139903E-2</v>
      </c>
      <c r="AM373" s="37">
        <f t="shared" si="319"/>
        <v>2.4934662660858715E-6</v>
      </c>
      <c r="AN373" s="173">
        <f t="shared" si="341"/>
        <v>1277.1194982360141</v>
      </c>
      <c r="AO373" s="173">
        <v>-258.09327989263403</v>
      </c>
      <c r="AV373" s="129">
        <v>142.28630238790612</v>
      </c>
      <c r="AW373" s="9">
        <v>6.1875</v>
      </c>
      <c r="AX373" s="129">
        <f t="shared" si="342"/>
        <v>148.47397863000688</v>
      </c>
      <c r="AY373" s="36">
        <f t="shared" ref="AY373:AY436" si="368">($B373-$B372)*PI()*(AX373^2-AV373^2)*$C$10/1000/1000</f>
        <v>9.6086296840176087E-3</v>
      </c>
      <c r="AZ373" s="37">
        <f t="shared" si="343"/>
        <v>59757077.161760114</v>
      </c>
      <c r="BA373" s="36">
        <f t="shared" si="320"/>
        <v>1.9981897021015826</v>
      </c>
      <c r="BB373" s="37">
        <f t="shared" si="344"/>
        <v>-1.3175109999748349E-4</v>
      </c>
      <c r="BC373" s="37">
        <f t="shared" si="345"/>
        <v>-5.1183283605161237E-2</v>
      </c>
      <c r="BD373" s="37">
        <f t="shared" si="346"/>
        <v>-8.9230275141704105</v>
      </c>
      <c r="BE373" s="39">
        <f t="shared" si="347"/>
        <v>1.9561610005506262E-2</v>
      </c>
      <c r="BF373" s="39">
        <f>BF372+(1000*$C$2*($B373-$B372))/(BerechnungenCLT!$W$47*2*AZ373)</f>
        <v>1.473883191594747E-2</v>
      </c>
      <c r="BG373" s="37">
        <f t="shared" si="321"/>
        <v>2.4846258498904408E-6</v>
      </c>
      <c r="BH373" s="173">
        <f t="shared" si="348"/>
        <v>1272.3127050264413</v>
      </c>
      <c r="BI373">
        <v>-258.09327989263403</v>
      </c>
      <c r="BP373" s="129">
        <v>140.18814209911355</v>
      </c>
      <c r="BQ373" s="9">
        <v>6.4375</v>
      </c>
      <c r="BR373" s="129">
        <f t="shared" si="349"/>
        <v>146.63393698426796</v>
      </c>
      <c r="BS373" s="36">
        <f t="shared" ref="BS373:BS436" si="369">($B373-$B372)*PI()*(BR373^2-BP373^2)*$C$10/1000/1000</f>
        <v>9.8738802341307007E-3</v>
      </c>
      <c r="BT373" s="37">
        <f t="shared" si="350"/>
        <v>59757633.11413157</v>
      </c>
      <c r="BU373" s="36">
        <f t="shared" si="322"/>
        <v>1.9979813599452851</v>
      </c>
      <c r="BV373" s="37">
        <f t="shared" si="351"/>
        <v>-1.3174987425722791E-4</v>
      </c>
      <c r="BW373" s="37">
        <f t="shared" si="352"/>
        <v>-5.7511853745230858E-2</v>
      </c>
      <c r="BX373" s="37">
        <f t="shared" si="353"/>
        <v>-10.097413996031326</v>
      </c>
      <c r="BY373" s="39">
        <f t="shared" si="354"/>
        <v>1.9319002759519584E-2</v>
      </c>
      <c r="BZ373" s="39">
        <f>BZ372+(1000*$C$2*($B373-$B372))/(BerechnungenCLT!$W$47*2*BT373)</f>
        <v>1.6568443209864656E-2</v>
      </c>
      <c r="CA373" s="37">
        <f t="shared" si="323"/>
        <v>2.4538109918813326E-6</v>
      </c>
      <c r="CB373" s="173">
        <f t="shared" si="355"/>
        <v>1307.4914715003135</v>
      </c>
      <c r="CC373" s="9">
        <v>-257.77567452465996</v>
      </c>
      <c r="CJ373" s="9">
        <f t="shared" si="309"/>
        <v>322</v>
      </c>
      <c r="CK373" s="129">
        <v>146.61016083955158</v>
      </c>
      <c r="CL373" s="9">
        <v>3.75</v>
      </c>
      <c r="CM373" s="129">
        <f t="shared" si="356"/>
        <v>150.36046690256103</v>
      </c>
      <c r="CN373" s="36">
        <f t="shared" ref="CN373:CN436" si="370">($B373-$B372)*PI()*(CM373^2-CK373^2)*$C$10/1000/1000</f>
        <v>5.948110159210201E-3</v>
      </c>
      <c r="CO373" s="173">
        <f t="shared" si="357"/>
        <v>1219.6550823274213</v>
      </c>
      <c r="CP373" s="9">
        <v>-630.62887089280241</v>
      </c>
      <c r="CQ373" s="129"/>
      <c r="CR373" s="36">
        <f t="shared" si="358"/>
        <v>0.61215296267415575</v>
      </c>
      <c r="CS373" s="17">
        <f t="shared" si="324"/>
        <v>0.44006514635471877</v>
      </c>
      <c r="CT373" s="9">
        <f t="shared" si="325"/>
        <v>5.1128793512457946</v>
      </c>
      <c r="CU373" s="9">
        <f t="shared" si="359"/>
        <v>151.7234574876617</v>
      </c>
      <c r="CV373" s="9">
        <v>7.2</v>
      </c>
      <c r="CW373" s="9">
        <f t="shared" si="360"/>
        <v>153.81074848052975</v>
      </c>
      <c r="CX373">
        <f t="shared" si="361"/>
        <v>12</v>
      </c>
      <c r="CY373" s="9">
        <f t="shared" si="326"/>
        <v>364.76864136489593</v>
      </c>
      <c r="CZ373" s="17">
        <f t="shared" si="362"/>
        <v>0.34347329695376266</v>
      </c>
      <c r="DA373">
        <v>45</v>
      </c>
      <c r="DB373" s="9">
        <f t="shared" si="363"/>
        <v>5.8864653040281025</v>
      </c>
      <c r="DC373" s="9">
        <f t="shared" si="364"/>
        <v>6.4986182712591463</v>
      </c>
    </row>
    <row r="374" spans="2:107" x14ac:dyDescent="0.25">
      <c r="B374" s="9">
        <f t="shared" si="365"/>
        <v>323</v>
      </c>
      <c r="C374" s="9">
        <v>141.09802002925178</v>
      </c>
      <c r="D374" s="9"/>
      <c r="E374" s="9">
        <f t="shared" si="327"/>
        <v>141.09802002925178</v>
      </c>
      <c r="F374" s="36">
        <f t="shared" si="366"/>
        <v>0</v>
      </c>
      <c r="G374" s="37">
        <f t="shared" si="311"/>
        <v>0</v>
      </c>
      <c r="H374" s="36" t="e">
        <f t="shared" si="312"/>
        <v>#DIV/0!</v>
      </c>
      <c r="I374" s="37" t="e">
        <f t="shared" si="328"/>
        <v>#DIV/0!</v>
      </c>
      <c r="J374" s="37" t="e">
        <f t="shared" si="329"/>
        <v>#DIV/0!</v>
      </c>
      <c r="K374" s="37" t="e">
        <f t="shared" si="330"/>
        <v>#DIV/0!</v>
      </c>
      <c r="L374" s="39" t="e">
        <f t="shared" si="313"/>
        <v>#DIV/0!</v>
      </c>
      <c r="M374" s="39" t="e">
        <f>M373+(1000*$C$2*(B374-B373))/(BerechnungenCLT!$W$47*2*'Berechnung freier Bereich'!G374)</f>
        <v>#DIV/0!</v>
      </c>
      <c r="N374" s="17" t="e">
        <f t="shared" si="331"/>
        <v>#DIV/0!</v>
      </c>
      <c r="O374" s="173">
        <f t="shared" si="332"/>
        <v>1350.7102434408164</v>
      </c>
      <c r="P374" s="173"/>
      <c r="Q374" s="173"/>
      <c r="R374" s="37" t="e">
        <f t="shared" si="314"/>
        <v>#DIV/0!</v>
      </c>
      <c r="S374" s="37" t="e">
        <f t="shared" si="315"/>
        <v>#DIV/0!</v>
      </c>
      <c r="T374" s="37" t="e">
        <f t="shared" si="316"/>
        <v>#DIV/0!</v>
      </c>
      <c r="U374" s="39" t="e">
        <f t="shared" si="317"/>
        <v>#DIV/0!</v>
      </c>
      <c r="V374" s="39" t="e">
        <f t="shared" si="333"/>
        <v>#DIV/0!</v>
      </c>
      <c r="W374" s="9" t="e">
        <f t="shared" si="334"/>
        <v>#DIV/0!</v>
      </c>
      <c r="AB374" s="129">
        <v>141.98753818245248</v>
      </c>
      <c r="AC374" s="9">
        <v>6.1875</v>
      </c>
      <c r="AD374" s="129">
        <f t="shared" si="335"/>
        <v>148.1763408195246</v>
      </c>
      <c r="AE374" s="36">
        <f t="shared" si="367"/>
        <v>9.5906661958755218E-3</v>
      </c>
      <c r="AF374" s="37">
        <f t="shared" si="336"/>
        <v>59401044.891378231</v>
      </c>
      <c r="AG374" s="36">
        <f t="shared" si="318"/>
        <v>1.9981815963632312</v>
      </c>
      <c r="AH374" s="37">
        <f t="shared" si="337"/>
        <v>-1.3254077707039002E-4</v>
      </c>
      <c r="AI374" s="37">
        <f t="shared" si="338"/>
        <v>-5.4740783888717982E-2</v>
      </c>
      <c r="AJ374" s="37">
        <f t="shared" si="339"/>
        <v>-9.7409869933939977</v>
      </c>
      <c r="AK374" s="39">
        <f t="shared" si="340"/>
        <v>1.9639407355666744E-2</v>
      </c>
      <c r="AL374" s="39">
        <f>AL373+(1000*$C$2*($B374-$B373))/(BerechnungenCLT!$W$47*2*AF374)</f>
        <v>1.5767317194755531E-2</v>
      </c>
      <c r="AM374" s="37">
        <f t="shared" si="319"/>
        <v>2.4945073119586096E-6</v>
      </c>
      <c r="AN374" s="173">
        <f t="shared" si="341"/>
        <v>1277.5482959801689</v>
      </c>
      <c r="AO374" s="173">
        <v>-257.94823388773762</v>
      </c>
      <c r="AV374" s="129">
        <v>142.2787546760018</v>
      </c>
      <c r="AW374" s="9">
        <v>6.1875</v>
      </c>
      <c r="AX374" s="129">
        <f t="shared" si="342"/>
        <v>148.46632812893012</v>
      </c>
      <c r="AY374" s="36">
        <f t="shared" si="368"/>
        <v>9.607967825795578E-3</v>
      </c>
      <c r="AZ374" s="37">
        <f t="shared" si="343"/>
        <v>59746716.442518845</v>
      </c>
      <c r="BA374" s="36">
        <f t="shared" si="320"/>
        <v>1.9981895730745451</v>
      </c>
      <c r="BB374" s="37">
        <f t="shared" si="344"/>
        <v>-1.3177394704646091E-4</v>
      </c>
      <c r="BC374" s="37">
        <f t="shared" si="345"/>
        <v>-5.13150575522077E-2</v>
      </c>
      <c r="BD374" s="37">
        <f t="shared" si="346"/>
        <v>-8.9742766847490945</v>
      </c>
      <c r="BE374" s="39">
        <f t="shared" si="347"/>
        <v>1.9563994061044126E-2</v>
      </c>
      <c r="BF374" s="39">
        <f>BF373+(1000*$C$2*($B374-$B373))/(BerechnungenCLT!$W$47*2*AZ374)</f>
        <v>1.4776928226313074E-2</v>
      </c>
      <c r="BG374" s="37">
        <f t="shared" si="321"/>
        <v>2.484928661674097E-6</v>
      </c>
      <c r="BH374" s="173">
        <f t="shared" si="348"/>
        <v>1272.4457245408869</v>
      </c>
      <c r="BI374">
        <v>-257.94823388773762</v>
      </c>
      <c r="BP374" s="129">
        <v>140.23892311916362</v>
      </c>
      <c r="BQ374" s="9">
        <v>6.4375</v>
      </c>
      <c r="BR374" s="129">
        <f t="shared" si="349"/>
        <v>146.68519930226194</v>
      </c>
      <c r="BS374" s="36">
        <f t="shared" si="369"/>
        <v>9.878130617065559E-3</v>
      </c>
      <c r="BT374" s="37">
        <f t="shared" si="350"/>
        <v>59825885.939893253</v>
      </c>
      <c r="BU374" s="36">
        <f t="shared" si="322"/>
        <v>1.9979824934184596</v>
      </c>
      <c r="BV374" s="37">
        <f t="shared" si="351"/>
        <v>-1.3159956639181934E-4</v>
      </c>
      <c r="BW374" s="37">
        <f t="shared" si="352"/>
        <v>-5.7643453311622676E-2</v>
      </c>
      <c r="BX374" s="37">
        <f t="shared" si="353"/>
        <v>-10.154991649559753</v>
      </c>
      <c r="BY374" s="39">
        <f t="shared" si="354"/>
        <v>1.930370862427527E-2</v>
      </c>
      <c r="BZ374" s="39">
        <f>BZ373+(1000*$C$2*($B374-$B373))/(BerechnungenCLT!$W$47*2*BT374)</f>
        <v>1.6606489106171261E-2</v>
      </c>
      <c r="CA374" s="37">
        <f t="shared" si="323"/>
        <v>2.4518684010736718E-6</v>
      </c>
      <c r="CB374" s="173">
        <f t="shared" si="355"/>
        <v>1306.561629367679</v>
      </c>
      <c r="CC374" s="9">
        <v>-257.59235349491263</v>
      </c>
      <c r="CJ374" s="9">
        <f t="shared" ref="CJ374:CJ437" si="371">IF(ROW()=ROW($B$51)+$B$47,$C$34,ROUND((CK$34/$B$47)*(ROW()-ROW($B$51)),0))</f>
        <v>323</v>
      </c>
      <c r="CK374" s="129">
        <v>146.62293739097782</v>
      </c>
      <c r="CL374" s="9">
        <v>3.75</v>
      </c>
      <c r="CM374" s="129">
        <f t="shared" si="356"/>
        <v>150.37305959882482</v>
      </c>
      <c r="CN374" s="36">
        <f t="shared" si="370"/>
        <v>5.9483266618588658E-3</v>
      </c>
      <c r="CO374" s="173">
        <f t="shared" si="357"/>
        <v>1219.4467265874111</v>
      </c>
      <c r="CP374" s="9">
        <v>-630.52113949646707</v>
      </c>
      <c r="CQ374" s="129"/>
      <c r="CR374" s="36">
        <f t="shared" si="358"/>
        <v>0.61211361473908521</v>
      </c>
      <c r="CS374" s="17">
        <f t="shared" si="324"/>
        <v>0.4400368598710106</v>
      </c>
      <c r="CT374" s="9">
        <f t="shared" si="325"/>
        <v>5.1132080177545802</v>
      </c>
      <c r="CU374" s="9">
        <f t="shared" si="359"/>
        <v>151.73631204183724</v>
      </c>
      <c r="CV374" s="9">
        <v>7.2</v>
      </c>
      <c r="CW374" s="9">
        <f t="shared" si="360"/>
        <v>153.82317203004405</v>
      </c>
      <c r="CX374">
        <f t="shared" si="361"/>
        <v>12</v>
      </c>
      <c r="CY374" s="9">
        <f t="shared" si="326"/>
        <v>364.73685585174218</v>
      </c>
      <c r="CZ374" s="17">
        <f t="shared" si="362"/>
        <v>0.34344336709203599</v>
      </c>
      <c r="DA374">
        <v>45</v>
      </c>
      <c r="DB374" s="9">
        <f t="shared" si="363"/>
        <v>5.8859523643202101</v>
      </c>
      <c r="DC374" s="9">
        <f t="shared" si="364"/>
        <v>6.498065980886734</v>
      </c>
    </row>
    <row r="375" spans="2:107" x14ac:dyDescent="0.25">
      <c r="B375" s="9">
        <f t="shared" si="365"/>
        <v>324</v>
      </c>
      <c r="C375" s="9">
        <v>141.07642026469932</v>
      </c>
      <c r="D375" s="9"/>
      <c r="E375" s="9">
        <f t="shared" si="327"/>
        <v>141.07642026469932</v>
      </c>
      <c r="F375" s="36">
        <f t="shared" si="366"/>
        <v>0</v>
      </c>
      <c r="G375" s="37">
        <f t="shared" si="311"/>
        <v>0</v>
      </c>
      <c r="H375" s="36" t="e">
        <f t="shared" si="312"/>
        <v>#DIV/0!</v>
      </c>
      <c r="I375" s="37" t="e">
        <f t="shared" si="328"/>
        <v>#DIV/0!</v>
      </c>
      <c r="J375" s="37" t="e">
        <f t="shared" si="329"/>
        <v>#DIV/0!</v>
      </c>
      <c r="K375" s="37" t="e">
        <f t="shared" si="330"/>
        <v>#DIV/0!</v>
      </c>
      <c r="L375" s="39" t="e">
        <f t="shared" si="313"/>
        <v>#DIV/0!</v>
      </c>
      <c r="M375" s="39" t="e">
        <f>M374+(1000*$C$2*(B375-B374))/(BerechnungenCLT!$W$47*2*'Berechnung freier Bereich'!G375)</f>
        <v>#DIV/0!</v>
      </c>
      <c r="N375" s="17" t="e">
        <f t="shared" si="331"/>
        <v>#DIV/0!</v>
      </c>
      <c r="O375" s="173">
        <f t="shared" si="332"/>
        <v>1351.1238810512684</v>
      </c>
      <c r="P375" s="173"/>
      <c r="Q375" s="173"/>
      <c r="R375" s="37" t="e">
        <f t="shared" si="314"/>
        <v>#DIV/0!</v>
      </c>
      <c r="S375" s="37" t="e">
        <f t="shared" si="315"/>
        <v>#DIV/0!</v>
      </c>
      <c r="T375" s="37" t="e">
        <f t="shared" si="316"/>
        <v>#DIV/0!</v>
      </c>
      <c r="U375" s="39" t="e">
        <f t="shared" si="317"/>
        <v>#DIV/0!</v>
      </c>
      <c r="V375" s="39" t="e">
        <f t="shared" si="333"/>
        <v>#DIV/0!</v>
      </c>
      <c r="W375" s="9" t="e">
        <f t="shared" si="334"/>
        <v>#DIV/0!</v>
      </c>
      <c r="AB375" s="129">
        <v>141.96701749218988</v>
      </c>
      <c r="AC375" s="9">
        <v>6.1875</v>
      </c>
      <c r="AD375" s="129">
        <f t="shared" si="335"/>
        <v>148.15541028756792</v>
      </c>
      <c r="AE375" s="36">
        <f t="shared" si="367"/>
        <v>9.5886610929276049E-3</v>
      </c>
      <c r="AF375" s="37">
        <f t="shared" si="336"/>
        <v>59371663.506866172</v>
      </c>
      <c r="AG375" s="36">
        <f t="shared" si="318"/>
        <v>1.9981813178091461</v>
      </c>
      <c r="AH375" s="37">
        <f t="shared" si="337"/>
        <v>-1.3260636781359334E-4</v>
      </c>
      <c r="AI375" s="37">
        <f t="shared" si="338"/>
        <v>-5.4873390256531575E-2</v>
      </c>
      <c r="AJ375" s="37">
        <f t="shared" si="339"/>
        <v>-9.7957940804666226</v>
      </c>
      <c r="AK375" s="39">
        <f t="shared" si="340"/>
        <v>1.9646350830167063E-2</v>
      </c>
      <c r="AL375" s="39">
        <f>AL374+(1000*$C$2*($B375-$B374))/(BerechnungenCLT!$W$47*2*AF375)</f>
        <v>1.5805654160885117E-2</v>
      </c>
      <c r="AM375" s="37">
        <f t="shared" si="319"/>
        <v>2.4953892401959422E-6</v>
      </c>
      <c r="AN375" s="173">
        <f t="shared" si="341"/>
        <v>1277.9133813115986</v>
      </c>
      <c r="AO375" s="173">
        <v>-257.80331012023566</v>
      </c>
      <c r="AV375" s="129">
        <v>142.27388204821042</v>
      </c>
      <c r="AW375" s="9">
        <v>6.1875</v>
      </c>
      <c r="AX375" s="129">
        <f t="shared" si="342"/>
        <v>148.46139753388539</v>
      </c>
      <c r="AY375" s="36">
        <f t="shared" si="368"/>
        <v>9.6075538606829828E-3</v>
      </c>
      <c r="AZ375" s="37">
        <f t="shared" si="343"/>
        <v>59740114.747372076</v>
      </c>
      <c r="BA375" s="36">
        <f t="shared" si="320"/>
        <v>1.9981894849652819</v>
      </c>
      <c r="BB375" s="37">
        <f t="shared" si="344"/>
        <v>-1.3178850897742412E-4</v>
      </c>
      <c r="BC375" s="37">
        <f t="shared" si="345"/>
        <v>-5.1446846061185124E-2</v>
      </c>
      <c r="BD375" s="37">
        <f t="shared" si="346"/>
        <v>-9.0256576365557901</v>
      </c>
      <c r="BE375" s="39">
        <f t="shared" si="347"/>
        <v>1.9565506221695388E-2</v>
      </c>
      <c r="BF375" s="39">
        <f>BF374+(1000*$C$2*($B375-$B374))/(BerechnungenCLT!$W$47*2*AZ375)</f>
        <v>1.4815028746584004E-2</v>
      </c>
      <c r="BG375" s="37">
        <f t="shared" si="321"/>
        <v>2.4851207293741614E-6</v>
      </c>
      <c r="BH375" s="173">
        <f t="shared" si="348"/>
        <v>1272.5315364816138</v>
      </c>
      <c r="BI375">
        <v>-257.80331012023566</v>
      </c>
      <c r="BP375" s="129">
        <v>140.29115758784053</v>
      </c>
      <c r="BQ375" s="9">
        <v>6.4375</v>
      </c>
      <c r="BR375" s="129">
        <f t="shared" si="349"/>
        <v>146.73792116082166</v>
      </c>
      <c r="BS375" s="36">
        <f t="shared" si="369"/>
        <v>9.882491158101029E-3</v>
      </c>
      <c r="BT375" s="37">
        <f t="shared" si="350"/>
        <v>59896073.313261002</v>
      </c>
      <c r="BU375" s="36">
        <f t="shared" si="322"/>
        <v>1.9979836628568377</v>
      </c>
      <c r="BV375" s="37">
        <f t="shared" si="351"/>
        <v>-1.3144535548298281E-4</v>
      </c>
      <c r="BW375" s="37">
        <f t="shared" si="352"/>
        <v>-5.7774898667105661E-2</v>
      </c>
      <c r="BX375" s="37">
        <f t="shared" si="353"/>
        <v>-10.212700825549117</v>
      </c>
      <c r="BY375" s="39">
        <f t="shared" si="354"/>
        <v>1.9288018209818108E-2</v>
      </c>
      <c r="BZ375" s="39">
        <f>BZ374+(1000*$C$2*($B375-$B374))/(BerechnungenCLT!$W$47*2*BT375)</f>
        <v>1.6644490419563136E-2</v>
      </c>
      <c r="CA375" s="37">
        <f t="shared" si="323"/>
        <v>2.4498754767006381E-6</v>
      </c>
      <c r="CB375" s="173">
        <f t="shared" si="355"/>
        <v>1305.6062778165885</v>
      </c>
      <c r="CC375" s="9">
        <v>-257.40400321052567</v>
      </c>
      <c r="CJ375" s="9">
        <f t="shared" si="371"/>
        <v>324</v>
      </c>
      <c r="CK375" s="129">
        <v>146.63101071621756</v>
      </c>
      <c r="CL375" s="9">
        <v>3.75</v>
      </c>
      <c r="CM375" s="129">
        <f t="shared" si="356"/>
        <v>150.38103525060009</v>
      </c>
      <c r="CN375" s="36">
        <f t="shared" si="370"/>
        <v>5.9484931607098829E-3</v>
      </c>
      <c r="CO375" s="173">
        <f t="shared" si="357"/>
        <v>1219.3149451058314</v>
      </c>
      <c r="CP375" s="9">
        <v>-630.45300121037496</v>
      </c>
      <c r="CQ375" s="129"/>
      <c r="CR375" s="36">
        <f t="shared" si="358"/>
        <v>0.61208869588962922</v>
      </c>
      <c r="CS375" s="17">
        <f t="shared" si="324"/>
        <v>0.44001894618309034</v>
      </c>
      <c r="CT375" s="9">
        <f t="shared" si="325"/>
        <v>5.1134161824563407</v>
      </c>
      <c r="CU375" s="9">
        <f t="shared" si="359"/>
        <v>151.74446035320955</v>
      </c>
      <c r="CV375" s="9">
        <v>7.2</v>
      </c>
      <c r="CW375" s="9">
        <f t="shared" si="360"/>
        <v>153.83105782223203</v>
      </c>
      <c r="CX375">
        <f t="shared" si="361"/>
        <v>12</v>
      </c>
      <c r="CY375" s="9">
        <f t="shared" si="326"/>
        <v>364.71677388374763</v>
      </c>
      <c r="CZ375" s="17">
        <f t="shared" si="362"/>
        <v>0.34342445751765316</v>
      </c>
      <c r="DA375">
        <v>45</v>
      </c>
      <c r="DB375" s="9">
        <f t="shared" si="363"/>
        <v>5.8856282909366149</v>
      </c>
      <c r="DC375" s="9">
        <f t="shared" si="364"/>
        <v>6.4977169871971494</v>
      </c>
    </row>
    <row r="376" spans="2:107" x14ac:dyDescent="0.25">
      <c r="B376" s="9">
        <f t="shared" si="365"/>
        <v>325</v>
      </c>
      <c r="C376" s="9">
        <v>141.05605879600139</v>
      </c>
      <c r="D376" s="9"/>
      <c r="E376" s="9">
        <f t="shared" si="327"/>
        <v>141.05605879600139</v>
      </c>
      <c r="F376" s="36">
        <f t="shared" si="366"/>
        <v>0</v>
      </c>
      <c r="G376" s="37">
        <f t="shared" si="311"/>
        <v>0</v>
      </c>
      <c r="H376" s="36" t="e">
        <f t="shared" si="312"/>
        <v>#DIV/0!</v>
      </c>
      <c r="I376" s="37" t="e">
        <f t="shared" si="328"/>
        <v>#DIV/0!</v>
      </c>
      <c r="J376" s="37" t="e">
        <f t="shared" si="329"/>
        <v>#DIV/0!</v>
      </c>
      <c r="K376" s="37" t="e">
        <f t="shared" si="330"/>
        <v>#DIV/0!</v>
      </c>
      <c r="L376" s="39" t="e">
        <f t="shared" si="313"/>
        <v>#DIV/0!</v>
      </c>
      <c r="M376" s="39" t="e">
        <f>M375+(1000*$C$2*(B376-B375))/(BerechnungenCLT!$W$47*2*'Berechnung freier Bereich'!G376)</f>
        <v>#DIV/0!</v>
      </c>
      <c r="N376" s="17" t="e">
        <f t="shared" si="331"/>
        <v>#DIV/0!</v>
      </c>
      <c r="O376" s="173">
        <f t="shared" si="332"/>
        <v>1351.5139791788533</v>
      </c>
      <c r="P376" s="173"/>
      <c r="Q376" s="173"/>
      <c r="R376" s="37" t="e">
        <f t="shared" si="314"/>
        <v>#DIV/0!</v>
      </c>
      <c r="S376" s="37" t="e">
        <f t="shared" si="315"/>
        <v>#DIV/0!</v>
      </c>
      <c r="T376" s="37" t="e">
        <f t="shared" si="316"/>
        <v>#DIV/0!</v>
      </c>
      <c r="U376" s="39" t="e">
        <f t="shared" si="317"/>
        <v>#DIV/0!</v>
      </c>
      <c r="V376" s="39" t="e">
        <f t="shared" si="333"/>
        <v>#DIV/0!</v>
      </c>
      <c r="W376" s="9" t="e">
        <f t="shared" si="334"/>
        <v>#DIV/0!</v>
      </c>
      <c r="AB376" s="129">
        <v>141.95002922730319</v>
      </c>
      <c r="AC376" s="9">
        <v>6.1875</v>
      </c>
      <c r="AD376" s="129">
        <f t="shared" si="335"/>
        <v>148.13809379945653</v>
      </c>
      <c r="AE376" s="36">
        <f t="shared" si="367"/>
        <v>9.5870187989555086E-3</v>
      </c>
      <c r="AF376" s="37">
        <f t="shared" si="336"/>
        <v>59347460.916485399</v>
      </c>
      <c r="AG376" s="36">
        <f t="shared" si="318"/>
        <v>1.9981810807651819</v>
      </c>
      <c r="AH376" s="37">
        <f t="shared" si="337"/>
        <v>-1.3266044624513047E-4</v>
      </c>
      <c r="AI376" s="37">
        <f t="shared" si="338"/>
        <v>-5.5006050702776706E-2</v>
      </c>
      <c r="AJ376" s="37">
        <f t="shared" si="339"/>
        <v>-9.8507338009462764</v>
      </c>
      <c r="AK376" s="39">
        <f t="shared" si="340"/>
        <v>1.9652065629338897E-2</v>
      </c>
      <c r="AL376" s="39">
        <f>AL375+(1000*$C$2*($B376-$B375))/(BerechnungenCLT!$W$47*2*AF376)</f>
        <v>1.5844006761278971E-2</v>
      </c>
      <c r="AM376" s="37">
        <f t="shared" si="319"/>
        <v>2.496115107736767E-6</v>
      </c>
      <c r="AN376" s="173">
        <f t="shared" si="341"/>
        <v>1278.2156418421664</v>
      </c>
      <c r="AO376" s="173">
        <v>-257.65850845281295</v>
      </c>
      <c r="AV376" s="129">
        <v>142.27164475588262</v>
      </c>
      <c r="AW376" s="9">
        <v>6.1875</v>
      </c>
      <c r="AX376" s="129">
        <f t="shared" si="342"/>
        <v>148.45914515304258</v>
      </c>
      <c r="AY376" s="36">
        <f t="shared" si="368"/>
        <v>9.6073820681837948E-3</v>
      </c>
      <c r="AZ376" s="37">
        <f t="shared" si="343"/>
        <v>59737202.21525912</v>
      </c>
      <c r="BA376" s="36">
        <f t="shared" si="320"/>
        <v>1.9981894379085801</v>
      </c>
      <c r="BB376" s="37">
        <f t="shared" si="344"/>
        <v>-1.3179493442505612E-4</v>
      </c>
      <c r="BC376" s="37">
        <f t="shared" si="345"/>
        <v>-5.157864099561018E-2</v>
      </c>
      <c r="BD376" s="37">
        <f t="shared" si="346"/>
        <v>-9.077170380084187</v>
      </c>
      <c r="BE376" s="39">
        <f t="shared" si="347"/>
        <v>1.9566163300245135E-2</v>
      </c>
      <c r="BF376" s="39">
        <f>BF375+(1000*$C$2*($B376-$B375))/(BerechnungenCLT!$W$47*2*AZ376)</f>
        <v>1.4853131124474386E-2</v>
      </c>
      <c r="BG376" s="37">
        <f t="shared" si="321"/>
        <v>2.4852041884733689E-6</v>
      </c>
      <c r="BH376" s="173">
        <f t="shared" si="348"/>
        <v>1272.5708394726316</v>
      </c>
      <c r="BI376">
        <v>-257.65850845281295</v>
      </c>
      <c r="BP376" s="129">
        <v>140.34482390858227</v>
      </c>
      <c r="BQ376" s="9">
        <v>6.40625</v>
      </c>
      <c r="BR376" s="129">
        <f t="shared" si="349"/>
        <v>146.76078300426289</v>
      </c>
      <c r="BS376" s="36">
        <f t="shared" si="369"/>
        <v>9.8378920890651294E-3</v>
      </c>
      <c r="BT376" s="37">
        <f t="shared" si="350"/>
        <v>59657262.675162576</v>
      </c>
      <c r="BU376" s="36">
        <f t="shared" si="322"/>
        <v>1.9980039354225279</v>
      </c>
      <c r="BV376" s="37">
        <f t="shared" si="351"/>
        <v>-1.3197153700406414E-4</v>
      </c>
      <c r="BW376" s="37">
        <f t="shared" si="352"/>
        <v>-5.7906870204109721E-2</v>
      </c>
      <c r="BX376" s="37">
        <f t="shared" si="353"/>
        <v>-10.270541709984725</v>
      </c>
      <c r="BY376" s="39">
        <f t="shared" si="354"/>
        <v>1.9368246104992506E-2</v>
      </c>
      <c r="BZ376" s="39">
        <f>BZ375+(1000*$C$2*($B376-$B375))/(BerechnungenCLT!$W$47*2*BT376)</f>
        <v>1.6682643853878645E-2</v>
      </c>
      <c r="CA376" s="37">
        <f t="shared" si="323"/>
        <v>2.4600656554321689E-6</v>
      </c>
      <c r="CB376" s="173">
        <f t="shared" si="355"/>
        <v>1304.9103503745987</v>
      </c>
      <c r="CC376" s="9">
        <v>-258.52175912526673</v>
      </c>
      <c r="CJ376" s="9">
        <f t="shared" si="371"/>
        <v>325</v>
      </c>
      <c r="CK376" s="129">
        <v>146.63462804213862</v>
      </c>
      <c r="CL376" s="9">
        <v>3.75</v>
      </c>
      <c r="CM376" s="129">
        <f t="shared" si="356"/>
        <v>150.38462869803044</v>
      </c>
      <c r="CN376" s="36">
        <f t="shared" si="370"/>
        <v>5.9485996982403802E-3</v>
      </c>
      <c r="CO376" s="173">
        <f t="shared" si="357"/>
        <v>1219.2557429040287</v>
      </c>
      <c r="CP376" s="9">
        <v>-630.42239041047083</v>
      </c>
      <c r="CQ376" s="129"/>
      <c r="CR376" s="36">
        <f t="shared" si="358"/>
        <v>0.61207746924944662</v>
      </c>
      <c r="CS376" s="17">
        <f t="shared" si="324"/>
        <v>0.44001087556454188</v>
      </c>
      <c r="CT376" s="9">
        <f t="shared" si="325"/>
        <v>5.1135099720278721</v>
      </c>
      <c r="CU376" s="9">
        <f t="shared" si="359"/>
        <v>151.7481389085423</v>
      </c>
      <c r="CV376" s="9">
        <v>7.2</v>
      </c>
      <c r="CW376" s="9">
        <f t="shared" si="360"/>
        <v>153.83462930145089</v>
      </c>
      <c r="CX376">
        <f t="shared" si="361"/>
        <v>12</v>
      </c>
      <c r="CY376" s="9">
        <f t="shared" si="326"/>
        <v>364.70777669490064</v>
      </c>
      <c r="CZ376" s="17">
        <f t="shared" si="362"/>
        <v>0.34341598558841874</v>
      </c>
      <c r="DA376">
        <v>45</v>
      </c>
      <c r="DB376" s="9">
        <f t="shared" si="363"/>
        <v>5.8854830985215436</v>
      </c>
      <c r="DC376" s="9">
        <f t="shared" si="364"/>
        <v>6.4975605677797814</v>
      </c>
    </row>
    <row r="377" spans="2:107" x14ac:dyDescent="0.25">
      <c r="B377" s="9">
        <f t="shared" si="365"/>
        <v>326</v>
      </c>
      <c r="C377" s="9">
        <v>141.03691694599576</v>
      </c>
      <c r="D377" s="9"/>
      <c r="E377" s="9">
        <f t="shared" si="327"/>
        <v>141.03691694599576</v>
      </c>
      <c r="F377" s="36">
        <f t="shared" si="366"/>
        <v>0</v>
      </c>
      <c r="G377" s="37">
        <f t="shared" si="311"/>
        <v>0</v>
      </c>
      <c r="H377" s="36" t="e">
        <f t="shared" si="312"/>
        <v>#DIV/0!</v>
      </c>
      <c r="I377" s="37" t="e">
        <f t="shared" si="328"/>
        <v>#DIV/0!</v>
      </c>
      <c r="J377" s="37" t="e">
        <f t="shared" si="329"/>
        <v>#DIV/0!</v>
      </c>
      <c r="K377" s="37" t="e">
        <f t="shared" si="330"/>
        <v>#DIV/0!</v>
      </c>
      <c r="L377" s="39" t="e">
        <f t="shared" si="313"/>
        <v>#DIV/0!</v>
      </c>
      <c r="M377" s="39" t="e">
        <f>M376+(1000*$C$2*(B377-B376))/(BerechnungenCLT!$W$47*2*'Berechnung freier Bereich'!G377)</f>
        <v>#DIV/0!</v>
      </c>
      <c r="N377" s="17" t="e">
        <f t="shared" si="331"/>
        <v>#DIV/0!</v>
      </c>
      <c r="O377" s="173">
        <f t="shared" si="332"/>
        <v>1351.8808651549532</v>
      </c>
      <c r="P377" s="173"/>
      <c r="Q377" s="173"/>
      <c r="R377" s="37" t="e">
        <f t="shared" si="314"/>
        <v>#DIV/0!</v>
      </c>
      <c r="S377" s="37" t="e">
        <f t="shared" si="315"/>
        <v>#DIV/0!</v>
      </c>
      <c r="T377" s="37" t="e">
        <f t="shared" si="316"/>
        <v>#DIV/0!</v>
      </c>
      <c r="U377" s="39" t="e">
        <f t="shared" si="317"/>
        <v>#DIV/0!</v>
      </c>
      <c r="V377" s="39" t="e">
        <f t="shared" si="333"/>
        <v>#DIV/0!</v>
      </c>
      <c r="W377" s="9" t="e">
        <f t="shared" si="334"/>
        <v>#DIV/0!</v>
      </c>
      <c r="AB377" s="129">
        <v>141.93652010837485</v>
      </c>
      <c r="AC377" s="9">
        <v>6.1875</v>
      </c>
      <c r="AD377" s="129">
        <f t="shared" si="335"/>
        <v>148.12433464806421</v>
      </c>
      <c r="AE377" s="36">
        <f t="shared" si="367"/>
        <v>9.5857302867887566E-3</v>
      </c>
      <c r="AF377" s="37">
        <f t="shared" si="336"/>
        <v>59328332.112926491</v>
      </c>
      <c r="AG377" s="36">
        <f t="shared" si="318"/>
        <v>1.9981808859070604</v>
      </c>
      <c r="AH377" s="37">
        <f t="shared" si="337"/>
        <v>-1.3270321899005495E-4</v>
      </c>
      <c r="AI377" s="37">
        <f t="shared" si="338"/>
        <v>-5.5138753921766759E-2</v>
      </c>
      <c r="AJ377" s="37">
        <f t="shared" si="339"/>
        <v>-9.9058062032585479</v>
      </c>
      <c r="AK377" s="39">
        <f t="shared" si="340"/>
        <v>1.9656576018558247E-2</v>
      </c>
      <c r="AL377" s="39">
        <f>AL376+(1000*$C$2*($B377-$B376))/(BerechnungenCLT!$W$47*2*AF377)</f>
        <v>1.5882371727423433E-2</v>
      </c>
      <c r="AM377" s="37">
        <f t="shared" si="319"/>
        <v>2.4966879966576845E-6</v>
      </c>
      <c r="AN377" s="173">
        <f t="shared" si="341"/>
        <v>1278.4559801532744</v>
      </c>
      <c r="AO377" s="173">
        <v>-257.51382874834673</v>
      </c>
      <c r="AV377" s="129">
        <v>142.27200305036874</v>
      </c>
      <c r="AW377" s="9">
        <v>6.1875</v>
      </c>
      <c r="AX377" s="129">
        <f t="shared" si="342"/>
        <v>148.45952932296112</v>
      </c>
      <c r="AY377" s="36">
        <f t="shared" si="368"/>
        <v>9.6074467804841499E-3</v>
      </c>
      <c r="AZ377" s="37">
        <f t="shared" si="343"/>
        <v>59737909.788891055</v>
      </c>
      <c r="BA377" s="36">
        <f t="shared" si="320"/>
        <v>1.9981894320170372</v>
      </c>
      <c r="BB377" s="37">
        <f t="shared" si="344"/>
        <v>-1.3179337336239507E-4</v>
      </c>
      <c r="BC377" s="37">
        <f t="shared" si="345"/>
        <v>-5.1710434368972574E-2</v>
      </c>
      <c r="BD377" s="37">
        <f t="shared" si="346"/>
        <v>-9.1288149177664781</v>
      </c>
      <c r="BE377" s="39">
        <f t="shared" si="347"/>
        <v>1.9565982177266454E-2</v>
      </c>
      <c r="BF377" s="39">
        <f>BF376+(1000*$C$2*($B377-$B376))/(BerechnungenCLT!$W$47*2*AZ377)</f>
        <v>1.4891233051056076E-2</v>
      </c>
      <c r="BG377" s="37">
        <f t="shared" si="321"/>
        <v>2.4851811830645748E-6</v>
      </c>
      <c r="BH377" s="173">
        <f t="shared" si="348"/>
        <v>1272.5643397487345</v>
      </c>
      <c r="BI377">
        <v>-257.51382874834673</v>
      </c>
      <c r="BP377" s="129">
        <v>140.39990048482676</v>
      </c>
      <c r="BQ377" s="9">
        <v>6.40625</v>
      </c>
      <c r="BR377" s="129">
        <f t="shared" si="349"/>
        <v>146.81635495393354</v>
      </c>
      <c r="BS377" s="36">
        <f t="shared" si="369"/>
        <v>9.8424434171306419E-3</v>
      </c>
      <c r="BT377" s="37">
        <f t="shared" si="350"/>
        <v>59730856.829295777</v>
      </c>
      <c r="BU377" s="36">
        <f t="shared" si="322"/>
        <v>1.9980051641476715</v>
      </c>
      <c r="BV377" s="37">
        <f t="shared" si="351"/>
        <v>-1.3180893539158051E-4</v>
      </c>
      <c r="BW377" s="37">
        <f t="shared" si="352"/>
        <v>-5.8038679139501302E-2</v>
      </c>
      <c r="BX377" s="37">
        <f t="shared" si="353"/>
        <v>-10.32851448465653</v>
      </c>
      <c r="BY377" s="39">
        <f t="shared" si="354"/>
        <v>1.9351707444550378E-2</v>
      </c>
      <c r="BZ377" s="39">
        <f>BZ376+(1000*$C$2*($B377-$B376))/(BerechnungenCLT!$W$47*2*BT377)</f>
        <v>1.6720750279497567E-2</v>
      </c>
      <c r="CA377" s="37">
        <f t="shared" si="323"/>
        <v>2.4579649907504012E-6</v>
      </c>
      <c r="CB377" s="173">
        <f t="shared" si="355"/>
        <v>1303.9051245773715</v>
      </c>
      <c r="CC377" s="9">
        <v>-258.32260924394137</v>
      </c>
      <c r="CJ377" s="9">
        <f t="shared" si="371"/>
        <v>326</v>
      </c>
      <c r="CK377" s="129">
        <v>146.63403659560885</v>
      </c>
      <c r="CL377" s="9">
        <v>3.75</v>
      </c>
      <c r="CM377" s="129">
        <f t="shared" si="356"/>
        <v>150.38407546366463</v>
      </c>
      <c r="CN377" s="36">
        <f t="shared" si="370"/>
        <v>5.9486373884180838E-3</v>
      </c>
      <c r="CO377" s="173">
        <f t="shared" si="357"/>
        <v>1219.2651407244878</v>
      </c>
      <c r="CP377" s="9">
        <v>-630.42724960139367</v>
      </c>
      <c r="CQ377" s="129"/>
      <c r="CR377" s="36">
        <f t="shared" si="358"/>
        <v>0.6120791976386154</v>
      </c>
      <c r="CS377" s="17">
        <f t="shared" si="324"/>
        <v>0.44001211807071094</v>
      </c>
      <c r="CT377" s="9">
        <f t="shared" si="325"/>
        <v>5.1134955324989937</v>
      </c>
      <c r="CU377" s="9">
        <f t="shared" si="359"/>
        <v>151.7475851285424</v>
      </c>
      <c r="CV377" s="9">
        <v>7.2</v>
      </c>
      <c r="CW377" s="9">
        <f t="shared" si="360"/>
        <v>153.83411122227594</v>
      </c>
      <c r="CX377">
        <f t="shared" si="361"/>
        <v>12</v>
      </c>
      <c r="CY377" s="9">
        <f t="shared" si="326"/>
        <v>364.70924773909957</v>
      </c>
      <c r="CZ377" s="17">
        <f t="shared" si="362"/>
        <v>0.34341737075244783</v>
      </c>
      <c r="DA377">
        <v>45</v>
      </c>
      <c r="DB377" s="9">
        <f t="shared" si="363"/>
        <v>5.885506837543093</v>
      </c>
      <c r="DC377" s="9">
        <f t="shared" si="364"/>
        <v>6.4975860357540176</v>
      </c>
    </row>
    <row r="378" spans="2:107" x14ac:dyDescent="0.25">
      <c r="B378" s="9">
        <f t="shared" si="365"/>
        <v>327</v>
      </c>
      <c r="C378" s="9">
        <v>141.01897603752019</v>
      </c>
      <c r="D378" s="9"/>
      <c r="E378" s="9">
        <f t="shared" si="327"/>
        <v>141.01897603752019</v>
      </c>
      <c r="F378" s="36">
        <f t="shared" si="366"/>
        <v>0</v>
      </c>
      <c r="G378" s="37">
        <f t="shared" si="311"/>
        <v>0</v>
      </c>
      <c r="H378" s="36" t="e">
        <f t="shared" si="312"/>
        <v>#DIV/0!</v>
      </c>
      <c r="I378" s="37" t="e">
        <f t="shared" si="328"/>
        <v>#DIV/0!</v>
      </c>
      <c r="J378" s="37" t="e">
        <f t="shared" si="329"/>
        <v>#DIV/0!</v>
      </c>
      <c r="K378" s="37" t="e">
        <f t="shared" si="330"/>
        <v>#DIV/0!</v>
      </c>
      <c r="L378" s="39" t="e">
        <f t="shared" si="313"/>
        <v>#DIV/0!</v>
      </c>
      <c r="M378" s="39" t="e">
        <f>M377+(1000*$C$2*(B378-B377))/(BerechnungenCLT!$W$47*2*'Berechnung freier Bereich'!G378)</f>
        <v>#DIV/0!</v>
      </c>
      <c r="N378" s="17" t="e">
        <f t="shared" si="331"/>
        <v>#DIV/0!</v>
      </c>
      <c r="O378" s="173">
        <f t="shared" si="332"/>
        <v>1352.2248686981507</v>
      </c>
      <c r="P378" s="173"/>
      <c r="Q378" s="173"/>
      <c r="R378" s="37" t="e">
        <f t="shared" si="314"/>
        <v>#DIV/0!</v>
      </c>
      <c r="S378" s="37" t="e">
        <f t="shared" si="315"/>
        <v>#DIV/0!</v>
      </c>
      <c r="T378" s="37" t="e">
        <f t="shared" si="316"/>
        <v>#DIV/0!</v>
      </c>
      <c r="U378" s="39" t="e">
        <f t="shared" si="317"/>
        <v>#DIV/0!</v>
      </c>
      <c r="V378" s="39" t="e">
        <f t="shared" si="333"/>
        <v>#DIV/0!</v>
      </c>
      <c r="W378" s="9" t="e">
        <f t="shared" si="334"/>
        <v>#DIV/0!</v>
      </c>
      <c r="AB378" s="129">
        <v>141.9264368559875</v>
      </c>
      <c r="AC378" s="9">
        <v>6.1875</v>
      </c>
      <c r="AD378" s="129">
        <f t="shared" si="335"/>
        <v>148.11407617535028</v>
      </c>
      <c r="AE378" s="36">
        <f t="shared" si="367"/>
        <v>9.5847866274811813E-3</v>
      </c>
      <c r="AF378" s="37">
        <f t="shared" si="336"/>
        <v>59314173.659034453</v>
      </c>
      <c r="AG378" s="36">
        <f t="shared" si="318"/>
        <v>1.998180733874815</v>
      </c>
      <c r="AH378" s="37">
        <f t="shared" si="337"/>
        <v>-1.3273489560782588E-4</v>
      </c>
      <c r="AI378" s="37">
        <f t="shared" si="338"/>
        <v>-5.5271488817374585E-2</v>
      </c>
      <c r="AJ378" s="37">
        <f t="shared" si="339"/>
        <v>-9.9610113246281191</v>
      </c>
      <c r="AK378" s="39">
        <f t="shared" si="340"/>
        <v>1.965990643918469E-2</v>
      </c>
      <c r="AL378" s="39">
        <f>AL377+(1000*$C$2*($B378-$B377))/(BerechnungenCLT!$W$47*2*AF378)</f>
        <v>1.592074585138922E-2</v>
      </c>
      <c r="AM378" s="37">
        <f t="shared" si="319"/>
        <v>2.4971110113879204E-6</v>
      </c>
      <c r="AN378" s="173">
        <f t="shared" si="341"/>
        <v>1278.6353131146184</v>
      </c>
      <c r="AO378" s="173">
        <v>-257.36927086990681</v>
      </c>
      <c r="AV378" s="129">
        <v>142.27491718301928</v>
      </c>
      <c r="AW378" s="9">
        <v>6.1875</v>
      </c>
      <c r="AX378" s="129">
        <f t="shared" si="342"/>
        <v>148.46250840872065</v>
      </c>
      <c r="AY378" s="36">
        <f t="shared" si="368"/>
        <v>9.6077423819339348E-3</v>
      </c>
      <c r="AZ378" s="37">
        <f t="shared" si="343"/>
        <v>59742169.184311487</v>
      </c>
      <c r="BA378" s="36">
        <f t="shared" si="320"/>
        <v>1.9981894673810512</v>
      </c>
      <c r="BB378" s="37">
        <f t="shared" si="344"/>
        <v>-1.3178397698294301E-4</v>
      </c>
      <c r="BC378" s="37">
        <f t="shared" si="345"/>
        <v>-5.1842218345955517E-2</v>
      </c>
      <c r="BD378" s="37">
        <f t="shared" si="346"/>
        <v>-9.1805912441239421</v>
      </c>
      <c r="BE378" s="39">
        <f t="shared" si="347"/>
        <v>1.9564979790964825E-2</v>
      </c>
      <c r="BF378" s="39">
        <f>BF377+(1000*$C$2*($B378-$B377))/(BerechnungenCLT!$W$47*2*AZ378)</f>
        <v>1.4929332261111504E-2</v>
      </c>
      <c r="BG378" s="37">
        <f t="shared" si="321"/>
        <v>2.485053864560838E-6</v>
      </c>
      <c r="BH378" s="173">
        <f t="shared" si="348"/>
        <v>1272.5127507689349</v>
      </c>
      <c r="BI378">
        <v>-257.36927086990681</v>
      </c>
      <c r="BP378" s="129">
        <v>140.45636572001192</v>
      </c>
      <c r="BQ378" s="9">
        <v>6.40625</v>
      </c>
      <c r="BR378" s="129">
        <f t="shared" si="349"/>
        <v>146.87331986792626</v>
      </c>
      <c r="BS378" s="36">
        <f t="shared" si="369"/>
        <v>9.8470972666219528E-3</v>
      </c>
      <c r="BT378" s="37">
        <f t="shared" si="350"/>
        <v>59806291.321924187</v>
      </c>
      <c r="BU378" s="36">
        <f t="shared" si="322"/>
        <v>1.9980064274472971</v>
      </c>
      <c r="BV378" s="37">
        <f t="shared" si="351"/>
        <v>-1.3164268297991309E-4</v>
      </c>
      <c r="BW378" s="37">
        <f t="shared" si="352"/>
        <v>-5.8170321822481212E-2</v>
      </c>
      <c r="BX378" s="37">
        <f t="shared" si="353"/>
        <v>-10.386618985137522</v>
      </c>
      <c r="BY378" s="39">
        <f t="shared" si="354"/>
        <v>1.9334797885580787E-2</v>
      </c>
      <c r="BZ378" s="39">
        <f>BZ377+(1000*$C$2*($B378-$B377))/(BerechnungenCLT!$W$47*2*BT378)</f>
        <v>1.6758808640961045E-2</v>
      </c>
      <c r="CA378" s="37">
        <f t="shared" si="323"/>
        <v>2.4558172162413362E-6</v>
      </c>
      <c r="CB378" s="173">
        <f t="shared" si="355"/>
        <v>1302.8758333743701</v>
      </c>
      <c r="CC378" s="9">
        <v>-258.11869165498541</v>
      </c>
      <c r="CJ378" s="9">
        <f t="shared" si="371"/>
        <v>327</v>
      </c>
      <c r="CK378" s="129">
        <v>146.62948360349608</v>
      </c>
      <c r="CL378" s="9">
        <v>3.75</v>
      </c>
      <c r="CM378" s="129">
        <f t="shared" si="356"/>
        <v>150.3796117546095</v>
      </c>
      <c r="CN378" s="36">
        <f t="shared" si="370"/>
        <v>5.9485984274245248E-3</v>
      </c>
      <c r="CO378" s="173">
        <f t="shared" si="357"/>
        <v>1219.3391715637185</v>
      </c>
      <c r="CP378" s="9">
        <v>-630.46552762378838</v>
      </c>
      <c r="CQ378" s="129"/>
      <c r="CR378" s="36">
        <f t="shared" si="358"/>
        <v>0.61209314327596731</v>
      </c>
      <c r="CS378" s="17">
        <f t="shared" si="324"/>
        <v>0.44002214332471851</v>
      </c>
      <c r="CT378" s="9">
        <f t="shared" si="325"/>
        <v>5.1133790290630694</v>
      </c>
      <c r="CU378" s="9">
        <f t="shared" si="359"/>
        <v>151.74303737528339</v>
      </c>
      <c r="CV378" s="9">
        <v>7.2</v>
      </c>
      <c r="CW378" s="9">
        <f t="shared" si="360"/>
        <v>153.82972965363385</v>
      </c>
      <c r="CX378">
        <f t="shared" si="361"/>
        <v>12</v>
      </c>
      <c r="CY378" s="9">
        <f t="shared" si="326"/>
        <v>364.7205723259944</v>
      </c>
      <c r="CZ378" s="17">
        <f t="shared" si="362"/>
        <v>0.34342803420526774</v>
      </c>
      <c r="DA378">
        <v>45</v>
      </c>
      <c r="DB378" s="9">
        <f t="shared" si="363"/>
        <v>5.8856895884166036</v>
      </c>
      <c r="DC378" s="9">
        <f t="shared" si="364"/>
        <v>6.4977827335948</v>
      </c>
    </row>
    <row r="379" spans="2:107" x14ac:dyDescent="0.25">
      <c r="B379" s="9">
        <f t="shared" si="365"/>
        <v>328</v>
      </c>
      <c r="C379" s="9">
        <v>141.00221739341254</v>
      </c>
      <c r="D379" s="9"/>
      <c r="E379" s="9">
        <f t="shared" si="327"/>
        <v>141.00221739341254</v>
      </c>
      <c r="F379" s="36">
        <f t="shared" si="366"/>
        <v>0</v>
      </c>
      <c r="G379" s="37">
        <f t="shared" si="311"/>
        <v>0</v>
      </c>
      <c r="H379" s="36" t="e">
        <f t="shared" si="312"/>
        <v>#DIV/0!</v>
      </c>
      <c r="I379" s="37" t="e">
        <f t="shared" si="328"/>
        <v>#DIV/0!</v>
      </c>
      <c r="J379" s="37" t="e">
        <f t="shared" si="329"/>
        <v>#DIV/0!</v>
      </c>
      <c r="K379" s="37" t="e">
        <f t="shared" si="330"/>
        <v>#DIV/0!</v>
      </c>
      <c r="L379" s="39" t="e">
        <f t="shared" si="313"/>
        <v>#DIV/0!</v>
      </c>
      <c r="M379" s="39" t="e">
        <f>M378+(1000*$C$2*(B379-B378))/(BerechnungenCLT!$W$47*2*'Berechnung freier Bereich'!G379)</f>
        <v>#DIV/0!</v>
      </c>
      <c r="N379" s="17" t="e">
        <f t="shared" si="331"/>
        <v>#DIV/0!</v>
      </c>
      <c r="O379" s="173">
        <f t="shared" si="332"/>
        <v>1352.5463218277057</v>
      </c>
      <c r="P379" s="173"/>
      <c r="Q379" s="173"/>
      <c r="R379" s="37" t="e">
        <f t="shared" si="314"/>
        <v>#DIV/0!</v>
      </c>
      <c r="S379" s="37" t="e">
        <f t="shared" si="315"/>
        <v>#DIV/0!</v>
      </c>
      <c r="T379" s="37" t="e">
        <f t="shared" si="316"/>
        <v>#DIV/0!</v>
      </c>
      <c r="U379" s="39" t="e">
        <f t="shared" si="317"/>
        <v>#DIV/0!</v>
      </c>
      <c r="V379" s="39" t="e">
        <f t="shared" si="333"/>
        <v>#DIV/0!</v>
      </c>
      <c r="W379" s="9" t="e">
        <f t="shared" si="334"/>
        <v>#DIV/0!</v>
      </c>
      <c r="AB379" s="129">
        <v>141.91972619072371</v>
      </c>
      <c r="AC379" s="9">
        <v>6.15625</v>
      </c>
      <c r="AD379" s="129">
        <f t="shared" si="335"/>
        <v>148.0760115930797</v>
      </c>
      <c r="AE379" s="36">
        <f t="shared" si="367"/>
        <v>9.5347465727036937E-3</v>
      </c>
      <c r="AF379" s="37">
        <f t="shared" si="336"/>
        <v>58986028.065759026</v>
      </c>
      <c r="AG379" s="36">
        <f t="shared" si="318"/>
        <v>1.9981985560791959</v>
      </c>
      <c r="AH379" s="37">
        <f t="shared" si="337"/>
        <v>-1.3347331405191951E-4</v>
      </c>
      <c r="AI379" s="37">
        <f t="shared" si="338"/>
        <v>-5.5404962131426504E-2</v>
      </c>
      <c r="AJ379" s="37">
        <f t="shared" si="339"/>
        <v>-10.01634955010252</v>
      </c>
      <c r="AK379" s="39">
        <f t="shared" si="340"/>
        <v>1.97641959989188E-2</v>
      </c>
      <c r="AL379" s="39">
        <f>AL378+(1000*$C$2*($B379-$B378))/(BerechnungenCLT!$W$47*2*AF379)</f>
        <v>1.5959333454717627E-2</v>
      </c>
      <c r="AM379" s="37">
        <f t="shared" si="319"/>
        <v>2.5103573922285635E-6</v>
      </c>
      <c r="AN379" s="173">
        <f t="shared" si="341"/>
        <v>1279.0301853487608</v>
      </c>
      <c r="AO379" s="173">
        <v>-258.58577128671749</v>
      </c>
      <c r="AV379" s="129">
        <v>142.28034740518473</v>
      </c>
      <c r="AW379" s="9">
        <v>6.15625</v>
      </c>
      <c r="AX379" s="129">
        <f t="shared" si="342"/>
        <v>148.43678982728025</v>
      </c>
      <c r="AY379" s="36">
        <f t="shared" si="368"/>
        <v>9.5587092016142881E-3</v>
      </c>
      <c r="AZ379" s="37">
        <f t="shared" si="343"/>
        <v>59428713.053046815</v>
      </c>
      <c r="BA379" s="36">
        <f t="shared" si="320"/>
        <v>1.9982073879839237</v>
      </c>
      <c r="BB379" s="37">
        <f t="shared" si="344"/>
        <v>-1.3247907020414191E-4</v>
      </c>
      <c r="BC379" s="37">
        <f t="shared" si="345"/>
        <v>-5.1974697416159656E-2</v>
      </c>
      <c r="BD379" s="37">
        <f t="shared" si="346"/>
        <v>-9.2324997020050006</v>
      </c>
      <c r="BE379" s="39">
        <f t="shared" si="347"/>
        <v>1.9664767900405718E-2</v>
      </c>
      <c r="BF379" s="39">
        <f>BF378+(1000*$C$2*($B379-$B378))/(BerechnungenCLT!$W$47*2*AZ379)</f>
        <v>1.4967632425055628E-2</v>
      </c>
      <c r="BG379" s="37">
        <f t="shared" si="321"/>
        <v>2.4977284918619004E-6</v>
      </c>
      <c r="BH379" s="173">
        <f t="shared" si="348"/>
        <v>1272.6903673826048</v>
      </c>
      <c r="BI379">
        <v>-258.58577128671749</v>
      </c>
      <c r="BP379" s="129">
        <v>140.51419801757572</v>
      </c>
      <c r="BQ379" s="9">
        <v>6.40625</v>
      </c>
      <c r="BR379" s="129">
        <f t="shared" si="349"/>
        <v>146.9316555822528</v>
      </c>
      <c r="BS379" s="36">
        <f t="shared" si="369"/>
        <v>9.8518512967017829E-3</v>
      </c>
      <c r="BT379" s="37">
        <f t="shared" si="350"/>
        <v>59883538.206579223</v>
      </c>
      <c r="BU379" s="36">
        <f t="shared" si="322"/>
        <v>1.998007724956135</v>
      </c>
      <c r="BV379" s="37">
        <f t="shared" si="351"/>
        <v>-1.3147287024919651E-4</v>
      </c>
      <c r="BW379" s="37">
        <f t="shared" si="352"/>
        <v>-5.8301794692730412E-2</v>
      </c>
      <c r="BX379" s="37">
        <f t="shared" si="353"/>
        <v>-10.444855043395128</v>
      </c>
      <c r="BY379" s="39">
        <f t="shared" si="354"/>
        <v>1.9317526489865153E-2</v>
      </c>
      <c r="BZ379" s="39">
        <f>BZ378+(1000*$C$2*($B379-$B378))/(BerechnungenCLT!$W$47*2*BT379)</f>
        <v>1.6796817908968358E-2</v>
      </c>
      <c r="CA379" s="37">
        <f t="shared" si="323"/>
        <v>2.4536234828908266E-6</v>
      </c>
      <c r="CB379" s="173">
        <f t="shared" si="355"/>
        <v>1301.8229609136763</v>
      </c>
      <c r="CC379" s="9">
        <v>-257.91010227519018</v>
      </c>
      <c r="CJ379" s="9">
        <f t="shared" si="371"/>
        <v>328</v>
      </c>
      <c r="CK379" s="129">
        <v>146.62121629266812</v>
      </c>
      <c r="CL379" s="9">
        <v>3.75</v>
      </c>
      <c r="CM379" s="129">
        <f t="shared" si="356"/>
        <v>150.37147446416765</v>
      </c>
      <c r="CN379" s="36">
        <f t="shared" si="370"/>
        <v>5.9484761025100415E-3</v>
      </c>
      <c r="CO379" s="173">
        <f t="shared" si="357"/>
        <v>1219.4738774065111</v>
      </c>
      <c r="CP379" s="9">
        <v>-630.53517796573647</v>
      </c>
      <c r="CQ379" s="129"/>
      <c r="CR379" s="36">
        <f t="shared" si="358"/>
        <v>0.6121185674982994</v>
      </c>
      <c r="CS379" s="17">
        <f t="shared" si="324"/>
        <v>0.44004042031560758</v>
      </c>
      <c r="CT379" s="9">
        <f t="shared" si="325"/>
        <v>5.1131666458873157</v>
      </c>
      <c r="CU379" s="9">
        <f t="shared" si="359"/>
        <v>151.73473495826218</v>
      </c>
      <c r="CV379" s="9">
        <v>7.2</v>
      </c>
      <c r="CW379" s="9">
        <f t="shared" si="360"/>
        <v>153.8217119819472</v>
      </c>
      <c r="CX379">
        <f t="shared" si="361"/>
        <v>12</v>
      </c>
      <c r="CY379" s="9">
        <f t="shared" si="326"/>
        <v>364.74113727841399</v>
      </c>
      <c r="CZ379" s="17">
        <f t="shared" si="362"/>
        <v>0.34344739856724482</v>
      </c>
      <c r="DA379">
        <v>45</v>
      </c>
      <c r="DB379" s="9">
        <f t="shared" si="363"/>
        <v>5.8860214559763921</v>
      </c>
      <c r="DC379" s="9">
        <f t="shared" si="364"/>
        <v>6.4981400273234504</v>
      </c>
    </row>
    <row r="380" spans="2:107" x14ac:dyDescent="0.25">
      <c r="B380" s="9">
        <f t="shared" si="365"/>
        <v>329</v>
      </c>
      <c r="C380" s="9">
        <v>140.98662233651055</v>
      </c>
      <c r="D380" s="9"/>
      <c r="E380" s="9">
        <f t="shared" si="327"/>
        <v>140.98662233651055</v>
      </c>
      <c r="F380" s="36">
        <f t="shared" si="366"/>
        <v>0</v>
      </c>
      <c r="G380" s="37">
        <f t="shared" si="311"/>
        <v>0</v>
      </c>
      <c r="H380" s="36" t="e">
        <f t="shared" si="312"/>
        <v>#DIV/0!</v>
      </c>
      <c r="I380" s="37" t="e">
        <f t="shared" si="328"/>
        <v>#DIV/0!</v>
      </c>
      <c r="J380" s="37" t="e">
        <f t="shared" si="329"/>
        <v>#DIV/0!</v>
      </c>
      <c r="K380" s="37" t="e">
        <f t="shared" si="330"/>
        <v>#DIV/0!</v>
      </c>
      <c r="L380" s="39" t="e">
        <f t="shared" si="313"/>
        <v>#DIV/0!</v>
      </c>
      <c r="M380" s="39" t="e">
        <f>M379+(1000*$C$2*(B380-B379))/(BerechnungenCLT!$W$47*2*'Berechnung freier Bereich'!G380)</f>
        <v>#DIV/0!</v>
      </c>
      <c r="N380" s="17" t="e">
        <f t="shared" si="331"/>
        <v>#DIV/0!</v>
      </c>
      <c r="O380" s="173">
        <f t="shared" si="332"/>
        <v>1352.8455587778742</v>
      </c>
      <c r="P380" s="173"/>
      <c r="Q380" s="173"/>
      <c r="R380" s="37" t="e">
        <f t="shared" si="314"/>
        <v>#DIV/0!</v>
      </c>
      <c r="S380" s="37" t="e">
        <f t="shared" si="315"/>
        <v>#DIV/0!</v>
      </c>
      <c r="T380" s="37" t="e">
        <f t="shared" si="316"/>
        <v>#DIV/0!</v>
      </c>
      <c r="U380" s="39" t="e">
        <f t="shared" si="317"/>
        <v>#DIV/0!</v>
      </c>
      <c r="V380" s="39" t="e">
        <f t="shared" si="333"/>
        <v>#DIV/0!</v>
      </c>
      <c r="W380" s="9" t="e">
        <f t="shared" si="334"/>
        <v>#DIV/0!</v>
      </c>
      <c r="AB380" s="129">
        <v>141.91633483316602</v>
      </c>
      <c r="AC380" s="9">
        <v>6.15625</v>
      </c>
      <c r="AD380" s="129">
        <f t="shared" si="335"/>
        <v>148.07258488151544</v>
      </c>
      <c r="AE380" s="36">
        <f t="shared" si="367"/>
        <v>9.5344676475802859E-3</v>
      </c>
      <c r="AF380" s="37">
        <f t="shared" si="336"/>
        <v>58981529.940756828</v>
      </c>
      <c r="AG380" s="36">
        <f t="shared" si="318"/>
        <v>1.9981984921036196</v>
      </c>
      <c r="AH380" s="37">
        <f t="shared" si="337"/>
        <v>-1.3348349316479884E-4</v>
      </c>
      <c r="AI380" s="37">
        <f t="shared" si="338"/>
        <v>-5.5538445624591301E-2</v>
      </c>
      <c r="AJ380" s="37">
        <f t="shared" si="339"/>
        <v>-10.071821253980529</v>
      </c>
      <c r="AK380" s="39">
        <f t="shared" si="340"/>
        <v>1.9765245871925862E-2</v>
      </c>
      <c r="AL380" s="39">
        <f>AL379+(1000*$C$2*($B380-$B379))/(BerechnungenCLT!$W$47*2*AF380)</f>
        <v>1.5997924000863278E-2</v>
      </c>
      <c r="AM380" s="37">
        <f t="shared" si="319"/>
        <v>2.5104907422755034E-6</v>
      </c>
      <c r="AN380" s="173">
        <f t="shared" si="341"/>
        <v>1279.090329844885</v>
      </c>
      <c r="AO380" s="173">
        <v>-258.44067761569653</v>
      </c>
      <c r="AV380" s="129">
        <v>142.2882539682156</v>
      </c>
      <c r="AW380" s="9">
        <v>6.15625</v>
      </c>
      <c r="AX380" s="129">
        <f t="shared" si="342"/>
        <v>148.44483325986997</v>
      </c>
      <c r="AY380" s="36">
        <f t="shared" si="368"/>
        <v>9.5594461537687313E-3</v>
      </c>
      <c r="AZ380" s="37">
        <f t="shared" si="343"/>
        <v>59439814.829314336</v>
      </c>
      <c r="BA380" s="36">
        <f t="shared" si="320"/>
        <v>1.9982075048913674</v>
      </c>
      <c r="BB380" s="37">
        <f t="shared" si="344"/>
        <v>-1.3245432663786801E-4</v>
      </c>
      <c r="BC380" s="37">
        <f t="shared" si="345"/>
        <v>-5.2107151742797522E-2</v>
      </c>
      <c r="BD380" s="37">
        <f t="shared" si="346"/>
        <v>-9.2845406265844783</v>
      </c>
      <c r="BE380" s="39">
        <f t="shared" si="347"/>
        <v>1.9662160432306671E-2</v>
      </c>
      <c r="BF380" s="39">
        <f>BF379+(1000*$C$2*($B380-$B379))/(BerechnungenCLT!$W$47*2*AZ380)</f>
        <v>1.5005925435547938E-2</v>
      </c>
      <c r="BG380" s="37">
        <f t="shared" si="321"/>
        <v>2.4973973032409318E-6</v>
      </c>
      <c r="BH380" s="173">
        <f t="shared" si="348"/>
        <v>1272.5507283125996</v>
      </c>
      <c r="BI380">
        <v>-258.44067761569653</v>
      </c>
      <c r="BP380" s="129">
        <v>140.57337578095607</v>
      </c>
      <c r="BQ380" s="9">
        <v>6.40625</v>
      </c>
      <c r="BR380" s="129">
        <f t="shared" si="349"/>
        <v>146.99133994204323</v>
      </c>
      <c r="BS380" s="36">
        <f t="shared" si="369"/>
        <v>9.8567031793170782E-3</v>
      </c>
      <c r="BT380" s="37">
        <f t="shared" si="350"/>
        <v>59962569.615011528</v>
      </c>
      <c r="BU380" s="36">
        <f t="shared" si="322"/>
        <v>1.9980090563022521</v>
      </c>
      <c r="BV380" s="37">
        <f t="shared" si="351"/>
        <v>-1.3129958738001423E-4</v>
      </c>
      <c r="BW380" s="37">
        <f t="shared" si="352"/>
        <v>-5.8433094280110426E-2</v>
      </c>
      <c r="BX380" s="37">
        <f t="shared" si="353"/>
        <v>-10.503222487881548</v>
      </c>
      <c r="BY380" s="39">
        <f t="shared" si="354"/>
        <v>1.929990228282568E-2</v>
      </c>
      <c r="BZ380" s="39">
        <f>BZ379+(1000*$C$2*($B380-$B379))/(BerechnungenCLT!$W$47*2*BT380)</f>
        <v>1.6834777080290297E-2</v>
      </c>
      <c r="CA380" s="37">
        <f t="shared" si="323"/>
        <v>2.4513849370665427E-6</v>
      </c>
      <c r="CB380" s="173">
        <f t="shared" si="355"/>
        <v>1300.7469912063536</v>
      </c>
      <c r="CC380" s="9">
        <v>-257.69693699420151</v>
      </c>
      <c r="CJ380" s="9">
        <f t="shared" si="371"/>
        <v>329</v>
      </c>
      <c r="CK380" s="129">
        <v>146.60948188999282</v>
      </c>
      <c r="CL380" s="9">
        <v>3.75</v>
      </c>
      <c r="CM380" s="129">
        <f t="shared" si="356"/>
        <v>150.3599011730301</v>
      </c>
      <c r="CN380" s="36">
        <f t="shared" si="370"/>
        <v>5.9482647991519859E-3</v>
      </c>
      <c r="CO380" s="173">
        <f t="shared" si="357"/>
        <v>1219.6653061581965</v>
      </c>
      <c r="CP380" s="9">
        <v>-630.63415717656517</v>
      </c>
      <c r="CQ380" s="129"/>
      <c r="CR380" s="36">
        <f t="shared" si="358"/>
        <v>0.61215473049627023</v>
      </c>
      <c r="CS380" s="17">
        <f t="shared" si="324"/>
        <v>0.440066417208484</v>
      </c>
      <c r="CT380" s="9">
        <f t="shared" si="325"/>
        <v>5.1128645859246502</v>
      </c>
      <c r="CU380" s="9">
        <f t="shared" si="359"/>
        <v>151.7229181392222</v>
      </c>
      <c r="CV380" s="9">
        <v>7.2</v>
      </c>
      <c r="CW380" s="9">
        <f t="shared" si="360"/>
        <v>153.81028691342439</v>
      </c>
      <c r="CX380">
        <f t="shared" si="361"/>
        <v>12</v>
      </c>
      <c r="CY380" s="9">
        <f t="shared" si="326"/>
        <v>364.77033061108187</v>
      </c>
      <c r="CZ380" s="17">
        <f t="shared" si="362"/>
        <v>0.34347488758105643</v>
      </c>
      <c r="DA380">
        <v>45</v>
      </c>
      <c r="DB380" s="9">
        <f t="shared" si="363"/>
        <v>5.8864925642910082</v>
      </c>
      <c r="DC380" s="9">
        <f t="shared" si="364"/>
        <v>6.4986473010587424</v>
      </c>
    </row>
    <row r="381" spans="2:107" x14ac:dyDescent="0.25">
      <c r="B381" s="9">
        <f t="shared" si="365"/>
        <v>330</v>
      </c>
      <c r="C381" s="9">
        <v>140.97217218965201</v>
      </c>
      <c r="D381" s="9"/>
      <c r="E381" s="9">
        <f t="shared" si="327"/>
        <v>140.97217218965201</v>
      </c>
      <c r="F381" s="36">
        <f t="shared" si="366"/>
        <v>0</v>
      </c>
      <c r="G381" s="37">
        <f t="shared" si="311"/>
        <v>0</v>
      </c>
      <c r="H381" s="36" t="e">
        <f t="shared" si="312"/>
        <v>#DIV/0!</v>
      </c>
      <c r="I381" s="37" t="e">
        <f t="shared" si="328"/>
        <v>#DIV/0!</v>
      </c>
      <c r="J381" s="37" t="e">
        <f t="shared" si="329"/>
        <v>#DIV/0!</v>
      </c>
      <c r="K381" s="37" t="e">
        <f t="shared" si="330"/>
        <v>#DIV/0!</v>
      </c>
      <c r="L381" s="39" t="e">
        <f t="shared" si="313"/>
        <v>#DIV/0!</v>
      </c>
      <c r="M381" s="39" t="e">
        <f>M380+(1000*$C$2*(B381-B380))/(BerechnungenCLT!$W$47*2*'Berechnung freier Bereich'!G381)</f>
        <v>#DIV/0!</v>
      </c>
      <c r="N381" s="17" t="e">
        <f t="shared" si="331"/>
        <v>#DIV/0!</v>
      </c>
      <c r="O381" s="173">
        <f t="shared" si="332"/>
        <v>1353.1229159131028</v>
      </c>
      <c r="P381" s="173"/>
      <c r="Q381" s="173"/>
      <c r="R381" s="37" t="e">
        <f t="shared" si="314"/>
        <v>#DIV/0!</v>
      </c>
      <c r="S381" s="37" t="e">
        <f t="shared" si="315"/>
        <v>#DIV/0!</v>
      </c>
      <c r="T381" s="37" t="e">
        <f t="shared" si="316"/>
        <v>#DIV/0!</v>
      </c>
      <c r="U381" s="39" t="e">
        <f t="shared" si="317"/>
        <v>#DIV/0!</v>
      </c>
      <c r="V381" s="39" t="e">
        <f t="shared" si="333"/>
        <v>#DIV/0!</v>
      </c>
      <c r="W381" s="9" t="e">
        <f t="shared" si="334"/>
        <v>#DIV/0!</v>
      </c>
      <c r="AB381" s="129">
        <v>141.91620950389699</v>
      </c>
      <c r="AC381" s="9">
        <v>6.15625</v>
      </c>
      <c r="AD381" s="129">
        <f t="shared" si="335"/>
        <v>148.07248884500646</v>
      </c>
      <c r="AE381" s="36">
        <f t="shared" si="367"/>
        <v>9.5345057363648116E-3</v>
      </c>
      <c r="AF381" s="37">
        <f t="shared" si="336"/>
        <v>58981675.808100455</v>
      </c>
      <c r="AG381" s="36">
        <f t="shared" si="318"/>
        <v>1.9981984722226749</v>
      </c>
      <c r="AH381" s="37">
        <f t="shared" si="337"/>
        <v>-1.3348316304731238E-4</v>
      </c>
      <c r="AI381" s="37">
        <f t="shared" si="338"/>
        <v>-5.5671928787638617E-2</v>
      </c>
      <c r="AJ381" s="37">
        <f t="shared" si="339"/>
        <v>-10.127426441186644</v>
      </c>
      <c r="AK381" s="39">
        <f t="shared" si="340"/>
        <v>1.9765184171319342E-2</v>
      </c>
      <c r="AL381" s="39">
        <f>AL380+(1000*$C$2*($B381-$B380))/(BerechnungenCLT!$W$47*2*AF381)</f>
        <v>1.6036514451570807E-2</v>
      </c>
      <c r="AM381" s="37">
        <f t="shared" si="319"/>
        <v>2.5104829053478744E-6</v>
      </c>
      <c r="AN381" s="173">
        <f t="shared" si="341"/>
        <v>1279.0922826584649</v>
      </c>
      <c r="AO381" s="173">
        <v>-258.29570602951702</v>
      </c>
      <c r="AV381" s="129">
        <v>142.29859712346229</v>
      </c>
      <c r="AW381" s="9">
        <v>6.15625</v>
      </c>
      <c r="AX381" s="129">
        <f t="shared" si="342"/>
        <v>148.45534670617974</v>
      </c>
      <c r="AY381" s="36">
        <f t="shared" si="368"/>
        <v>9.5603963624055054E-3</v>
      </c>
      <c r="AZ381" s="37">
        <f t="shared" si="343"/>
        <v>59454250.132905155</v>
      </c>
      <c r="BA381" s="36">
        <f t="shared" si="320"/>
        <v>1.9982076627893837</v>
      </c>
      <c r="BB381" s="37">
        <f t="shared" si="344"/>
        <v>-1.3242216714695422E-4</v>
      </c>
      <c r="BC381" s="37">
        <f t="shared" si="345"/>
        <v>-5.2239573909944478E-2</v>
      </c>
      <c r="BD381" s="37">
        <f t="shared" si="346"/>
        <v>-9.3367139894108497</v>
      </c>
      <c r="BE381" s="39">
        <f t="shared" si="347"/>
        <v>1.9658778735384772E-2</v>
      </c>
      <c r="BF381" s="39">
        <f>BF380+(1000*$C$2*($B381-$B380))/(BerechnungenCLT!$W$47*2*AZ381)</f>
        <v>1.5044209148618606E-2</v>
      </c>
      <c r="BG381" s="37">
        <f t="shared" si="321"/>
        <v>2.496967775631176E-6</v>
      </c>
      <c r="BH381" s="173">
        <f t="shared" si="348"/>
        <v>1272.3681675451146</v>
      </c>
      <c r="BI381">
        <v>-258.29570602951702</v>
      </c>
      <c r="BP381" s="129">
        <v>140.63387741359091</v>
      </c>
      <c r="BQ381" s="9">
        <v>6.40625</v>
      </c>
      <c r="BR381" s="129">
        <f t="shared" si="349"/>
        <v>147.05235080154526</v>
      </c>
      <c r="BS381" s="36">
        <f t="shared" si="369"/>
        <v>9.8616505991372325E-3</v>
      </c>
      <c r="BT381" s="37">
        <f t="shared" si="350"/>
        <v>60043357.751018614</v>
      </c>
      <c r="BU381" s="36">
        <f t="shared" si="322"/>
        <v>1.9980104211071785</v>
      </c>
      <c r="BV381" s="37">
        <f t="shared" si="351"/>
        <v>-1.311229242265824E-4</v>
      </c>
      <c r="BW381" s="37">
        <f t="shared" si="352"/>
        <v>-5.8564217204337007E-2</v>
      </c>
      <c r="BX381" s="37">
        <f t="shared" si="353"/>
        <v>-10.561721143623771</v>
      </c>
      <c r="BY381" s="39">
        <f t="shared" si="354"/>
        <v>1.9281934251491831E-2</v>
      </c>
      <c r="BZ381" s="39">
        <f>BZ380+(1000*$C$2*($B381-$B380))/(BerechnungenCLT!$W$47*2*BT381)</f>
        <v>1.6872685177674828E-2</v>
      </c>
      <c r="CA381" s="37">
        <f t="shared" si="323"/>
        <v>2.4491027202596873E-6</v>
      </c>
      <c r="CB381" s="173">
        <f t="shared" si="355"/>
        <v>1299.6484080063417</v>
      </c>
      <c r="CC381" s="9">
        <v>-257.4792916507256</v>
      </c>
      <c r="CJ381" s="9">
        <f t="shared" si="371"/>
        <v>330</v>
      </c>
      <c r="CK381" s="129">
        <v>146.59452762233801</v>
      </c>
      <c r="CL381" s="9">
        <v>3.75</v>
      </c>
      <c r="CM381" s="129">
        <f t="shared" si="356"/>
        <v>150.34513015008963</v>
      </c>
      <c r="CN381" s="36">
        <f t="shared" si="370"/>
        <v>5.9479600066818837E-3</v>
      </c>
      <c r="CO381" s="173">
        <f t="shared" si="357"/>
        <v>1219.9095087721832</v>
      </c>
      <c r="CP381" s="9">
        <v>-630.76042338162506</v>
      </c>
      <c r="CQ381" s="129"/>
      <c r="CR381" s="36">
        <f t="shared" si="358"/>
        <v>0.61220089106682796</v>
      </c>
      <c r="CS381" s="17">
        <f t="shared" si="324"/>
        <v>0.44009960116654184</v>
      </c>
      <c r="CT381" s="9">
        <f t="shared" si="325"/>
        <v>5.1124790707287149</v>
      </c>
      <c r="CU381" s="9">
        <f t="shared" si="359"/>
        <v>151.70782813587201</v>
      </c>
      <c r="CV381" s="9">
        <v>7.2</v>
      </c>
      <c r="CW381" s="9">
        <f t="shared" si="360"/>
        <v>153.79568447562116</v>
      </c>
      <c r="CX381">
        <f t="shared" si="361"/>
        <v>12</v>
      </c>
      <c r="CY381" s="9">
        <f t="shared" si="326"/>
        <v>364.80754123036598</v>
      </c>
      <c r="CZ381" s="17">
        <f t="shared" si="362"/>
        <v>0.34350992582896989</v>
      </c>
      <c r="DA381">
        <v>45</v>
      </c>
      <c r="DB381" s="9">
        <f t="shared" si="363"/>
        <v>5.8870930518179456</v>
      </c>
      <c r="DC381" s="9">
        <f t="shared" si="364"/>
        <v>6.4992939519239838</v>
      </c>
    </row>
    <row r="382" spans="2:107" x14ac:dyDescent="0.25">
      <c r="B382" s="9">
        <f t="shared" si="365"/>
        <v>331</v>
      </c>
      <c r="C382" s="9">
        <v>140.95884827567477</v>
      </c>
      <c r="D382" s="9"/>
      <c r="E382" s="9">
        <f t="shared" si="327"/>
        <v>140.95884827567477</v>
      </c>
      <c r="F382" s="36">
        <f t="shared" si="366"/>
        <v>0</v>
      </c>
      <c r="G382" s="37">
        <f t="shared" si="311"/>
        <v>0</v>
      </c>
      <c r="H382" s="36" t="e">
        <f t="shared" si="312"/>
        <v>#DIV/0!</v>
      </c>
      <c r="I382" s="37" t="e">
        <f t="shared" si="328"/>
        <v>#DIV/0!</v>
      </c>
      <c r="J382" s="37" t="e">
        <f t="shared" si="329"/>
        <v>#DIV/0!</v>
      </c>
      <c r="K382" s="37" t="e">
        <f t="shared" si="330"/>
        <v>#DIV/0!</v>
      </c>
      <c r="L382" s="39" t="e">
        <f t="shared" si="313"/>
        <v>#DIV/0!</v>
      </c>
      <c r="M382" s="39" t="e">
        <f>M381+(1000*$C$2*(B382-B381))/(BerechnungenCLT!$W$47*2*'Berechnung freier Bereich'!G382)</f>
        <v>#DIV/0!</v>
      </c>
      <c r="N382" s="17" t="e">
        <f t="shared" si="331"/>
        <v>#DIV/0!</v>
      </c>
      <c r="O382" s="173">
        <f t="shared" si="332"/>
        <v>1353.3787316441371</v>
      </c>
      <c r="P382" s="173"/>
      <c r="Q382" s="173"/>
      <c r="R382" s="37" t="e">
        <f t="shared" si="314"/>
        <v>#DIV/0!</v>
      </c>
      <c r="S382" s="37" t="e">
        <f t="shared" si="315"/>
        <v>#DIV/0!</v>
      </c>
      <c r="T382" s="37" t="e">
        <f t="shared" si="316"/>
        <v>#DIV/0!</v>
      </c>
      <c r="U382" s="39" t="e">
        <f t="shared" si="317"/>
        <v>#DIV/0!</v>
      </c>
      <c r="V382" s="39" t="e">
        <f t="shared" si="333"/>
        <v>#DIV/0!</v>
      </c>
      <c r="W382" s="9" t="e">
        <f t="shared" si="334"/>
        <v>#DIV/0!</v>
      </c>
      <c r="AB382" s="129">
        <v>141.91929692349922</v>
      </c>
      <c r="AC382" s="9">
        <v>6.15625</v>
      </c>
      <c r="AD382" s="129">
        <f t="shared" si="335"/>
        <v>148.07566704191655</v>
      </c>
      <c r="AE382" s="36">
        <f t="shared" si="367"/>
        <v>9.5348523367870513E-3</v>
      </c>
      <c r="AF382" s="37">
        <f t="shared" si="336"/>
        <v>58986368.443630807</v>
      </c>
      <c r="AG382" s="36">
        <f t="shared" si="318"/>
        <v>1.9981984969256787</v>
      </c>
      <c r="AH382" s="37">
        <f t="shared" si="337"/>
        <v>-1.3347254385087518E-4</v>
      </c>
      <c r="AI382" s="37">
        <f t="shared" si="338"/>
        <v>-5.5805401331489493E-2</v>
      </c>
      <c r="AJ382" s="37">
        <f t="shared" si="339"/>
        <v>-10.183165106246209</v>
      </c>
      <c r="AK382" s="39">
        <f t="shared" si="340"/>
        <v>1.9764035962499798E-2</v>
      </c>
      <c r="AL382" s="39">
        <f>AL381+(1000*$C$2*($B382-$B381))/(BerechnungenCLT!$W$47*2*AF382)</f>
        <v>1.6075101832231393E-2</v>
      </c>
      <c r="AM382" s="37">
        <f t="shared" si="319"/>
        <v>2.5103370651377229E-6</v>
      </c>
      <c r="AN382" s="173">
        <f t="shared" si="341"/>
        <v>1279.0370112493401</v>
      </c>
      <c r="AO382" s="173">
        <v>-258.15085639125164</v>
      </c>
      <c r="AV382" s="129">
        <v>142.31133712227535</v>
      </c>
      <c r="AW382" s="9">
        <v>6.15625</v>
      </c>
      <c r="AX382" s="129">
        <f t="shared" si="342"/>
        <v>148.46828865544606</v>
      </c>
      <c r="AY382" s="36">
        <f t="shared" si="368"/>
        <v>9.5615544435603446E-3</v>
      </c>
      <c r="AZ382" s="37">
        <f t="shared" si="343"/>
        <v>59471953.836952254</v>
      </c>
      <c r="BA382" s="36">
        <f t="shared" si="320"/>
        <v>1.998207861679909</v>
      </c>
      <c r="BB382" s="37">
        <f t="shared" si="344"/>
        <v>-1.3238274750954209E-4</v>
      </c>
      <c r="BC382" s="37">
        <f t="shared" si="345"/>
        <v>-5.2371956657454019E-2</v>
      </c>
      <c r="BD382" s="37">
        <f t="shared" si="346"/>
        <v>-9.3890197546945497</v>
      </c>
      <c r="BE382" s="39">
        <f t="shared" si="347"/>
        <v>1.9654639970247727E-2</v>
      </c>
      <c r="BF382" s="39">
        <f>BF381+(1000*$C$2*($B382-$B381))/(BerechnungenCLT!$W$47*2*AZ382)</f>
        <v>1.5082481465333811E-2</v>
      </c>
      <c r="BG382" s="37">
        <f t="shared" si="321"/>
        <v>2.4964420886941987E-6</v>
      </c>
      <c r="BH382" s="173">
        <f t="shared" si="348"/>
        <v>1272.1434238059244</v>
      </c>
      <c r="BI382">
        <v>-258.15085639125164</v>
      </c>
      <c r="BP382" s="129">
        <v>140.69568131891816</v>
      </c>
      <c r="BQ382" s="9">
        <v>6.40625</v>
      </c>
      <c r="BR382" s="129">
        <f t="shared" si="349"/>
        <v>147.1146660241233</v>
      </c>
      <c r="BS382" s="36">
        <f t="shared" si="369"/>
        <v>9.8666912534965557E-3</v>
      </c>
      <c r="BT382" s="37">
        <f t="shared" si="350"/>
        <v>60125874.884421244</v>
      </c>
      <c r="BU382" s="36">
        <f t="shared" si="322"/>
        <v>1.9980118189860427</v>
      </c>
      <c r="BV382" s="37">
        <f t="shared" si="351"/>
        <v>-1.309429702907545E-4</v>
      </c>
      <c r="BW382" s="37">
        <f t="shared" si="352"/>
        <v>-5.869516017462776E-2</v>
      </c>
      <c r="BX382" s="37">
        <f t="shared" si="353"/>
        <v>-10.620350832313253</v>
      </c>
      <c r="BY382" s="39">
        <f t="shared" si="354"/>
        <v>1.9263631342531048E-2</v>
      </c>
      <c r="BZ382" s="39">
        <f>BZ381+(1000*$C$2*($B382-$B381))/(BerechnungenCLT!$W$47*2*BT382)</f>
        <v>1.6910541249745219E-2</v>
      </c>
      <c r="CA382" s="37">
        <f t="shared" si="323"/>
        <v>2.4467779688348625E-6</v>
      </c>
      <c r="CB382" s="173">
        <f t="shared" si="355"/>
        <v>1298.5276946929794</v>
      </c>
      <c r="CC382" s="9">
        <v>-257.25726200925453</v>
      </c>
      <c r="CJ382" s="9">
        <f t="shared" si="371"/>
        <v>331</v>
      </c>
      <c r="CK382" s="129">
        <v>146.57660071657148</v>
      </c>
      <c r="CL382" s="9">
        <v>3.75</v>
      </c>
      <c r="CM382" s="129">
        <f t="shared" si="356"/>
        <v>150.32740035293676</v>
      </c>
      <c r="CN382" s="36">
        <f t="shared" si="370"/>
        <v>5.9475583225418295E-3</v>
      </c>
      <c r="CO382" s="173">
        <f t="shared" si="357"/>
        <v>1220.2025365705999</v>
      </c>
      <c r="CP382" s="9">
        <v>-630.91193489691602</v>
      </c>
      <c r="CQ382" s="129"/>
      <c r="CR382" s="36">
        <f t="shared" si="358"/>
        <v>0.61225630638204742</v>
      </c>
      <c r="CS382" s="17">
        <f t="shared" si="324"/>
        <v>0.4401394381848841</v>
      </c>
      <c r="CT382" s="9">
        <f t="shared" si="325"/>
        <v>5.1120163402736694</v>
      </c>
      <c r="CU382" s="9">
        <f t="shared" si="359"/>
        <v>151.68970712462263</v>
      </c>
      <c r="CV382" s="9">
        <v>7.2</v>
      </c>
      <c r="CW382" s="9">
        <f t="shared" si="360"/>
        <v>153.77813601839281</v>
      </c>
      <c r="CX382">
        <f t="shared" si="361"/>
        <v>12</v>
      </c>
      <c r="CY382" s="9">
        <f t="shared" si="326"/>
        <v>364.85215865485657</v>
      </c>
      <c r="CZ382" s="17">
        <f t="shared" si="362"/>
        <v>0.34355193846973309</v>
      </c>
      <c r="DA382">
        <v>45</v>
      </c>
      <c r="DB382" s="9">
        <f t="shared" si="363"/>
        <v>5.8878130668944504</v>
      </c>
      <c r="DC382" s="9">
        <f t="shared" si="364"/>
        <v>6.5000693853066407</v>
      </c>
    </row>
    <row r="383" spans="2:107" x14ac:dyDescent="0.25">
      <c r="B383" s="9">
        <f t="shared" si="365"/>
        <v>332</v>
      </c>
      <c r="C383" s="9">
        <v>140.94663191741654</v>
      </c>
      <c r="D383" s="9"/>
      <c r="E383" s="9">
        <f t="shared" si="327"/>
        <v>140.94663191741654</v>
      </c>
      <c r="F383" s="36">
        <f t="shared" si="366"/>
        <v>0</v>
      </c>
      <c r="G383" s="37">
        <f t="shared" si="311"/>
        <v>0</v>
      </c>
      <c r="H383" s="36" t="e">
        <f t="shared" si="312"/>
        <v>#DIV/0!</v>
      </c>
      <c r="I383" s="37" t="e">
        <f t="shared" si="328"/>
        <v>#DIV/0!</v>
      </c>
      <c r="J383" s="37" t="e">
        <f t="shared" si="329"/>
        <v>#DIV/0!</v>
      </c>
      <c r="K383" s="37" t="e">
        <f t="shared" si="330"/>
        <v>#DIV/0!</v>
      </c>
      <c r="L383" s="39" t="e">
        <f t="shared" si="313"/>
        <v>#DIV/0!</v>
      </c>
      <c r="M383" s="39" t="e">
        <f>M382+(1000*$C$2*(B383-B382))/(BerechnungenCLT!$W$47*2*'Berechnung freier Bereich'!G383)</f>
        <v>#DIV/0!</v>
      </c>
      <c r="N383" s="17" t="e">
        <f t="shared" si="331"/>
        <v>#DIV/0!</v>
      </c>
      <c r="O383" s="173">
        <f t="shared" si="332"/>
        <v>1353.6133463450797</v>
      </c>
      <c r="P383" s="173"/>
      <c r="Q383" s="173"/>
      <c r="R383" s="37" t="e">
        <f t="shared" si="314"/>
        <v>#DIV/0!</v>
      </c>
      <c r="S383" s="37" t="e">
        <f t="shared" si="315"/>
        <v>#DIV/0!</v>
      </c>
      <c r="T383" s="37" t="e">
        <f t="shared" si="316"/>
        <v>#DIV/0!</v>
      </c>
      <c r="U383" s="39" t="e">
        <f t="shared" si="317"/>
        <v>#DIV/0!</v>
      </c>
      <c r="V383" s="39" t="e">
        <f t="shared" si="333"/>
        <v>#DIV/0!</v>
      </c>
      <c r="W383" s="9" t="e">
        <f t="shared" si="334"/>
        <v>#DIV/0!</v>
      </c>
      <c r="AB383" s="129">
        <v>141.92554381255525</v>
      </c>
      <c r="AC383" s="9">
        <v>6.15625</v>
      </c>
      <c r="AD383" s="129">
        <f t="shared" si="335"/>
        <v>148.08206308131389</v>
      </c>
      <c r="AE383" s="36">
        <f t="shared" si="367"/>
        <v>9.5354990392168687E-3</v>
      </c>
      <c r="AF383" s="37">
        <f t="shared" si="336"/>
        <v>58995511.896884397</v>
      </c>
      <c r="AG383" s="36">
        <f t="shared" si="318"/>
        <v>1.9981985666652848</v>
      </c>
      <c r="AH383" s="37">
        <f t="shared" si="337"/>
        <v>-1.3345185753210111E-4</v>
      </c>
      <c r="AI383" s="37">
        <f t="shared" si="338"/>
        <v>-5.5938853189021594E-2</v>
      </c>
      <c r="AJ383" s="37">
        <f t="shared" si="339"/>
        <v>-10.239037233506464</v>
      </c>
      <c r="AK383" s="39">
        <f t="shared" si="340"/>
        <v>1.9761826385387111E-2</v>
      </c>
      <c r="AL383" s="39">
        <f>AL382+(1000*$C$2*($B383-$B382))/(BerechnungenCLT!$W$47*2*AF383)</f>
        <v>1.6113683232404651E-2</v>
      </c>
      <c r="AM383" s="37">
        <f t="shared" si="319"/>
        <v>2.5100564148021948E-6</v>
      </c>
      <c r="AN383" s="173">
        <f t="shared" si="341"/>
        <v>1278.9254940301064</v>
      </c>
      <c r="AO383" s="173">
        <v>-258.00612856416421</v>
      </c>
      <c r="AV383" s="129">
        <v>142.3264342160052</v>
      </c>
      <c r="AW383" s="9">
        <v>6.15625</v>
      </c>
      <c r="AX383" s="129">
        <f t="shared" si="342"/>
        <v>148.48361762580473</v>
      </c>
      <c r="AY383" s="36">
        <f t="shared" si="368"/>
        <v>9.5629150628016944E-3</v>
      </c>
      <c r="AZ383" s="37">
        <f t="shared" si="343"/>
        <v>59492861.444025718</v>
      </c>
      <c r="BA383" s="36">
        <f t="shared" si="320"/>
        <v>1.9982081015431439</v>
      </c>
      <c r="BB383" s="37">
        <f t="shared" si="344"/>
        <v>-1.3233622417210204E-4</v>
      </c>
      <c r="BC383" s="37">
        <f t="shared" si="345"/>
        <v>-5.250429288162612E-2</v>
      </c>
      <c r="BD383" s="37">
        <f t="shared" si="346"/>
        <v>-9.4414578794640907</v>
      </c>
      <c r="BE383" s="39">
        <f t="shared" si="347"/>
        <v>1.9649761308013176E-2</v>
      </c>
      <c r="BF383" s="39">
        <f>BF382+(1000*$C$2*($B383-$B382))/(BerechnungenCLT!$W$47*2*AZ383)</f>
        <v>1.5120740331988956E-2</v>
      </c>
      <c r="BG383" s="37">
        <f t="shared" si="321"/>
        <v>2.4958224234264913E-6</v>
      </c>
      <c r="BH383" s="173">
        <f t="shared" si="348"/>
        <v>1271.8772411738664</v>
      </c>
      <c r="BI383">
        <v>-258.00612856416421</v>
      </c>
      <c r="BP383" s="129">
        <v>140.75876590037578</v>
      </c>
      <c r="BQ383" s="9">
        <v>6.375</v>
      </c>
      <c r="BR383" s="129">
        <f t="shared" si="349"/>
        <v>147.14694885990602</v>
      </c>
      <c r="BS383" s="36">
        <f t="shared" si="369"/>
        <v>9.8225992448937351E-3</v>
      </c>
      <c r="BT383" s="37">
        <f t="shared" si="350"/>
        <v>59896555.862474091</v>
      </c>
      <c r="BU383" s="36">
        <f t="shared" si="322"/>
        <v>1.9980321432457562</v>
      </c>
      <c r="BV383" s="37">
        <f t="shared" si="351"/>
        <v>-1.314442965096923E-4</v>
      </c>
      <c r="BW383" s="37">
        <f t="shared" si="352"/>
        <v>-5.8826604471137453E-2</v>
      </c>
      <c r="BX383" s="37">
        <f t="shared" si="353"/>
        <v>-10.679111714636136</v>
      </c>
      <c r="BY383" s="39">
        <f t="shared" si="354"/>
        <v>1.9341627176438017E-2</v>
      </c>
      <c r="BZ383" s="39">
        <f>BZ382+(1000*$C$2*($B383-$B382))/(BerechnungenCLT!$W$47*2*BT383)</f>
        <v>1.6948542256984202E-2</v>
      </c>
      <c r="CA383" s="37">
        <f t="shared" si="323"/>
        <v>2.4566846413968076E-6</v>
      </c>
      <c r="CB383" s="173">
        <f t="shared" si="355"/>
        <v>1297.6675747588556</v>
      </c>
      <c r="CC383" s="9">
        <v>-258.34708941877057</v>
      </c>
      <c r="CJ383" s="9">
        <f t="shared" si="371"/>
        <v>332</v>
      </c>
      <c r="CK383" s="129">
        <v>146.55594839956112</v>
      </c>
      <c r="CL383" s="9">
        <v>3.75</v>
      </c>
      <c r="CM383" s="129">
        <f t="shared" si="356"/>
        <v>150.30695142809591</v>
      </c>
      <c r="CN383" s="36">
        <f t="shared" si="370"/>
        <v>5.9470574553231433E-3</v>
      </c>
      <c r="CO383" s="173">
        <f t="shared" si="357"/>
        <v>1220.5404387564349</v>
      </c>
      <c r="CP383" s="9">
        <v>-631.08664894272533</v>
      </c>
      <c r="CQ383" s="129"/>
      <c r="CR383" s="36">
        <f t="shared" si="358"/>
        <v>0.61232023177428418</v>
      </c>
      <c r="CS383" s="17">
        <f t="shared" si="324"/>
        <v>0.440185392936075</v>
      </c>
      <c r="CT383" s="9">
        <f t="shared" si="325"/>
        <v>5.1114826527802375</v>
      </c>
      <c r="CU383" s="9">
        <f t="shared" si="359"/>
        <v>151.66879824246294</v>
      </c>
      <c r="CV383" s="9">
        <v>7.2</v>
      </c>
      <c r="CW383" s="9">
        <f t="shared" si="360"/>
        <v>153.75787421434796</v>
      </c>
      <c r="CX383">
        <f t="shared" si="361"/>
        <v>12</v>
      </c>
      <c r="CY383" s="9">
        <f t="shared" si="326"/>
        <v>364.90357275660227</v>
      </c>
      <c r="CZ383" s="17">
        <f t="shared" si="362"/>
        <v>0.34360035099491748</v>
      </c>
      <c r="DA383">
        <v>45</v>
      </c>
      <c r="DB383" s="9">
        <f t="shared" si="363"/>
        <v>5.8886427635617169</v>
      </c>
      <c r="DC383" s="9">
        <f t="shared" si="364"/>
        <v>6.5009630104676894</v>
      </c>
    </row>
    <row r="384" spans="2:107" x14ac:dyDescent="0.25">
      <c r="B384" s="9">
        <f t="shared" si="365"/>
        <v>333</v>
      </c>
      <c r="C384" s="9">
        <v>140.93550443771514</v>
      </c>
      <c r="D384" s="9"/>
      <c r="E384" s="9">
        <f t="shared" si="327"/>
        <v>140.93550443771514</v>
      </c>
      <c r="F384" s="36">
        <f t="shared" si="366"/>
        <v>0</v>
      </c>
      <c r="G384" s="37">
        <f t="shared" si="311"/>
        <v>0</v>
      </c>
      <c r="H384" s="36" t="e">
        <f t="shared" si="312"/>
        <v>#DIV/0!</v>
      </c>
      <c r="I384" s="37" t="e">
        <f t="shared" si="328"/>
        <v>#DIV/0!</v>
      </c>
      <c r="J384" s="37" t="e">
        <f t="shared" si="329"/>
        <v>#DIV/0!</v>
      </c>
      <c r="K384" s="37" t="e">
        <f t="shared" si="330"/>
        <v>#DIV/0!</v>
      </c>
      <c r="L384" s="39" t="e">
        <f t="shared" si="313"/>
        <v>#DIV/0!</v>
      </c>
      <c r="M384" s="39" t="e">
        <f>M383+(1000*$C$2*(B384-B383))/(BerechnungenCLT!$W$47*2*'Berechnung freier Bereich'!G384)</f>
        <v>#DIV/0!</v>
      </c>
      <c r="N384" s="17" t="e">
        <f t="shared" si="331"/>
        <v>#DIV/0!</v>
      </c>
      <c r="O384" s="173">
        <f t="shared" si="332"/>
        <v>1353.8271022714207</v>
      </c>
      <c r="P384" s="173"/>
      <c r="Q384" s="173"/>
      <c r="R384" s="37" t="e">
        <f t="shared" si="314"/>
        <v>#DIV/0!</v>
      </c>
      <c r="S384" s="37" t="e">
        <f t="shared" si="315"/>
        <v>#DIV/0!</v>
      </c>
      <c r="T384" s="37" t="e">
        <f t="shared" si="316"/>
        <v>#DIV/0!</v>
      </c>
      <c r="U384" s="39" t="e">
        <f t="shared" si="317"/>
        <v>#DIV/0!</v>
      </c>
      <c r="V384" s="39" t="e">
        <f t="shared" si="333"/>
        <v>#DIV/0!</v>
      </c>
      <c r="W384" s="9" t="e">
        <f t="shared" si="334"/>
        <v>#DIV/0!</v>
      </c>
      <c r="AB384" s="129">
        <v>141.93489689164761</v>
      </c>
      <c r="AC384" s="9">
        <v>6.15625</v>
      </c>
      <c r="AD384" s="129">
        <f t="shared" si="335"/>
        <v>148.0916206232705</v>
      </c>
      <c r="AE384" s="36">
        <f t="shared" si="367"/>
        <v>9.5364375257265925E-3</v>
      </c>
      <c r="AF384" s="37">
        <f t="shared" si="336"/>
        <v>59009011.438418284</v>
      </c>
      <c r="AG384" s="36">
        <f t="shared" si="318"/>
        <v>1.9981986818573132</v>
      </c>
      <c r="AH384" s="37">
        <f t="shared" si="337"/>
        <v>-1.3342132763760508E-4</v>
      </c>
      <c r="AI384" s="37">
        <f t="shared" si="338"/>
        <v>-5.60722745166592E-2</v>
      </c>
      <c r="AJ384" s="37">
        <f t="shared" si="339"/>
        <v>-10.295042797359304</v>
      </c>
      <c r="AK384" s="39">
        <f t="shared" si="340"/>
        <v>1.9758580635561289E-2</v>
      </c>
      <c r="AL384" s="39">
        <f>AL383+(1000*$C$2*($B384-$B383))/(BerechnungenCLT!$W$47*2*AF384)</f>
        <v>1.6152255806278309E-2</v>
      </c>
      <c r="AM384" s="37">
        <f t="shared" si="319"/>
        <v>2.5096441545681325E-6</v>
      </c>
      <c r="AN384" s="173">
        <f t="shared" si="341"/>
        <v>1278.7587197151404</v>
      </c>
      <c r="AO384" s="173">
        <v>-257.86152241171021</v>
      </c>
      <c r="AV384" s="129">
        <v>142.34384865600234</v>
      </c>
      <c r="AW384" s="9">
        <v>6.15625</v>
      </c>
      <c r="AX384" s="129">
        <f t="shared" si="342"/>
        <v>148.50129216437324</v>
      </c>
      <c r="AY384" s="36">
        <f t="shared" si="368"/>
        <v>9.5644729348045836E-3</v>
      </c>
      <c r="AZ384" s="37">
        <f t="shared" si="343"/>
        <v>59516909.060444169</v>
      </c>
      <c r="BA384" s="36">
        <f t="shared" si="320"/>
        <v>1.9982083823376249</v>
      </c>
      <c r="BB384" s="37">
        <f t="shared" si="344"/>
        <v>-1.3228275414471998E-4</v>
      </c>
      <c r="BC384" s="37">
        <f t="shared" si="345"/>
        <v>-5.2636575635770844E-2</v>
      </c>
      <c r="BD384" s="37">
        <f t="shared" si="346"/>
        <v>-9.4940283137227883</v>
      </c>
      <c r="BE384" s="39">
        <f t="shared" si="347"/>
        <v>1.9644159921553019E-2</v>
      </c>
      <c r="BF384" s="39">
        <f>BF383+(1000*$C$2*($B384-$B383))/(BerechnungenCLT!$W$47*2*AZ384)</f>
        <v>1.5158983740271607E-2</v>
      </c>
      <c r="BG384" s="37">
        <f t="shared" si="321"/>
        <v>2.4951109610473609E-6</v>
      </c>
      <c r="BH384" s="173">
        <f t="shared" si="348"/>
        <v>1271.5703687193004</v>
      </c>
      <c r="BI384">
        <v>-257.86152241171021</v>
      </c>
      <c r="BP384" s="129">
        <v>140.82310956140171</v>
      </c>
      <c r="BQ384" s="9">
        <v>6.375</v>
      </c>
      <c r="BR384" s="129">
        <f t="shared" si="349"/>
        <v>147.21180392828813</v>
      </c>
      <c r="BS384" s="36">
        <f t="shared" si="369"/>
        <v>9.8277938749495291E-3</v>
      </c>
      <c r="BT384" s="37">
        <f t="shared" si="350"/>
        <v>59982008.179568097</v>
      </c>
      <c r="BU384" s="36">
        <f t="shared" si="322"/>
        <v>1.9980335923493293</v>
      </c>
      <c r="BV384" s="37">
        <f t="shared" si="351"/>
        <v>-1.3125703669551739E-4</v>
      </c>
      <c r="BW384" s="37">
        <f t="shared" si="352"/>
        <v>-5.895786150783297E-2</v>
      </c>
      <c r="BX384" s="37">
        <f t="shared" si="353"/>
        <v>-10.738003947625621</v>
      </c>
      <c r="BY384" s="39">
        <f t="shared" si="354"/>
        <v>1.9322585150228628E-2</v>
      </c>
      <c r="BZ384" s="39">
        <f>BZ383+(1000*$C$2*($B384-$B383))/(BerechnungenCLT!$W$47*2*BT384)</f>
        <v>1.6986489126753983E-2</v>
      </c>
      <c r="CA384" s="37">
        <f t="shared" si="323"/>
        <v>2.454266010694078E-6</v>
      </c>
      <c r="CB384" s="173">
        <f t="shared" si="355"/>
        <v>1296.5036922395227</v>
      </c>
      <c r="CC384" s="9">
        <v>-258.1153770240528</v>
      </c>
      <c r="CJ384" s="9">
        <f t="shared" si="371"/>
        <v>333</v>
      </c>
      <c r="CK384" s="129">
        <v>146.5328178981747</v>
      </c>
      <c r="CL384" s="9">
        <v>3.75</v>
      </c>
      <c r="CM384" s="129">
        <f t="shared" si="356"/>
        <v>150.28402371105494</v>
      </c>
      <c r="CN384" s="36">
        <f t="shared" si="370"/>
        <v>5.9464562267352843E-3</v>
      </c>
      <c r="CO384" s="173">
        <f t="shared" si="357"/>
        <v>1220.9192601160569</v>
      </c>
      <c r="CP384" s="9">
        <v>-631.28252045570468</v>
      </c>
      <c r="CQ384" s="129"/>
      <c r="CR384" s="36">
        <f t="shared" si="358"/>
        <v>0.6123919205375894</v>
      </c>
      <c r="CS384" s="17">
        <f t="shared" si="324"/>
        <v>0.44023692862738012</v>
      </c>
      <c r="CT384" s="9">
        <f t="shared" si="325"/>
        <v>5.1108842845494618</v>
      </c>
      <c r="CU384" s="9">
        <f t="shared" si="359"/>
        <v>151.6453455880841</v>
      </c>
      <c r="CV384" s="9">
        <v>7.2</v>
      </c>
      <c r="CW384" s="9">
        <f t="shared" si="360"/>
        <v>153.73513305890475</v>
      </c>
      <c r="CX384">
        <f t="shared" si="361"/>
        <v>12</v>
      </c>
      <c r="CY384" s="9">
        <f t="shared" si="326"/>
        <v>364.96117352287848</v>
      </c>
      <c r="CZ384" s="17">
        <f t="shared" si="362"/>
        <v>0.34365458900459372</v>
      </c>
      <c r="DA384">
        <v>45</v>
      </c>
      <c r="DB384" s="9">
        <f t="shared" si="363"/>
        <v>5.8895722977204157</v>
      </c>
      <c r="DC384" s="9">
        <f t="shared" si="364"/>
        <v>6.5019642364985852</v>
      </c>
    </row>
    <row r="385" spans="2:107" x14ac:dyDescent="0.25">
      <c r="B385" s="9">
        <f t="shared" si="365"/>
        <v>334</v>
      </c>
      <c r="C385" s="9">
        <v>140.92544715940838</v>
      </c>
      <c r="D385" s="9"/>
      <c r="E385" s="9">
        <f t="shared" si="327"/>
        <v>140.92544715940838</v>
      </c>
      <c r="F385" s="36">
        <f t="shared" si="366"/>
        <v>0</v>
      </c>
      <c r="G385" s="37">
        <f t="shared" si="311"/>
        <v>0</v>
      </c>
      <c r="H385" s="36" t="e">
        <f t="shared" si="312"/>
        <v>#DIV/0!</v>
      </c>
      <c r="I385" s="37" t="e">
        <f t="shared" si="328"/>
        <v>#DIV/0!</v>
      </c>
      <c r="J385" s="37" t="e">
        <f t="shared" si="329"/>
        <v>#DIV/0!</v>
      </c>
      <c r="K385" s="37" t="e">
        <f t="shared" si="330"/>
        <v>#DIV/0!</v>
      </c>
      <c r="L385" s="39" t="e">
        <f t="shared" si="313"/>
        <v>#DIV/0!</v>
      </c>
      <c r="M385" s="39" t="e">
        <f>M384+(1000*$C$2*(B385-B384))/(BerechnungenCLT!$W$47*2*'Berechnung freier Bereich'!G385)</f>
        <v>#DIV/0!</v>
      </c>
      <c r="N385" s="17" t="e">
        <f t="shared" si="331"/>
        <v>#DIV/0!</v>
      </c>
      <c r="O385" s="173">
        <f t="shared" si="332"/>
        <v>1354.0203434790815</v>
      </c>
      <c r="P385" s="173"/>
      <c r="Q385" s="173"/>
      <c r="R385" s="37" t="e">
        <f t="shared" si="314"/>
        <v>#DIV/0!</v>
      </c>
      <c r="S385" s="37" t="e">
        <f t="shared" si="315"/>
        <v>#DIV/0!</v>
      </c>
      <c r="T385" s="37" t="e">
        <f t="shared" si="316"/>
        <v>#DIV/0!</v>
      </c>
      <c r="U385" s="39" t="e">
        <f t="shared" si="317"/>
        <v>#DIV/0!</v>
      </c>
      <c r="V385" s="39" t="e">
        <f t="shared" si="333"/>
        <v>#DIV/0!</v>
      </c>
      <c r="W385" s="9" t="e">
        <f t="shared" si="334"/>
        <v>#DIV/0!</v>
      </c>
      <c r="AB385" s="129">
        <v>141.94730288135898</v>
      </c>
      <c r="AC385" s="9">
        <v>6.15625</v>
      </c>
      <c r="AD385" s="129">
        <f t="shared" si="335"/>
        <v>148.10428337913865</v>
      </c>
      <c r="AE385" s="36">
        <f t="shared" si="367"/>
        <v>9.5376595691789752E-3</v>
      </c>
      <c r="AF385" s="37">
        <f t="shared" si="336"/>
        <v>59026773.5086959</v>
      </c>
      <c r="AG385" s="36">
        <f t="shared" si="318"/>
        <v>1.9981988428806245</v>
      </c>
      <c r="AH385" s="37">
        <f t="shared" si="337"/>
        <v>-1.3338117909386532E-4</v>
      </c>
      <c r="AI385" s="37">
        <f t="shared" si="338"/>
        <v>-5.6205655695753066E-2</v>
      </c>
      <c r="AJ385" s="37">
        <f t="shared" si="339"/>
        <v>-10.35118176246551</v>
      </c>
      <c r="AK385" s="39">
        <f t="shared" si="340"/>
        <v>1.9754323945961473E-2</v>
      </c>
      <c r="AL385" s="39">
        <f>AL384+(1000*$C$2*($B385-$B384))/(BerechnungenCLT!$W$47*2*AF385)</f>
        <v>1.6190816773067128E-2</v>
      </c>
      <c r="AM385" s="37">
        <f t="shared" si="319"/>
        <v>2.5091034894075606E-6</v>
      </c>
      <c r="AN385" s="173">
        <f t="shared" si="341"/>
        <v>1278.5376866768429</v>
      </c>
      <c r="AO385" s="173">
        <v>-257.71703779753648</v>
      </c>
      <c r="AV385" s="129">
        <v>142.36354069361727</v>
      </c>
      <c r="AW385" s="9">
        <v>6.15625</v>
      </c>
      <c r="AX385" s="129">
        <f t="shared" si="342"/>
        <v>148.52127084732564</v>
      </c>
      <c r="AY385" s="36">
        <f t="shared" si="368"/>
        <v>9.5662228229388604E-3</v>
      </c>
      <c r="AZ385" s="37">
        <f t="shared" si="343"/>
        <v>59544033.371302858</v>
      </c>
      <c r="BA385" s="36">
        <f t="shared" si="320"/>
        <v>1.9982087040003378</v>
      </c>
      <c r="BB385" s="37">
        <f t="shared" si="344"/>
        <v>-1.322224948988894E-4</v>
      </c>
      <c r="BC385" s="37">
        <f t="shared" si="345"/>
        <v>-5.2768798130669731E-2</v>
      </c>
      <c r="BD385" s="37">
        <f t="shared" si="346"/>
        <v>-9.5467310006060089</v>
      </c>
      <c r="BE385" s="39">
        <f t="shared" si="347"/>
        <v>1.9637852976987086E-2</v>
      </c>
      <c r="BF385" s="39">
        <f>BF384+(1000*$C$2*($B385-$B384))/(BerechnungenCLT!$W$47*2*AZ385)</f>
        <v>1.5197209727394892E-2</v>
      </c>
      <c r="BG385" s="37">
        <f t="shared" si="321"/>
        <v>2.4943098819184998E-6</v>
      </c>
      <c r="BH385" s="173">
        <f t="shared" si="348"/>
        <v>1271.2235601476127</v>
      </c>
      <c r="BI385">
        <v>-257.71703779753648</v>
      </c>
      <c r="BP385" s="129">
        <v>140.88869070543387</v>
      </c>
      <c r="BQ385" s="9">
        <v>6.375</v>
      </c>
      <c r="BR385" s="129">
        <f t="shared" si="349"/>
        <v>147.27789700196007</v>
      </c>
      <c r="BS385" s="36">
        <f t="shared" si="369"/>
        <v>9.8330744853501132E-3</v>
      </c>
      <c r="BT385" s="37">
        <f t="shared" si="350"/>
        <v>60069098.255657203</v>
      </c>
      <c r="BU385" s="36">
        <f t="shared" si="322"/>
        <v>1.9980350730354963</v>
      </c>
      <c r="BV385" s="37">
        <f t="shared" si="351"/>
        <v>-1.3106673609762274E-4</v>
      </c>
      <c r="BW385" s="37">
        <f t="shared" si="352"/>
        <v>-5.908892824393059E-2</v>
      </c>
      <c r="BX385" s="37">
        <f t="shared" si="353"/>
        <v>-10.797027342501503</v>
      </c>
      <c r="BY385" s="39">
        <f t="shared" si="354"/>
        <v>1.9303233259368762E-2</v>
      </c>
      <c r="BZ385" s="39">
        <f>BZ384+(1000*$C$2*($B385-$B384))/(BerechnungenCLT!$W$47*2*BT385)</f>
        <v>1.7024380979953319E-2</v>
      </c>
      <c r="CA385" s="37">
        <f t="shared" si="323"/>
        <v>2.4518080224067571E-6</v>
      </c>
      <c r="CB385" s="173">
        <f t="shared" si="355"/>
        <v>1295.3191197499848</v>
      </c>
      <c r="CC385" s="9">
        <v>-257.87954555162457</v>
      </c>
      <c r="CJ385" s="9">
        <f t="shared" si="371"/>
        <v>334</v>
      </c>
      <c r="CK385" s="129">
        <v>146.50745643928011</v>
      </c>
      <c r="CL385" s="9">
        <v>3.75</v>
      </c>
      <c r="CM385" s="129">
        <f t="shared" si="356"/>
        <v>150.25885822613682</v>
      </c>
      <c r="CN385" s="36">
        <f t="shared" si="370"/>
        <v>5.9457545726439064E-3</v>
      </c>
      <c r="CO385" s="173">
        <f t="shared" si="357"/>
        <v>1221.3350389114783</v>
      </c>
      <c r="CP385" s="9">
        <v>-631.49750099905418</v>
      </c>
      <c r="CQ385" s="129"/>
      <c r="CR385" s="36">
        <f t="shared" si="358"/>
        <v>0.61247062374535555</v>
      </c>
      <c r="CS385" s="17">
        <f t="shared" si="324"/>
        <v>0.44029350686967578</v>
      </c>
      <c r="CT385" s="9">
        <f t="shared" si="325"/>
        <v>5.1102275298054449</v>
      </c>
      <c r="CU385" s="9">
        <f t="shared" si="359"/>
        <v>151.61959422236185</v>
      </c>
      <c r="CV385" s="9">
        <v>7.2</v>
      </c>
      <c r="CW385" s="9">
        <f t="shared" si="360"/>
        <v>153.71014787004501</v>
      </c>
      <c r="CX385">
        <f t="shared" si="361"/>
        <v>12</v>
      </c>
      <c r="CY385" s="9">
        <f t="shared" si="326"/>
        <v>365.02435083839123</v>
      </c>
      <c r="CZ385" s="17">
        <f t="shared" si="362"/>
        <v>0.34371407800225162</v>
      </c>
      <c r="DA385">
        <v>45</v>
      </c>
      <c r="DB385" s="9">
        <f t="shared" si="363"/>
        <v>5.8905918236159955</v>
      </c>
      <c r="DC385" s="9">
        <f t="shared" si="364"/>
        <v>6.5030624686242628</v>
      </c>
    </row>
    <row r="386" spans="2:107" x14ac:dyDescent="0.25">
      <c r="B386" s="9">
        <f t="shared" si="365"/>
        <v>335</v>
      </c>
      <c r="C386" s="9">
        <v>140.91644140533401</v>
      </c>
      <c r="D386" s="9"/>
      <c r="E386" s="9">
        <f t="shared" si="327"/>
        <v>140.91644140533401</v>
      </c>
      <c r="F386" s="36">
        <f t="shared" si="366"/>
        <v>0</v>
      </c>
      <c r="G386" s="37">
        <f t="shared" si="311"/>
        <v>0</v>
      </c>
      <c r="H386" s="36" t="e">
        <f t="shared" si="312"/>
        <v>#DIV/0!</v>
      </c>
      <c r="I386" s="37" t="e">
        <f t="shared" si="328"/>
        <v>#DIV/0!</v>
      </c>
      <c r="J386" s="37" t="e">
        <f t="shared" si="329"/>
        <v>#DIV/0!</v>
      </c>
      <c r="K386" s="37" t="e">
        <f t="shared" si="330"/>
        <v>#DIV/0!</v>
      </c>
      <c r="L386" s="39" t="e">
        <f t="shared" si="313"/>
        <v>#DIV/0!</v>
      </c>
      <c r="M386" s="39" t="e">
        <f>M385+(1000*$C$2*(B386-B385))/(BerechnungenCLT!$W$47*2*'Berechnung freier Bereich'!G386)</f>
        <v>#DIV/0!</v>
      </c>
      <c r="N386" s="17" t="e">
        <f t="shared" si="331"/>
        <v>#DIV/0!</v>
      </c>
      <c r="O386" s="173">
        <f t="shared" si="332"/>
        <v>1354.1934157444969</v>
      </c>
      <c r="P386" s="173"/>
      <c r="Q386" s="173"/>
      <c r="R386" s="37" t="e">
        <f t="shared" si="314"/>
        <v>#DIV/0!</v>
      </c>
      <c r="S386" s="37" t="e">
        <f t="shared" si="315"/>
        <v>#DIV/0!</v>
      </c>
      <c r="T386" s="37" t="e">
        <f t="shared" si="316"/>
        <v>#DIV/0!</v>
      </c>
      <c r="U386" s="39" t="e">
        <f t="shared" si="317"/>
        <v>#DIV/0!</v>
      </c>
      <c r="V386" s="39" t="e">
        <f t="shared" si="333"/>
        <v>#DIV/0!</v>
      </c>
      <c r="W386" s="9" t="e">
        <f t="shared" si="334"/>
        <v>#DIV/0!</v>
      </c>
      <c r="AB386" s="129">
        <v>141.96270850227185</v>
      </c>
      <c r="AC386" s="9">
        <v>6.15625</v>
      </c>
      <c r="AD386" s="129">
        <f t="shared" si="335"/>
        <v>148.11999511180531</v>
      </c>
      <c r="AE386" s="36">
        <f t="shared" si="367"/>
        <v>9.5391570323429022E-3</v>
      </c>
      <c r="AF386" s="37">
        <f t="shared" si="336"/>
        <v>59048705.668513119</v>
      </c>
      <c r="AG386" s="36">
        <f t="shared" si="318"/>
        <v>1.9981990500770579</v>
      </c>
      <c r="AH386" s="37">
        <f t="shared" si="337"/>
        <v>-1.3333163800226345E-4</v>
      </c>
      <c r="AI386" s="37">
        <f t="shared" si="338"/>
        <v>-5.6338987333755329E-2</v>
      </c>
      <c r="AJ386" s="37">
        <f t="shared" si="339"/>
        <v>-10.407454083980264</v>
      </c>
      <c r="AK386" s="39">
        <f t="shared" si="340"/>
        <v>1.9749081569144258E-2</v>
      </c>
      <c r="AL386" s="39">
        <f>AL385+(1000*$C$2*($B386-$B385))/(BerechnungenCLT!$W$47*2*AF386)</f>
        <v>1.6229363417352569E-2</v>
      </c>
      <c r="AM386" s="37">
        <f t="shared" si="319"/>
        <v>2.5084376267842258E-6</v>
      </c>
      <c r="AN386" s="173">
        <f t="shared" si="341"/>
        <v>1278.2634023096607</v>
      </c>
      <c r="AO386" s="173">
        <v>-257.57267458548114</v>
      </c>
      <c r="AV386" s="129">
        <v>142.38547058020043</v>
      </c>
      <c r="AW386" s="9">
        <v>6.15625</v>
      </c>
      <c r="AX386" s="129">
        <f t="shared" si="342"/>
        <v>148.54351227996094</v>
      </c>
      <c r="AY386" s="36">
        <f t="shared" si="368"/>
        <v>9.5681595388730396E-3</v>
      </c>
      <c r="AZ386" s="37">
        <f t="shared" si="343"/>
        <v>59574171.616215907</v>
      </c>
      <c r="BA386" s="36">
        <f t="shared" si="320"/>
        <v>1.9982090664468097</v>
      </c>
      <c r="BB386" s="37">
        <f t="shared" si="344"/>
        <v>-1.3215560426782955E-4</v>
      </c>
      <c r="BC386" s="37">
        <f t="shared" si="345"/>
        <v>-5.2900953734937563E-2</v>
      </c>
      <c r="BD386" s="37">
        <f t="shared" si="346"/>
        <v>-9.5995658765388132</v>
      </c>
      <c r="BE386" s="39">
        <f t="shared" si="347"/>
        <v>1.9630857625423995E-2</v>
      </c>
      <c r="BF386" s="39">
        <f>BF385+(1000*$C$2*($B386-$B385))/(BerechnungenCLT!$W$47*2*AZ386)</f>
        <v>1.5235416376202082E-2</v>
      </c>
      <c r="BG386" s="37">
        <f t="shared" si="321"/>
        <v>2.4934213644949422E-6</v>
      </c>
      <c r="BH386" s="173">
        <f t="shared" si="348"/>
        <v>1270.8375734479564</v>
      </c>
      <c r="BI386">
        <v>-257.57267458548114</v>
      </c>
      <c r="BP386" s="129">
        <v>140.95548773591022</v>
      </c>
      <c r="BQ386" s="9">
        <v>6.375</v>
      </c>
      <c r="BR386" s="129">
        <f t="shared" si="349"/>
        <v>147.34520598318827</v>
      </c>
      <c r="BS386" s="36">
        <f t="shared" si="369"/>
        <v>9.8384388347382938E-3</v>
      </c>
      <c r="BT386" s="37">
        <f t="shared" si="350"/>
        <v>60157798.710028775</v>
      </c>
      <c r="BU386" s="36">
        <f t="shared" si="322"/>
        <v>1.9980365848989938</v>
      </c>
      <c r="BV386" s="37">
        <f t="shared" si="351"/>
        <v>-1.3087348303161719E-4</v>
      </c>
      <c r="BW386" s="37">
        <f t="shared" si="352"/>
        <v>-5.9219801726962208E-2</v>
      </c>
      <c r="BX386" s="37">
        <f t="shared" si="353"/>
        <v>-10.856181707486948</v>
      </c>
      <c r="BY386" s="39">
        <f t="shared" si="354"/>
        <v>1.928358031503093E-2</v>
      </c>
      <c r="BZ386" s="39">
        <f>BZ385+(1000*$C$2*($B386-$B385))/(BerechnungenCLT!$W$47*2*BT386)</f>
        <v>1.7062216963013323E-2</v>
      </c>
      <c r="CA386" s="37">
        <f t="shared" si="323"/>
        <v>2.4493117956895031E-6</v>
      </c>
      <c r="CB386" s="173">
        <f t="shared" si="355"/>
        <v>1294.1143381916409</v>
      </c>
      <c r="CC386" s="9">
        <v>-257.63969074208961</v>
      </c>
      <c r="CJ386" s="9">
        <f t="shared" si="371"/>
        <v>335</v>
      </c>
      <c r="CK386" s="129">
        <v>146.48011124974511</v>
      </c>
      <c r="CL386" s="9">
        <v>3.75</v>
      </c>
      <c r="CM386" s="129">
        <f t="shared" si="356"/>
        <v>150.23169668625781</v>
      </c>
      <c r="CN386" s="36">
        <f t="shared" si="370"/>
        <v>5.9449535433130649E-3</v>
      </c>
      <c r="CO386" s="173">
        <f t="shared" si="357"/>
        <v>1221.7838049621707</v>
      </c>
      <c r="CP386" s="9">
        <v>-631.7295377707153</v>
      </c>
      <c r="CQ386" s="129"/>
      <c r="CR386" s="36">
        <f t="shared" si="358"/>
        <v>0.61255559008419125</v>
      </c>
      <c r="CS386" s="17">
        <f t="shared" si="324"/>
        <v>0.4403545875580247</v>
      </c>
      <c r="CT386" s="9">
        <f t="shared" si="325"/>
        <v>5.1095187005483886</v>
      </c>
      <c r="CU386" s="9">
        <f t="shared" si="359"/>
        <v>151.5917901682962</v>
      </c>
      <c r="CV386" s="9">
        <v>7.2</v>
      </c>
      <c r="CW386" s="9">
        <f t="shared" si="360"/>
        <v>153.6831552878495</v>
      </c>
      <c r="CX386">
        <f t="shared" si="361"/>
        <v>12</v>
      </c>
      <c r="CY386" s="9">
        <f t="shared" si="326"/>
        <v>365.0924942878562</v>
      </c>
      <c r="CZ386" s="17">
        <f t="shared" si="362"/>
        <v>0.34377824320890416</v>
      </c>
      <c r="DA386">
        <v>45</v>
      </c>
      <c r="DB386" s="9">
        <f t="shared" si="363"/>
        <v>5.8916914906528088</v>
      </c>
      <c r="DC386" s="9">
        <f t="shared" si="364"/>
        <v>6.5042470935755201</v>
      </c>
    </row>
    <row r="387" spans="2:107" x14ac:dyDescent="0.25">
      <c r="B387" s="9">
        <f t="shared" si="365"/>
        <v>336</v>
      </c>
      <c r="C387" s="9">
        <v>140.90846849832988</v>
      </c>
      <c r="D387" s="9"/>
      <c r="E387" s="9">
        <f t="shared" si="327"/>
        <v>140.90846849832988</v>
      </c>
      <c r="F387" s="36">
        <f t="shared" si="366"/>
        <v>0</v>
      </c>
      <c r="G387" s="37">
        <f t="shared" si="311"/>
        <v>0</v>
      </c>
      <c r="H387" s="36" t="e">
        <f t="shared" si="312"/>
        <v>#DIV/0!</v>
      </c>
      <c r="I387" s="37" t="e">
        <f t="shared" si="328"/>
        <v>#DIV/0!</v>
      </c>
      <c r="J387" s="37" t="e">
        <f t="shared" si="329"/>
        <v>#DIV/0!</v>
      </c>
      <c r="K387" s="37" t="e">
        <f t="shared" si="330"/>
        <v>#DIV/0!</v>
      </c>
      <c r="L387" s="39" t="e">
        <f t="shared" si="313"/>
        <v>#DIV/0!</v>
      </c>
      <c r="M387" s="39" t="e">
        <f>M386+(1000*$C$2*(B387-B386))/(BerechnungenCLT!$W$47*2*'Berechnung freier Bereich'!G387)</f>
        <v>#DIV/0!</v>
      </c>
      <c r="N387" s="17" t="e">
        <f t="shared" si="331"/>
        <v>#DIV/0!</v>
      </c>
      <c r="O387" s="173">
        <f t="shared" si="332"/>
        <v>1354.3466664857654</v>
      </c>
      <c r="P387" s="173"/>
      <c r="Q387" s="173"/>
      <c r="R387" s="37" t="e">
        <f t="shared" si="314"/>
        <v>#DIV/0!</v>
      </c>
      <c r="S387" s="37" t="e">
        <f t="shared" si="315"/>
        <v>#DIV/0!</v>
      </c>
      <c r="T387" s="37" t="e">
        <f t="shared" si="316"/>
        <v>#DIV/0!</v>
      </c>
      <c r="U387" s="39" t="e">
        <f t="shared" si="317"/>
        <v>#DIV/0!</v>
      </c>
      <c r="V387" s="39" t="e">
        <f t="shared" si="333"/>
        <v>#DIV/0!</v>
      </c>
      <c r="W387" s="9" t="e">
        <f t="shared" si="334"/>
        <v>#DIV/0!</v>
      </c>
      <c r="AB387" s="129">
        <v>141.98106047496879</v>
      </c>
      <c r="AC387" s="9">
        <v>6.15625</v>
      </c>
      <c r="AD387" s="129">
        <f t="shared" si="335"/>
        <v>148.13869963592589</v>
      </c>
      <c r="AE387" s="36">
        <f t="shared" si="367"/>
        <v>9.5409218670362752E-3</v>
      </c>
      <c r="AF387" s="37">
        <f t="shared" si="336"/>
        <v>59074716.550933339</v>
      </c>
      <c r="AG387" s="36">
        <f t="shared" si="318"/>
        <v>1.998199303751351</v>
      </c>
      <c r="AH387" s="37">
        <f t="shared" si="337"/>
        <v>-1.3327293143943159E-4</v>
      </c>
      <c r="AI387" s="37">
        <f t="shared" si="338"/>
        <v>-5.6472260265194758E-2</v>
      </c>
      <c r="AJ387" s="37">
        <f t="shared" si="339"/>
        <v>-10.46385970777974</v>
      </c>
      <c r="AK387" s="39">
        <f t="shared" si="340"/>
        <v>1.97428787601053E-2</v>
      </c>
      <c r="AL387" s="39">
        <f>AL386+(1000*$C$2*($B387-$B386))/(BerechnungenCLT!$W$47*2*AF387)</f>
        <v>1.626789308936475E-2</v>
      </c>
      <c r="AM387" s="37">
        <f t="shared" si="319"/>
        <v>2.507649774471671E-6</v>
      </c>
      <c r="AN387" s="173">
        <f t="shared" si="341"/>
        <v>1277.9368824023823</v>
      </c>
      <c r="AO387" s="173">
        <v>-257.42843263957246</v>
      </c>
      <c r="AV387" s="129">
        <v>142.40959856710228</v>
      </c>
      <c r="AW387" s="9">
        <v>6.15625</v>
      </c>
      <c r="AX387" s="129">
        <f t="shared" si="342"/>
        <v>148.56797509676514</v>
      </c>
      <c r="AY387" s="36">
        <f t="shared" si="368"/>
        <v>9.5702779421929403E-3</v>
      </c>
      <c r="AZ387" s="37">
        <f t="shared" si="343"/>
        <v>59607261.565755308</v>
      </c>
      <c r="BA387" s="36">
        <f t="shared" si="320"/>
        <v>1.9982094695712387</v>
      </c>
      <c r="BB387" s="37">
        <f t="shared" si="344"/>
        <v>-1.3208224034937899E-4</v>
      </c>
      <c r="BC387" s="37">
        <f t="shared" si="345"/>
        <v>-5.3033035975286941E-2</v>
      </c>
      <c r="BD387" s="37">
        <f t="shared" si="346"/>
        <v>-9.6525328713939249</v>
      </c>
      <c r="BE387" s="39">
        <f t="shared" si="347"/>
        <v>1.9623190994951484E-2</v>
      </c>
      <c r="BF387" s="39">
        <f>BF386+(1000*$C$2*($B387-$B386))/(BerechnungenCLT!$W$47*2*AZ387)</f>
        <v>1.5273601815243079E-2</v>
      </c>
      <c r="BG387" s="37">
        <f t="shared" si="321"/>
        <v>2.4924475843077185E-6</v>
      </c>
      <c r="BH387" s="173">
        <f t="shared" si="348"/>
        <v>1270.4131705474429</v>
      </c>
      <c r="BI387">
        <v>-257.42843263957246</v>
      </c>
      <c r="BP387" s="129">
        <v>141.02347905626866</v>
      </c>
      <c r="BQ387" s="9">
        <v>6.375</v>
      </c>
      <c r="BR387" s="129">
        <f t="shared" si="349"/>
        <v>147.4137087832986</v>
      </c>
      <c r="BS387" s="36">
        <f t="shared" si="369"/>
        <v>9.8438846941229924E-3</v>
      </c>
      <c r="BT387" s="37">
        <f t="shared" si="350"/>
        <v>60248082.199790314</v>
      </c>
      <c r="BU387" s="36">
        <f t="shared" si="322"/>
        <v>1.9980381275289227</v>
      </c>
      <c r="BV387" s="37">
        <f t="shared" si="351"/>
        <v>-1.3067736534066464E-4</v>
      </c>
      <c r="BW387" s="37">
        <f t="shared" si="352"/>
        <v>-5.9350479092302871E-2</v>
      </c>
      <c r="BX387" s="37">
        <f t="shared" si="353"/>
        <v>-10.915466847896582</v>
      </c>
      <c r="BY387" s="39">
        <f t="shared" si="354"/>
        <v>1.9263635078897456E-2</v>
      </c>
      <c r="BZ387" s="39">
        <f>BZ386+(1000*$C$2*($B387-$B386))/(BerechnungenCLT!$W$47*2*BT387)</f>
        <v>1.7099996247760877E-2</v>
      </c>
      <c r="CA387" s="37">
        <f t="shared" si="323"/>
        <v>2.4467784434109616E-6</v>
      </c>
      <c r="CB387" s="173">
        <f t="shared" si="355"/>
        <v>1292.8898275438614</v>
      </c>
      <c r="CC387" s="9">
        <v>-257.39590815248846</v>
      </c>
      <c r="CJ387" s="9">
        <f t="shared" si="371"/>
        <v>336</v>
      </c>
      <c r="CK387" s="129">
        <v>146.45102955643759</v>
      </c>
      <c r="CL387" s="9">
        <v>3.7578125</v>
      </c>
      <c r="CM387" s="129">
        <f t="shared" si="356"/>
        <v>150.2105976424792</v>
      </c>
      <c r="CN387" s="36">
        <f t="shared" si="370"/>
        <v>5.9565956900710544E-3</v>
      </c>
      <c r="CO387" s="173">
        <f t="shared" si="357"/>
        <v>1222.1971728642466</v>
      </c>
      <c r="CP387" s="9">
        <v>-630.62946037360564</v>
      </c>
      <c r="CQ387" s="129"/>
      <c r="CR387" s="36">
        <f t="shared" si="358"/>
        <v>0.61262160658359033</v>
      </c>
      <c r="CS387" s="17">
        <f t="shared" si="324"/>
        <v>0.44040204556646589</v>
      </c>
      <c r="CT387" s="9">
        <f t="shared" si="325"/>
        <v>5.1196117790504676</v>
      </c>
      <c r="CU387" s="9">
        <f t="shared" si="359"/>
        <v>151.57303313097486</v>
      </c>
      <c r="CV387" s="9">
        <v>7.2</v>
      </c>
      <c r="CW387" s="9">
        <f t="shared" si="360"/>
        <v>153.65439327389279</v>
      </c>
      <c r="CX387">
        <f t="shared" si="361"/>
        <v>12</v>
      </c>
      <c r="CY387" s="9">
        <f t="shared" si="326"/>
        <v>365.16499297891977</v>
      </c>
      <c r="CZ387" s="17">
        <f t="shared" si="362"/>
        <v>0.34384650939634631</v>
      </c>
      <c r="DA387">
        <v>45</v>
      </c>
      <c r="DB387" s="9">
        <f t="shared" si="363"/>
        <v>5.8928614405364836</v>
      </c>
      <c r="DC387" s="9">
        <f t="shared" si="364"/>
        <v>6.5054830738352107</v>
      </c>
    </row>
    <row r="388" spans="2:107" x14ac:dyDescent="0.25">
      <c r="B388" s="9">
        <f t="shared" si="365"/>
        <v>337</v>
      </c>
      <c r="C388" s="9">
        <v>140.90150976123374</v>
      </c>
      <c r="D388" s="9"/>
      <c r="E388" s="9">
        <f t="shared" si="327"/>
        <v>140.90150976123374</v>
      </c>
      <c r="F388" s="36">
        <f t="shared" si="366"/>
        <v>0</v>
      </c>
      <c r="G388" s="37">
        <f t="shared" si="311"/>
        <v>0</v>
      </c>
      <c r="H388" s="36" t="e">
        <f t="shared" si="312"/>
        <v>#DIV/0!</v>
      </c>
      <c r="I388" s="37" t="e">
        <f t="shared" si="328"/>
        <v>#DIV/0!</v>
      </c>
      <c r="J388" s="37" t="e">
        <f t="shared" si="329"/>
        <v>#DIV/0!</v>
      </c>
      <c r="K388" s="37" t="e">
        <f t="shared" si="330"/>
        <v>#DIV/0!</v>
      </c>
      <c r="L388" s="39" t="e">
        <f t="shared" si="313"/>
        <v>#DIV/0!</v>
      </c>
      <c r="M388" s="39" t="e">
        <f>M387+(1000*$C$2*(B388-B387))/(BerechnungenCLT!$W$47*2*'Berechnung freier Bereich'!G388)</f>
        <v>#DIV/0!</v>
      </c>
      <c r="N388" s="17" t="e">
        <f t="shared" si="331"/>
        <v>#DIV/0!</v>
      </c>
      <c r="O388" s="173">
        <f t="shared" si="332"/>
        <v>1354.4804446848941</v>
      </c>
      <c r="P388" s="173"/>
      <c r="Q388" s="173"/>
      <c r="R388" s="37" t="e">
        <f t="shared" si="314"/>
        <v>#DIV/0!</v>
      </c>
      <c r="S388" s="37" t="e">
        <f t="shared" si="315"/>
        <v>#DIV/0!</v>
      </c>
      <c r="T388" s="37" t="e">
        <f t="shared" si="316"/>
        <v>#DIV/0!</v>
      </c>
      <c r="U388" s="39" t="e">
        <f t="shared" si="317"/>
        <v>#DIV/0!</v>
      </c>
      <c r="V388" s="39" t="e">
        <f t="shared" si="333"/>
        <v>#DIV/0!</v>
      </c>
      <c r="W388" s="9" t="e">
        <f t="shared" si="334"/>
        <v>#DIV/0!</v>
      </c>
      <c r="AB388" s="129">
        <v>142.00230552003234</v>
      </c>
      <c r="AC388" s="9">
        <v>6.15625</v>
      </c>
      <c r="AD388" s="129">
        <f t="shared" si="335"/>
        <v>148.16034081813737</v>
      </c>
      <c r="AE388" s="36">
        <f t="shared" si="367"/>
        <v>9.542946113296407E-3</v>
      </c>
      <c r="AF388" s="37">
        <f t="shared" si="336"/>
        <v>59104715.814702623</v>
      </c>
      <c r="AG388" s="36">
        <f t="shared" si="318"/>
        <v>1.9981996041711287</v>
      </c>
      <c r="AH388" s="37">
        <f t="shared" si="337"/>
        <v>-1.3320528726301609E-4</v>
      </c>
      <c r="AI388" s="37">
        <f t="shared" si="338"/>
        <v>-5.6605465552457775E-2</v>
      </c>
      <c r="AJ388" s="37">
        <f t="shared" si="339"/>
        <v>-10.520398570688567</v>
      </c>
      <c r="AK388" s="39">
        <f t="shared" si="340"/>
        <v>1.9735740759666356E-2</v>
      </c>
      <c r="AL388" s="39">
        <f>AL387+(1000*$C$2*($B388-$B387))/(BerechnungenCLT!$W$47*2*AF388)</f>
        <v>1.6306403205208226E-2</v>
      </c>
      <c r="AM388" s="37">
        <f t="shared" si="319"/>
        <v>2.5067431384431372E-6</v>
      </c>
      <c r="AN388" s="173">
        <f t="shared" si="341"/>
        <v>1277.5591505192456</v>
      </c>
      <c r="AO388" s="173">
        <v>-257.2843118240292</v>
      </c>
      <c r="AV388" s="129">
        <v>142.43588490567333</v>
      </c>
      <c r="AW388" s="9">
        <v>6.15625</v>
      </c>
      <c r="AX388" s="129">
        <f t="shared" si="342"/>
        <v>148.59461796146724</v>
      </c>
      <c r="AY388" s="36">
        <f t="shared" si="368"/>
        <v>9.5725729400354103E-3</v>
      </c>
      <c r="AZ388" s="37">
        <f t="shared" si="343"/>
        <v>59643241.498578988</v>
      </c>
      <c r="BA388" s="36">
        <f t="shared" si="320"/>
        <v>1.9982099132466435</v>
      </c>
      <c r="BB388" s="37">
        <f t="shared" si="344"/>
        <v>-1.3200256141148817E-4</v>
      </c>
      <c r="BC388" s="37">
        <f t="shared" si="345"/>
        <v>-5.3165038536698427E-2</v>
      </c>
      <c r="BD388" s="37">
        <f t="shared" si="346"/>
        <v>-9.7056319086499183</v>
      </c>
      <c r="BE388" s="39">
        <f t="shared" si="347"/>
        <v>1.9614870182875201E-2</v>
      </c>
      <c r="BF388" s="39">
        <f>BF387+(1000*$C$2*($B388-$B387))/(BerechnungenCLT!$W$47*2*AZ388)</f>
        <v>1.5311764218823612E-2</v>
      </c>
      <c r="BG388" s="37">
        <f t="shared" si="321"/>
        <v>2.4913907129780585E-6</v>
      </c>
      <c r="BH388" s="173">
        <f t="shared" si="348"/>
        <v>1269.9511169709656</v>
      </c>
      <c r="BI388">
        <v>-257.2843118240292</v>
      </c>
      <c r="BP388" s="129">
        <v>141.09264306994714</v>
      </c>
      <c r="BQ388" s="9">
        <v>6.34375</v>
      </c>
      <c r="BR388" s="129">
        <f t="shared" si="349"/>
        <v>147.45205616457102</v>
      </c>
      <c r="BS388" s="36">
        <f t="shared" si="369"/>
        <v>9.8000644377804567E-3</v>
      </c>
      <c r="BT388" s="37">
        <f t="shared" si="350"/>
        <v>60024303.409098804</v>
      </c>
      <c r="BU388" s="36">
        <f t="shared" si="322"/>
        <v>1.9980584368554608</v>
      </c>
      <c r="BV388" s="37">
        <f t="shared" si="351"/>
        <v>-1.3116454838362943E-4</v>
      </c>
      <c r="BW388" s="37">
        <f t="shared" si="352"/>
        <v>-5.9481643640686498E-2</v>
      </c>
      <c r="BX388" s="37">
        <f t="shared" si="353"/>
        <v>-10.974882909263076</v>
      </c>
      <c r="BY388" s="39">
        <f t="shared" si="354"/>
        <v>1.9340482355063519E-2</v>
      </c>
      <c r="BZ388" s="39">
        <f>BZ387+(1000*$C$2*($B388-$B387))/(BerechnungenCLT!$W$47*2*BT388)</f>
        <v>1.7137916378835234E-2</v>
      </c>
      <c r="CA388" s="37">
        <f t="shared" si="323"/>
        <v>2.456539231444366E-6</v>
      </c>
      <c r="CB388" s="173">
        <f t="shared" si="355"/>
        <v>1291.9265487620298</v>
      </c>
      <c r="CC388" s="9">
        <v>-258.47114853219108</v>
      </c>
      <c r="CJ388" s="9">
        <f t="shared" si="371"/>
        <v>337</v>
      </c>
      <c r="CK388" s="129">
        <v>146.42045858622538</v>
      </c>
      <c r="CL388" s="9">
        <v>3.7578125</v>
      </c>
      <c r="CM388" s="129">
        <f t="shared" si="356"/>
        <v>150.18017218671037</v>
      </c>
      <c r="CN388" s="36">
        <f t="shared" si="370"/>
        <v>5.9556014610725851E-3</v>
      </c>
      <c r="CO388" s="173">
        <f t="shared" si="357"/>
        <v>1222.699918423667</v>
      </c>
      <c r="CP388" s="9">
        <v>-630.88886709445376</v>
      </c>
      <c r="CQ388" s="129"/>
      <c r="CR388" s="36">
        <f t="shared" si="358"/>
        <v>0.61271682711321318</v>
      </c>
      <c r="CS388" s="17">
        <f t="shared" si="324"/>
        <v>0.44047049779794967</v>
      </c>
      <c r="CT388" s="9">
        <f t="shared" si="325"/>
        <v>5.1188161551611078</v>
      </c>
      <c r="CU388" s="9">
        <f t="shared" si="359"/>
        <v>151.5418643820019</v>
      </c>
      <c r="CV388" s="9">
        <v>7.2</v>
      </c>
      <c r="CW388" s="9">
        <f t="shared" si="360"/>
        <v>153.62410111056417</v>
      </c>
      <c r="CX388">
        <f t="shared" si="361"/>
        <v>12</v>
      </c>
      <c r="CY388" s="9">
        <f t="shared" si="326"/>
        <v>365.24123538541602</v>
      </c>
      <c r="CZ388" s="17">
        <f t="shared" si="362"/>
        <v>0.34391830073956309</v>
      </c>
      <c r="DA388">
        <v>45</v>
      </c>
      <c r="DB388" s="9">
        <f t="shared" si="363"/>
        <v>5.894091804744483</v>
      </c>
      <c r="DC388" s="9">
        <f t="shared" si="364"/>
        <v>6.5068086608666151</v>
      </c>
    </row>
    <row r="389" spans="2:107" x14ac:dyDescent="0.25">
      <c r="B389" s="9">
        <f t="shared" si="365"/>
        <v>338</v>
      </c>
      <c r="C389" s="9">
        <v>140.89554651688337</v>
      </c>
      <c r="D389" s="9"/>
      <c r="E389" s="9">
        <f t="shared" si="327"/>
        <v>140.89554651688337</v>
      </c>
      <c r="F389" s="36">
        <f t="shared" si="366"/>
        <v>0</v>
      </c>
      <c r="G389" s="37">
        <f t="shared" si="311"/>
        <v>0</v>
      </c>
      <c r="H389" s="36" t="e">
        <f t="shared" si="312"/>
        <v>#DIV/0!</v>
      </c>
      <c r="I389" s="37" t="e">
        <f t="shared" si="328"/>
        <v>#DIV/0!</v>
      </c>
      <c r="J389" s="37" t="e">
        <f t="shared" si="329"/>
        <v>#DIV/0!</v>
      </c>
      <c r="K389" s="37" t="e">
        <f t="shared" si="330"/>
        <v>#DIV/0!</v>
      </c>
      <c r="L389" s="39" t="e">
        <f t="shared" si="313"/>
        <v>#DIV/0!</v>
      </c>
      <c r="M389" s="39" t="e">
        <f>M388+(1000*$C$2*(B389-B388))/(BerechnungenCLT!$W$47*2*'Berechnung freier Bereich'!G389)</f>
        <v>#DIV/0!</v>
      </c>
      <c r="N389" s="17" t="e">
        <f t="shared" si="331"/>
        <v>#DIV/0!</v>
      </c>
      <c r="O389" s="173">
        <f t="shared" si="332"/>
        <v>1354.5951008111683</v>
      </c>
      <c r="P389" s="173"/>
      <c r="Q389" s="173"/>
      <c r="R389" s="37" t="e">
        <f t="shared" si="314"/>
        <v>#DIV/0!</v>
      </c>
      <c r="S389" s="37" t="e">
        <f t="shared" si="315"/>
        <v>#DIV/0!</v>
      </c>
      <c r="T389" s="37" t="e">
        <f t="shared" si="316"/>
        <v>#DIV/0!</v>
      </c>
      <c r="U389" s="39" t="e">
        <f t="shared" si="317"/>
        <v>#DIV/0!</v>
      </c>
      <c r="V389" s="39" t="e">
        <f t="shared" si="333"/>
        <v>#DIV/0!</v>
      </c>
      <c r="W389" s="9" t="e">
        <f t="shared" si="334"/>
        <v>#DIV/0!</v>
      </c>
      <c r="AB389" s="129">
        <v>142.02639035804512</v>
      </c>
      <c r="AC389" s="9">
        <v>6.125</v>
      </c>
      <c r="AD389" s="129">
        <f t="shared" si="335"/>
        <v>148.15360129695159</v>
      </c>
      <c r="AE389" s="36">
        <f t="shared" si="367"/>
        <v>9.4957460126112864E-3</v>
      </c>
      <c r="AF389" s="37">
        <f t="shared" si="336"/>
        <v>58819143.624508411</v>
      </c>
      <c r="AG389" s="36">
        <f t="shared" si="318"/>
        <v>1.9982177839263886</v>
      </c>
      <c r="AH389" s="37">
        <f t="shared" si="337"/>
        <v>-1.3385201081737432E-4</v>
      </c>
      <c r="AI389" s="37">
        <f t="shared" si="338"/>
        <v>-5.6739317563275146E-2</v>
      </c>
      <c r="AJ389" s="37">
        <f t="shared" si="339"/>
        <v>-10.577070962246433</v>
      </c>
      <c r="AK389" s="39">
        <f t="shared" si="340"/>
        <v>1.9830657443432525E-2</v>
      </c>
      <c r="AL389" s="39">
        <f>AL388+(1000*$C$2*($B389-$B388))/(BerechnungenCLT!$W$47*2*AF389)</f>
        <v>1.6345100291100031E-2</v>
      </c>
      <c r="AM389" s="37">
        <f t="shared" si="319"/>
        <v>2.5187990196310822E-6</v>
      </c>
      <c r="AN389" s="173">
        <f t="shared" si="341"/>
        <v>1277.4064245796321</v>
      </c>
      <c r="AO389" s="173">
        <v>-258.50731376301462</v>
      </c>
      <c r="AV389" s="129">
        <v>142.46428984726407</v>
      </c>
      <c r="AW389" s="9">
        <v>6.125</v>
      </c>
      <c r="AX389" s="129">
        <f t="shared" si="342"/>
        <v>148.59213505074487</v>
      </c>
      <c r="AY389" s="36">
        <f t="shared" si="368"/>
        <v>9.5254120306534507E-3</v>
      </c>
      <c r="AZ389" s="37">
        <f t="shared" si="343"/>
        <v>59359701.332919993</v>
      </c>
      <c r="BA389" s="36">
        <f t="shared" si="320"/>
        <v>1.9982281273806413</v>
      </c>
      <c r="BB389" s="37">
        <f t="shared" si="344"/>
        <v>-1.3263309066432436E-4</v>
      </c>
      <c r="BC389" s="37">
        <f t="shared" si="345"/>
        <v>-5.329767162736275E-2</v>
      </c>
      <c r="BD389" s="37">
        <f t="shared" si="346"/>
        <v>-9.7588632637319481</v>
      </c>
      <c r="BE389" s="39">
        <f t="shared" si="347"/>
        <v>1.9708234120190973E-2</v>
      </c>
      <c r="BF389" s="39">
        <f>BF388+(1000*$C$2*($B389-$B388))/(BerechnungenCLT!$W$47*2*AZ389)</f>
        <v>1.535010891062309E-2</v>
      </c>
      <c r="BG389" s="37">
        <f t="shared" si="321"/>
        <v>2.503249371444157E-6</v>
      </c>
      <c r="BH389" s="173">
        <f t="shared" si="348"/>
        <v>1269.7249185895259</v>
      </c>
      <c r="BI389">
        <v>-258.50731376301462</v>
      </c>
      <c r="BP389" s="129">
        <v>141.16295818038361</v>
      </c>
      <c r="BQ389" s="9">
        <v>6.34375</v>
      </c>
      <c r="BR389" s="129">
        <f t="shared" si="349"/>
        <v>147.52287787706504</v>
      </c>
      <c r="BS389" s="36">
        <f t="shared" si="369"/>
        <v>9.8056390479773856E-3</v>
      </c>
      <c r="BT389" s="37">
        <f t="shared" si="350"/>
        <v>60117190.932451002</v>
      </c>
      <c r="BU389" s="36">
        <f t="shared" si="322"/>
        <v>1.9980600246264879</v>
      </c>
      <c r="BV389" s="37">
        <f t="shared" si="351"/>
        <v>-1.3096188505452185E-4</v>
      </c>
      <c r="BW389" s="37">
        <f t="shared" si="352"/>
        <v>-5.9612605525741019E-2</v>
      </c>
      <c r="BX389" s="37">
        <f t="shared" si="353"/>
        <v>-11.03443003384629</v>
      </c>
      <c r="BY389" s="39">
        <f t="shared" si="354"/>
        <v>1.9319874175448459E-2</v>
      </c>
      <c r="BZ389" s="39">
        <f>BZ388+(1000*$C$2*($B389-$B388))/(BerechnungenCLT!$W$47*2*BT389)</f>
        <v>1.7175777919230185E-2</v>
      </c>
      <c r="CA389" s="37">
        <f t="shared" si="323"/>
        <v>2.453921675129914E-6</v>
      </c>
      <c r="CB389" s="173">
        <f t="shared" si="355"/>
        <v>1290.6636268331347</v>
      </c>
      <c r="CC389" s="9">
        <v>-258.2184802347706</v>
      </c>
      <c r="CJ389" s="9">
        <f t="shared" si="371"/>
        <v>338</v>
      </c>
      <c r="CK389" s="129">
        <v>146.38864556597625</v>
      </c>
      <c r="CL389" s="9">
        <v>3.7578125</v>
      </c>
      <c r="CM389" s="129">
        <f t="shared" si="356"/>
        <v>150.1484798914382</v>
      </c>
      <c r="CN389" s="36">
        <f t="shared" si="370"/>
        <v>5.9545174984676364E-3</v>
      </c>
      <c r="CO389" s="173">
        <f t="shared" si="357"/>
        <v>1223.2236724621448</v>
      </c>
      <c r="CP389" s="9">
        <v>-631.15911377312966</v>
      </c>
      <c r="CQ389" s="129"/>
      <c r="CR389" s="36">
        <f t="shared" si="358"/>
        <v>0.61281604096683795</v>
      </c>
      <c r="CS389" s="17">
        <f t="shared" si="324"/>
        <v>0.44054182075426607</v>
      </c>
      <c r="CT389" s="9">
        <f t="shared" si="325"/>
        <v>5.1179874277081696</v>
      </c>
      <c r="CU389" s="9">
        <f t="shared" si="359"/>
        <v>151.50938663753846</v>
      </c>
      <c r="CV389" s="9">
        <v>7.2</v>
      </c>
      <c r="CW389" s="9">
        <f t="shared" si="360"/>
        <v>153.59251940037484</v>
      </c>
      <c r="CX389">
        <f t="shared" si="361"/>
        <v>12</v>
      </c>
      <c r="CY389" s="9">
        <f t="shared" si="326"/>
        <v>365.32060921097616</v>
      </c>
      <c r="CZ389" s="17">
        <f t="shared" si="362"/>
        <v>0.34399304068830144</v>
      </c>
      <c r="DA389">
        <v>45</v>
      </c>
      <c r="DB389" s="9">
        <f t="shared" si="363"/>
        <v>5.8953727023250959</v>
      </c>
      <c r="DC389" s="9">
        <f t="shared" si="364"/>
        <v>6.5081887742278699</v>
      </c>
    </row>
    <row r="390" spans="2:107" x14ac:dyDescent="0.25">
      <c r="B390" s="9">
        <f t="shared" si="365"/>
        <v>339</v>
      </c>
      <c r="C390" s="9">
        <v>140.89056008811659</v>
      </c>
      <c r="D390" s="9"/>
      <c r="E390" s="9">
        <f t="shared" si="327"/>
        <v>140.89056008811659</v>
      </c>
      <c r="F390" s="36">
        <f t="shared" si="366"/>
        <v>0</v>
      </c>
      <c r="G390" s="37">
        <f t="shared" si="311"/>
        <v>0</v>
      </c>
      <c r="H390" s="36" t="e">
        <f t="shared" si="312"/>
        <v>#DIV/0!</v>
      </c>
      <c r="I390" s="37" t="e">
        <f t="shared" si="328"/>
        <v>#DIV/0!</v>
      </c>
      <c r="J390" s="37" t="e">
        <f t="shared" si="329"/>
        <v>#DIV/0!</v>
      </c>
      <c r="K390" s="37" t="e">
        <f t="shared" si="330"/>
        <v>#DIV/0!</v>
      </c>
      <c r="L390" s="39" t="e">
        <f t="shared" si="313"/>
        <v>#DIV/0!</v>
      </c>
      <c r="M390" s="39" t="e">
        <f>M389+(1000*$C$2*(B390-B389))/(BerechnungenCLT!$W$47*2*'Berechnung freier Bereich'!G390)</f>
        <v>#DIV/0!</v>
      </c>
      <c r="N390" s="17" t="e">
        <f t="shared" si="331"/>
        <v>#DIV/0!</v>
      </c>
      <c r="O390" s="173">
        <f t="shared" si="332"/>
        <v>1354.6909867456666</v>
      </c>
      <c r="P390" s="173"/>
      <c r="Q390" s="173"/>
      <c r="R390" s="37" t="e">
        <f t="shared" si="314"/>
        <v>#DIV/0!</v>
      </c>
      <c r="S390" s="37" t="e">
        <f t="shared" si="315"/>
        <v>#DIV/0!</v>
      </c>
      <c r="T390" s="37" t="e">
        <f t="shared" si="316"/>
        <v>#DIV/0!</v>
      </c>
      <c r="U390" s="39" t="e">
        <f t="shared" si="317"/>
        <v>#DIV/0!</v>
      </c>
      <c r="V390" s="39" t="e">
        <f t="shared" si="333"/>
        <v>#DIV/0!</v>
      </c>
      <c r="W390" s="9" t="e">
        <f t="shared" si="334"/>
        <v>#DIV/0!</v>
      </c>
      <c r="AB390" s="129">
        <v>142.05326170958972</v>
      </c>
      <c r="AC390" s="9">
        <v>6.125</v>
      </c>
      <c r="AD390" s="129">
        <f t="shared" si="335"/>
        <v>148.18094519319047</v>
      </c>
      <c r="AE390" s="36">
        <f t="shared" si="367"/>
        <v>9.4982526036854684E-3</v>
      </c>
      <c r="AF390" s="37">
        <f t="shared" si="336"/>
        <v>58856650.943278439</v>
      </c>
      <c r="AG390" s="36">
        <f t="shared" si="318"/>
        <v>1.9982181746275272</v>
      </c>
      <c r="AH390" s="37">
        <f t="shared" si="337"/>
        <v>-1.3376671153586108E-4</v>
      </c>
      <c r="AI390" s="37">
        <f t="shared" si="338"/>
        <v>-5.6873084274811005E-2</v>
      </c>
      <c r="AJ390" s="37">
        <f t="shared" si="339"/>
        <v>-10.633877163165476</v>
      </c>
      <c r="AK390" s="39">
        <f t="shared" si="340"/>
        <v>1.9821677750768749E-2</v>
      </c>
      <c r="AL390" s="39">
        <f>AL389+(1000*$C$2*($B390-$B389))/(BerechnungenCLT!$W$47*2*AF390)</f>
        <v>1.6383772716670311E-2</v>
      </c>
      <c r="AM390" s="37">
        <f t="shared" si="319"/>
        <v>2.5176584603156571E-6</v>
      </c>
      <c r="AN390" s="173">
        <f t="shared" si="341"/>
        <v>1276.9292345321905</v>
      </c>
      <c r="AO390" s="173">
        <v>-258.36265451613957</v>
      </c>
      <c r="AV390" s="129">
        <v>142.49477364322496</v>
      </c>
      <c r="AW390" s="9">
        <v>6.125</v>
      </c>
      <c r="AX390" s="129">
        <f t="shared" si="342"/>
        <v>148.62301211318439</v>
      </c>
      <c r="AY390" s="36">
        <f t="shared" si="368"/>
        <v>9.528031630107632E-3</v>
      </c>
      <c r="AZ390" s="37">
        <f t="shared" si="343"/>
        <v>59401056.313150264</v>
      </c>
      <c r="BA390" s="36">
        <f t="shared" si="320"/>
        <v>1.9982286465576271</v>
      </c>
      <c r="BB390" s="37">
        <f t="shared" si="344"/>
        <v>-1.3254075158514389E-4</v>
      </c>
      <c r="BC390" s="37">
        <f t="shared" si="345"/>
        <v>-5.3430212378947892E-2</v>
      </c>
      <c r="BD390" s="37">
        <f t="shared" si="346"/>
        <v>-9.8122272057351037</v>
      </c>
      <c r="BE390" s="39">
        <f t="shared" si="347"/>
        <v>1.9698605728329405E-2</v>
      </c>
      <c r="BF390" s="39">
        <f>BF389+(1000*$C$2*($B390-$B389))/(BerechnungenCLT!$W$47*2*AZ390)</f>
        <v>1.5388426906870844E-2</v>
      </c>
      <c r="BG390" s="37">
        <f t="shared" si="321"/>
        <v>2.5020264173363207E-6</v>
      </c>
      <c r="BH390" s="173">
        <f t="shared" si="348"/>
        <v>1269.1897180364026</v>
      </c>
      <c r="BI390">
        <v>-258.36265451613957</v>
      </c>
      <c r="BP390" s="129">
        <v>141.23440279101601</v>
      </c>
      <c r="BQ390" s="9">
        <v>6.34375</v>
      </c>
      <c r="BR390" s="129">
        <f t="shared" si="349"/>
        <v>147.5948272060152</v>
      </c>
      <c r="BS390" s="36">
        <f t="shared" si="369"/>
        <v>9.8112881885241941E-3</v>
      </c>
      <c r="BT390" s="37">
        <f t="shared" si="350"/>
        <v>60211571.967611261</v>
      </c>
      <c r="BU390" s="36">
        <f t="shared" si="322"/>
        <v>1.9980616416197261</v>
      </c>
      <c r="BV390" s="37">
        <f t="shared" si="351"/>
        <v>-1.3075660361319639E-4</v>
      </c>
      <c r="BW390" s="37">
        <f t="shared" si="352"/>
        <v>-5.9743362129354216E-2</v>
      </c>
      <c r="BX390" s="37">
        <f t="shared" si="353"/>
        <v>-11.094108017673838</v>
      </c>
      <c r="BY390" s="39">
        <f t="shared" si="354"/>
        <v>1.9298998316335143E-2</v>
      </c>
      <c r="BZ390" s="39">
        <f>BZ389+(1000*$C$2*($B390-$B389))/(BerechnungenCLT!$W$47*2*BT390)</f>
        <v>1.7213580112040303E-2</v>
      </c>
      <c r="CA390" s="37">
        <f t="shared" si="323"/>
        <v>2.4512701193951348E-6</v>
      </c>
      <c r="CB390" s="173">
        <f t="shared" si="355"/>
        <v>1289.3824033170563</v>
      </c>
      <c r="CC390" s="9">
        <v>-257.96215040391098</v>
      </c>
      <c r="CJ390" s="9">
        <f t="shared" si="371"/>
        <v>339</v>
      </c>
      <c r="CK390" s="129">
        <v>146.35583772255808</v>
      </c>
      <c r="CL390" s="9">
        <v>3.7578125</v>
      </c>
      <c r="CM390" s="129">
        <f t="shared" si="356"/>
        <v>150.11576521481078</v>
      </c>
      <c r="CN390" s="36">
        <f t="shared" si="370"/>
        <v>5.9533493120970046E-3</v>
      </c>
      <c r="CO390" s="173">
        <f t="shared" si="357"/>
        <v>1223.7644160176583</v>
      </c>
      <c r="CP390" s="9">
        <v>-631.43812670507339</v>
      </c>
      <c r="CQ390" s="129"/>
      <c r="CR390" s="36">
        <f t="shared" si="358"/>
        <v>0.61291848602216936</v>
      </c>
      <c r="CS390" s="17">
        <f t="shared" si="324"/>
        <v>0.44061546656016209</v>
      </c>
      <c r="CT390" s="9">
        <f t="shared" si="325"/>
        <v>5.1171319917616698</v>
      </c>
      <c r="CU390" s="9">
        <f t="shared" si="359"/>
        <v>151.47584976608354</v>
      </c>
      <c r="CV390" s="9">
        <v>7.2</v>
      </c>
      <c r="CW390" s="9">
        <f t="shared" si="360"/>
        <v>153.55989006530254</v>
      </c>
      <c r="CX390">
        <f t="shared" si="361"/>
        <v>12</v>
      </c>
      <c r="CY390" s="9">
        <f t="shared" si="326"/>
        <v>365.40250127302795</v>
      </c>
      <c r="CZ390" s="17">
        <f t="shared" si="362"/>
        <v>0.34407015185784173</v>
      </c>
      <c r="DA390">
        <v>45</v>
      </c>
      <c r="DB390" s="9">
        <f t="shared" si="363"/>
        <v>5.8966942380254768</v>
      </c>
      <c r="DC390" s="9">
        <f t="shared" si="364"/>
        <v>6.5096127564981892</v>
      </c>
    </row>
    <row r="391" spans="2:107" x14ac:dyDescent="0.25">
      <c r="B391" s="9">
        <f t="shared" si="365"/>
        <v>340</v>
      </c>
      <c r="C391" s="9">
        <v>140.88653179777114</v>
      </c>
      <c r="D391" s="9"/>
      <c r="E391" s="9">
        <f t="shared" si="327"/>
        <v>140.88653179777114</v>
      </c>
      <c r="F391" s="36">
        <f t="shared" si="366"/>
        <v>0</v>
      </c>
      <c r="G391" s="37">
        <f t="shared" si="311"/>
        <v>0</v>
      </c>
      <c r="H391" s="36" t="e">
        <f t="shared" si="312"/>
        <v>#DIV/0!</v>
      </c>
      <c r="I391" s="37" t="e">
        <f t="shared" si="328"/>
        <v>#DIV/0!</v>
      </c>
      <c r="J391" s="37" t="e">
        <f t="shared" si="329"/>
        <v>#DIV/0!</v>
      </c>
      <c r="K391" s="37" t="e">
        <f t="shared" si="330"/>
        <v>#DIV/0!</v>
      </c>
      <c r="L391" s="39" t="e">
        <f t="shared" si="313"/>
        <v>#DIV/0!</v>
      </c>
      <c r="M391" s="39" t="e">
        <f>M390+(1000*$C$2*(B391-B390))/(BerechnungenCLT!$W$47*2*'Berechnung freier Bereich'!G391)</f>
        <v>#DIV/0!</v>
      </c>
      <c r="N391" s="17" t="e">
        <f t="shared" si="331"/>
        <v>#DIV/0!</v>
      </c>
      <c r="O391" s="173">
        <f t="shared" si="332"/>
        <v>1354.7684557069517</v>
      </c>
      <c r="P391" s="173"/>
      <c r="Q391" s="173"/>
      <c r="R391" s="37" t="e">
        <f t="shared" si="314"/>
        <v>#DIV/0!</v>
      </c>
      <c r="S391" s="37" t="e">
        <f t="shared" si="315"/>
        <v>#DIV/0!</v>
      </c>
      <c r="T391" s="37" t="e">
        <f t="shared" si="316"/>
        <v>#DIV/0!</v>
      </c>
      <c r="U391" s="39" t="e">
        <f t="shared" si="317"/>
        <v>#DIV/0!</v>
      </c>
      <c r="V391" s="39" t="e">
        <f t="shared" si="333"/>
        <v>#DIV/0!</v>
      </c>
      <c r="W391" s="9" t="e">
        <f t="shared" si="334"/>
        <v>#DIV/0!</v>
      </c>
      <c r="AB391" s="129">
        <v>142.08286629524858</v>
      </c>
      <c r="AC391" s="9">
        <v>6.125</v>
      </c>
      <c r="AD391" s="129">
        <f t="shared" si="335"/>
        <v>148.21105748178803</v>
      </c>
      <c r="AE391" s="36">
        <f t="shared" si="367"/>
        <v>9.5009940378907067E-3</v>
      </c>
      <c r="AF391" s="37">
        <f t="shared" si="336"/>
        <v>58897861.477869511</v>
      </c>
      <c r="AG391" s="36">
        <f t="shared" si="318"/>
        <v>1.9982186121910599</v>
      </c>
      <c r="AH391" s="37">
        <f t="shared" si="337"/>
        <v>-1.3367311564707057E-4</v>
      </c>
      <c r="AI391" s="37">
        <f t="shared" si="338"/>
        <v>-5.7006757390458074E-2</v>
      </c>
      <c r="AJ391" s="37">
        <f t="shared" si="339"/>
        <v>-10.690817083998111</v>
      </c>
      <c r="AK391" s="39">
        <f t="shared" si="340"/>
        <v>1.9811833826937676E-2</v>
      </c>
      <c r="AL391" s="39">
        <f>AL390+(1000*$C$2*($B391-$B390))/(BerechnungenCLT!$W$47*2*AF391)</f>
        <v>1.6422418083340801E-2</v>
      </c>
      <c r="AM391" s="37">
        <f t="shared" si="319"/>
        <v>2.5164081303270642E-6</v>
      </c>
      <c r="AN391" s="173">
        <f t="shared" si="341"/>
        <v>1276.4039298455084</v>
      </c>
      <c r="AO391" s="173">
        <v>-258.21811666105668</v>
      </c>
      <c r="AV391" s="129">
        <v>142.52729654490642</v>
      </c>
      <c r="AW391" s="9">
        <v>6.125</v>
      </c>
      <c r="AX391" s="129">
        <f t="shared" si="342"/>
        <v>148.65594530378985</v>
      </c>
      <c r="AY391" s="36">
        <f t="shared" si="368"/>
        <v>9.5308120013795541E-3</v>
      </c>
      <c r="AZ391" s="37">
        <f t="shared" si="343"/>
        <v>59445104.543324724</v>
      </c>
      <c r="BA391" s="36">
        <f t="shared" si="320"/>
        <v>1.9982292053866306</v>
      </c>
      <c r="BB391" s="37">
        <f t="shared" si="344"/>
        <v>-1.3244254020881326E-4</v>
      </c>
      <c r="BC391" s="37">
        <f t="shared" si="345"/>
        <v>-5.3562654919156703E-2</v>
      </c>
      <c r="BD391" s="37">
        <f t="shared" si="346"/>
        <v>-9.8657236393841554</v>
      </c>
      <c r="BE391" s="39">
        <f t="shared" si="347"/>
        <v>1.9688371013176331E-2</v>
      </c>
      <c r="BF391" s="39">
        <f>BF390+(1000*$C$2*($B391-$B390))/(BerechnungenCLT!$W$47*2*AZ391)</f>
        <v>1.5426716509865167E-2</v>
      </c>
      <c r="BG391" s="37">
        <f t="shared" si="321"/>
        <v>2.5007264508290429E-6</v>
      </c>
      <c r="BH391" s="173">
        <f t="shared" si="348"/>
        <v>1268.6191710413741</v>
      </c>
      <c r="BI391">
        <v>-258.21811666105668</v>
      </c>
      <c r="BP391" s="129">
        <v>141.30695530528226</v>
      </c>
      <c r="BQ391" s="9">
        <v>6.34375</v>
      </c>
      <c r="BR391" s="129">
        <f t="shared" si="349"/>
        <v>147.66788210117844</v>
      </c>
      <c r="BS391" s="36">
        <f t="shared" si="369"/>
        <v>9.8170096904032951E-3</v>
      </c>
      <c r="BT391" s="37">
        <f t="shared" si="350"/>
        <v>60307419.414650545</v>
      </c>
      <c r="BU391" s="36">
        <f t="shared" si="322"/>
        <v>1.9980632874070243</v>
      </c>
      <c r="BV391" s="37">
        <f t="shared" si="351"/>
        <v>-1.3054879026682051E-4</v>
      </c>
      <c r="BW391" s="37">
        <f t="shared" si="352"/>
        <v>-5.9873910919621035E-2</v>
      </c>
      <c r="BX391" s="37">
        <f t="shared" si="353"/>
        <v>-11.153916654198325</v>
      </c>
      <c r="BY391" s="39">
        <f t="shared" si="354"/>
        <v>1.9277863369572323E-2</v>
      </c>
      <c r="BZ391" s="39">
        <f>BZ390+(1000*$C$2*($B391-$B390))/(BerechnungenCLT!$W$47*2*BT391)</f>
        <v>1.7251322225282955E-2</v>
      </c>
      <c r="CA391" s="37">
        <f t="shared" si="323"/>
        <v>2.4485856555371912E-6</v>
      </c>
      <c r="CB391" s="173">
        <f t="shared" si="355"/>
        <v>1288.0833536595496</v>
      </c>
      <c r="CC391" s="9">
        <v>-257.70225416035299</v>
      </c>
      <c r="CJ391" s="9">
        <f t="shared" si="371"/>
        <v>340</v>
      </c>
      <c r="CK391" s="129">
        <v>146.3222822828387</v>
      </c>
      <c r="CL391" s="9">
        <v>3.7578125</v>
      </c>
      <c r="CM391" s="129">
        <f t="shared" si="356"/>
        <v>150.08227330332917</v>
      </c>
      <c r="CN391" s="36">
        <f t="shared" si="370"/>
        <v>5.9521035220000892E-3</v>
      </c>
      <c r="CO391" s="173">
        <f t="shared" si="357"/>
        <v>1224.3181149470677</v>
      </c>
      <c r="CP391" s="9">
        <v>-631.72382435256873</v>
      </c>
      <c r="CQ391" s="129"/>
      <c r="CR391" s="36">
        <f t="shared" si="358"/>
        <v>0.61302339718059828</v>
      </c>
      <c r="CS391" s="17">
        <f t="shared" si="324"/>
        <v>0.44069088520076882</v>
      </c>
      <c r="CT391" s="9">
        <f t="shared" si="325"/>
        <v>5.1162562596973498</v>
      </c>
      <c r="CU391" s="9">
        <f t="shared" si="359"/>
        <v>151.44150459501907</v>
      </c>
      <c r="CV391" s="9">
        <v>7.2</v>
      </c>
      <c r="CW391" s="9">
        <f t="shared" si="360"/>
        <v>153.52645634621507</v>
      </c>
      <c r="CX391">
        <f t="shared" si="361"/>
        <v>12</v>
      </c>
      <c r="CY391" s="9">
        <f t="shared" si="326"/>
        <v>365.48629740724266</v>
      </c>
      <c r="CZ391" s="17">
        <f t="shared" si="362"/>
        <v>0.34414905593902323</v>
      </c>
      <c r="DA391">
        <v>45</v>
      </c>
      <c r="DB391" s="9">
        <f t="shared" si="363"/>
        <v>5.898046500749655</v>
      </c>
      <c r="DC391" s="9">
        <f t="shared" si="364"/>
        <v>6.5110699178136606</v>
      </c>
    </row>
    <row r="392" spans="2:107" x14ac:dyDescent="0.25">
      <c r="B392" s="9">
        <f t="shared" si="365"/>
        <v>341</v>
      </c>
      <c r="C392" s="9">
        <v>140.88344296868488</v>
      </c>
      <c r="D392" s="9"/>
      <c r="E392" s="9">
        <f t="shared" si="327"/>
        <v>140.88344296868488</v>
      </c>
      <c r="F392" s="36">
        <f t="shared" si="366"/>
        <v>0</v>
      </c>
      <c r="G392" s="37">
        <f>(PI()/4)*(E392^4-$C392^4)</f>
        <v>0</v>
      </c>
      <c r="H392" s="36" t="e">
        <f t="shared" si="312"/>
        <v>#DIV/0!</v>
      </c>
      <c r="I392" s="37" t="e">
        <f t="shared" si="328"/>
        <v>#DIV/0!</v>
      </c>
      <c r="J392" s="37" t="e">
        <f t="shared" si="329"/>
        <v>#DIV/0!</v>
      </c>
      <c r="K392" s="37" t="e">
        <f t="shared" si="330"/>
        <v>#DIV/0!</v>
      </c>
      <c r="L392" s="39" t="e">
        <f t="shared" si="313"/>
        <v>#DIV/0!</v>
      </c>
      <c r="M392" s="39" t="e">
        <f>M391+(1000*$C$2*(B392-B391))/(BerechnungenCLT!$W$47*2*'Berechnung freier Bereich'!G392)</f>
        <v>#DIV/0!</v>
      </c>
      <c r="N392" s="17" t="e">
        <f t="shared" si="331"/>
        <v>#DIV/0!</v>
      </c>
      <c r="O392" s="173">
        <f t="shared" si="332"/>
        <v>1354.8278621779548</v>
      </c>
      <c r="P392" s="173"/>
      <c r="Q392" s="173"/>
      <c r="R392" s="37" t="e">
        <f t="shared" si="314"/>
        <v>#DIV/0!</v>
      </c>
      <c r="S392" s="37" t="e">
        <f t="shared" si="315"/>
        <v>#DIV/0!</v>
      </c>
      <c r="T392" s="37" t="e">
        <f t="shared" si="316"/>
        <v>#DIV/0!</v>
      </c>
      <c r="U392" s="39" t="e">
        <f t="shared" si="317"/>
        <v>#DIV/0!</v>
      </c>
      <c r="V392" s="39" t="e">
        <f t="shared" si="333"/>
        <v>#DIV/0!</v>
      </c>
      <c r="W392" s="9" t="e">
        <f t="shared" si="334"/>
        <v>#DIV/0!</v>
      </c>
      <c r="AB392" s="129">
        <v>142.11515083560437</v>
      </c>
      <c r="AC392" s="9">
        <v>6.125</v>
      </c>
      <c r="AD392" s="129">
        <f t="shared" si="335"/>
        <v>148.24388225248688</v>
      </c>
      <c r="AE392" s="36">
        <f t="shared" si="367"/>
        <v>9.5039627399436302E-3</v>
      </c>
      <c r="AF392" s="37">
        <f t="shared" si="336"/>
        <v>58942689.022624426</v>
      </c>
      <c r="AG392" s="36">
        <f t="shared" si="318"/>
        <v>1.9982190967353524</v>
      </c>
      <c r="AH392" s="37">
        <f t="shared" si="337"/>
        <v>-1.3357145354658684E-4</v>
      </c>
      <c r="AI392" s="37">
        <f t="shared" si="338"/>
        <v>-5.7140328844004662E-2</v>
      </c>
      <c r="AJ392" s="37">
        <f t="shared" si="339"/>
        <v>-10.747890627115343</v>
      </c>
      <c r="AK392" s="39">
        <f t="shared" si="340"/>
        <v>1.9801150831853742E-2</v>
      </c>
      <c r="AL392" s="39">
        <f>AL391+(1000*$C$2*($B392-$B391))/(BerechnungenCLT!$W$47*2*AF392)</f>
        <v>1.6461034059141399E-2</v>
      </c>
      <c r="AM392" s="37">
        <f t="shared" si="319"/>
        <v>2.5150512253620683E-6</v>
      </c>
      <c r="AN392" s="173">
        <f t="shared" si="341"/>
        <v>1275.8315594121866</v>
      </c>
      <c r="AO392" s="173">
        <v>-258.07370006198175</v>
      </c>
      <c r="AV392" s="129">
        <v>142.56181880365898</v>
      </c>
      <c r="AW392" s="9">
        <v>6.125</v>
      </c>
      <c r="AX392" s="129">
        <f t="shared" si="342"/>
        <v>148.69089341117092</v>
      </c>
      <c r="AY392" s="36">
        <f t="shared" si="368"/>
        <v>9.5337482638415735E-3</v>
      </c>
      <c r="AZ392" s="37">
        <f t="shared" si="343"/>
        <v>59491786.442546107</v>
      </c>
      <c r="BA392" s="36">
        <f t="shared" si="320"/>
        <v>1.9982298036594472</v>
      </c>
      <c r="BB392" s="37">
        <f t="shared" si="344"/>
        <v>-1.3233861545408057E-4</v>
      </c>
      <c r="BC392" s="37">
        <f t="shared" si="345"/>
        <v>-5.3694993534610783E-2</v>
      </c>
      <c r="BD392" s="37">
        <f t="shared" si="346"/>
        <v>-9.9193524636110393</v>
      </c>
      <c r="BE392" s="39">
        <f t="shared" si="347"/>
        <v>1.967754696466463E-2</v>
      </c>
      <c r="BF392" s="39">
        <f>BF391+(1000*$C$2*($B392-$B391))/(BerechnungenCLT!$W$47*2*AZ392)</f>
        <v>1.5464976067848321E-2</v>
      </c>
      <c r="BG392" s="37">
        <f t="shared" si="321"/>
        <v>2.4993516299055569E-6</v>
      </c>
      <c r="BH392" s="173">
        <f t="shared" si="348"/>
        <v>1268.0140544266342</v>
      </c>
      <c r="BI392">
        <v>-258.07370006198175</v>
      </c>
      <c r="BP392" s="129">
        <v>141.38059412662031</v>
      </c>
      <c r="BQ392" s="9">
        <v>6.34375</v>
      </c>
      <c r="BR392" s="129">
        <f t="shared" si="349"/>
        <v>147.74202052130454</v>
      </c>
      <c r="BS392" s="36">
        <f t="shared" si="369"/>
        <v>9.8228013967529941E-3</v>
      </c>
      <c r="BT392" s="37">
        <f t="shared" si="350"/>
        <v>60404706.186981805</v>
      </c>
      <c r="BU392" s="36">
        <f t="shared" si="322"/>
        <v>1.9980649615552757</v>
      </c>
      <c r="BV392" s="37">
        <f t="shared" si="351"/>
        <v>-1.3033853064901035E-4</v>
      </c>
      <c r="BW392" s="37">
        <f t="shared" si="352"/>
        <v>-6.0004249450270046E-2</v>
      </c>
      <c r="BX392" s="37">
        <f t="shared" si="353"/>
        <v>-11.213855734383269</v>
      </c>
      <c r="BY392" s="39">
        <f t="shared" si="354"/>
        <v>1.925647786986277E-2</v>
      </c>
      <c r="BZ392" s="39">
        <f>BZ391+(1000*$C$2*($B392-$B391))/(BerechnungenCLT!$W$47*2*BT392)</f>
        <v>1.728900355173249E-2</v>
      </c>
      <c r="CA392" s="37">
        <f t="shared" si="323"/>
        <v>2.4458693675948273E-6</v>
      </c>
      <c r="CB392" s="173">
        <f t="shared" si="355"/>
        <v>1286.766951903676</v>
      </c>
      <c r="CC392" s="9">
        <v>-257.43888634420546</v>
      </c>
      <c r="CJ392" s="9">
        <f t="shared" si="371"/>
        <v>341</v>
      </c>
      <c r="CK392" s="129">
        <v>146.28822647368591</v>
      </c>
      <c r="CL392" s="9">
        <v>3.765625</v>
      </c>
      <c r="CM392" s="129">
        <f t="shared" si="356"/>
        <v>150.05606708831669</v>
      </c>
      <c r="CN392" s="36">
        <f t="shared" si="370"/>
        <v>5.963316859529973E-3</v>
      </c>
      <c r="CO392" s="173">
        <f t="shared" si="357"/>
        <v>1224.816099157011</v>
      </c>
      <c r="CP392" s="9">
        <v>-630.66961087949642</v>
      </c>
      <c r="CQ392" s="129"/>
      <c r="CR392" s="36">
        <f t="shared" si="358"/>
        <v>0.61310550912208484</v>
      </c>
      <c r="CS392" s="17">
        <f t="shared" si="324"/>
        <v>0.44074991391703916</v>
      </c>
      <c r="CT392" s="9">
        <f t="shared" si="325"/>
        <v>5.1262063330210301</v>
      </c>
      <c r="CU392" s="9">
        <f t="shared" si="359"/>
        <v>151.41744895880703</v>
      </c>
      <c r="CV392" s="9">
        <v>7.2</v>
      </c>
      <c r="CW392" s="9">
        <f t="shared" si="360"/>
        <v>153.49246280240735</v>
      </c>
      <c r="CX392">
        <f t="shared" si="361"/>
        <v>12</v>
      </c>
      <c r="CY392" s="9">
        <f t="shared" si="326"/>
        <v>365.57138239249741</v>
      </c>
      <c r="CZ392" s="17">
        <f t="shared" si="362"/>
        <v>0.34422917362758698</v>
      </c>
      <c r="DA392">
        <v>45</v>
      </c>
      <c r="DB392" s="9">
        <f t="shared" si="363"/>
        <v>5.8994195623476084</v>
      </c>
      <c r="DC392" s="9">
        <f t="shared" si="364"/>
        <v>6.5125251055750608</v>
      </c>
    </row>
    <row r="393" spans="2:107" x14ac:dyDescent="0.25">
      <c r="B393" s="9">
        <f t="shared" si="365"/>
        <v>342</v>
      </c>
      <c r="C393" s="9">
        <v>140.88127492369557</v>
      </c>
      <c r="D393" s="9"/>
      <c r="E393" s="9">
        <f t="shared" si="327"/>
        <v>140.88127492369557</v>
      </c>
      <c r="F393" s="36">
        <f t="shared" si="366"/>
        <v>0</v>
      </c>
      <c r="G393" s="37">
        <f t="shared" ref="G393:G421" si="372">(PI()/4)*(E393^4-C393^4)</f>
        <v>0</v>
      </c>
      <c r="H393" s="36" t="e">
        <f t="shared" si="312"/>
        <v>#DIV/0!</v>
      </c>
      <c r="I393" s="37" t="e">
        <f t="shared" si="328"/>
        <v>#DIV/0!</v>
      </c>
      <c r="J393" s="37" t="e">
        <f t="shared" si="329"/>
        <v>#DIV/0!</v>
      </c>
      <c r="K393" s="37" t="e">
        <f t="shared" si="330"/>
        <v>#DIV/0!</v>
      </c>
      <c r="L393" s="39" t="e">
        <f t="shared" si="313"/>
        <v>#DIV/0!</v>
      </c>
      <c r="M393" s="39" t="e">
        <f>M392+(1000*$C$2*(B393-B392))/(BerechnungenCLT!$W$47*2*'Berechnung freier Bereich'!G393)</f>
        <v>#DIV/0!</v>
      </c>
      <c r="N393" s="17" t="e">
        <f t="shared" si="331"/>
        <v>#DIV/0!</v>
      </c>
      <c r="O393" s="173">
        <f t="shared" si="332"/>
        <v>1354.8695618340807</v>
      </c>
      <c r="P393" s="173"/>
      <c r="Q393" s="173"/>
      <c r="R393" s="37" t="e">
        <f t="shared" si="314"/>
        <v>#DIV/0!</v>
      </c>
      <c r="S393" s="37" t="e">
        <f t="shared" si="315"/>
        <v>#DIV/0!</v>
      </c>
      <c r="T393" s="37" t="e">
        <f t="shared" si="316"/>
        <v>#DIV/0!</v>
      </c>
      <c r="U393" s="39" t="e">
        <f t="shared" si="317"/>
        <v>#DIV/0!</v>
      </c>
      <c r="V393" s="39" t="e">
        <f t="shared" si="333"/>
        <v>#DIV/0!</v>
      </c>
      <c r="W393" s="9" t="e">
        <f t="shared" si="334"/>
        <v>#DIV/0!</v>
      </c>
      <c r="AB393" s="129">
        <v>142.15006205123964</v>
      </c>
      <c r="AC393" s="9">
        <v>6.125</v>
      </c>
      <c r="AD393" s="129">
        <f t="shared" si="335"/>
        <v>148.27936364753452</v>
      </c>
      <c r="AE393" s="36">
        <f t="shared" si="367"/>
        <v>9.5071512186138303E-3</v>
      </c>
      <c r="AF393" s="37">
        <f t="shared" si="336"/>
        <v>58991048.18149513</v>
      </c>
      <c r="AG393" s="36">
        <f t="shared" si="318"/>
        <v>1.9982196283423277</v>
      </c>
      <c r="AH393" s="37">
        <f t="shared" si="337"/>
        <v>-1.3346195552372113E-4</v>
      </c>
      <c r="AI393" s="37">
        <f t="shared" si="338"/>
        <v>-5.7273790799528386E-2</v>
      </c>
      <c r="AJ393" s="37">
        <f t="shared" si="339"/>
        <v>-10.80509768693711</v>
      </c>
      <c r="AK393" s="39">
        <f t="shared" si="340"/>
        <v>1.9789653836212923E-2</v>
      </c>
      <c r="AL393" s="39">
        <f>AL392+(1000*$C$2*($B393-$B392))/(BerechnungenCLT!$W$47*2*AF393)</f>
        <v>1.649961837867946E-2</v>
      </c>
      <c r="AM393" s="37">
        <f t="shared" si="319"/>
        <v>2.5135909297853126E-6</v>
      </c>
      <c r="AN393" s="173">
        <f t="shared" si="341"/>
        <v>1275.2131769577584</v>
      </c>
      <c r="AO393" s="173">
        <v>-257.92940458332015</v>
      </c>
      <c r="AV393" s="129">
        <v>142.59830067083311</v>
      </c>
      <c r="AW393" s="9">
        <v>6.125</v>
      </c>
      <c r="AX393" s="129">
        <f t="shared" si="342"/>
        <v>148.72781525322782</v>
      </c>
      <c r="AY393" s="36">
        <f t="shared" si="368"/>
        <v>9.5368355825694237E-3</v>
      </c>
      <c r="AZ393" s="37">
        <f t="shared" si="343"/>
        <v>59541042.831381723</v>
      </c>
      <c r="BA393" s="36">
        <f t="shared" si="320"/>
        <v>1.9982304411476592</v>
      </c>
      <c r="BB393" s="37">
        <f t="shared" si="344"/>
        <v>-1.3222913597587873E-4</v>
      </c>
      <c r="BC393" s="37">
        <f t="shared" si="345"/>
        <v>-5.3827222670586664E-2</v>
      </c>
      <c r="BD393" s="37">
        <f t="shared" si="346"/>
        <v>-9.9731135717136379</v>
      </c>
      <c r="BE393" s="39">
        <f t="shared" si="347"/>
        <v>1.9666150506514431E-2</v>
      </c>
      <c r="BF393" s="39">
        <f>BF392+(1000*$C$2*($B393-$B392))/(BerechnungenCLT!$W$47*2*AZ393)</f>
        <v>1.5503203974930262E-2</v>
      </c>
      <c r="BG393" s="37">
        <f t="shared" si="321"/>
        <v>2.4979041041390577E-6</v>
      </c>
      <c r="BH393" s="173">
        <f t="shared" si="348"/>
        <v>1267.3751470040309</v>
      </c>
      <c r="BI393">
        <v>-257.92940458332015</v>
      </c>
      <c r="BP393" s="129">
        <v>141.45529765846808</v>
      </c>
      <c r="BQ393" s="9">
        <v>6.3125</v>
      </c>
      <c r="BR393" s="129">
        <f t="shared" si="349"/>
        <v>147.78588091306833</v>
      </c>
      <c r="BS393" s="36">
        <f t="shared" si="369"/>
        <v>9.7791845300480261E-3</v>
      </c>
      <c r="BT393" s="37">
        <f t="shared" si="350"/>
        <v>60185513.495564289</v>
      </c>
      <c r="BU393" s="36">
        <f t="shared" si="322"/>
        <v>1.9980852361505061</v>
      </c>
      <c r="BV393" s="37">
        <f t="shared" si="351"/>
        <v>-1.3081321719181881E-4</v>
      </c>
      <c r="BW393" s="37">
        <f t="shared" si="352"/>
        <v>-6.0135062667461867E-2</v>
      </c>
      <c r="BX393" s="37">
        <f t="shared" si="353"/>
        <v>-11.273925390442136</v>
      </c>
      <c r="BY393" s="39">
        <f t="shared" si="354"/>
        <v>1.9332346537765475E-2</v>
      </c>
      <c r="BZ393" s="39">
        <f>BZ392+(1000*$C$2*($B393-$B392))/(BerechnungenCLT!$W$47*2*BT393)</f>
        <v>1.7326822111726793E-2</v>
      </c>
      <c r="CA393" s="37">
        <f t="shared" si="323"/>
        <v>2.4555058573016949E-6</v>
      </c>
      <c r="CB393" s="173">
        <f t="shared" si="355"/>
        <v>1285.71224129657</v>
      </c>
      <c r="CC393" s="9">
        <v>-258.50127946276615</v>
      </c>
      <c r="CJ393" s="9">
        <f t="shared" si="371"/>
        <v>342</v>
      </c>
      <c r="CK393" s="129">
        <v>146.25391752196757</v>
      </c>
      <c r="CL393" s="9">
        <v>3.765625</v>
      </c>
      <c r="CM393" s="129">
        <f t="shared" si="356"/>
        <v>150.02175890049119</v>
      </c>
      <c r="CN393" s="36">
        <f t="shared" si="370"/>
        <v>5.9619372900378675E-3</v>
      </c>
      <c r="CO393" s="173">
        <f t="shared" si="357"/>
        <v>1225.383497131666</v>
      </c>
      <c r="CP393" s="9">
        <v>-630.96176956367412</v>
      </c>
      <c r="CQ393" s="129"/>
      <c r="CR393" s="36">
        <f t="shared" si="358"/>
        <v>0.61321303716135345</v>
      </c>
      <c r="CS393" s="17">
        <f t="shared" si="324"/>
        <v>0.44082721378361378</v>
      </c>
      <c r="CT393" s="9">
        <f t="shared" si="325"/>
        <v>5.1253074432674337</v>
      </c>
      <c r="CU393" s="9">
        <f t="shared" si="359"/>
        <v>151.38224162816459</v>
      </c>
      <c r="CV393" s="9">
        <v>7.2</v>
      </c>
      <c r="CW393" s="9">
        <f t="shared" si="360"/>
        <v>153.45815531127747</v>
      </c>
      <c r="CX393">
        <f t="shared" si="361"/>
        <v>12</v>
      </c>
      <c r="CY393" s="9">
        <f t="shared" si="326"/>
        <v>365.65713989643729</v>
      </c>
      <c r="CZ393" s="17">
        <f t="shared" si="362"/>
        <v>0.34430992457291648</v>
      </c>
      <c r="DA393">
        <v>45</v>
      </c>
      <c r="DB393" s="9">
        <f t="shared" si="363"/>
        <v>5.900803476736777</v>
      </c>
      <c r="DC393" s="9">
        <f t="shared" si="364"/>
        <v>6.5140165481083647</v>
      </c>
    </row>
    <row r="394" spans="2:107" x14ac:dyDescent="0.25">
      <c r="B394" s="9">
        <f t="shared" si="365"/>
        <v>343</v>
      </c>
      <c r="C394" s="9">
        <v>140.88000898564098</v>
      </c>
      <c r="D394" s="9"/>
      <c r="E394" s="9">
        <f t="shared" si="327"/>
        <v>140.88000898564098</v>
      </c>
      <c r="F394" s="36">
        <f t="shared" si="366"/>
        <v>0</v>
      </c>
      <c r="G394" s="37">
        <f t="shared" si="372"/>
        <v>0</v>
      </c>
      <c r="H394" s="36" t="e">
        <f t="shared" si="312"/>
        <v>#DIV/0!</v>
      </c>
      <c r="I394" s="37" t="e">
        <f t="shared" si="328"/>
        <v>#DIV/0!</v>
      </c>
      <c r="J394" s="37" t="e">
        <f t="shared" si="329"/>
        <v>#DIV/0!</v>
      </c>
      <c r="K394" s="37" t="e">
        <f t="shared" si="330"/>
        <v>#DIV/0!</v>
      </c>
      <c r="L394" s="39" t="e">
        <f t="shared" si="313"/>
        <v>#DIV/0!</v>
      </c>
      <c r="M394" s="39" t="e">
        <f>M393+(1000*$C$2*(B394-B393))/(BerechnungenCLT!$W$47*2*'Berechnung freier Bereich'!G394)</f>
        <v>#DIV/0!</v>
      </c>
      <c r="N394" s="17" t="e">
        <f t="shared" si="331"/>
        <v>#DIV/0!</v>
      </c>
      <c r="O394" s="173">
        <f t="shared" si="332"/>
        <v>1354.8939114725558</v>
      </c>
      <c r="P394" s="173"/>
      <c r="Q394" s="173"/>
      <c r="R394" s="37" t="e">
        <f t="shared" si="314"/>
        <v>#DIV/0!</v>
      </c>
      <c r="S394" s="37" t="e">
        <f t="shared" si="315"/>
        <v>#DIV/0!</v>
      </c>
      <c r="T394" s="37" t="e">
        <f t="shared" si="316"/>
        <v>#DIV/0!</v>
      </c>
      <c r="U394" s="39" t="e">
        <f t="shared" si="317"/>
        <v>#DIV/0!</v>
      </c>
      <c r="V394" s="39" t="e">
        <f t="shared" si="333"/>
        <v>#DIV/0!</v>
      </c>
      <c r="W394" s="9" t="e">
        <f t="shared" si="334"/>
        <v>#DIV/0!</v>
      </c>
      <c r="AB394" s="129">
        <v>142.18754666273699</v>
      </c>
      <c r="AC394" s="9">
        <v>6.125</v>
      </c>
      <c r="AD394" s="129">
        <f t="shared" si="335"/>
        <v>148.31744586179192</v>
      </c>
      <c r="AE394" s="36">
        <f t="shared" si="367"/>
        <v>9.5105520660703456E-3</v>
      </c>
      <c r="AF394" s="37">
        <f t="shared" si="336"/>
        <v>59042854.330037273</v>
      </c>
      <c r="AG394" s="36">
        <f t="shared" si="318"/>
        <v>1.9982202070576394</v>
      </c>
      <c r="AH394" s="37">
        <f t="shared" si="337"/>
        <v>-1.3334485160029056E-4</v>
      </c>
      <c r="AI394" s="37">
        <f t="shared" si="338"/>
        <v>-5.7407135651128677E-2</v>
      </c>
      <c r="AJ394" s="37">
        <f t="shared" si="339"/>
        <v>-10.862438150162438</v>
      </c>
      <c r="AK394" s="39">
        <f t="shared" si="340"/>
        <v>1.9777367808174774E-2</v>
      </c>
      <c r="AL394" s="39">
        <f>AL393+(1000*$C$2*($B394-$B393))/(BerechnungenCLT!$W$47*2*AF394)</f>
        <v>1.6538168843062445E-2</v>
      </c>
      <c r="AM394" s="37">
        <f t="shared" si="319"/>
        <v>2.5120304149377373E-6</v>
      </c>
      <c r="AN394" s="173">
        <f t="shared" si="341"/>
        <v>1274.5498404834484</v>
      </c>
      <c r="AO394" s="173">
        <v>-257.78523008966692</v>
      </c>
      <c r="AV394" s="129">
        <v>142.63670239777932</v>
      </c>
      <c r="AW394" s="9">
        <v>6.125</v>
      </c>
      <c r="AX394" s="129">
        <f t="shared" si="342"/>
        <v>148.76666967717574</v>
      </c>
      <c r="AY394" s="36">
        <f t="shared" si="368"/>
        <v>9.5400691680671279E-3</v>
      </c>
      <c r="AZ394" s="37">
        <f t="shared" si="343"/>
        <v>59592814.913014181</v>
      </c>
      <c r="BA394" s="36">
        <f t="shared" si="320"/>
        <v>1.9982311176028635</v>
      </c>
      <c r="BB394" s="37">
        <f t="shared" si="344"/>
        <v>-1.3211426008636208E-4</v>
      </c>
      <c r="BC394" s="37">
        <f t="shared" si="345"/>
        <v>-5.3959336930673028E-2</v>
      </c>
      <c r="BD394" s="37">
        <f t="shared" si="346"/>
        <v>-10.027006851514267</v>
      </c>
      <c r="BE394" s="39">
        <f t="shared" si="347"/>
        <v>1.965419848991231E-2</v>
      </c>
      <c r="BF394" s="39">
        <f>BF393+(1000*$C$2*($B394-$B393))/(BerechnungenCLT!$W$47*2*AZ394)</f>
        <v>1.5541398670989548E-2</v>
      </c>
      <c r="BG394" s="37">
        <f t="shared" si="321"/>
        <v>2.496386013889861E-6</v>
      </c>
      <c r="BH394" s="173">
        <f t="shared" si="348"/>
        <v>1266.7032292720264</v>
      </c>
      <c r="BI394">
        <v>-257.78523008966692</v>
      </c>
      <c r="BP394" s="129">
        <v>141.53104430426353</v>
      </c>
      <c r="BQ394" s="9">
        <v>6.3125</v>
      </c>
      <c r="BR394" s="129">
        <f t="shared" si="349"/>
        <v>147.86211786804043</v>
      </c>
      <c r="BS394" s="36">
        <f t="shared" si="369"/>
        <v>9.7850808685385135E-3</v>
      </c>
      <c r="BT394" s="37">
        <f t="shared" si="350"/>
        <v>60285080.857712105</v>
      </c>
      <c r="BU394" s="36">
        <f t="shared" si="322"/>
        <v>1.9980869492847335</v>
      </c>
      <c r="BV394" s="37">
        <f t="shared" si="351"/>
        <v>-1.3059716494830269E-4</v>
      </c>
      <c r="BW394" s="37">
        <f t="shared" si="352"/>
        <v>-6.0265659832410168E-2</v>
      </c>
      <c r="BX394" s="37">
        <f t="shared" si="353"/>
        <v>-11.334125751692072</v>
      </c>
      <c r="BY394" s="39">
        <f t="shared" si="354"/>
        <v>1.9310373396817852E-2</v>
      </c>
      <c r="BZ394" s="39">
        <f>BZ393+(1000*$C$2*($B394-$B393))/(BerechnungenCLT!$W$47*2*BT394)</f>
        <v>1.7364578210259565E-2</v>
      </c>
      <c r="CA394" s="37">
        <f t="shared" si="323"/>
        <v>2.4527149298685036E-6</v>
      </c>
      <c r="CB394" s="173">
        <f t="shared" si="355"/>
        <v>1284.3621343174505</v>
      </c>
      <c r="CC394" s="9">
        <v>-258.22983117884678</v>
      </c>
      <c r="CJ394" s="9">
        <f t="shared" si="371"/>
        <v>343</v>
      </c>
      <c r="CK394" s="129">
        <v>146.21960265455147</v>
      </c>
      <c r="CL394" s="9">
        <v>3.765625</v>
      </c>
      <c r="CM394" s="129">
        <f t="shared" si="356"/>
        <v>149.9874129793761</v>
      </c>
      <c r="CN394" s="36">
        <f t="shared" si="370"/>
        <v>5.9605065076402258E-3</v>
      </c>
      <c r="CO394" s="173">
        <f t="shared" si="357"/>
        <v>1225.951650781406</v>
      </c>
      <c r="CP394" s="9">
        <v>-631.25431735223424</v>
      </c>
      <c r="CQ394" s="129"/>
      <c r="CR394" s="36">
        <f t="shared" si="358"/>
        <v>0.613320717757314</v>
      </c>
      <c r="CS394" s="17">
        <f t="shared" si="324"/>
        <v>0.44090462332029878</v>
      </c>
      <c r="CT394" s="9">
        <f t="shared" si="325"/>
        <v>5.1244075940629417</v>
      </c>
      <c r="CU394" s="9">
        <f t="shared" si="359"/>
        <v>151.34698412283896</v>
      </c>
      <c r="CV394" s="9">
        <v>7.2</v>
      </c>
      <c r="CW394" s="9">
        <f t="shared" si="360"/>
        <v>153.42378106815806</v>
      </c>
      <c r="CX394">
        <f t="shared" si="361"/>
        <v>12</v>
      </c>
      <c r="CY394" s="9">
        <f t="shared" si="326"/>
        <v>365.74295244172879</v>
      </c>
      <c r="CZ394" s="17">
        <f t="shared" si="362"/>
        <v>0.34439072734626058</v>
      </c>
      <c r="DA394">
        <v>45</v>
      </c>
      <c r="DB394" s="9">
        <f t="shared" si="363"/>
        <v>5.9021882793574694</v>
      </c>
      <c r="DC394" s="9">
        <f t="shared" si="364"/>
        <v>6.5155090309370447</v>
      </c>
    </row>
    <row r="395" spans="2:107" x14ac:dyDescent="0.25">
      <c r="B395" s="9">
        <f t="shared" si="365"/>
        <v>344</v>
      </c>
      <c r="C395" s="9">
        <v>140.87962647735893</v>
      </c>
      <c r="D395" s="9"/>
      <c r="E395" s="9">
        <f t="shared" si="327"/>
        <v>140.87962647735893</v>
      </c>
      <c r="F395" s="36">
        <f t="shared" si="366"/>
        <v>0</v>
      </c>
      <c r="G395" s="37">
        <f t="shared" si="372"/>
        <v>0</v>
      </c>
      <c r="H395" s="36" t="e">
        <f t="shared" si="312"/>
        <v>#DIV/0!</v>
      </c>
      <c r="I395" s="37" t="e">
        <f t="shared" si="328"/>
        <v>#DIV/0!</v>
      </c>
      <c r="J395" s="37" t="e">
        <f t="shared" si="329"/>
        <v>#DIV/0!</v>
      </c>
      <c r="K395" s="37" t="e">
        <f t="shared" si="330"/>
        <v>#DIV/0!</v>
      </c>
      <c r="L395" s="39" t="e">
        <f t="shared" si="313"/>
        <v>#DIV/0!</v>
      </c>
      <c r="M395" s="39" t="e">
        <f>M394+(1000*$C$2*(B395-B394))/(BerechnungenCLT!$W$47*2*'Berechnung freier Bereich'!G395)</f>
        <v>#DIV/0!</v>
      </c>
      <c r="N395" s="17" t="e">
        <f t="shared" si="331"/>
        <v>#DIV/0!</v>
      </c>
      <c r="O395" s="173">
        <f t="shared" si="332"/>
        <v>1354.9012689430285</v>
      </c>
      <c r="P395" s="173"/>
      <c r="Q395" s="173"/>
      <c r="R395" s="37" t="e">
        <f t="shared" si="314"/>
        <v>#DIV/0!</v>
      </c>
      <c r="S395" s="37" t="e">
        <f t="shared" si="315"/>
        <v>#DIV/0!</v>
      </c>
      <c r="T395" s="37" t="e">
        <f t="shared" si="316"/>
        <v>#DIV/0!</v>
      </c>
      <c r="U395" s="39" t="e">
        <f t="shared" si="317"/>
        <v>#DIV/0!</v>
      </c>
      <c r="V395" s="39" t="e">
        <f t="shared" si="333"/>
        <v>#DIV/0!</v>
      </c>
      <c r="W395" s="9" t="e">
        <f t="shared" si="334"/>
        <v>#DIV/0!</v>
      </c>
      <c r="AB395" s="129">
        <v>142.22755139067891</v>
      </c>
      <c r="AC395" s="9">
        <v>6.125</v>
      </c>
      <c r="AD395" s="129">
        <f t="shared" si="335"/>
        <v>148.35807314282718</v>
      </c>
      <c r="AE395" s="36">
        <f t="shared" si="367"/>
        <v>9.5141579572574596E-3</v>
      </c>
      <c r="AF395" s="37">
        <f t="shared" si="336"/>
        <v>59098023.578714781</v>
      </c>
      <c r="AG395" s="36">
        <f t="shared" si="318"/>
        <v>1.9982208328907969</v>
      </c>
      <c r="AH395" s="37">
        <f t="shared" si="337"/>
        <v>-1.3322037137519465E-4</v>
      </c>
      <c r="AI395" s="37">
        <f t="shared" si="338"/>
        <v>-5.7540356022503875E-2</v>
      </c>
      <c r="AJ395" s="37">
        <f t="shared" si="339"/>
        <v>-10.919911895999254</v>
      </c>
      <c r="AK395" s="39">
        <f t="shared" si="340"/>
        <v>1.9764317600595729E-2</v>
      </c>
      <c r="AL395" s="39">
        <f>AL394+(1000*$C$2*($B395-$B394))/(BerechnungenCLT!$W$47*2*AF395)</f>
        <v>1.657668331977567E-2</v>
      </c>
      <c r="AM395" s="37">
        <f t="shared" si="319"/>
        <v>2.5103728375150098E-6</v>
      </c>
      <c r="AN395" s="173">
        <f t="shared" si="341"/>
        <v>1273.8426117205149</v>
      </c>
      <c r="AO395" s="173">
        <v>-257.64117644580602</v>
      </c>
      <c r="AV395" s="129">
        <v>142.67698423584801</v>
      </c>
      <c r="AW395" s="9">
        <v>6.125</v>
      </c>
      <c r="AX395" s="129">
        <f t="shared" si="342"/>
        <v>148.80741555956533</v>
      </c>
      <c r="AY395" s="36">
        <f t="shared" si="368"/>
        <v>9.5434442760073904E-3</v>
      </c>
      <c r="AZ395" s="37">
        <f t="shared" si="343"/>
        <v>59647044.255017251</v>
      </c>
      <c r="BA395" s="36">
        <f t="shared" si="320"/>
        <v>1.9982318327568216</v>
      </c>
      <c r="BB395" s="37">
        <f t="shared" si="344"/>
        <v>-1.3199414567862926E-4</v>
      </c>
      <c r="BC395" s="37">
        <f t="shared" si="345"/>
        <v>-5.4091331076351661E-2</v>
      </c>
      <c r="BD395" s="37">
        <f t="shared" si="346"/>
        <v>-10.081032185517779</v>
      </c>
      <c r="BE395" s="39">
        <f t="shared" si="347"/>
        <v>1.9641707687429587E-2</v>
      </c>
      <c r="BF395" s="39">
        <f>BF394+(1000*$C$2*($B395-$B394))/(BerechnungenCLT!$W$47*2*AZ395)</f>
        <v>1.5579558641552188E-2</v>
      </c>
      <c r="BG395" s="37">
        <f t="shared" si="321"/>
        <v>2.4947994895329336E-6</v>
      </c>
      <c r="BH395" s="173">
        <f t="shared" si="348"/>
        <v>1265.9990831193352</v>
      </c>
      <c r="BI395">
        <v>-257.64117644580602</v>
      </c>
      <c r="BP395" s="129">
        <v>141.60781246744457</v>
      </c>
      <c r="BQ395" s="9">
        <v>6.3125</v>
      </c>
      <c r="BR395" s="129">
        <f t="shared" si="349"/>
        <v>147.93937229813793</v>
      </c>
      <c r="BS395" s="36">
        <f t="shared" si="369"/>
        <v>9.7910407006934156E-3</v>
      </c>
      <c r="BT395" s="37">
        <f t="shared" si="350"/>
        <v>60385999.361454844</v>
      </c>
      <c r="BU395" s="36">
        <f t="shared" si="322"/>
        <v>1.9980886891953009</v>
      </c>
      <c r="BV395" s="37">
        <f t="shared" si="351"/>
        <v>-1.3037890789171683E-4</v>
      </c>
      <c r="BW395" s="37">
        <f t="shared" si="352"/>
        <v>-6.0396038740301881E-2</v>
      </c>
      <c r="BX395" s="37">
        <f t="shared" si="353"/>
        <v>-11.394456600978428</v>
      </c>
      <c r="BY395" s="39">
        <f t="shared" si="354"/>
        <v>1.9288173794417329E-2</v>
      </c>
      <c r="BZ395" s="39">
        <f>BZ394+(1000*$C$2*($B395-$B394))/(BerechnungenCLT!$W$47*2*BT395)</f>
        <v>1.7402271209911613E-2</v>
      </c>
      <c r="CA395" s="37">
        <f t="shared" si="323"/>
        <v>2.449895238341779E-6</v>
      </c>
      <c r="CB395" s="173">
        <f t="shared" si="355"/>
        <v>1282.9960828940407</v>
      </c>
      <c r="CC395" s="9">
        <v>-257.95517715485835</v>
      </c>
      <c r="CJ395" s="9">
        <f t="shared" si="371"/>
        <v>344</v>
      </c>
      <c r="CK395" s="129">
        <v>146.18552909830549</v>
      </c>
      <c r="CL395" s="9">
        <v>3.765625</v>
      </c>
      <c r="CM395" s="129">
        <f t="shared" si="356"/>
        <v>149.95327722462869</v>
      </c>
      <c r="CN395" s="36">
        <f t="shared" si="370"/>
        <v>5.959035574590937E-3</v>
      </c>
      <c r="CO395" s="173">
        <f t="shared" si="357"/>
        <v>1226.5164598900149</v>
      </c>
      <c r="CP395" s="9">
        <v>-631.54514300434062</v>
      </c>
      <c r="CQ395" s="129"/>
      <c r="CR395" s="36">
        <f t="shared" si="358"/>
        <v>0.61342777345561872</v>
      </c>
      <c r="CS395" s="17">
        <f t="shared" si="324"/>
        <v>0.4409815836299194</v>
      </c>
      <c r="CT395" s="9">
        <f t="shared" si="325"/>
        <v>5.1235132800831718</v>
      </c>
      <c r="CU395" s="9">
        <f t="shared" si="359"/>
        <v>151.31193110626577</v>
      </c>
      <c r="CV395" s="9">
        <v>7.2</v>
      </c>
      <c r="CW395" s="9">
        <f t="shared" si="360"/>
        <v>153.38958858631267</v>
      </c>
      <c r="CX395">
        <f t="shared" si="361"/>
        <v>12</v>
      </c>
      <c r="CY395" s="9">
        <f t="shared" si="326"/>
        <v>365.82820139310212</v>
      </c>
      <c r="CZ395" s="17">
        <f t="shared" si="362"/>
        <v>0.3444709994285331</v>
      </c>
      <c r="DA395">
        <v>45</v>
      </c>
      <c r="DB395" s="9">
        <f t="shared" si="363"/>
        <v>5.9035639869637659</v>
      </c>
      <c r="DC395" s="9">
        <f t="shared" si="364"/>
        <v>6.5169917933670707</v>
      </c>
    </row>
    <row r="396" spans="2:107" x14ac:dyDescent="0.25">
      <c r="B396" s="9">
        <f t="shared" si="365"/>
        <v>345</v>
      </c>
      <c r="C396" s="9">
        <v>140.88010872168718</v>
      </c>
      <c r="D396" s="9"/>
      <c r="E396" s="9">
        <f t="shared" si="327"/>
        <v>140.88010872168718</v>
      </c>
      <c r="F396" s="36">
        <f t="shared" si="366"/>
        <v>0</v>
      </c>
      <c r="G396" s="37">
        <f t="shared" si="372"/>
        <v>0</v>
      </c>
      <c r="H396" s="36" t="e">
        <f t="shared" si="312"/>
        <v>#DIV/0!</v>
      </c>
      <c r="I396" s="37" t="e">
        <f t="shared" si="328"/>
        <v>#DIV/0!</v>
      </c>
      <c r="J396" s="37" t="e">
        <f t="shared" si="329"/>
        <v>#DIV/0!</v>
      </c>
      <c r="K396" s="37" t="e">
        <f t="shared" si="330"/>
        <v>#DIV/0!</v>
      </c>
      <c r="L396" s="39" t="e">
        <f t="shared" si="313"/>
        <v>#DIV/0!</v>
      </c>
      <c r="M396" s="39" t="e">
        <f>M395+(1000*$C$2*(B396-B395))/(BerechnungenCLT!$W$47*2*'Berechnung freier Bereich'!G396)</f>
        <v>#DIV/0!</v>
      </c>
      <c r="N396" s="17" t="e">
        <f t="shared" si="331"/>
        <v>#DIV/0!</v>
      </c>
      <c r="O396" s="173">
        <f t="shared" si="332"/>
        <v>1354.8919930794607</v>
      </c>
      <c r="P396" s="173"/>
      <c r="Q396" s="173"/>
      <c r="R396" s="37" t="e">
        <f t="shared" si="314"/>
        <v>#DIV/0!</v>
      </c>
      <c r="S396" s="37" t="e">
        <f t="shared" si="315"/>
        <v>#DIV/0!</v>
      </c>
      <c r="T396" s="37" t="e">
        <f t="shared" si="316"/>
        <v>#DIV/0!</v>
      </c>
      <c r="U396" s="39" t="e">
        <f t="shared" si="317"/>
        <v>#DIV/0!</v>
      </c>
      <c r="V396" s="39" t="e">
        <f t="shared" si="333"/>
        <v>#DIV/0!</v>
      </c>
      <c r="W396" s="9" t="e">
        <f t="shared" si="334"/>
        <v>#DIV/0!</v>
      </c>
      <c r="AB396" s="129">
        <v>142.27002295564799</v>
      </c>
      <c r="AC396" s="9">
        <v>6.125</v>
      </c>
      <c r="AD396" s="129">
        <f t="shared" si="335"/>
        <v>148.40118979099583</v>
      </c>
      <c r="AE396" s="36">
        <f t="shared" si="367"/>
        <v>9.5179616492999455E-3</v>
      </c>
      <c r="AF396" s="37">
        <f t="shared" si="336"/>
        <v>59156472.737493157</v>
      </c>
      <c r="AG396" s="36">
        <f t="shared" si="318"/>
        <v>1.9982215058154178</v>
      </c>
      <c r="AH396" s="37">
        <f t="shared" si="337"/>
        <v>-1.3308874387479286E-4</v>
      </c>
      <c r="AI396" s="37">
        <f t="shared" si="338"/>
        <v>-5.7673444766378666E-2</v>
      </c>
      <c r="AJ396" s="37">
        <f t="shared" si="339"/>
        <v>-10.977518796393696</v>
      </c>
      <c r="AK396" s="39">
        <f t="shared" si="340"/>
        <v>1.9750527938808368E-2</v>
      </c>
      <c r="AL396" s="39">
        <f>AL395+(1000*$C$2*($B396-$B395))/(BerechnungenCLT!$W$47*2*AF396)</f>
        <v>1.6615159742516764E-2</v>
      </c>
      <c r="AM396" s="37">
        <f t="shared" si="319"/>
        <v>2.5086213380153022E-6</v>
      </c>
      <c r="AN396" s="173">
        <f t="shared" si="341"/>
        <v>1273.0925555964718</v>
      </c>
      <c r="AO396" s="173">
        <v>-257.49724351671063</v>
      </c>
      <c r="AV396" s="129">
        <v>142.71910643638969</v>
      </c>
      <c r="AW396" s="9">
        <v>6.125</v>
      </c>
      <c r="AX396" s="129">
        <f t="shared" si="342"/>
        <v>148.85001180629865</v>
      </c>
      <c r="AY396" s="36">
        <f t="shared" si="368"/>
        <v>9.5469562069859185E-3</v>
      </c>
      <c r="AZ396" s="37">
        <f t="shared" si="343"/>
        <v>59703672.771736026</v>
      </c>
      <c r="BA396" s="36">
        <f t="shared" si="320"/>
        <v>1.9982325863216901</v>
      </c>
      <c r="BB396" s="37">
        <f t="shared" si="344"/>
        <v>-1.3186895015315596E-4</v>
      </c>
      <c r="BC396" s="37">
        <f t="shared" si="345"/>
        <v>-5.4223200026504818E-2</v>
      </c>
      <c r="BD396" s="37">
        <f t="shared" si="346"/>
        <v>-10.135189451069207</v>
      </c>
      <c r="BE396" s="39">
        <f t="shared" si="347"/>
        <v>1.9628694787181475E-2</v>
      </c>
      <c r="BF396" s="39">
        <f>BF395+(1000*$C$2*($B396-$B395))/(BerechnungenCLT!$W$47*2*AZ396)</f>
        <v>1.5617682417649216E-2</v>
      </c>
      <c r="BG396" s="37">
        <f t="shared" si="321"/>
        <v>2.4931466507160155E-6</v>
      </c>
      <c r="BH396" s="173">
        <f t="shared" si="348"/>
        <v>1265.2634915353437</v>
      </c>
      <c r="BI396">
        <v>-257.49724351671063</v>
      </c>
      <c r="BP396" s="129">
        <v>141.68558055144916</v>
      </c>
      <c r="BQ396" s="9">
        <v>6.3125</v>
      </c>
      <c r="BR396" s="129">
        <f t="shared" si="349"/>
        <v>148.01762220003957</v>
      </c>
      <c r="BS396" s="36">
        <f t="shared" si="369"/>
        <v>9.7970619286344412E-3</v>
      </c>
      <c r="BT396" s="37">
        <f t="shared" si="350"/>
        <v>60488242.07181526</v>
      </c>
      <c r="BU396" s="36">
        <f t="shared" si="322"/>
        <v>1.9980904554348751</v>
      </c>
      <c r="BV396" s="37">
        <f t="shared" si="351"/>
        <v>-1.3015852964199265E-4</v>
      </c>
      <c r="BW396" s="37">
        <f t="shared" si="352"/>
        <v>-6.0526197269943877E-2</v>
      </c>
      <c r="BX396" s="37">
        <f t="shared" si="353"/>
        <v>-11.45491771898355</v>
      </c>
      <c r="BY396" s="39">
        <f t="shared" si="354"/>
        <v>1.926575606666112E-2</v>
      </c>
      <c r="BZ396" s="39">
        <f>BZ395+(1000*$C$2*($B396-$B395))/(BerechnungenCLT!$W$47*2*BT396)</f>
        <v>1.743990049743856E-2</v>
      </c>
      <c r="CA396" s="37">
        <f t="shared" si="323"/>
        <v>2.4470478415342968E-6</v>
      </c>
      <c r="CB396" s="173">
        <f t="shared" si="355"/>
        <v>1281.6145547469273</v>
      </c>
      <c r="CC396" s="9">
        <v>-257.67741142923802</v>
      </c>
      <c r="CJ396" s="9">
        <f t="shared" si="371"/>
        <v>345</v>
      </c>
      <c r="CK396" s="129">
        <v>146.15194408009742</v>
      </c>
      <c r="CL396" s="9">
        <v>3.765625</v>
      </c>
      <c r="CM396" s="129">
        <f t="shared" si="356"/>
        <v>149.91960022527246</v>
      </c>
      <c r="CN396" s="36">
        <f t="shared" si="370"/>
        <v>5.9575366551391402E-3</v>
      </c>
      <c r="CO396" s="173">
        <f t="shared" si="357"/>
        <v>1227.0738072222191</v>
      </c>
      <c r="CP396" s="9">
        <v>-631.83212651587996</v>
      </c>
      <c r="CQ396" s="129"/>
      <c r="CR396" s="36">
        <f t="shared" si="358"/>
        <v>0.61353342365610719</v>
      </c>
      <c r="CS396" s="17">
        <f t="shared" si="324"/>
        <v>0.44105753355383587</v>
      </c>
      <c r="CT396" s="9">
        <f t="shared" si="325"/>
        <v>5.1226310132263473</v>
      </c>
      <c r="CU396" s="9">
        <f t="shared" si="359"/>
        <v>151.27733819566825</v>
      </c>
      <c r="CV396" s="9">
        <v>7.2</v>
      </c>
      <c r="CW396" s="9">
        <f t="shared" si="360"/>
        <v>153.35582769709598</v>
      </c>
      <c r="CX396">
        <f t="shared" si="361"/>
        <v>12</v>
      </c>
      <c r="CY396" s="9">
        <f t="shared" si="326"/>
        <v>365.91226696528554</v>
      </c>
      <c r="CZ396" s="17">
        <f t="shared" si="362"/>
        <v>0.34455015721778298</v>
      </c>
      <c r="DA396">
        <v>45</v>
      </c>
      <c r="DB396" s="9">
        <f t="shared" si="363"/>
        <v>5.9049205977515502</v>
      </c>
      <c r="DC396" s="9">
        <f t="shared" si="364"/>
        <v>6.5184540398008597</v>
      </c>
    </row>
    <row r="397" spans="2:107" x14ac:dyDescent="0.25">
      <c r="B397" s="9">
        <f t="shared" si="365"/>
        <v>346</v>
      </c>
      <c r="C397" s="9">
        <v>140.88143704146356</v>
      </c>
      <c r="D397" s="9"/>
      <c r="E397" s="9">
        <f t="shared" si="327"/>
        <v>140.88143704146356</v>
      </c>
      <c r="F397" s="36">
        <f t="shared" si="366"/>
        <v>0</v>
      </c>
      <c r="G397" s="37">
        <f t="shared" si="372"/>
        <v>0</v>
      </c>
      <c r="H397" s="36" t="e">
        <f t="shared" si="312"/>
        <v>#DIV/0!</v>
      </c>
      <c r="I397" s="37" t="e">
        <f t="shared" si="328"/>
        <v>#DIV/0!</v>
      </c>
      <c r="J397" s="37" t="e">
        <f t="shared" si="329"/>
        <v>#DIV/0!</v>
      </c>
      <c r="K397" s="37" t="e">
        <f t="shared" si="330"/>
        <v>#DIV/0!</v>
      </c>
      <c r="L397" s="39" t="e">
        <f t="shared" si="313"/>
        <v>#DIV/0!</v>
      </c>
      <c r="M397" s="39" t="e">
        <f>M396+(1000*$C$2*(B397-B396))/(BerechnungenCLT!$W$47*2*'Berechnung freier Bereich'!G397)</f>
        <v>#DIV/0!</v>
      </c>
      <c r="N397" s="17" t="e">
        <f t="shared" si="331"/>
        <v>#DIV/0!</v>
      </c>
      <c r="O397" s="173">
        <f t="shared" si="332"/>
        <v>1354.8664436333083</v>
      </c>
      <c r="P397" s="173"/>
      <c r="Q397" s="173"/>
      <c r="R397" s="37" t="e">
        <f t="shared" si="314"/>
        <v>#DIV/0!</v>
      </c>
      <c r="S397" s="37" t="e">
        <f t="shared" si="315"/>
        <v>#DIV/0!</v>
      </c>
      <c r="T397" s="37" t="e">
        <f t="shared" si="316"/>
        <v>#DIV/0!</v>
      </c>
      <c r="U397" s="39" t="e">
        <f t="shared" si="317"/>
        <v>#DIV/0!</v>
      </c>
      <c r="V397" s="39" t="e">
        <f t="shared" si="333"/>
        <v>#DIV/0!</v>
      </c>
      <c r="W397" s="9" t="e">
        <f t="shared" si="334"/>
        <v>#DIV/0!</v>
      </c>
      <c r="AB397" s="129">
        <v>142.31490807822681</v>
      </c>
      <c r="AC397" s="9">
        <v>6.125</v>
      </c>
      <c r="AD397" s="129">
        <f t="shared" si="335"/>
        <v>148.44674015950761</v>
      </c>
      <c r="AE397" s="36">
        <f t="shared" si="367"/>
        <v>9.5219559809378278E-3</v>
      </c>
      <c r="AF397" s="37">
        <f t="shared" si="336"/>
        <v>59218119.281702042</v>
      </c>
      <c r="AG397" s="36">
        <f t="shared" si="318"/>
        <v>1.9982222257693856</v>
      </c>
      <c r="AH397" s="37">
        <f t="shared" si="337"/>
        <v>-1.3295019740907426E-4</v>
      </c>
      <c r="AI397" s="37">
        <f t="shared" si="338"/>
        <v>-5.7806394963787741E-2</v>
      </c>
      <c r="AJ397" s="37">
        <f t="shared" si="339"/>
        <v>-11.035258716258779</v>
      </c>
      <c r="AK397" s="39">
        <f t="shared" si="340"/>
        <v>1.9736023408940088E-2</v>
      </c>
      <c r="AL397" s="39">
        <f>AL396+(1000*$C$2*($B397-$B396))/(BerechnungenCLT!$W$47*2*AF397)</f>
        <v>1.665359611098859E-2</v>
      </c>
      <c r="AM397" s="37">
        <f t="shared" si="319"/>
        <v>2.5067790392555839E-6</v>
      </c>
      <c r="AN397" s="173">
        <f t="shared" si="341"/>
        <v>1272.3007397134775</v>
      </c>
      <c r="AO397" s="173">
        <v>-257.35343116754228</v>
      </c>
      <c r="AV397" s="129">
        <v>142.76302925075481</v>
      </c>
      <c r="AW397" s="9">
        <v>6.125</v>
      </c>
      <c r="AX397" s="129">
        <f t="shared" si="342"/>
        <v>148.89441735264182</v>
      </c>
      <c r="AY397" s="36">
        <f t="shared" si="368"/>
        <v>9.5506003062910474E-3</v>
      </c>
      <c r="AZ397" s="37">
        <f t="shared" si="343"/>
        <v>59762642.707275301</v>
      </c>
      <c r="BA397" s="36">
        <f t="shared" si="320"/>
        <v>1.9982333779902293</v>
      </c>
      <c r="BB397" s="37">
        <f t="shared" si="344"/>
        <v>-1.3173883034690422E-4</v>
      </c>
      <c r="BC397" s="37">
        <f t="shared" si="345"/>
        <v>-5.435493885685172E-2</v>
      </c>
      <c r="BD397" s="37">
        <f t="shared" si="346"/>
        <v>-10.189478520510885</v>
      </c>
      <c r="BE397" s="39">
        <f t="shared" si="347"/>
        <v>1.9615176387220833E-2</v>
      </c>
      <c r="BF397" s="39">
        <f>BF396+(1000*$C$2*($B397-$B396))/(BerechnungenCLT!$W$47*2*AZ397)</f>
        <v>1.5655768575653786E-2</v>
      </c>
      <c r="BG397" s="37">
        <f t="shared" si="321"/>
        <v>2.4914296056475416E-6</v>
      </c>
      <c r="BH397" s="173">
        <f t="shared" si="348"/>
        <v>1264.4972383274264</v>
      </c>
      <c r="BI397">
        <v>-257.35343116754228</v>
      </c>
      <c r="BP397" s="129">
        <v>141.76432695971522</v>
      </c>
      <c r="BQ397" s="9">
        <v>6.3125</v>
      </c>
      <c r="BR397" s="129">
        <f t="shared" si="349"/>
        <v>148.09684557934392</v>
      </c>
      <c r="BS397" s="36">
        <f t="shared" si="369"/>
        <v>9.8031424665113095E-3</v>
      </c>
      <c r="BT397" s="37">
        <f t="shared" si="350"/>
        <v>60591782.046227306</v>
      </c>
      <c r="BU397" s="36">
        <f t="shared" si="322"/>
        <v>1.9980922475518459</v>
      </c>
      <c r="BV397" s="37">
        <f t="shared" si="351"/>
        <v>-1.2993611316283447E-4</v>
      </c>
      <c r="BW397" s="37">
        <f t="shared" si="352"/>
        <v>-6.0656133383106714E-2</v>
      </c>
      <c r="BX397" s="37">
        <f t="shared" si="353"/>
        <v>-11.515508884310075</v>
      </c>
      <c r="BY397" s="39">
        <f t="shared" si="354"/>
        <v>1.9243128486256453E-2</v>
      </c>
      <c r="BZ397" s="39">
        <f>BZ396+(1000*$C$2*($B397-$B396))/(BerechnungenCLT!$W$47*2*BT397)</f>
        <v>1.7477465483581128E-2</v>
      </c>
      <c r="CA397" s="37">
        <f t="shared" si="323"/>
        <v>2.4441737902073315E-6</v>
      </c>
      <c r="CB397" s="173">
        <f t="shared" si="355"/>
        <v>1280.2180157802641</v>
      </c>
      <c r="CC397" s="9">
        <v>-257.39662767521702</v>
      </c>
      <c r="CJ397" s="9">
        <f t="shared" si="371"/>
        <v>346</v>
      </c>
      <c r="CK397" s="129">
        <v>146.11909482679511</v>
      </c>
      <c r="CL397" s="9">
        <v>3.7734375</v>
      </c>
      <c r="CM397" s="129">
        <f t="shared" si="356"/>
        <v>149.89444772549186</v>
      </c>
      <c r="CN397" s="36">
        <f t="shared" si="370"/>
        <v>5.9685375118418444E-3</v>
      </c>
      <c r="CO397" s="173">
        <f t="shared" si="357"/>
        <v>1227.5547271438811</v>
      </c>
      <c r="CP397" s="9">
        <v>-630.77110307651037</v>
      </c>
      <c r="CQ397" s="129"/>
      <c r="CR397" s="36">
        <f t="shared" si="358"/>
        <v>0.6136123526654591</v>
      </c>
      <c r="CS397" s="17">
        <f t="shared" si="324"/>
        <v>0.44111427412060589</v>
      </c>
      <c r="CT397" s="9">
        <f t="shared" si="325"/>
        <v>5.1325985868708894</v>
      </c>
      <c r="CU397" s="9">
        <f t="shared" si="359"/>
        <v>151.25429872318662</v>
      </c>
      <c r="CV397" s="9">
        <v>7.2</v>
      </c>
      <c r="CW397" s="9">
        <f t="shared" si="360"/>
        <v>153.32274955027114</v>
      </c>
      <c r="CX397">
        <f t="shared" si="361"/>
        <v>12</v>
      </c>
      <c r="CY397" s="9">
        <f t="shared" si="326"/>
        <v>365.99452825193134</v>
      </c>
      <c r="CZ397" s="17">
        <f t="shared" si="362"/>
        <v>0.34462761605643255</v>
      </c>
      <c r="DA397">
        <v>45</v>
      </c>
      <c r="DB397" s="9">
        <f t="shared" si="363"/>
        <v>5.9062480918253089</v>
      </c>
      <c r="DC397" s="9">
        <f t="shared" si="364"/>
        <v>6.519860474305351</v>
      </c>
    </row>
    <row r="398" spans="2:107" x14ac:dyDescent="0.25">
      <c r="B398" s="9">
        <f t="shared" si="365"/>
        <v>347</v>
      </c>
      <c r="C398" s="9">
        <v>140.88359275952581</v>
      </c>
      <c r="D398" s="9"/>
      <c r="E398" s="9">
        <f t="shared" si="327"/>
        <v>140.88359275952581</v>
      </c>
      <c r="F398" s="36">
        <f t="shared" si="366"/>
        <v>0</v>
      </c>
      <c r="G398" s="37">
        <f t="shared" si="372"/>
        <v>0</v>
      </c>
      <c r="H398" s="36" t="e">
        <f t="shared" si="312"/>
        <v>#DIV/0!</v>
      </c>
      <c r="I398" s="37" t="e">
        <f t="shared" si="328"/>
        <v>#DIV/0!</v>
      </c>
      <c r="J398" s="37" t="e">
        <f t="shared" si="329"/>
        <v>#DIV/0!</v>
      </c>
      <c r="K398" s="37" t="e">
        <f t="shared" si="330"/>
        <v>#DIV/0!</v>
      </c>
      <c r="L398" s="39" t="e">
        <f t="shared" si="313"/>
        <v>#DIV/0!</v>
      </c>
      <c r="M398" s="39" t="e">
        <f>M397+(1000*$C$2*(B398-B397))/(BerechnungenCLT!$W$47*2*'Berechnung freier Bereich'!G398)</f>
        <v>#DIV/0!</v>
      </c>
      <c r="N398" s="17" t="e">
        <f t="shared" si="331"/>
        <v>#DIV/0!</v>
      </c>
      <c r="O398" s="173">
        <f t="shared" si="332"/>
        <v>1354.8249812080285</v>
      </c>
      <c r="P398" s="173"/>
      <c r="Q398" s="173"/>
      <c r="R398" s="37" t="e">
        <f t="shared" si="314"/>
        <v>#DIV/0!</v>
      </c>
      <c r="S398" s="37" t="e">
        <f t="shared" si="315"/>
        <v>#DIV/0!</v>
      </c>
      <c r="T398" s="37" t="e">
        <f t="shared" si="316"/>
        <v>#DIV/0!</v>
      </c>
      <c r="U398" s="39" t="e">
        <f t="shared" si="317"/>
        <v>#DIV/0!</v>
      </c>
      <c r="V398" s="39" t="e">
        <f t="shared" si="333"/>
        <v>#DIV/0!</v>
      </c>
      <c r="W398" s="9" t="e">
        <f t="shared" si="334"/>
        <v>#DIV/0!</v>
      </c>
      <c r="AB398" s="129">
        <v>142.36215347899795</v>
      </c>
      <c r="AC398" s="9">
        <v>6.09375</v>
      </c>
      <c r="AD398" s="129">
        <f t="shared" si="335"/>
        <v>148.46338031174923</v>
      </c>
      <c r="AE398" s="36">
        <f t="shared" si="367"/>
        <v>9.4765116216369953E-3</v>
      </c>
      <c r="AF398" s="37">
        <f t="shared" si="336"/>
        <v>58961124.504091009</v>
      </c>
      <c r="AG398" s="36">
        <f t="shared" si="318"/>
        <v>1.9982406889558868</v>
      </c>
      <c r="AH398" s="37">
        <f t="shared" si="337"/>
        <v>-1.3352968951855934E-4</v>
      </c>
      <c r="AI398" s="37">
        <f t="shared" si="338"/>
        <v>-5.7939924653306302E-2</v>
      </c>
      <c r="AJ398" s="37">
        <f t="shared" si="339"/>
        <v>-11.093131876067327</v>
      </c>
      <c r="AK398" s="39">
        <f t="shared" si="340"/>
        <v>1.9824269077903672E-2</v>
      </c>
      <c r="AL398" s="39">
        <f>AL397+(1000*$C$2*($B398-$B397))/(BerechnungenCLT!$W$47*2*AF398)</f>
        <v>1.6692200012662174E-2</v>
      </c>
      <c r="AM398" s="37">
        <f t="shared" si="319"/>
        <v>2.5179875987855036E-6</v>
      </c>
      <c r="AN398" s="173">
        <f t="shared" si="341"/>
        <v>1271.74182930599</v>
      </c>
      <c r="AO398" s="173">
        <v>-258.58370868606869</v>
      </c>
      <c r="AV398" s="129">
        <v>142.80871293029395</v>
      </c>
      <c r="AW398" s="9">
        <v>6.09375</v>
      </c>
      <c r="AX398" s="129">
        <f t="shared" si="342"/>
        <v>148.90930607020829</v>
      </c>
      <c r="AY398" s="36">
        <f t="shared" si="368"/>
        <v>9.5046058532084459E-3</v>
      </c>
      <c r="AZ398" s="37">
        <f t="shared" si="343"/>
        <v>59499265.831832252</v>
      </c>
      <c r="BA398" s="36">
        <f t="shared" si="320"/>
        <v>1.9982517933166604</v>
      </c>
      <c r="BB398" s="37">
        <f t="shared" si="344"/>
        <v>-1.3232197975263565E-4</v>
      </c>
      <c r="BC398" s="37">
        <f t="shared" si="345"/>
        <v>-5.4487260836604358E-2</v>
      </c>
      <c r="BD398" s="37">
        <f t="shared" si="346"/>
        <v>-10.243899620357613</v>
      </c>
      <c r="BE398" s="39">
        <f t="shared" si="347"/>
        <v>1.9703974182801128E-2</v>
      </c>
      <c r="BF398" s="39">
        <f>BF397+(1000*$C$2*($B398-$B397))/(BerechnungenCLT!$W$47*2*AZ398)</f>
        <v>1.5694023324197292E-2</v>
      </c>
      <c r="BG398" s="37">
        <f t="shared" si="321"/>
        <v>2.502708293764214E-6</v>
      </c>
      <c r="BH398" s="173">
        <f t="shared" si="348"/>
        <v>1263.9721718460216</v>
      </c>
      <c r="BI398">
        <v>-258.58370868606869</v>
      </c>
      <c r="BP398" s="129">
        <v>141.84403009568069</v>
      </c>
      <c r="BQ398" s="9">
        <v>6.28125</v>
      </c>
      <c r="BR398" s="129">
        <f t="shared" si="349"/>
        <v>148.14566901316246</v>
      </c>
      <c r="BS398" s="36">
        <f t="shared" si="369"/>
        <v>9.7596643080088297E-3</v>
      </c>
      <c r="BT398" s="37">
        <f t="shared" si="350"/>
        <v>60376251.669356287</v>
      </c>
      <c r="BU398" s="36">
        <f t="shared" si="322"/>
        <v>1.9981124679246904</v>
      </c>
      <c r="BV398" s="37">
        <f t="shared" si="351"/>
        <v>-1.3039995745036176E-4</v>
      </c>
      <c r="BW398" s="37">
        <f t="shared" si="352"/>
        <v>-6.0786533340557072E-2</v>
      </c>
      <c r="BX398" s="37">
        <f t="shared" si="353"/>
        <v>-11.576230217671906</v>
      </c>
      <c r="BY398" s="39">
        <f t="shared" si="354"/>
        <v>1.9318188935771762E-2</v>
      </c>
      <c r="BZ398" s="39">
        <f>BZ397+(1000*$C$2*($B398-$B397))/(BerechnungenCLT!$W$47*2*BT398)</f>
        <v>1.7515164568734424E-2</v>
      </c>
      <c r="CA398" s="37">
        <f t="shared" si="323"/>
        <v>2.4537076237270487E-6</v>
      </c>
      <c r="CB398" s="173">
        <f t="shared" si="355"/>
        <v>1279.083454330349</v>
      </c>
      <c r="CC398" s="9">
        <v>-258.44796165555755</v>
      </c>
      <c r="CJ398" s="9">
        <f t="shared" si="371"/>
        <v>347</v>
      </c>
      <c r="CK398" s="129">
        <v>146.08722856526637</v>
      </c>
      <c r="CL398" s="9">
        <v>3.7734375</v>
      </c>
      <c r="CM398" s="129">
        <f t="shared" si="356"/>
        <v>149.86243646214533</v>
      </c>
      <c r="CN398" s="36">
        <f t="shared" si="370"/>
        <v>5.9670203586972264E-3</v>
      </c>
      <c r="CO398" s="173">
        <f t="shared" si="357"/>
        <v>1228.0846930752587</v>
      </c>
      <c r="CP398" s="9">
        <v>-631.04342266254275</v>
      </c>
      <c r="CQ398" s="129"/>
      <c r="CR398" s="36">
        <f t="shared" si="358"/>
        <v>0.61371283125375464</v>
      </c>
      <c r="CS398" s="17">
        <f t="shared" si="324"/>
        <v>0.4411865062706728</v>
      </c>
      <c r="CT398" s="9">
        <f t="shared" si="325"/>
        <v>5.1317582650883997</v>
      </c>
      <c r="CU398" s="9">
        <f t="shared" si="359"/>
        <v>151.22139451534122</v>
      </c>
      <c r="CV398" s="9">
        <v>7.2</v>
      </c>
      <c r="CW398" s="9">
        <f t="shared" si="360"/>
        <v>153.29060661446644</v>
      </c>
      <c r="CX398">
        <f t="shared" si="361"/>
        <v>12</v>
      </c>
      <c r="CY398" s="9">
        <f t="shared" si="326"/>
        <v>366.07436327563539</v>
      </c>
      <c r="CZ398" s="17">
        <f t="shared" si="362"/>
        <v>0.34470279027837608</v>
      </c>
      <c r="DA398">
        <v>45</v>
      </c>
      <c r="DB398" s="9">
        <f t="shared" si="363"/>
        <v>5.9075364320053243</v>
      </c>
      <c r="DC398" s="9">
        <f t="shared" si="364"/>
        <v>6.5212492908869315</v>
      </c>
    </row>
    <row r="399" spans="2:107" x14ac:dyDescent="0.25">
      <c r="B399" s="9">
        <f t="shared" si="365"/>
        <v>348</v>
      </c>
      <c r="C399" s="9">
        <v>140.88655719871176</v>
      </c>
      <c r="D399" s="9"/>
      <c r="E399" s="9">
        <f t="shared" si="327"/>
        <v>140.88655719871176</v>
      </c>
      <c r="F399" s="36">
        <f t="shared" si="366"/>
        <v>0</v>
      </c>
      <c r="G399" s="37">
        <f t="shared" si="372"/>
        <v>0</v>
      </c>
      <c r="H399" s="36" t="e">
        <f t="shared" si="312"/>
        <v>#DIV/0!</v>
      </c>
      <c r="I399" s="37" t="e">
        <f t="shared" si="328"/>
        <v>#DIV/0!</v>
      </c>
      <c r="J399" s="37" t="e">
        <f t="shared" si="329"/>
        <v>#DIV/0!</v>
      </c>
      <c r="K399" s="37" t="e">
        <f t="shared" si="330"/>
        <v>#DIV/0!</v>
      </c>
      <c r="L399" s="39" t="e">
        <f t="shared" si="313"/>
        <v>#DIV/0!</v>
      </c>
      <c r="M399" s="39" t="e">
        <f>M398+(1000*$C$2*(B399-B398))/(BerechnungenCLT!$W$47*2*'Berechnung freier Bereich'!G399)</f>
        <v>#DIV/0!</v>
      </c>
      <c r="N399" s="17" t="e">
        <f t="shared" si="331"/>
        <v>#DIV/0!</v>
      </c>
      <c r="O399" s="173">
        <f t="shared" si="332"/>
        <v>1354.7679671949084</v>
      </c>
      <c r="P399" s="173"/>
      <c r="Q399" s="173"/>
      <c r="R399" s="37" t="e">
        <f t="shared" si="314"/>
        <v>#DIV/0!</v>
      </c>
      <c r="S399" s="37" t="e">
        <f t="shared" si="315"/>
        <v>#DIV/0!</v>
      </c>
      <c r="T399" s="37" t="e">
        <f t="shared" si="316"/>
        <v>#DIV/0!</v>
      </c>
      <c r="U399" s="39" t="e">
        <f t="shared" si="317"/>
        <v>#DIV/0!</v>
      </c>
      <c r="V399" s="39" t="e">
        <f t="shared" si="333"/>
        <v>#DIV/0!</v>
      </c>
      <c r="W399" s="9" t="e">
        <f t="shared" si="334"/>
        <v>#DIV/0!</v>
      </c>
      <c r="AB399" s="129">
        <v>142.41170587854398</v>
      </c>
      <c r="AC399" s="9">
        <v>6.09375</v>
      </c>
      <c r="AD399" s="129">
        <f t="shared" si="335"/>
        <v>148.51362782755697</v>
      </c>
      <c r="AE399" s="36">
        <f t="shared" si="367"/>
        <v>9.4808436235886313E-3</v>
      </c>
      <c r="AF399" s="37">
        <f t="shared" si="336"/>
        <v>59028557.26416751</v>
      </c>
      <c r="AG399" s="36">
        <f t="shared" si="318"/>
        <v>1.9982414946295455</v>
      </c>
      <c r="AH399" s="37">
        <f t="shared" si="337"/>
        <v>-1.333771485124138E-4</v>
      </c>
      <c r="AI399" s="37">
        <f t="shared" si="338"/>
        <v>-5.8073301801818716E-2</v>
      </c>
      <c r="AJ399" s="37">
        <f t="shared" si="339"/>
        <v>-11.151138489294889</v>
      </c>
      <c r="AK399" s="39">
        <f t="shared" si="340"/>
        <v>1.9808324194873418E-2</v>
      </c>
      <c r="AL399" s="39">
        <f>AL398+(1000*$C$2*($B399-$B398))/(BerechnungenCLT!$W$47*2*AF399)</f>
        <v>1.6730759814195754E-2</v>
      </c>
      <c r="AM399" s="37">
        <f t="shared" si="319"/>
        <v>2.5159623529831748E-6</v>
      </c>
      <c r="AN399" s="173">
        <f t="shared" si="341"/>
        <v>1270.8694545572207</v>
      </c>
      <c r="AO399" s="173">
        <v>-258.43935482776487</v>
      </c>
      <c r="AV399" s="129">
        <v>142.85611772635744</v>
      </c>
      <c r="AW399" s="9">
        <v>6.09375</v>
      </c>
      <c r="AX399" s="129">
        <f t="shared" si="342"/>
        <v>148.95720460706099</v>
      </c>
      <c r="AY399" s="36">
        <f t="shared" si="368"/>
        <v>9.5084804670735774E-3</v>
      </c>
      <c r="AZ399" s="37">
        <f t="shared" si="343"/>
        <v>59562406.9352948</v>
      </c>
      <c r="BA399" s="36">
        <f t="shared" si="320"/>
        <v>1.9982526516584833</v>
      </c>
      <c r="BB399" s="37">
        <f t="shared" si="344"/>
        <v>-1.3218170745264268E-4</v>
      </c>
      <c r="BC399" s="37">
        <f t="shared" si="345"/>
        <v>-5.4619442544056998E-2</v>
      </c>
      <c r="BD399" s="37">
        <f t="shared" si="346"/>
        <v>-10.298452972047944</v>
      </c>
      <c r="BE399" s="39">
        <f t="shared" si="347"/>
        <v>1.9689417642333975E-2</v>
      </c>
      <c r="BF399" s="39">
        <f>BF398+(1000*$C$2*($B399-$B398))/(BerechnungenCLT!$W$47*2*AZ399)</f>
        <v>1.5732237519526782E-2</v>
      </c>
      <c r="BG399" s="37">
        <f t="shared" si="321"/>
        <v>2.5008593888571293E-6</v>
      </c>
      <c r="BH399" s="173">
        <f t="shared" si="348"/>
        <v>1263.1467051463994</v>
      </c>
      <c r="BI399">
        <v>-258.43935482776487</v>
      </c>
      <c r="BP399" s="129">
        <v>141.92466836278351</v>
      </c>
      <c r="BQ399" s="9">
        <v>6.28125</v>
      </c>
      <c r="BR399" s="129">
        <f t="shared" si="349"/>
        <v>148.22677109219282</v>
      </c>
      <c r="BS399" s="36">
        <f t="shared" si="369"/>
        <v>9.7658264428150763E-3</v>
      </c>
      <c r="BT399" s="37">
        <f t="shared" si="350"/>
        <v>60481755.329065509</v>
      </c>
      <c r="BU399" s="36">
        <f t="shared" si="322"/>
        <v>1.9981142928445583</v>
      </c>
      <c r="BV399" s="37">
        <f t="shared" si="351"/>
        <v>-1.3017248930460295E-4</v>
      </c>
      <c r="BW399" s="37">
        <f t="shared" si="352"/>
        <v>-6.0916705829861674E-2</v>
      </c>
      <c r="BX399" s="37">
        <f t="shared" si="353"/>
        <v>-11.637081837257115</v>
      </c>
      <c r="BY399" s="39">
        <f t="shared" si="354"/>
        <v>1.9295047774654298E-2</v>
      </c>
      <c r="BZ399" s="39">
        <f>BZ398+(1000*$C$2*($B399-$B398))/(BerechnungenCLT!$W$47*2*BT399)</f>
        <v>1.7552797892048805E-2</v>
      </c>
      <c r="CA399" s="37">
        <f t="shared" si="323"/>
        <v>2.4507683397369914E-6</v>
      </c>
      <c r="CB399" s="173">
        <f t="shared" si="355"/>
        <v>1277.6578419660289</v>
      </c>
      <c r="CC399" s="9">
        <v>-258.15990647946859</v>
      </c>
      <c r="CJ399" s="9">
        <f t="shared" si="371"/>
        <v>348</v>
      </c>
      <c r="CK399" s="129">
        <v>146.05659252237908</v>
      </c>
      <c r="CL399" s="9">
        <v>3.7734375</v>
      </c>
      <c r="CM399" s="129">
        <f t="shared" si="356"/>
        <v>149.83163381474304</v>
      </c>
      <c r="CN399" s="36">
        <f t="shared" si="370"/>
        <v>5.9655183373520625E-3</v>
      </c>
      <c r="CO399" s="173">
        <f t="shared" si="357"/>
        <v>1228.594748845424</v>
      </c>
      <c r="CP399" s="9">
        <v>-631.30551154026341</v>
      </c>
      <c r="CQ399" s="129"/>
      <c r="CR399" s="36">
        <f t="shared" si="358"/>
        <v>0.61380954436655455</v>
      </c>
      <c r="CS399" s="17">
        <f t="shared" si="324"/>
        <v>0.4412560314918737</v>
      </c>
      <c r="CT399" s="9">
        <f t="shared" si="325"/>
        <v>5.1309496945464321</v>
      </c>
      <c r="CU399" s="9">
        <f t="shared" si="359"/>
        <v>151.18972298126573</v>
      </c>
      <c r="CV399" s="9">
        <v>7.2</v>
      </c>
      <c r="CW399" s="9">
        <f t="shared" si="360"/>
        <v>153.25965267774686</v>
      </c>
      <c r="CX399">
        <f t="shared" si="361"/>
        <v>12</v>
      </c>
      <c r="CY399" s="9">
        <f t="shared" si="326"/>
        <v>366.15114905914282</v>
      </c>
      <c r="CZ399" s="17">
        <f t="shared" si="362"/>
        <v>0.34477509327602901</v>
      </c>
      <c r="DA399">
        <v>45</v>
      </c>
      <c r="DB399" s="9">
        <f t="shared" si="363"/>
        <v>5.9087755649767546</v>
      </c>
      <c r="DC399" s="9">
        <f t="shared" si="364"/>
        <v>6.5225851344335011</v>
      </c>
    </row>
    <row r="400" spans="2:107" x14ac:dyDescent="0.25">
      <c r="B400" s="9">
        <f t="shared" si="365"/>
        <v>349</v>
      </c>
      <c r="C400" s="9">
        <v>140.89031168185917</v>
      </c>
      <c r="D400" s="9"/>
      <c r="E400" s="9">
        <f t="shared" si="327"/>
        <v>140.89031168185917</v>
      </c>
      <c r="F400" s="36">
        <f t="shared" si="366"/>
        <v>0</v>
      </c>
      <c r="G400" s="37">
        <f t="shared" si="372"/>
        <v>0</v>
      </c>
      <c r="H400" s="36" t="e">
        <f t="shared" si="312"/>
        <v>#DIV/0!</v>
      </c>
      <c r="I400" s="37" t="e">
        <f t="shared" si="328"/>
        <v>#DIV/0!</v>
      </c>
      <c r="J400" s="37" t="e">
        <f t="shared" si="329"/>
        <v>#DIV/0!</v>
      </c>
      <c r="K400" s="37" t="e">
        <f t="shared" si="330"/>
        <v>#DIV/0!</v>
      </c>
      <c r="L400" s="39" t="e">
        <f t="shared" si="313"/>
        <v>#DIV/0!</v>
      </c>
      <c r="M400" s="39" t="e">
        <f>M399+(1000*$C$2*(B400-B399))/(BerechnungenCLT!$W$47*2*'Berechnung freier Bereich'!G400)</f>
        <v>#DIV/0!</v>
      </c>
      <c r="N400" s="17" t="e">
        <f t="shared" si="331"/>
        <v>#DIV/0!</v>
      </c>
      <c r="O400" s="173">
        <f t="shared" si="332"/>
        <v>1354.6957637102514</v>
      </c>
      <c r="P400" s="173"/>
      <c r="Q400" s="173"/>
      <c r="R400" s="37" t="e">
        <f t="shared" si="314"/>
        <v>#DIV/0!</v>
      </c>
      <c r="S400" s="37" t="e">
        <f t="shared" si="315"/>
        <v>#DIV/0!</v>
      </c>
      <c r="T400" s="37" t="e">
        <f t="shared" si="316"/>
        <v>#DIV/0!</v>
      </c>
      <c r="U400" s="39" t="e">
        <f t="shared" si="317"/>
        <v>#DIV/0!</v>
      </c>
      <c r="V400" s="39" t="e">
        <f t="shared" si="333"/>
        <v>#DIV/0!</v>
      </c>
      <c r="W400" s="9" t="e">
        <f t="shared" si="334"/>
        <v>#DIV/0!</v>
      </c>
      <c r="AB400" s="129">
        <v>142.46351199744743</v>
      </c>
      <c r="AC400" s="9">
        <v>6.09375</v>
      </c>
      <c r="AD400" s="129">
        <f t="shared" si="335"/>
        <v>148.56614237269645</v>
      </c>
      <c r="AE400" s="36">
        <f t="shared" si="367"/>
        <v>9.4853443958519343E-3</v>
      </c>
      <c r="AF400" s="37">
        <f t="shared" si="336"/>
        <v>59098927.744184248</v>
      </c>
      <c r="AG400" s="36">
        <f t="shared" si="318"/>
        <v>1.9982423464753036</v>
      </c>
      <c r="AH400" s="37">
        <f t="shared" si="337"/>
        <v>-1.3321833321199567E-4</v>
      </c>
      <c r="AI400" s="37">
        <f t="shared" si="338"/>
        <v>-5.8206520135030713E-2</v>
      </c>
      <c r="AJ400" s="37">
        <f t="shared" si="339"/>
        <v>-11.209278400263313</v>
      </c>
      <c r="AK400" s="39">
        <f t="shared" si="340"/>
        <v>1.9791733858626665E-2</v>
      </c>
      <c r="AL400" s="39">
        <f>AL399+(1000*$C$2*($B400-$B399))/(BerechnungenCLT!$W$47*2*AF400)</f>
        <v>1.6769273701668846E-2</v>
      </c>
      <c r="AM400" s="37">
        <f t="shared" si="319"/>
        <v>2.5138551246780685E-6</v>
      </c>
      <c r="AN400" s="173">
        <f t="shared" si="341"/>
        <v>1269.958522067067</v>
      </c>
      <c r="AO400" s="173">
        <v>-258.2951218136256</v>
      </c>
      <c r="AV400" s="129">
        <v>142.90520389029587</v>
      </c>
      <c r="AW400" s="9">
        <v>6.09375</v>
      </c>
      <c r="AX400" s="129">
        <f t="shared" si="342"/>
        <v>149.00678940050526</v>
      </c>
      <c r="AY400" s="36">
        <f t="shared" si="368"/>
        <v>9.5124729451061801E-3</v>
      </c>
      <c r="AZ400" s="37">
        <f t="shared" si="343"/>
        <v>59627706.450761437</v>
      </c>
      <c r="BA400" s="36">
        <f t="shared" si="320"/>
        <v>1.9982535467028639</v>
      </c>
      <c r="BB400" s="37">
        <f t="shared" si="344"/>
        <v>-1.3203695257334278E-4</v>
      </c>
      <c r="BC400" s="37">
        <f t="shared" si="345"/>
        <v>-5.475147949663034E-2</v>
      </c>
      <c r="BD400" s="37">
        <f t="shared" si="346"/>
        <v>-10.353138433068287</v>
      </c>
      <c r="BE400" s="39">
        <f t="shared" si="347"/>
        <v>1.9674402385180586E-2</v>
      </c>
      <c r="BF400" s="39">
        <f>BF399+(1000*$C$2*($B400-$B399))/(BerechnungenCLT!$W$47*2*AZ400)</f>
        <v>1.5770409865712855E-2</v>
      </c>
      <c r="BG400" s="37">
        <f t="shared" si="321"/>
        <v>2.4989522198635977E-6</v>
      </c>
      <c r="BH400" s="173">
        <f t="shared" si="348"/>
        <v>1262.2929215876195</v>
      </c>
      <c r="BI400">
        <v>-258.2951218136256</v>
      </c>
      <c r="BP400" s="129">
        <v>142.00622016446161</v>
      </c>
      <c r="BQ400" s="9">
        <v>6.28125</v>
      </c>
      <c r="BR400" s="129">
        <f t="shared" si="349"/>
        <v>148.3087807485141</v>
      </c>
      <c r="BS400" s="36">
        <f t="shared" si="369"/>
        <v>9.7720414411400659E-3</v>
      </c>
      <c r="BT400" s="37">
        <f t="shared" si="350"/>
        <v>60588469.091905087</v>
      </c>
      <c r="BU400" s="36">
        <f t="shared" si="322"/>
        <v>1.998116142028544</v>
      </c>
      <c r="BV400" s="37">
        <f t="shared" si="351"/>
        <v>-1.2994321801981744E-4</v>
      </c>
      <c r="BW400" s="37">
        <f t="shared" si="352"/>
        <v>-6.1046649047881492E-2</v>
      </c>
      <c r="BX400" s="37">
        <f t="shared" si="353"/>
        <v>-11.698063514695987</v>
      </c>
      <c r="BY400" s="39">
        <f t="shared" si="354"/>
        <v>1.9271720231057471E-2</v>
      </c>
      <c r="BZ400" s="39">
        <f>BZ399+(1000*$C$2*($B400-$B399))/(BerechnungenCLT!$W$47*2*BT400)</f>
        <v>1.759036493223045E-2</v>
      </c>
      <c r="CA400" s="37">
        <f t="shared" si="323"/>
        <v>2.4478053823005221E-6</v>
      </c>
      <c r="CB400" s="173">
        <f t="shared" si="355"/>
        <v>1276.2186003760089</v>
      </c>
      <c r="CC400" s="9">
        <v>-257.8690974208327</v>
      </c>
      <c r="CJ400" s="9">
        <f t="shared" si="371"/>
        <v>349</v>
      </c>
      <c r="CK400" s="129">
        <v>146.02743392500099</v>
      </c>
      <c r="CL400" s="9">
        <v>3.7734375</v>
      </c>
      <c r="CM400" s="129">
        <f t="shared" si="356"/>
        <v>149.8022911406448</v>
      </c>
      <c r="CN400" s="36">
        <f t="shared" si="370"/>
        <v>5.9640480401416743E-3</v>
      </c>
      <c r="CO400" s="173">
        <f t="shared" si="357"/>
        <v>1229.0807139499252</v>
      </c>
      <c r="CP400" s="9">
        <v>-631.5552215843411</v>
      </c>
      <c r="CQ400" s="129"/>
      <c r="CR400" s="36">
        <f t="shared" si="358"/>
        <v>0.61390169922629656</v>
      </c>
      <c r="CS400" s="17">
        <f t="shared" si="324"/>
        <v>0.44132227987146583</v>
      </c>
      <c r="CT400" s="9">
        <f t="shared" si="325"/>
        <v>5.1301794703394616</v>
      </c>
      <c r="CU400" s="9">
        <f t="shared" si="359"/>
        <v>151.15954357069106</v>
      </c>
      <c r="CV400" s="9">
        <v>7.2</v>
      </c>
      <c r="CW400" s="9">
        <f t="shared" si="360"/>
        <v>153.23014284826669</v>
      </c>
      <c r="CX400">
        <f t="shared" si="361"/>
        <v>12</v>
      </c>
      <c r="CY400" s="9">
        <f t="shared" si="326"/>
        <v>366.22426171782598</v>
      </c>
      <c r="CZ400" s="17">
        <f t="shared" si="362"/>
        <v>0.34484393758740672</v>
      </c>
      <c r="DA400">
        <v>45</v>
      </c>
      <c r="DB400" s="9">
        <f t="shared" si="363"/>
        <v>5.9099554227820015</v>
      </c>
      <c r="DC400" s="9">
        <f t="shared" si="364"/>
        <v>6.5238571442646531</v>
      </c>
    </row>
    <row r="401" spans="2:107" x14ac:dyDescent="0.25">
      <c r="B401" s="9">
        <f t="shared" si="365"/>
        <v>350</v>
      </c>
      <c r="C401" s="9">
        <v>140.89483753180588</v>
      </c>
      <c r="D401" s="9"/>
      <c r="E401" s="9">
        <f t="shared" si="327"/>
        <v>140.89483753180588</v>
      </c>
      <c r="F401" s="36">
        <f t="shared" si="366"/>
        <v>0</v>
      </c>
      <c r="G401" s="37">
        <f t="shared" si="372"/>
        <v>0</v>
      </c>
      <c r="H401" s="36" t="e">
        <f t="shared" si="312"/>
        <v>#DIV/0!</v>
      </c>
      <c r="I401" s="37" t="e">
        <f t="shared" si="328"/>
        <v>#DIV/0!</v>
      </c>
      <c r="J401" s="37" t="e">
        <f t="shared" si="329"/>
        <v>#DIV/0!</v>
      </c>
      <c r="K401" s="37" t="e">
        <f t="shared" si="330"/>
        <v>#DIV/0!</v>
      </c>
      <c r="L401" s="39" t="e">
        <f t="shared" si="313"/>
        <v>#DIV/0!</v>
      </c>
      <c r="M401" s="39" t="e">
        <f>M400+(1000*$C$2*(B401-B400))/(BerechnungenCLT!$W$47*2*'Berechnung freier Bereich'!G401)</f>
        <v>#DIV/0!</v>
      </c>
      <c r="N401" s="17" t="e">
        <f t="shared" si="331"/>
        <v>#DIV/0!</v>
      </c>
      <c r="O401" s="173">
        <f t="shared" si="332"/>
        <v>1354.6087335339239</v>
      </c>
      <c r="P401" s="173"/>
      <c r="Q401" s="173"/>
      <c r="R401" s="37" t="e">
        <f t="shared" si="314"/>
        <v>#DIV/0!</v>
      </c>
      <c r="S401" s="37" t="e">
        <f t="shared" si="315"/>
        <v>#DIV/0!</v>
      </c>
      <c r="T401" s="37" t="e">
        <f t="shared" si="316"/>
        <v>#DIV/0!</v>
      </c>
      <c r="U401" s="39" t="e">
        <f t="shared" si="317"/>
        <v>#DIV/0!</v>
      </c>
      <c r="V401" s="39" t="e">
        <f t="shared" si="333"/>
        <v>#DIV/0!</v>
      </c>
      <c r="W401" s="9" t="e">
        <f t="shared" si="334"/>
        <v>#DIV/0!</v>
      </c>
      <c r="AB401" s="129">
        <v>142.51751855629084</v>
      </c>
      <c r="AC401" s="9">
        <v>6.09375</v>
      </c>
      <c r="AD401" s="129">
        <f t="shared" si="335"/>
        <v>148.62086852322702</v>
      </c>
      <c r="AE401" s="36">
        <f t="shared" si="367"/>
        <v>9.4900071341811644E-3</v>
      </c>
      <c r="AF401" s="37">
        <f t="shared" si="336"/>
        <v>59172156.200128056</v>
      </c>
      <c r="AG401" s="36">
        <f t="shared" si="318"/>
        <v>1.9982432442927724</v>
      </c>
      <c r="AH401" s="37">
        <f t="shared" si="337"/>
        <v>-1.3305346896720581E-4</v>
      </c>
      <c r="AI401" s="37">
        <f t="shared" si="338"/>
        <v>-5.833957360399792E-2</v>
      </c>
      <c r="AJ401" s="37">
        <f t="shared" si="339"/>
        <v>-11.267551447132828</v>
      </c>
      <c r="AK401" s="39">
        <f t="shared" si="340"/>
        <v>1.9774522117934359E-2</v>
      </c>
      <c r="AL401" s="39">
        <f>AL400+(1000*$C$2*($B401-$B400))/(BerechnungenCLT!$W$47*2*AF401)</f>
        <v>1.6807739926310412E-2</v>
      </c>
      <c r="AM401" s="37">
        <f t="shared" si="319"/>
        <v>2.5116689684346059E-6</v>
      </c>
      <c r="AN401" s="173">
        <f t="shared" si="341"/>
        <v>1269.0101054292677</v>
      </c>
      <c r="AO401" s="173">
        <v>-258.15100950880412</v>
      </c>
      <c r="AV401" s="129">
        <v>142.95593167345962</v>
      </c>
      <c r="AW401" s="9">
        <v>6.09375</v>
      </c>
      <c r="AX401" s="129">
        <f t="shared" si="342"/>
        <v>149.05801950943228</v>
      </c>
      <c r="AY401" s="36">
        <f t="shared" si="368"/>
        <v>9.5165788325895437E-3</v>
      </c>
      <c r="AZ401" s="37">
        <f t="shared" si="343"/>
        <v>59695108.089343496</v>
      </c>
      <c r="BA401" s="36">
        <f t="shared" si="320"/>
        <v>1.9982544780708817</v>
      </c>
      <c r="BB401" s="37">
        <f t="shared" si="344"/>
        <v>-1.3188786988898771E-4</v>
      </c>
      <c r="BC401" s="37">
        <f t="shared" si="345"/>
        <v>-5.4883367366519324E-2</v>
      </c>
      <c r="BD401" s="37">
        <f t="shared" si="346"/>
        <v>-10.407955856499861</v>
      </c>
      <c r="BE401" s="39">
        <f t="shared" si="347"/>
        <v>1.9658944682970199E-2</v>
      </c>
      <c r="BF401" s="39">
        <f>BF400+(1000*$C$2*($B401-$B400))/(BerechnungenCLT!$W$47*2*AZ401)</f>
        <v>1.5808539111571884E-2</v>
      </c>
      <c r="BG401" s="37">
        <f t="shared" si="321"/>
        <v>2.4969888535312236E-6</v>
      </c>
      <c r="BH401" s="173">
        <f t="shared" si="348"/>
        <v>1261.4116057685173</v>
      </c>
      <c r="BI401">
        <v>-258.15100950880412</v>
      </c>
      <c r="BP401" s="129">
        <v>142.08866390415295</v>
      </c>
      <c r="BQ401" s="9">
        <v>6.28125</v>
      </c>
      <c r="BR401" s="129">
        <f t="shared" si="349"/>
        <v>148.39167602513243</v>
      </c>
      <c r="BS401" s="36">
        <f t="shared" si="369"/>
        <v>9.7783072754445526E-3</v>
      </c>
      <c r="BT401" s="37">
        <f t="shared" si="350"/>
        <v>60696366.089962907</v>
      </c>
      <c r="BU401" s="36">
        <f t="shared" si="322"/>
        <v>1.9981180150136197</v>
      </c>
      <c r="BV401" s="37">
        <f t="shared" si="351"/>
        <v>-1.2971222423805578E-4</v>
      </c>
      <c r="BW401" s="37">
        <f t="shared" si="352"/>
        <v>-6.1176361272119548E-2</v>
      </c>
      <c r="BX401" s="37">
        <f t="shared" si="353"/>
        <v>-11.759175019855988</v>
      </c>
      <c r="BY401" s="39">
        <f t="shared" si="354"/>
        <v>1.9248214355632905E-2</v>
      </c>
      <c r="BZ401" s="39">
        <f>BZ400+(1000*$C$2*($B401-$B400))/(BerechnungenCLT!$W$47*2*BT401)</f>
        <v>1.7627865191299441E-2</v>
      </c>
      <c r="CA401" s="37">
        <f t="shared" si="323"/>
        <v>2.4448197739744309E-6</v>
      </c>
      <c r="CB401" s="173">
        <f t="shared" si="355"/>
        <v>1274.7661876184443</v>
      </c>
      <c r="CC401" s="9">
        <v>-257.57562703357672</v>
      </c>
      <c r="CJ401" s="9">
        <f t="shared" si="371"/>
        <v>350</v>
      </c>
      <c r="CK401" s="129">
        <v>146</v>
      </c>
      <c r="CL401" s="9">
        <v>3.7734375</v>
      </c>
      <c r="CM401" s="129">
        <f t="shared" si="356"/>
        <v>149.77466523490784</v>
      </c>
      <c r="CN401" s="36">
        <f t="shared" si="370"/>
        <v>5.9626347498768243E-3</v>
      </c>
      <c r="CO401" s="173">
        <f t="shared" si="357"/>
        <v>1229.5383547342658</v>
      </c>
      <c r="CP401" s="9">
        <v>-631.79037735863619</v>
      </c>
      <c r="CQ401" s="129"/>
      <c r="CR401" s="36">
        <f t="shared" si="358"/>
        <v>0.61398848527514849</v>
      </c>
      <c r="CS401" s="17">
        <f t="shared" si="324"/>
        <v>0.44138466871480775</v>
      </c>
      <c r="CT401" s="9">
        <f t="shared" si="325"/>
        <v>5.1294543296946289</v>
      </c>
      <c r="CU401" s="9">
        <f t="shared" si="359"/>
        <v>151.13112326157406</v>
      </c>
      <c r="CV401" s="9">
        <v>7.2</v>
      </c>
      <c r="CW401" s="9">
        <f t="shared" si="360"/>
        <v>153.20234260971239</v>
      </c>
      <c r="CX401">
        <f t="shared" si="361"/>
        <v>12</v>
      </c>
      <c r="CY401" s="9">
        <f t="shared" si="326"/>
        <v>366.29307657350756</v>
      </c>
      <c r="CZ401" s="17">
        <f t="shared" si="362"/>
        <v>0.34490873500330282</v>
      </c>
      <c r="DA401">
        <v>45</v>
      </c>
      <c r="DB401" s="9">
        <f t="shared" si="363"/>
        <v>5.9110659246575343</v>
      </c>
      <c r="DC401" s="9">
        <f t="shared" si="364"/>
        <v>6.5250544192559534</v>
      </c>
    </row>
    <row r="402" spans="2:107" x14ac:dyDescent="0.25">
      <c r="B402" s="9">
        <f t="shared" si="365"/>
        <v>351</v>
      </c>
      <c r="C402" s="9">
        <v>140.90011607138962</v>
      </c>
      <c r="D402" s="9"/>
      <c r="E402" s="9">
        <f t="shared" si="327"/>
        <v>140.90011607138962</v>
      </c>
      <c r="F402" s="36">
        <f t="shared" si="366"/>
        <v>0</v>
      </c>
      <c r="G402" s="37">
        <f t="shared" si="372"/>
        <v>0</v>
      </c>
      <c r="H402" s="36" t="e">
        <f t="shared" si="312"/>
        <v>#DIV/0!</v>
      </c>
      <c r="I402" s="37" t="e">
        <f t="shared" si="328"/>
        <v>#DIV/0!</v>
      </c>
      <c r="J402" s="37" t="e">
        <f t="shared" si="329"/>
        <v>#DIV/0!</v>
      </c>
      <c r="K402" s="37" t="e">
        <f t="shared" si="330"/>
        <v>#DIV/0!</v>
      </c>
      <c r="L402" s="39" t="e">
        <f t="shared" si="313"/>
        <v>#DIV/0!</v>
      </c>
      <c r="M402" s="39" t="e">
        <f>M401+(1000*$C$2*(B402-B401))/(BerechnungenCLT!$W$47*2*'Berechnung freier Bereich'!G402)</f>
        <v>#DIV/0!</v>
      </c>
      <c r="N402" s="17" t="e">
        <f t="shared" si="331"/>
        <v>#DIV/0!</v>
      </c>
      <c r="O402" s="173">
        <f t="shared" si="332"/>
        <v>1354.5072400492772</v>
      </c>
      <c r="P402" s="173"/>
      <c r="Q402" s="173"/>
      <c r="R402" s="37" t="e">
        <f t="shared" si="314"/>
        <v>#DIV/0!</v>
      </c>
      <c r="S402" s="37" t="e">
        <f t="shared" si="315"/>
        <v>#DIV/0!</v>
      </c>
      <c r="T402" s="37" t="e">
        <f t="shared" si="316"/>
        <v>#DIV/0!</v>
      </c>
      <c r="U402" s="39" t="e">
        <f t="shared" si="317"/>
        <v>#DIV/0!</v>
      </c>
      <c r="V402" s="39" t="e">
        <f t="shared" si="333"/>
        <v>#DIV/0!</v>
      </c>
      <c r="W402" s="9" t="e">
        <f t="shared" si="334"/>
        <v>#DIV/0!</v>
      </c>
      <c r="AB402" s="129">
        <v>142.57367227565689</v>
      </c>
      <c r="AC402" s="9">
        <v>6.09375</v>
      </c>
      <c r="AD402" s="129">
        <f t="shared" si="335"/>
        <v>148.67775090795641</v>
      </c>
      <c r="AE402" s="36">
        <f t="shared" si="367"/>
        <v>9.4948251131421017E-3</v>
      </c>
      <c r="AF402" s="37">
        <f t="shared" si="336"/>
        <v>59248163.39812196</v>
      </c>
      <c r="AG402" s="36">
        <f t="shared" si="318"/>
        <v>1.9982441878475974</v>
      </c>
      <c r="AH402" s="37">
        <f t="shared" si="337"/>
        <v>-1.3288277977146465E-4</v>
      </c>
      <c r="AI402" s="37">
        <f t="shared" si="338"/>
        <v>-5.8472456383769383E-2</v>
      </c>
      <c r="AJ402" s="37">
        <f t="shared" si="339"/>
        <v>-11.325957462126711</v>
      </c>
      <c r="AK402" s="39">
        <f t="shared" si="340"/>
        <v>1.9756712830818649E-2</v>
      </c>
      <c r="AL402" s="39">
        <f>AL401+(1000*$C$2*($B402-$B401))/(BerechnungenCLT!$W$47*2*AF402)</f>
        <v>1.6846156804106695E-2</v>
      </c>
      <c r="AM402" s="37">
        <f t="shared" si="319"/>
        <v>2.5094069145891732E-6</v>
      </c>
      <c r="AN402" s="173">
        <f t="shared" si="341"/>
        <v>1268.0252784975653</v>
      </c>
      <c r="AO402" s="173">
        <v>-258.00701777864174</v>
      </c>
      <c r="AV402" s="129">
        <v>143.00826132719925</v>
      </c>
      <c r="AW402" s="9">
        <v>6.09375</v>
      </c>
      <c r="AX402" s="129">
        <f t="shared" si="342"/>
        <v>149.1108540219594</v>
      </c>
      <c r="AY402" s="36">
        <f t="shared" si="368"/>
        <v>9.52079371832781E-3</v>
      </c>
      <c r="AZ402" s="37">
        <f t="shared" si="343"/>
        <v>59764555.814146757</v>
      </c>
      <c r="BA402" s="36">
        <f t="shared" si="320"/>
        <v>1.9982554453654886</v>
      </c>
      <c r="BB402" s="37">
        <f t="shared" si="344"/>
        <v>-1.3173461329119048E-4</v>
      </c>
      <c r="BC402" s="37">
        <f t="shared" si="345"/>
        <v>-5.5015101979810514E-2</v>
      </c>
      <c r="BD402" s="37">
        <f t="shared" si="346"/>
        <v>-10.462905091173026</v>
      </c>
      <c r="BE402" s="39">
        <f t="shared" si="347"/>
        <v>1.9643060692101977E-2</v>
      </c>
      <c r="BF402" s="39">
        <f>BF401+(1000*$C$2*($B402-$B401))/(BerechnungenCLT!$W$47*2*AZ402)</f>
        <v>1.5846624050410853E-2</v>
      </c>
      <c r="BG402" s="37">
        <f t="shared" si="321"/>
        <v>2.4949713419716179E-6</v>
      </c>
      <c r="BH402" s="173">
        <f t="shared" si="348"/>
        <v>1260.5035417999161</v>
      </c>
      <c r="BI402">
        <v>-258.00701777864174</v>
      </c>
      <c r="BP402" s="129">
        <v>142.17197798529543</v>
      </c>
      <c r="BQ402" s="9">
        <v>6.28125</v>
      </c>
      <c r="BR402" s="129">
        <f t="shared" si="349"/>
        <v>148.47543497389691</v>
      </c>
      <c r="BS402" s="36">
        <f t="shared" si="369"/>
        <v>9.7846219301647181E-3</v>
      </c>
      <c r="BT402" s="37">
        <f t="shared" si="350"/>
        <v>60805419.430194356</v>
      </c>
      <c r="BU402" s="36">
        <f t="shared" si="322"/>
        <v>1.9981199113331476</v>
      </c>
      <c r="BV402" s="37">
        <f t="shared" si="351"/>
        <v>-1.2947958788007044E-4</v>
      </c>
      <c r="BW402" s="37">
        <f t="shared" si="352"/>
        <v>-6.130584085999962E-2</v>
      </c>
      <c r="BX402" s="37">
        <f t="shared" si="353"/>
        <v>-11.820416120922047</v>
      </c>
      <c r="BY402" s="39">
        <f t="shared" si="354"/>
        <v>1.9224538130734371E-2</v>
      </c>
      <c r="BZ402" s="39">
        <f>BZ401+(1000*$C$2*($B402-$B401))/(BerechnungenCLT!$W$47*2*BT402)</f>
        <v>1.7665298194381229E-2</v>
      </c>
      <c r="CA402" s="37">
        <f t="shared" si="323"/>
        <v>2.441812528640629E-6</v>
      </c>
      <c r="CB402" s="173">
        <f t="shared" si="355"/>
        <v>1273.301059587322</v>
      </c>
      <c r="CC402" s="9">
        <v>-257.27958743434181</v>
      </c>
      <c r="CJ402" s="9">
        <f t="shared" si="371"/>
        <v>351</v>
      </c>
      <c r="CK402" s="129">
        <v>145.97448861468217</v>
      </c>
      <c r="CL402" s="9">
        <v>3.78125</v>
      </c>
      <c r="CM402" s="129">
        <f t="shared" si="356"/>
        <v>149.75679043746825</v>
      </c>
      <c r="CN402" s="36">
        <f t="shared" si="370"/>
        <v>5.9738214470207926E-3</v>
      </c>
      <c r="CO402" s="173">
        <f t="shared" si="357"/>
        <v>1229.8991477420775</v>
      </c>
      <c r="CP402" s="9">
        <v>-630.67003346677882</v>
      </c>
      <c r="CQ402" s="129"/>
      <c r="CR402" s="36">
        <f t="shared" si="358"/>
        <v>0.61404465033746658</v>
      </c>
      <c r="CS402" s="17">
        <f t="shared" si="324"/>
        <v>0.44142504471210925</v>
      </c>
      <c r="CT402" s="9">
        <f t="shared" si="325"/>
        <v>5.1396041687658309</v>
      </c>
      <c r="CU402" s="9">
        <f t="shared" si="359"/>
        <v>151.11552245690947</v>
      </c>
      <c r="CV402" s="9">
        <v>7.2</v>
      </c>
      <c r="CW402" s="9">
        <f t="shared" si="360"/>
        <v>153.17649142435087</v>
      </c>
      <c r="CX402">
        <f t="shared" si="361"/>
        <v>12</v>
      </c>
      <c r="CY402" s="9">
        <f t="shared" si="326"/>
        <v>366.35709216900239</v>
      </c>
      <c r="CZ402" s="17">
        <f t="shared" si="362"/>
        <v>0.34496901334181013</v>
      </c>
      <c r="DA402">
        <v>45</v>
      </c>
      <c r="DB402" s="9">
        <f t="shared" si="363"/>
        <v>5.9120989783224189</v>
      </c>
      <c r="DC402" s="9">
        <f t="shared" si="364"/>
        <v>6.5261436451269539</v>
      </c>
    </row>
    <row r="403" spans="2:107" x14ac:dyDescent="0.25">
      <c r="B403" s="9">
        <f t="shared" si="365"/>
        <v>352</v>
      </c>
      <c r="C403" s="9">
        <v>140.90612862344824</v>
      </c>
      <c r="D403" s="9"/>
      <c r="E403" s="9">
        <f t="shared" si="327"/>
        <v>140.90612862344824</v>
      </c>
      <c r="F403" s="36">
        <f t="shared" si="366"/>
        <v>0</v>
      </c>
      <c r="G403" s="37">
        <f t="shared" si="372"/>
        <v>0</v>
      </c>
      <c r="H403" s="36" t="e">
        <f t="shared" si="312"/>
        <v>#DIV/0!</v>
      </c>
      <c r="I403" s="37" t="e">
        <f t="shared" si="328"/>
        <v>#DIV/0!</v>
      </c>
      <c r="J403" s="37" t="e">
        <f t="shared" si="329"/>
        <v>#DIV/0!</v>
      </c>
      <c r="K403" s="37" t="e">
        <f t="shared" si="330"/>
        <v>#DIV/0!</v>
      </c>
      <c r="L403" s="39" t="e">
        <f t="shared" si="313"/>
        <v>#DIV/0!</v>
      </c>
      <c r="M403" s="39" t="e">
        <f>M402+(1000*$C$2*(B403-B402))/(BerechnungenCLT!$W$47*2*'Berechnung freier Bereich'!G403)</f>
        <v>#DIV/0!</v>
      </c>
      <c r="N403" s="17" t="e">
        <f t="shared" si="331"/>
        <v>#DIV/0!</v>
      </c>
      <c r="O403" s="173">
        <f t="shared" si="332"/>
        <v>1354.3916471844616</v>
      </c>
      <c r="P403" s="173"/>
      <c r="Q403" s="173"/>
      <c r="R403" s="37" t="e">
        <f t="shared" si="314"/>
        <v>#DIV/0!</v>
      </c>
      <c r="S403" s="37" t="e">
        <f t="shared" si="315"/>
        <v>#DIV/0!</v>
      </c>
      <c r="T403" s="37" t="e">
        <f t="shared" si="316"/>
        <v>#DIV/0!</v>
      </c>
      <c r="U403" s="39" t="e">
        <f t="shared" si="317"/>
        <v>#DIV/0!</v>
      </c>
      <c r="V403" s="39" t="e">
        <f t="shared" si="333"/>
        <v>#DIV/0!</v>
      </c>
      <c r="W403" s="9" t="e">
        <f t="shared" si="334"/>
        <v>#DIV/0!</v>
      </c>
      <c r="AB403" s="129">
        <v>142.63191987612805</v>
      </c>
      <c r="AC403" s="9">
        <v>6.09375</v>
      </c>
      <c r="AD403" s="129">
        <f t="shared" si="335"/>
        <v>148.73673420844452</v>
      </c>
      <c r="AE403" s="36">
        <f t="shared" si="367"/>
        <v>9.4997916857271769E-3</v>
      </c>
      <c r="AF403" s="37">
        <f t="shared" si="336"/>
        <v>59326870.587665409</v>
      </c>
      <c r="AG403" s="36">
        <f t="shared" si="318"/>
        <v>1.9982451768717377</v>
      </c>
      <c r="AH403" s="37">
        <f t="shared" si="337"/>
        <v>-1.3270648815131122E-4</v>
      </c>
      <c r="AI403" s="37">
        <f t="shared" si="338"/>
        <v>-5.8605162871920698E-2</v>
      </c>
      <c r="AJ403" s="37">
        <f t="shared" si="339"/>
        <v>-11.384496271754555</v>
      </c>
      <c r="AK403" s="39">
        <f t="shared" si="340"/>
        <v>1.9738329655897668E-2</v>
      </c>
      <c r="AL403" s="39">
        <f>AL402+(1000*$C$2*($B403-$B402))/(BerechnungenCLT!$W$47*2*AF403)</f>
        <v>1.6884522715377145E-2</v>
      </c>
      <c r="AM403" s="37">
        <f t="shared" si="319"/>
        <v>2.5070719681507728E-6</v>
      </c>
      <c r="AN403" s="173">
        <f t="shared" si="341"/>
        <v>1267.0051149414332</v>
      </c>
      <c r="AO403" s="173">
        <v>-257.86314648866733</v>
      </c>
      <c r="AV403" s="129">
        <v>143.06215310286518</v>
      </c>
      <c r="AW403" s="9">
        <v>6.09375</v>
      </c>
      <c r="AX403" s="129">
        <f t="shared" si="342"/>
        <v>149.16525205542362</v>
      </c>
      <c r="AY403" s="36">
        <f t="shared" si="368"/>
        <v>9.5251132345009655E-3</v>
      </c>
      <c r="AZ403" s="37">
        <f t="shared" si="343"/>
        <v>59835993.826782033</v>
      </c>
      <c r="BA403" s="36">
        <f t="shared" si="320"/>
        <v>1.9982564481717842</v>
      </c>
      <c r="BB403" s="37">
        <f t="shared" si="344"/>
        <v>-1.3157733573353778E-4</v>
      </c>
      <c r="BC403" s="37">
        <f t="shared" si="345"/>
        <v>-5.5146679315544053E-2</v>
      </c>
      <c r="BD403" s="37">
        <f t="shared" si="346"/>
        <v>-10.517985981820702</v>
      </c>
      <c r="BE403" s="39">
        <f t="shared" si="347"/>
        <v>1.962676644947426E-2</v>
      </c>
      <c r="BF403" s="39">
        <f>BF402+(1000*$C$2*($B403-$B402))/(BerechnungenCLT!$W$47*2*AZ403)</f>
        <v>1.5884663519756162E-2</v>
      </c>
      <c r="BG403" s="37">
        <f t="shared" si="321"/>
        <v>2.4929017221179442E-6</v>
      </c>
      <c r="BH403" s="173">
        <f t="shared" si="348"/>
        <v>1259.5695130647186</v>
      </c>
      <c r="BI403">
        <v>-257.86314648866733</v>
      </c>
      <c r="BP403" s="129">
        <v>142.25614081132701</v>
      </c>
      <c r="BQ403" s="9">
        <v>6.25</v>
      </c>
      <c r="BR403" s="129">
        <f t="shared" si="349"/>
        <v>148.52867299457657</v>
      </c>
      <c r="BS403" s="36">
        <f t="shared" si="369"/>
        <v>9.7412213999091609E-3</v>
      </c>
      <c r="BT403" s="37">
        <f t="shared" si="350"/>
        <v>60592655.20859617</v>
      </c>
      <c r="BU403" s="36">
        <f t="shared" si="322"/>
        <v>1.9981400584167284</v>
      </c>
      <c r="BV403" s="37">
        <f t="shared" si="351"/>
        <v>-1.2993424073582196E-4</v>
      </c>
      <c r="BW403" s="37">
        <f t="shared" si="352"/>
        <v>-6.1435775100735446E-2</v>
      </c>
      <c r="BX403" s="37">
        <f t="shared" si="353"/>
        <v>-11.881786928902415</v>
      </c>
      <c r="BY403" s="39">
        <f t="shared" si="354"/>
        <v>1.9298960353049489E-2</v>
      </c>
      <c r="BZ403" s="39">
        <f>BZ402+(1000*$C$2*($B403-$B402))/(BerechnungenCLT!$W$47*2*BT403)</f>
        <v>1.7702862639198579E-2</v>
      </c>
      <c r="CA403" s="37">
        <f t="shared" si="323"/>
        <v>2.4512652974729696E-6</v>
      </c>
      <c r="CB403" s="173">
        <f t="shared" si="355"/>
        <v>1272.0980303964684</v>
      </c>
      <c r="CC403" s="9">
        <v>-258.32168931456636</v>
      </c>
      <c r="CJ403" s="9">
        <f t="shared" si="371"/>
        <v>352</v>
      </c>
      <c r="CK403" s="129">
        <v>145.95090019810695</v>
      </c>
      <c r="CL403" s="9">
        <v>3.78125</v>
      </c>
      <c r="CM403" s="129">
        <f t="shared" si="356"/>
        <v>149.73304154963253</v>
      </c>
      <c r="CN403" s="36">
        <f t="shared" si="370"/>
        <v>5.9726118155024616E-3</v>
      </c>
      <c r="CO403" s="173">
        <f t="shared" si="357"/>
        <v>1230.2929788737933</v>
      </c>
      <c r="CP403" s="9">
        <v>-630.87198294651898</v>
      </c>
      <c r="CQ403" s="129"/>
      <c r="CR403" s="36">
        <f t="shared" si="358"/>
        <v>0.61411928701642793</v>
      </c>
      <c r="CS403" s="17">
        <f t="shared" si="324"/>
        <v>0.44147869960402891</v>
      </c>
      <c r="CT403" s="9">
        <f t="shared" si="325"/>
        <v>5.1389795295557565</v>
      </c>
      <c r="CU403" s="9">
        <f t="shared" si="359"/>
        <v>151.09109113585936</v>
      </c>
      <c r="CV403" s="9">
        <v>7.2</v>
      </c>
      <c r="CW403" s="9">
        <f t="shared" si="360"/>
        <v>153.15259744927633</v>
      </c>
      <c r="CX403">
        <f t="shared" si="361"/>
        <v>12</v>
      </c>
      <c r="CY403" s="9">
        <f t="shared" si="326"/>
        <v>366.41630238074919</v>
      </c>
      <c r="CZ403" s="17">
        <f t="shared" si="362"/>
        <v>0.34502476683686367</v>
      </c>
      <c r="DA403">
        <v>45</v>
      </c>
      <c r="DB403" s="9">
        <f t="shared" si="363"/>
        <v>5.9130544849574944</v>
      </c>
      <c r="DC403" s="9">
        <f t="shared" si="364"/>
        <v>6.5271737859312058</v>
      </c>
    </row>
    <row r="404" spans="2:107" x14ac:dyDescent="0.25">
      <c r="B404" s="9">
        <f t="shared" si="365"/>
        <v>353</v>
      </c>
      <c r="C404" s="9">
        <v>140.91285651081947</v>
      </c>
      <c r="D404" s="9"/>
      <c r="E404" s="9">
        <f t="shared" si="327"/>
        <v>140.91285651081947</v>
      </c>
      <c r="F404" s="36">
        <f t="shared" si="366"/>
        <v>0</v>
      </c>
      <c r="G404" s="37">
        <f t="shared" si="372"/>
        <v>0</v>
      </c>
      <c r="H404" s="36" t="e">
        <f t="shared" si="312"/>
        <v>#DIV/0!</v>
      </c>
      <c r="I404" s="37" t="e">
        <f t="shared" si="328"/>
        <v>#DIV/0!</v>
      </c>
      <c r="J404" s="37" t="e">
        <f t="shared" si="329"/>
        <v>#DIV/0!</v>
      </c>
      <c r="K404" s="37" t="e">
        <f t="shared" si="330"/>
        <v>#DIV/0!</v>
      </c>
      <c r="L404" s="39" t="e">
        <f t="shared" si="313"/>
        <v>#DIV/0!</v>
      </c>
      <c r="M404" s="39" t="e">
        <f>M403+(1000*$C$2*(B404-B403))/(BerechnungenCLT!$W$47*2*'Berechnung freier Bereich'!G404)</f>
        <v>#DIV/0!</v>
      </c>
      <c r="N404" s="17" t="e">
        <f t="shared" si="331"/>
        <v>#DIV/0!</v>
      </c>
      <c r="O404" s="173">
        <f t="shared" si="332"/>
        <v>1354.2623193551426</v>
      </c>
      <c r="P404" s="173"/>
      <c r="Q404" s="173"/>
      <c r="R404" s="37" t="e">
        <f t="shared" si="314"/>
        <v>#DIV/0!</v>
      </c>
      <c r="S404" s="37" t="e">
        <f t="shared" si="315"/>
        <v>#DIV/0!</v>
      </c>
      <c r="T404" s="37" t="e">
        <f t="shared" si="316"/>
        <v>#DIV/0!</v>
      </c>
      <c r="U404" s="39" t="e">
        <f t="shared" si="317"/>
        <v>#DIV/0!</v>
      </c>
      <c r="V404" s="39" t="e">
        <f t="shared" si="333"/>
        <v>#DIV/0!</v>
      </c>
      <c r="W404" s="9" t="e">
        <f t="shared" si="334"/>
        <v>#DIV/0!</v>
      </c>
      <c r="AB404" s="129">
        <v>142.69220807828691</v>
      </c>
      <c r="AC404" s="9">
        <v>6.09375</v>
      </c>
      <c r="AD404" s="129">
        <f t="shared" si="335"/>
        <v>148.79776315899892</v>
      </c>
      <c r="AE404" s="36">
        <f t="shared" si="367"/>
        <v>9.5049002829983749E-3</v>
      </c>
      <c r="AF404" s="37">
        <f t="shared" si="336"/>
        <v>59408199.476004295</v>
      </c>
      <c r="AG404" s="36">
        <f t="shared" si="318"/>
        <v>1.998246211063853</v>
      </c>
      <c r="AH404" s="37">
        <f t="shared" si="337"/>
        <v>-1.3252481506153741E-4</v>
      </c>
      <c r="AI404" s="37">
        <f t="shared" si="338"/>
        <v>-5.8737687686982232E-2</v>
      </c>
      <c r="AJ404" s="37">
        <f t="shared" si="339"/>
        <v>-11.443167697034006</v>
      </c>
      <c r="AK404" s="39">
        <f t="shared" si="340"/>
        <v>1.9719396044216776E-2</v>
      </c>
      <c r="AL404" s="39">
        <f>AL403+(1000*$C$2*($B404-$B403))/(BerechnungenCLT!$W$47*2*AF404)</f>
        <v>1.6922836104320018E-2</v>
      </c>
      <c r="AM404" s="37">
        <f t="shared" si="319"/>
        <v>2.5046671077634691E-6</v>
      </c>
      <c r="AN404" s="173">
        <f t="shared" si="341"/>
        <v>1265.9506878152786</v>
      </c>
      <c r="AO404" s="173">
        <v>-257.71939550459757</v>
      </c>
      <c r="AV404" s="129">
        <v>143.11756725180791</v>
      </c>
      <c r="AW404" s="9">
        <v>6.09375</v>
      </c>
      <c r="AX404" s="129">
        <f t="shared" si="342"/>
        <v>149.22117275637356</v>
      </c>
      <c r="AY404" s="36">
        <f t="shared" si="368"/>
        <v>9.5295330565337462E-3</v>
      </c>
      <c r="AZ404" s="37">
        <f t="shared" si="343"/>
        <v>59909366.554426044</v>
      </c>
      <c r="BA404" s="36">
        <f t="shared" si="320"/>
        <v>1.9982574860572262</v>
      </c>
      <c r="BB404" s="37">
        <f t="shared" si="344"/>
        <v>-1.3141618917876437E-4</v>
      </c>
      <c r="BC404" s="37">
        <f t="shared" si="345"/>
        <v>-5.5278095504722818E-2</v>
      </c>
      <c r="BD404" s="37">
        <f t="shared" si="346"/>
        <v>-10.573198369230836</v>
      </c>
      <c r="BE404" s="39">
        <f t="shared" si="347"/>
        <v>1.9610077868428669E-2</v>
      </c>
      <c r="BF404" s="39">
        <f>BF403+(1000*$C$2*($B404-$B403))/(BerechnungenCLT!$W$47*2*AZ404)</f>
        <v>1.5922656401067169E-2</v>
      </c>
      <c r="BG404" s="37">
        <f t="shared" si="321"/>
        <v>2.490782015209761E-6</v>
      </c>
      <c r="BH404" s="173">
        <f t="shared" si="348"/>
        <v>1258.6103019853228</v>
      </c>
      <c r="BI404">
        <v>-257.71939550459757</v>
      </c>
      <c r="BP404" s="129">
        <v>142.34113078568564</v>
      </c>
      <c r="BQ404" s="9">
        <v>6.25</v>
      </c>
      <c r="BR404" s="129">
        <f t="shared" si="349"/>
        <v>148.61409133667979</v>
      </c>
      <c r="BS404" s="36">
        <f t="shared" si="369"/>
        <v>9.7475956810947478E-3</v>
      </c>
      <c r="BT404" s="37">
        <f t="shared" si="350"/>
        <v>60703360.899200864</v>
      </c>
      <c r="BU404" s="36">
        <f t="shared" si="322"/>
        <v>1.9981419813683694</v>
      </c>
      <c r="BV404" s="37">
        <f t="shared" si="351"/>
        <v>-1.2969727758187504E-4</v>
      </c>
      <c r="BW404" s="37">
        <f t="shared" si="352"/>
        <v>-6.1565472378317318E-2</v>
      </c>
      <c r="BX404" s="37">
        <f t="shared" si="353"/>
        <v>-11.943287552641941</v>
      </c>
      <c r="BY404" s="39">
        <f t="shared" si="354"/>
        <v>1.927484305667149E-2</v>
      </c>
      <c r="BZ404" s="39">
        <f>BZ403+(1000*$C$2*($B404-$B403))/(BerechnungenCLT!$W$47*2*BT404)</f>
        <v>1.7740358577136833E-2</v>
      </c>
      <c r="CA404" s="37">
        <f t="shared" si="323"/>
        <v>2.4482020292658334E-6</v>
      </c>
      <c r="CB404" s="173">
        <f t="shared" si="355"/>
        <v>1270.6083674797767</v>
      </c>
      <c r="CC404" s="9">
        <v>-258.0191872809541</v>
      </c>
      <c r="CJ404" s="9">
        <f t="shared" si="371"/>
        <v>353</v>
      </c>
      <c r="CK404" s="129">
        <v>145.92918581977187</v>
      </c>
      <c r="CL404" s="9">
        <v>3.78125</v>
      </c>
      <c r="CM404" s="129">
        <f t="shared" si="356"/>
        <v>149.71118364509229</v>
      </c>
      <c r="CN404" s="36">
        <f t="shared" si="370"/>
        <v>5.9715050677711804E-3</v>
      </c>
      <c r="CO404" s="173">
        <f t="shared" si="357"/>
        <v>1230.6556534580579</v>
      </c>
      <c r="CP404" s="9">
        <v>-631.05795591236392</v>
      </c>
      <c r="CQ404" s="129"/>
      <c r="CR404" s="36">
        <f t="shared" si="358"/>
        <v>0.61418799536384971</v>
      </c>
      <c r="CS404" s="17">
        <f t="shared" si="324"/>
        <v>0.44152809273092297</v>
      </c>
      <c r="CT404" s="9">
        <f t="shared" si="325"/>
        <v>5.138404639141787</v>
      </c>
      <c r="CU404" s="9">
        <f t="shared" si="359"/>
        <v>151.06860669140178</v>
      </c>
      <c r="CV404" s="9">
        <v>7.2</v>
      </c>
      <c r="CW404" s="9">
        <f t="shared" si="360"/>
        <v>153.13060977806794</v>
      </c>
      <c r="CX404">
        <f t="shared" si="361"/>
        <v>12</v>
      </c>
      <c r="CY404" s="9">
        <f t="shared" si="326"/>
        <v>366.47082541651707</v>
      </c>
      <c r="CZ404" s="17">
        <f t="shared" si="362"/>
        <v>0.34507610679521378</v>
      </c>
      <c r="DA404">
        <v>45</v>
      </c>
      <c r="DB404" s="9">
        <f t="shared" si="363"/>
        <v>5.9139343521443157</v>
      </c>
      <c r="DC404" s="9">
        <f t="shared" si="364"/>
        <v>6.5281223592195792</v>
      </c>
    </row>
    <row r="405" spans="2:107" x14ac:dyDescent="0.25">
      <c r="B405" s="9">
        <f t="shared" si="365"/>
        <v>354</v>
      </c>
      <c r="C405" s="9">
        <v>140.92028105634114</v>
      </c>
      <c r="D405" s="9"/>
      <c r="E405" s="9">
        <f t="shared" si="327"/>
        <v>140.92028105634114</v>
      </c>
      <c r="F405" s="36">
        <f t="shared" si="366"/>
        <v>0</v>
      </c>
      <c r="G405" s="37">
        <f t="shared" si="372"/>
        <v>0</v>
      </c>
      <c r="H405" s="36" t="e">
        <f t="shared" si="312"/>
        <v>#DIV/0!</v>
      </c>
      <c r="I405" s="37" t="e">
        <f t="shared" si="328"/>
        <v>#DIV/0!</v>
      </c>
      <c r="J405" s="37" t="e">
        <f t="shared" si="329"/>
        <v>#DIV/0!</v>
      </c>
      <c r="K405" s="37" t="e">
        <f t="shared" si="330"/>
        <v>#DIV/0!</v>
      </c>
      <c r="L405" s="39" t="e">
        <f t="shared" si="313"/>
        <v>#DIV/0!</v>
      </c>
      <c r="M405" s="39" t="e">
        <f>M404+(1000*$C$2*(B405-B404))/(BerechnungenCLT!$W$47*2*'Berechnung freier Bereich'!G405)</f>
        <v>#DIV/0!</v>
      </c>
      <c r="N405" s="17" t="e">
        <f t="shared" si="331"/>
        <v>#DIV/0!</v>
      </c>
      <c r="O405" s="173">
        <f t="shared" si="332"/>
        <v>1354.1196214086281</v>
      </c>
      <c r="P405" s="173"/>
      <c r="Q405" s="173"/>
      <c r="R405" s="37" t="e">
        <f t="shared" si="314"/>
        <v>#DIV/0!</v>
      </c>
      <c r="S405" s="37" t="e">
        <f t="shared" si="315"/>
        <v>#DIV/0!</v>
      </c>
      <c r="T405" s="37" t="e">
        <f t="shared" si="316"/>
        <v>#DIV/0!</v>
      </c>
      <c r="U405" s="39" t="e">
        <f t="shared" si="317"/>
        <v>#DIV/0!</v>
      </c>
      <c r="V405" s="39" t="e">
        <f t="shared" si="333"/>
        <v>#DIV/0!</v>
      </c>
      <c r="W405" s="9" t="e">
        <f t="shared" si="334"/>
        <v>#DIV/0!</v>
      </c>
      <c r="AB405" s="129">
        <v>142.75448360271605</v>
      </c>
      <c r="AC405" s="9">
        <v>6.09375</v>
      </c>
      <c r="AD405" s="129">
        <f t="shared" si="335"/>
        <v>148.86078254666282</v>
      </c>
      <c r="AE405" s="36">
        <f t="shared" si="367"/>
        <v>9.5101444137601389E-3</v>
      </c>
      <c r="AF405" s="37">
        <f t="shared" si="336"/>
        <v>59492072.2036305</v>
      </c>
      <c r="AG405" s="36">
        <f t="shared" si="318"/>
        <v>1.9982472900896127</v>
      </c>
      <c r="AH405" s="37">
        <f t="shared" si="337"/>
        <v>-1.3233797978574934E-4</v>
      </c>
      <c r="AI405" s="37">
        <f t="shared" si="338"/>
        <v>-5.8870025666767981E-2</v>
      </c>
      <c r="AJ405" s="37">
        <f t="shared" si="339"/>
        <v>-11.501971553710881</v>
      </c>
      <c r="AK405" s="39">
        <f t="shared" si="340"/>
        <v>1.9699935231551093E-2</v>
      </c>
      <c r="AL405" s="39">
        <f>AL404+(1000*$C$2*($B405-$B404))/(BerechnungenCLT!$W$47*2*AF405)</f>
        <v>1.6961095478529226E-2</v>
      </c>
      <c r="AM405" s="37">
        <f t="shared" si="319"/>
        <v>2.502195284728687E-6</v>
      </c>
      <c r="AN405" s="173">
        <f t="shared" si="341"/>
        <v>1264.8630691412227</v>
      </c>
      <c r="AO405" s="173">
        <v>-257.57576469233561</v>
      </c>
      <c r="AV405" s="129">
        <v>143.17446402537794</v>
      </c>
      <c r="AW405" s="9">
        <v>6.09375</v>
      </c>
      <c r="AX405" s="129">
        <f t="shared" si="342"/>
        <v>149.27857530055866</v>
      </c>
      <c r="AY405" s="36">
        <f t="shared" si="368"/>
        <v>9.5340489029777445E-3</v>
      </c>
      <c r="AZ405" s="37">
        <f t="shared" si="343"/>
        <v>59984618.63742137</v>
      </c>
      <c r="BA405" s="36">
        <f t="shared" si="320"/>
        <v>1.9982585585718737</v>
      </c>
      <c r="BB405" s="37">
        <f t="shared" si="344"/>
        <v>-1.3125132454846997E-4</v>
      </c>
      <c r="BC405" s="37">
        <f t="shared" si="345"/>
        <v>-5.5409346829271289E-2</v>
      </c>
      <c r="BD405" s="37">
        <f t="shared" si="346"/>
        <v>-10.628542090397833</v>
      </c>
      <c r="BE405" s="39">
        <f t="shared" si="347"/>
        <v>1.9593010734906838E-2</v>
      </c>
      <c r="BF405" s="39">
        <f>BF404+(1000*$C$2*($B405-$B404))/(BerechnungenCLT!$W$47*2*AZ405)</f>
        <v>1.5960601619435199E-2</v>
      </c>
      <c r="BG405" s="37">
        <f t="shared" si="321"/>
        <v>2.4886142263048632E-6</v>
      </c>
      <c r="BH405" s="173">
        <f t="shared" si="348"/>
        <v>1257.6266897983951</v>
      </c>
      <c r="BI405">
        <v>-257.57576469233561</v>
      </c>
      <c r="BP405" s="129">
        <v>142.42692631180921</v>
      </c>
      <c r="BQ405" s="9">
        <v>6.25</v>
      </c>
      <c r="BR405" s="129">
        <f t="shared" si="349"/>
        <v>148.70030759763071</v>
      </c>
      <c r="BS405" s="36">
        <f t="shared" si="369"/>
        <v>9.7540125973595484E-3</v>
      </c>
      <c r="BT405" s="37">
        <f t="shared" si="350"/>
        <v>60815136.531501748</v>
      </c>
      <c r="BU405" s="36">
        <f t="shared" si="322"/>
        <v>1.9981439260233411</v>
      </c>
      <c r="BV405" s="37">
        <f t="shared" si="351"/>
        <v>-1.2945889950634595E-4</v>
      </c>
      <c r="BW405" s="37">
        <f t="shared" si="352"/>
        <v>-6.1694931277823661E-2</v>
      </c>
      <c r="BX405" s="37">
        <f t="shared" si="353"/>
        <v>-12.004917754470011</v>
      </c>
      <c r="BY405" s="39">
        <f t="shared" si="354"/>
        <v>1.9250578177844407E-2</v>
      </c>
      <c r="BZ405" s="39">
        <f>BZ404+(1000*$C$2*($B405-$B404))/(BerechnungenCLT!$W$47*2*BT405)</f>
        <v>1.7777785599137202E-2</v>
      </c>
      <c r="CA405" s="37">
        <f t="shared" si="323"/>
        <v>2.445120015813911E-6</v>
      </c>
      <c r="CB405" s="173">
        <f t="shared" si="355"/>
        <v>1269.1073395935778</v>
      </c>
      <c r="CC405" s="9">
        <v>-257.71437739208864</v>
      </c>
      <c r="CJ405" s="9">
        <f t="shared" si="371"/>
        <v>354</v>
      </c>
      <c r="CK405" s="129">
        <v>145.90929654917468</v>
      </c>
      <c r="CL405" s="9">
        <v>3.78125</v>
      </c>
      <c r="CM405" s="129">
        <f t="shared" si="356"/>
        <v>149.69116678240491</v>
      </c>
      <c r="CN405" s="36">
        <f t="shared" si="370"/>
        <v>5.9704975903493605E-3</v>
      </c>
      <c r="CO405" s="173">
        <f t="shared" si="357"/>
        <v>1230.9879535022426</v>
      </c>
      <c r="CP405" s="9">
        <v>-631.2283533635466</v>
      </c>
      <c r="CQ405" s="129"/>
      <c r="CR405" s="36">
        <f t="shared" si="358"/>
        <v>0.61425092879571075</v>
      </c>
      <c r="CS405" s="17">
        <f t="shared" si="324"/>
        <v>0.44157333438062685</v>
      </c>
      <c r="CT405" s="9">
        <f t="shared" si="325"/>
        <v>5.1378781809419349</v>
      </c>
      <c r="CU405" s="9">
        <f t="shared" si="359"/>
        <v>151.04801748919911</v>
      </c>
      <c r="CV405" s="9">
        <v>7.2</v>
      </c>
      <c r="CW405" s="9">
        <f t="shared" si="360"/>
        <v>153.11047755525937</v>
      </c>
      <c r="CX405">
        <f t="shared" si="361"/>
        <v>12</v>
      </c>
      <c r="CY405" s="9">
        <f t="shared" si="326"/>
        <v>366.52077999504684</v>
      </c>
      <c r="CZ405" s="17">
        <f t="shared" si="362"/>
        <v>0.34512314500475222</v>
      </c>
      <c r="DA405">
        <v>45</v>
      </c>
      <c r="DB405" s="9">
        <f t="shared" si="363"/>
        <v>5.9147404957102543</v>
      </c>
      <c r="DC405" s="9">
        <f t="shared" si="364"/>
        <v>6.5289914342200266</v>
      </c>
    </row>
    <row r="406" spans="2:107" x14ac:dyDescent="0.25">
      <c r="B406" s="9">
        <f t="shared" si="365"/>
        <v>355</v>
      </c>
      <c r="C406" s="9">
        <v>140.92838358285101</v>
      </c>
      <c r="D406" s="9"/>
      <c r="E406" s="9">
        <f t="shared" si="327"/>
        <v>140.92838358285101</v>
      </c>
      <c r="F406" s="36">
        <f t="shared" si="366"/>
        <v>0</v>
      </c>
      <c r="G406" s="37">
        <f t="shared" si="372"/>
        <v>0</v>
      </c>
      <c r="H406" s="36" t="e">
        <f t="shared" si="312"/>
        <v>#DIV/0!</v>
      </c>
      <c r="I406" s="37" t="e">
        <f t="shared" si="328"/>
        <v>#DIV/0!</v>
      </c>
      <c r="J406" s="37" t="e">
        <f t="shared" si="329"/>
        <v>#DIV/0!</v>
      </c>
      <c r="K406" s="37" t="e">
        <f t="shared" si="330"/>
        <v>#DIV/0!</v>
      </c>
      <c r="L406" s="39" t="e">
        <f t="shared" si="313"/>
        <v>#DIV/0!</v>
      </c>
      <c r="M406" s="39" t="e">
        <f>M405+(1000*$C$2*(B406-B405))/(BerechnungenCLT!$W$47*2*'Berechnung freier Bereich'!G406)</f>
        <v>#DIV/0!</v>
      </c>
      <c r="N406" s="17" t="e">
        <f t="shared" si="331"/>
        <v>#DIV/0!</v>
      </c>
      <c r="O406" s="173">
        <f t="shared" si="332"/>
        <v>1353.9639185694211</v>
      </c>
      <c r="P406" s="173"/>
      <c r="Q406" s="173"/>
      <c r="R406" s="37" t="e">
        <f t="shared" si="314"/>
        <v>#DIV/0!</v>
      </c>
      <c r="S406" s="37" t="e">
        <f t="shared" si="315"/>
        <v>#DIV/0!</v>
      </c>
      <c r="T406" s="37" t="e">
        <f t="shared" si="316"/>
        <v>#DIV/0!</v>
      </c>
      <c r="U406" s="39" t="e">
        <f t="shared" si="317"/>
        <v>#DIV/0!</v>
      </c>
      <c r="V406" s="39" t="e">
        <f t="shared" si="333"/>
        <v>#DIV/0!</v>
      </c>
      <c r="W406" s="9" t="e">
        <f t="shared" si="334"/>
        <v>#DIV/0!</v>
      </c>
      <c r="AB406" s="129">
        <v>142.81869316999803</v>
      </c>
      <c r="AC406" s="9">
        <v>6.09375</v>
      </c>
      <c r="AD406" s="129">
        <f t="shared" si="335"/>
        <v>148.92573721119609</v>
      </c>
      <c r="AE406" s="36">
        <f t="shared" si="367"/>
        <v>9.5155176642608991E-3</v>
      </c>
      <c r="AF406" s="37">
        <f t="shared" si="336"/>
        <v>59578411.32088735</v>
      </c>
      <c r="AG406" s="36">
        <f t="shared" si="318"/>
        <v>1.9982484135821088</v>
      </c>
      <c r="AH406" s="37">
        <f t="shared" si="337"/>
        <v>-1.3214619984229436E-4</v>
      </c>
      <c r="AI406" s="37">
        <f t="shared" si="338"/>
        <v>-5.9002171866610276E-2</v>
      </c>
      <c r="AJ406" s="37">
        <f t="shared" si="339"/>
        <v>-11.560907652477569</v>
      </c>
      <c r="AK406" s="39">
        <f t="shared" si="340"/>
        <v>1.9679970231171733E-2</v>
      </c>
      <c r="AL406" s="39">
        <f>AL405+(1000*$C$2*($B406-$B405))/(BerechnungenCLT!$W$47*2*AF406)</f>
        <v>1.6999299408483999E-2</v>
      </c>
      <c r="AM406" s="37">
        <f t="shared" si="319"/>
        <v>2.4996594220864168E-6</v>
      </c>
      <c r="AN406" s="173">
        <f t="shared" si="341"/>
        <v>1263.7433295055394</v>
      </c>
      <c r="AO406" s="173">
        <v>-257.43225391797193</v>
      </c>
      <c r="AV406" s="129">
        <v>143.23280367492569</v>
      </c>
      <c r="AW406" s="9">
        <v>6.09375</v>
      </c>
      <c r="AX406" s="129">
        <f t="shared" si="342"/>
        <v>149.33741889291673</v>
      </c>
      <c r="AY406" s="36">
        <f t="shared" si="368"/>
        <v>9.5386565354072354E-3</v>
      </c>
      <c r="AZ406" s="37">
        <f t="shared" si="343"/>
        <v>60061694.917413577</v>
      </c>
      <c r="BA406" s="36">
        <f t="shared" si="320"/>
        <v>1.9982596652486475</v>
      </c>
      <c r="BB406" s="37">
        <f t="shared" si="344"/>
        <v>-1.3108289167533581E-4</v>
      </c>
      <c r="BC406" s="37">
        <f t="shared" si="345"/>
        <v>-5.5540429720946624E-2</v>
      </c>
      <c r="BD406" s="37">
        <f t="shared" si="346"/>
        <v>-10.684016978672942</v>
      </c>
      <c r="BE406" s="39">
        <f t="shared" si="347"/>
        <v>1.957558070381445E-2</v>
      </c>
      <c r="BF406" s="39">
        <f>BF405+(1000*$C$2*($B406-$B405))/(BerechnungenCLT!$W$47*2*AZ406)</f>
        <v>1.5998498143268727E-2</v>
      </c>
      <c r="BG406" s="37">
        <f t="shared" si="321"/>
        <v>2.4864003438174636E-6</v>
      </c>
      <c r="BH406" s="173">
        <f t="shared" si="348"/>
        <v>1256.6194563370166</v>
      </c>
      <c r="BI406">
        <v>-257.43225391797193</v>
      </c>
      <c r="BP406" s="129">
        <v>142.51350579313569</v>
      </c>
      <c r="BQ406" s="9">
        <v>6.25</v>
      </c>
      <c r="BR406" s="129">
        <f t="shared" si="349"/>
        <v>148.78729986615556</v>
      </c>
      <c r="BS406" s="36">
        <f t="shared" si="369"/>
        <v>9.7604701910675561E-3</v>
      </c>
      <c r="BT406" s="37">
        <f t="shared" si="350"/>
        <v>60927955.22386682</v>
      </c>
      <c r="BU406" s="36">
        <f t="shared" si="322"/>
        <v>1.9981458919061987</v>
      </c>
      <c r="BV406" s="37">
        <f t="shared" si="351"/>
        <v>-1.2921918386672431E-4</v>
      </c>
      <c r="BW406" s="37">
        <f t="shared" si="352"/>
        <v>-6.1824150461690389E-2</v>
      </c>
      <c r="BX406" s="37">
        <f t="shared" si="353"/>
        <v>-12.066677295339767</v>
      </c>
      <c r="BY406" s="39">
        <f t="shared" si="354"/>
        <v>1.92261734584382E-2</v>
      </c>
      <c r="BZ406" s="39">
        <f>BZ405+(1000*$C$2*($B406-$B405))/(BerechnungenCLT!$W$47*2*BT406)</f>
        <v>1.7815143318505214E-2</v>
      </c>
      <c r="CA406" s="37">
        <f t="shared" si="323"/>
        <v>2.4420202404539633E-6</v>
      </c>
      <c r="CB406" s="173">
        <f t="shared" si="355"/>
        <v>1267.5953935222267</v>
      </c>
      <c r="CC406" s="9">
        <v>-257.4073503753246</v>
      </c>
      <c r="CJ406" s="9">
        <f t="shared" si="371"/>
        <v>355</v>
      </c>
      <c r="CK406" s="129">
        <v>145.89118345581295</v>
      </c>
      <c r="CL406" s="9">
        <v>3.78125</v>
      </c>
      <c r="CM406" s="129">
        <f t="shared" si="356"/>
        <v>149.67294104693647</v>
      </c>
      <c r="CN406" s="36">
        <f t="shared" si="370"/>
        <v>5.9695858156800534E-3</v>
      </c>
      <c r="CO406" s="173">
        <f t="shared" si="357"/>
        <v>1231.2906655481704</v>
      </c>
      <c r="CP406" s="9">
        <v>-631.38357862448481</v>
      </c>
      <c r="CQ406" s="129"/>
      <c r="CR406" s="36">
        <f t="shared" si="358"/>
        <v>0.6143082410610442</v>
      </c>
      <c r="CS406" s="17">
        <f t="shared" si="324"/>
        <v>0.44161453508040249</v>
      </c>
      <c r="CT406" s="9">
        <f t="shared" si="325"/>
        <v>5.1373988394357086</v>
      </c>
      <c r="CU406" s="9">
        <f t="shared" si="359"/>
        <v>151.02927193440209</v>
      </c>
      <c r="CV406" s="9">
        <v>7.2</v>
      </c>
      <c r="CW406" s="9">
        <f t="shared" si="360"/>
        <v>153.09214997643164</v>
      </c>
      <c r="CX406">
        <f t="shared" si="361"/>
        <v>12</v>
      </c>
      <c r="CY406" s="9">
        <f t="shared" si="326"/>
        <v>366.56628531586063</v>
      </c>
      <c r="CZ406" s="17">
        <f t="shared" si="362"/>
        <v>0.34516599370608347</v>
      </c>
      <c r="DA406">
        <v>45</v>
      </c>
      <c r="DB406" s="9">
        <f t="shared" si="363"/>
        <v>5.9154748392413126</v>
      </c>
      <c r="DC406" s="9">
        <f t="shared" si="364"/>
        <v>6.5297830882525192</v>
      </c>
    </row>
    <row r="407" spans="2:107" x14ac:dyDescent="0.25">
      <c r="B407" s="9">
        <f t="shared" si="365"/>
        <v>356</v>
      </c>
      <c r="C407" s="9">
        <v>140.9371454131869</v>
      </c>
      <c r="D407" s="9"/>
      <c r="E407" s="9">
        <f t="shared" si="327"/>
        <v>140.9371454131869</v>
      </c>
      <c r="F407" s="36">
        <f t="shared" si="366"/>
        <v>0</v>
      </c>
      <c r="G407" s="37">
        <f t="shared" si="372"/>
        <v>0</v>
      </c>
      <c r="H407" s="36" t="e">
        <f t="shared" si="312"/>
        <v>#DIV/0!</v>
      </c>
      <c r="I407" s="37" t="e">
        <f t="shared" si="328"/>
        <v>#DIV/0!</v>
      </c>
      <c r="J407" s="37" t="e">
        <f t="shared" si="329"/>
        <v>#DIV/0!</v>
      </c>
      <c r="K407" s="37" t="e">
        <f t="shared" si="330"/>
        <v>#DIV/0!</v>
      </c>
      <c r="L407" s="39" t="e">
        <f t="shared" si="313"/>
        <v>#DIV/0!</v>
      </c>
      <c r="M407" s="39" t="e">
        <f>M406+(1000*$C$2*(B407-B406))/(BerechnungenCLT!$W$47*2*'Berechnung freier Bereich'!G407)</f>
        <v>#DIV/0!</v>
      </c>
      <c r="N407" s="17" t="e">
        <f t="shared" si="331"/>
        <v>#DIV/0!</v>
      </c>
      <c r="O407" s="173">
        <f t="shared" si="332"/>
        <v>1353.7955763862051</v>
      </c>
      <c r="P407" s="173"/>
      <c r="Q407" s="173"/>
      <c r="R407" s="37" t="e">
        <f t="shared" si="314"/>
        <v>#DIV/0!</v>
      </c>
      <c r="S407" s="37" t="e">
        <f t="shared" si="315"/>
        <v>#DIV/0!</v>
      </c>
      <c r="T407" s="37" t="e">
        <f t="shared" si="316"/>
        <v>#DIV/0!</v>
      </c>
      <c r="U407" s="39" t="e">
        <f t="shared" si="317"/>
        <v>#DIV/0!</v>
      </c>
      <c r="V407" s="39" t="e">
        <f t="shared" si="333"/>
        <v>#DIV/0!</v>
      </c>
      <c r="W407" s="9" t="e">
        <f t="shared" si="334"/>
        <v>#DIV/0!</v>
      </c>
      <c r="AB407" s="129">
        <v>142.8847835007154</v>
      </c>
      <c r="AC407" s="9">
        <v>6.09375</v>
      </c>
      <c r="AD407" s="129">
        <f t="shared" si="335"/>
        <v>148.99257204504991</v>
      </c>
      <c r="AE407" s="36">
        <f t="shared" si="367"/>
        <v>9.5210136979231447E-3</v>
      </c>
      <c r="AF407" s="37">
        <f t="shared" si="336"/>
        <v>59667139.765667506</v>
      </c>
      <c r="AG407" s="36">
        <f t="shared" si="318"/>
        <v>1.9982495811422167</v>
      </c>
      <c r="AH407" s="37">
        <f t="shared" si="337"/>
        <v>-1.3194969089546597E-4</v>
      </c>
      <c r="AI407" s="37">
        <f t="shared" si="338"/>
        <v>-5.9134121557505741E-2</v>
      </c>
      <c r="AJ407" s="37">
        <f t="shared" si="339"/>
        <v>-11.619975799189627</v>
      </c>
      <c r="AK407" s="39">
        <f t="shared" si="340"/>
        <v>1.9659523827064779E-2</v>
      </c>
      <c r="AL407" s="39">
        <f>AL406+(1000*$C$2*($B407-$B406))/(BerechnungenCLT!$W$47*2*AF407)</f>
        <v>1.7037446527012876E-2</v>
      </c>
      <c r="AM407" s="37">
        <f t="shared" si="319"/>
        <v>2.4970624137539149E-6</v>
      </c>
      <c r="AN407" s="173">
        <f t="shared" si="341"/>
        <v>1262.5925376688263</v>
      </c>
      <c r="AO407" s="173">
        <v>-257.28886304778331</v>
      </c>
      <c r="AV407" s="129">
        <v>143.29254645180166</v>
      </c>
      <c r="AW407" s="9">
        <v>6.09375</v>
      </c>
      <c r="AX407" s="129">
        <f t="shared" si="342"/>
        <v>149.39766276755969</v>
      </c>
      <c r="AY407" s="36">
        <f t="shared" si="368"/>
        <v>9.5433517583277585E-3</v>
      </c>
      <c r="AZ407" s="37">
        <f t="shared" si="343"/>
        <v>60140540.426014081</v>
      </c>
      <c r="BA407" s="36">
        <f t="shared" si="320"/>
        <v>1.9982608056035844</v>
      </c>
      <c r="BB407" s="37">
        <f t="shared" si="344"/>
        <v>-1.3091103925781924E-4</v>
      </c>
      <c r="BC407" s="37">
        <f t="shared" si="345"/>
        <v>-5.5671340760204441E-2</v>
      </c>
      <c r="BD407" s="37">
        <f t="shared" si="346"/>
        <v>-10.739622863913517</v>
      </c>
      <c r="BE407" s="39">
        <f t="shared" si="347"/>
        <v>1.9557803295590447E-2</v>
      </c>
      <c r="BF407" s="39">
        <f>BF406+(1000*$C$2*($B407-$B406))/(BerechnungenCLT!$W$47*2*AZ407)</f>
        <v>1.603634498396548E-2</v>
      </c>
      <c r="BG407" s="37">
        <f t="shared" si="321"/>
        <v>2.484142339082424E-6</v>
      </c>
      <c r="BH407" s="173">
        <f t="shared" si="348"/>
        <v>1255.5893798202192</v>
      </c>
      <c r="BI407">
        <v>-257.28886304778331</v>
      </c>
      <c r="BP407" s="129">
        <v>142.60084763310303</v>
      </c>
      <c r="BQ407" s="9">
        <v>6.21875</v>
      </c>
      <c r="BR407" s="129">
        <f t="shared" si="349"/>
        <v>148.84367524671228</v>
      </c>
      <c r="BS407" s="36">
        <f t="shared" si="369"/>
        <v>9.7170857400635958E-3</v>
      </c>
      <c r="BT407" s="37">
        <f t="shared" si="350"/>
        <v>60716697.822884507</v>
      </c>
      <c r="BU407" s="36">
        <f t="shared" si="322"/>
        <v>1.9981659462456767</v>
      </c>
      <c r="BV407" s="37">
        <f t="shared" si="351"/>
        <v>-1.2966878850465062E-4</v>
      </c>
      <c r="BW407" s="37">
        <f t="shared" si="352"/>
        <v>-6.1953819250195039E-2</v>
      </c>
      <c r="BX407" s="37">
        <f t="shared" si="353"/>
        <v>-12.128566280195709</v>
      </c>
      <c r="BY407" s="39">
        <f t="shared" si="354"/>
        <v>1.9300379045820836E-2</v>
      </c>
      <c r="BZ407" s="39">
        <f>BZ406+(1000*$C$2*($B407-$B406))/(BerechnungenCLT!$W$47*2*BT407)</f>
        <v>1.7852631020151302E-2</v>
      </c>
      <c r="CA407" s="37">
        <f t="shared" si="323"/>
        <v>2.4514454933122558E-6</v>
      </c>
      <c r="CB407" s="173">
        <f t="shared" si="355"/>
        <v>1266.3455476322627</v>
      </c>
      <c r="CC407" s="9">
        <v>-258.44577625244443</v>
      </c>
      <c r="CJ407" s="9">
        <f t="shared" si="371"/>
        <v>356</v>
      </c>
      <c r="CK407" s="129">
        <v>145.87479760918436</v>
      </c>
      <c r="CL407" s="9">
        <v>3.78125</v>
      </c>
      <c r="CM407" s="129">
        <f t="shared" si="356"/>
        <v>149.65645655090677</v>
      </c>
      <c r="CN407" s="36">
        <f t="shared" si="370"/>
        <v>5.9687662218980151E-3</v>
      </c>
      <c r="CO407" s="173">
        <f t="shared" si="357"/>
        <v>1231.5645803799337</v>
      </c>
      <c r="CP407" s="9">
        <v>-631.52403719495578</v>
      </c>
      <c r="CQ407" s="129"/>
      <c r="CR407" s="36">
        <f t="shared" si="358"/>
        <v>0.61436008621564664</v>
      </c>
      <c r="CS407" s="17">
        <f t="shared" si="324"/>
        <v>0.44165180557803801</v>
      </c>
      <c r="CT407" s="9">
        <f t="shared" si="325"/>
        <v>5.1369653001432622</v>
      </c>
      <c r="CU407" s="9">
        <f t="shared" si="359"/>
        <v>151.01231847149299</v>
      </c>
      <c r="CV407" s="9">
        <v>7.2</v>
      </c>
      <c r="CW407" s="9">
        <f t="shared" si="360"/>
        <v>153.07557628829878</v>
      </c>
      <c r="CX407">
        <f t="shared" si="361"/>
        <v>12</v>
      </c>
      <c r="CY407" s="9">
        <f t="shared" si="326"/>
        <v>366.60746102975259</v>
      </c>
      <c r="CZ407" s="17">
        <f t="shared" si="362"/>
        <v>0.34520476556473878</v>
      </c>
      <c r="DA407">
        <v>45</v>
      </c>
      <c r="DB407" s="9">
        <f t="shared" si="363"/>
        <v>5.9161393136059033</v>
      </c>
      <c r="DC407" s="9">
        <f t="shared" si="364"/>
        <v>6.5304994062265465</v>
      </c>
    </row>
    <row r="408" spans="2:107" x14ac:dyDescent="0.25">
      <c r="B408" s="9">
        <f t="shared" si="365"/>
        <v>357</v>
      </c>
      <c r="C408" s="9">
        <v>140.94654787018658</v>
      </c>
      <c r="D408" s="9"/>
      <c r="E408" s="9">
        <f t="shared" si="327"/>
        <v>140.94654787018658</v>
      </c>
      <c r="F408" s="36">
        <f t="shared" si="366"/>
        <v>0</v>
      </c>
      <c r="G408" s="37">
        <f t="shared" si="372"/>
        <v>0</v>
      </c>
      <c r="H408" s="36" t="e">
        <f t="shared" si="312"/>
        <v>#DIV/0!</v>
      </c>
      <c r="I408" s="37" t="e">
        <f t="shared" si="328"/>
        <v>#DIV/0!</v>
      </c>
      <c r="J408" s="37" t="e">
        <f t="shared" si="329"/>
        <v>#DIV/0!</v>
      </c>
      <c r="K408" s="37" t="e">
        <f t="shared" si="330"/>
        <v>#DIV/0!</v>
      </c>
      <c r="L408" s="39" t="e">
        <f t="shared" si="313"/>
        <v>#DIV/0!</v>
      </c>
      <c r="M408" s="39" t="e">
        <f>M407+(1000*$C$2*(B408-B407))/(BerechnungenCLT!$W$47*2*'Berechnung freier Bereich'!G408)</f>
        <v>#DIV/0!</v>
      </c>
      <c r="N408" s="17" t="e">
        <f t="shared" si="331"/>
        <v>#DIV/0!</v>
      </c>
      <c r="O408" s="173">
        <f t="shared" si="332"/>
        <v>1353.6149606802705</v>
      </c>
      <c r="P408" s="173"/>
      <c r="Q408" s="173"/>
      <c r="R408" s="37" t="e">
        <f t="shared" si="314"/>
        <v>#DIV/0!</v>
      </c>
      <c r="S408" s="37" t="e">
        <f t="shared" si="315"/>
        <v>#DIV/0!</v>
      </c>
      <c r="T408" s="37" t="e">
        <f t="shared" si="316"/>
        <v>#DIV/0!</v>
      </c>
      <c r="U408" s="39" t="e">
        <f t="shared" si="317"/>
        <v>#DIV/0!</v>
      </c>
      <c r="V408" s="39" t="e">
        <f t="shared" si="333"/>
        <v>#DIV/0!</v>
      </c>
      <c r="W408" s="9" t="e">
        <f t="shared" si="334"/>
        <v>#DIV/0!</v>
      </c>
      <c r="AB408" s="129">
        <v>142.95270131545075</v>
      </c>
      <c r="AC408" s="9">
        <v>6.0625</v>
      </c>
      <c r="AD408" s="129">
        <f t="shared" si="335"/>
        <v>149.02990619498757</v>
      </c>
      <c r="AE408" s="36">
        <f t="shared" si="367"/>
        <v>9.4767550334022722E-3</v>
      </c>
      <c r="AF408" s="37">
        <f t="shared" si="336"/>
        <v>59432337.212925173</v>
      </c>
      <c r="AG408" s="36">
        <f t="shared" si="318"/>
        <v>1.9982683040349156</v>
      </c>
      <c r="AH408" s="37">
        <f t="shared" si="337"/>
        <v>-1.3247099168403866E-4</v>
      </c>
      <c r="AI408" s="37">
        <f t="shared" si="338"/>
        <v>-5.9266592549189777E-2</v>
      </c>
      <c r="AJ408" s="37">
        <f t="shared" si="339"/>
        <v>-11.679176156242974</v>
      </c>
      <c r="AK408" s="39">
        <f t="shared" si="340"/>
        <v>1.9742139464229261E-2</v>
      </c>
      <c r="AL408" s="39">
        <f>AL407+(1000*$C$2*($B408-$B407))/(BerechnungenCLT!$W$47*2*AF408)</f>
        <v>1.7075744355428496E-2</v>
      </c>
      <c r="AM408" s="37">
        <f t="shared" si="319"/>
        <v>2.5075558725053301E-6</v>
      </c>
      <c r="AN408" s="173">
        <f t="shared" si="341"/>
        <v>1261.6824396695899</v>
      </c>
      <c r="AO408" s="173">
        <v>-258.52587037983011</v>
      </c>
      <c r="AV408" s="129">
        <v>143.35365260735631</v>
      </c>
      <c r="AW408" s="9">
        <v>6.0625</v>
      </c>
      <c r="AX408" s="129">
        <f t="shared" si="342"/>
        <v>149.4279553488839</v>
      </c>
      <c r="AY408" s="36">
        <f t="shared" si="368"/>
        <v>9.4981498904686389E-3</v>
      </c>
      <c r="AZ408" s="37">
        <f t="shared" si="343"/>
        <v>59892796.023853764</v>
      </c>
      <c r="BA408" s="36">
        <f t="shared" si="320"/>
        <v>1.9982793800933683</v>
      </c>
      <c r="BB408" s="37">
        <f t="shared" si="344"/>
        <v>-1.3145254807541052E-4</v>
      </c>
      <c r="BC408" s="37">
        <f t="shared" si="345"/>
        <v>-5.5802793308279849E-2</v>
      </c>
      <c r="BD408" s="37">
        <f t="shared" si="346"/>
        <v>-10.795359930947759</v>
      </c>
      <c r="BE408" s="39">
        <f t="shared" si="347"/>
        <v>1.9642685484309457E-2</v>
      </c>
      <c r="BF408" s="39">
        <f>BF407+(1000*$C$2*($B408-$B407))/(BerechnungenCLT!$W$47*2*AZ408)</f>
        <v>1.6074348376761059E-2</v>
      </c>
      <c r="BG408" s="37">
        <f t="shared" si="321"/>
        <v>2.4949236848012669E-6</v>
      </c>
      <c r="BH408" s="173">
        <f t="shared" si="348"/>
        <v>1254.8055780525033</v>
      </c>
      <c r="BI408">
        <v>-258.52587037983011</v>
      </c>
      <c r="BP408" s="129">
        <v>142.68893023514914</v>
      </c>
      <c r="BQ408" s="9">
        <v>6.21875</v>
      </c>
      <c r="BR408" s="129">
        <f t="shared" si="349"/>
        <v>148.93215185170214</v>
      </c>
      <c r="BS408" s="36">
        <f t="shared" si="369"/>
        <v>9.7235860660926758E-3</v>
      </c>
      <c r="BT408" s="37">
        <f t="shared" si="350"/>
        <v>60830921.25594046</v>
      </c>
      <c r="BU408" s="36">
        <f t="shared" si="322"/>
        <v>1.9981679337955505</v>
      </c>
      <c r="BV408" s="37">
        <f t="shared" si="351"/>
        <v>-1.2942530683648896E-4</v>
      </c>
      <c r="BW408" s="37">
        <f t="shared" si="352"/>
        <v>-6.2083244557031528E-2</v>
      </c>
      <c r="BX408" s="37">
        <f t="shared" si="353"/>
        <v>-12.190584812099322</v>
      </c>
      <c r="BY408" s="39">
        <f t="shared" si="354"/>
        <v>1.9275589451225116E-2</v>
      </c>
      <c r="BZ408" s="39">
        <f>BZ407+(1000*$C$2*($B408-$B407))/(BerechnungenCLT!$W$47*2*BT408)</f>
        <v>1.7890048330392969E-2</v>
      </c>
      <c r="CA408" s="37">
        <f t="shared" si="323"/>
        <v>2.4482968328735962E-6</v>
      </c>
      <c r="CB408" s="173">
        <f t="shared" si="355"/>
        <v>1264.8126181168111</v>
      </c>
      <c r="CC408" s="9">
        <v>-258.13292391976012</v>
      </c>
      <c r="CJ408" s="9">
        <f t="shared" si="371"/>
        <v>357</v>
      </c>
      <c r="CK408" s="129">
        <v>145.86009007878653</v>
      </c>
      <c r="CL408" s="9">
        <v>3.78125</v>
      </c>
      <c r="CM408" s="129">
        <f t="shared" si="356"/>
        <v>149.64166343342981</v>
      </c>
      <c r="CN408" s="36">
        <f t="shared" si="370"/>
        <v>5.9680353326123717E-3</v>
      </c>
      <c r="CO408" s="173">
        <f t="shared" si="357"/>
        <v>1231.8104927384352</v>
      </c>
      <c r="CP408" s="9">
        <v>-631.65013660371676</v>
      </c>
      <c r="CQ408" s="129"/>
      <c r="CR408" s="36">
        <f t="shared" si="358"/>
        <v>0.61440661859648649</v>
      </c>
      <c r="CS408" s="17">
        <f t="shared" si="324"/>
        <v>0.44168525682345067</v>
      </c>
      <c r="CT408" s="9">
        <f t="shared" si="325"/>
        <v>5.1365762496049507</v>
      </c>
      <c r="CU408" s="9">
        <f t="shared" si="359"/>
        <v>150.9971055841352</v>
      </c>
      <c r="CV408" s="9">
        <v>7.2</v>
      </c>
      <c r="CW408" s="9">
        <f t="shared" si="360"/>
        <v>153.06070578878501</v>
      </c>
      <c r="CX408">
        <f t="shared" si="361"/>
        <v>12</v>
      </c>
      <c r="CY408" s="9">
        <f t="shared" si="326"/>
        <v>366.64442720997539</v>
      </c>
      <c r="CZ408" s="17">
        <f t="shared" si="362"/>
        <v>0.34523957364404462</v>
      </c>
      <c r="DA408">
        <v>45</v>
      </c>
      <c r="DB408" s="9">
        <f t="shared" si="363"/>
        <v>5.91673585648988</v>
      </c>
      <c r="DC408" s="9">
        <f t="shared" si="364"/>
        <v>6.5311424801505735</v>
      </c>
    </row>
    <row r="409" spans="2:107" x14ac:dyDescent="0.25">
      <c r="B409" s="9">
        <f t="shared" si="365"/>
        <v>358</v>
      </c>
      <c r="C409" s="9">
        <v>140.95657227668787</v>
      </c>
      <c r="D409" s="9"/>
      <c r="E409" s="9">
        <f t="shared" si="327"/>
        <v>140.95657227668787</v>
      </c>
      <c r="F409" s="36">
        <f t="shared" si="366"/>
        <v>0</v>
      </c>
      <c r="G409" s="37">
        <f t="shared" si="372"/>
        <v>0</v>
      </c>
      <c r="H409" s="36" t="e">
        <f t="shared" si="312"/>
        <v>#DIV/0!</v>
      </c>
      <c r="I409" s="37" t="e">
        <f t="shared" si="328"/>
        <v>#DIV/0!</v>
      </c>
      <c r="J409" s="37" t="e">
        <f t="shared" si="329"/>
        <v>#DIV/0!</v>
      </c>
      <c r="K409" s="37" t="e">
        <f t="shared" si="330"/>
        <v>#DIV/0!</v>
      </c>
      <c r="L409" s="39" t="e">
        <f t="shared" si="313"/>
        <v>#DIV/0!</v>
      </c>
      <c r="M409" s="39" t="e">
        <f>M408+(1000*$C$2*(B409-B408))/(BerechnungenCLT!$W$47*2*'Berechnung freier Bereich'!G409)</f>
        <v>#DIV/0!</v>
      </c>
      <c r="N409" s="17" t="e">
        <f t="shared" si="331"/>
        <v>#DIV/0!</v>
      </c>
      <c r="O409" s="173">
        <f t="shared" si="332"/>
        <v>1353.4224374953901</v>
      </c>
      <c r="P409" s="173"/>
      <c r="Q409" s="173"/>
      <c r="R409" s="37" t="e">
        <f t="shared" si="314"/>
        <v>#DIV/0!</v>
      </c>
      <c r="S409" s="37" t="e">
        <f t="shared" si="315"/>
        <v>#DIV/0!</v>
      </c>
      <c r="T409" s="37" t="e">
        <f t="shared" si="316"/>
        <v>#DIV/0!</v>
      </c>
      <c r="U409" s="39" t="e">
        <f t="shared" si="317"/>
        <v>#DIV/0!</v>
      </c>
      <c r="V409" s="39" t="e">
        <f t="shared" si="333"/>
        <v>#DIV/0!</v>
      </c>
      <c r="W409" s="9" t="e">
        <f t="shared" si="334"/>
        <v>#DIV/0!</v>
      </c>
      <c r="AB409" s="129">
        <v>143.02239333478664</v>
      </c>
      <c r="AC409" s="9">
        <v>6.0625</v>
      </c>
      <c r="AD409" s="129">
        <f t="shared" si="335"/>
        <v>149.10033247061438</v>
      </c>
      <c r="AE409" s="36">
        <f t="shared" si="367"/>
        <v>9.4824483372805534E-3</v>
      </c>
      <c r="AF409" s="37">
        <f t="shared" si="336"/>
        <v>59525113.018097818</v>
      </c>
      <c r="AG409" s="36">
        <f t="shared" si="318"/>
        <v>1.998269545989467</v>
      </c>
      <c r="AH409" s="37">
        <f t="shared" si="337"/>
        <v>-1.3226452247646627E-4</v>
      </c>
      <c r="AI409" s="37">
        <f t="shared" si="338"/>
        <v>-5.9398857071666242E-2</v>
      </c>
      <c r="AJ409" s="37">
        <f t="shared" si="339"/>
        <v>-11.738508881053402</v>
      </c>
      <c r="AK409" s="39">
        <f t="shared" si="340"/>
        <v>1.9720684275308167E-2</v>
      </c>
      <c r="AL409" s="39">
        <f>AL408+(1000*$C$2*($B409-$B408))/(BerechnungenCLT!$W$47*2*AF409)</f>
        <v>1.7113982492871896E-2</v>
      </c>
      <c r="AM409" s="37">
        <f t="shared" si="319"/>
        <v>2.5048307329594218E-6</v>
      </c>
      <c r="AN409" s="173">
        <f t="shared" si="341"/>
        <v>1260.4723839038993</v>
      </c>
      <c r="AO409" s="173">
        <v>-258.38193527906157</v>
      </c>
      <c r="AV409" s="129">
        <v>143.41608239294015</v>
      </c>
      <c r="AW409" s="9">
        <v>6.0625</v>
      </c>
      <c r="AX409" s="129">
        <f t="shared" si="342"/>
        <v>149.49087508154756</v>
      </c>
      <c r="AY409" s="36">
        <f t="shared" si="368"/>
        <v>9.5029828026060095E-3</v>
      </c>
      <c r="AZ409" s="37">
        <f t="shared" si="343"/>
        <v>59974574.419150181</v>
      </c>
      <c r="BA409" s="36">
        <f t="shared" si="320"/>
        <v>1.998280574345449</v>
      </c>
      <c r="BB409" s="37">
        <f t="shared" si="344"/>
        <v>-1.3127330581244584E-4</v>
      </c>
      <c r="BC409" s="37">
        <f t="shared" si="345"/>
        <v>-5.5934066614092295E-2</v>
      </c>
      <c r="BD409" s="37">
        <f t="shared" si="346"/>
        <v>-10.851228360908946</v>
      </c>
      <c r="BE409" s="39">
        <f t="shared" si="347"/>
        <v>1.9624161360750132E-2</v>
      </c>
      <c r="BF409" s="39">
        <f>BF408+(1000*$C$2*($B409-$B408))/(BerechnungenCLT!$W$47*2*AZ409)</f>
        <v>1.6112299949989615E-2</v>
      </c>
      <c r="BG409" s="37">
        <f t="shared" si="321"/>
        <v>2.4925708357142485E-6</v>
      </c>
      <c r="BH409" s="173">
        <f t="shared" si="348"/>
        <v>1253.7318198864955</v>
      </c>
      <c r="BI409">
        <v>-258.38193527906157</v>
      </c>
      <c r="BP409" s="129">
        <v>142.77773200271196</v>
      </c>
      <c r="BQ409" s="9">
        <v>6.21875</v>
      </c>
      <c r="BR409" s="129">
        <f t="shared" si="349"/>
        <v>149.02133882720267</v>
      </c>
      <c r="BS409" s="36">
        <f t="shared" si="369"/>
        <v>9.7301210972598837E-3</v>
      </c>
      <c r="BT409" s="37">
        <f t="shared" si="350"/>
        <v>60946101.888835616</v>
      </c>
      <c r="BU409" s="36">
        <f t="shared" si="322"/>
        <v>1.9981699409380482</v>
      </c>
      <c r="BV409" s="37">
        <f t="shared" si="351"/>
        <v>-1.2918070893289758E-4</v>
      </c>
      <c r="BW409" s="37">
        <f t="shared" si="352"/>
        <v>-6.2212425265964426E-2</v>
      </c>
      <c r="BX409" s="37">
        <f t="shared" si="353"/>
        <v>-12.25273264701082</v>
      </c>
      <c r="BY409" s="39">
        <f t="shared" si="354"/>
        <v>1.9250682195827578E-2</v>
      </c>
      <c r="BZ409" s="39">
        <f>BZ408+(1000*$C$2*($B409-$B408))/(BerechnungenCLT!$W$47*2*BT409)</f>
        <v>1.7927394926522636E-2</v>
      </c>
      <c r="CA409" s="37">
        <f t="shared" si="323"/>
        <v>2.4451332277003442E-6</v>
      </c>
      <c r="CB409" s="173">
        <f t="shared" si="355"/>
        <v>1263.2700926489479</v>
      </c>
      <c r="CC409" s="9">
        <v>-257.81811316950598</v>
      </c>
      <c r="CJ409" s="9">
        <f t="shared" si="371"/>
        <v>358</v>
      </c>
      <c r="CK409" s="129">
        <v>145.84701193411709</v>
      </c>
      <c r="CL409" s="9">
        <v>3.78125</v>
      </c>
      <c r="CM409" s="129">
        <f t="shared" si="356"/>
        <v>149.62851186055073</v>
      </c>
      <c r="CN409" s="36">
        <f t="shared" si="370"/>
        <v>5.9673897167003371E-3</v>
      </c>
      <c r="CO409" s="173">
        <f t="shared" si="357"/>
        <v>1232.029201042822</v>
      </c>
      <c r="CP409" s="9">
        <v>-631.76228626566285</v>
      </c>
      <c r="CQ409" s="129"/>
      <c r="CR409" s="36">
        <f t="shared" si="358"/>
        <v>0.61444799279681628</v>
      </c>
      <c r="CS409" s="17">
        <f t="shared" si="324"/>
        <v>0.44171499995079566</v>
      </c>
      <c r="CT409" s="9">
        <f t="shared" si="325"/>
        <v>5.1362303753613183</v>
      </c>
      <c r="CU409" s="9">
        <f t="shared" si="359"/>
        <v>150.98358179502949</v>
      </c>
      <c r="CV409" s="9">
        <v>7.2</v>
      </c>
      <c r="CW409" s="9">
        <f t="shared" si="360"/>
        <v>153.04748782709484</v>
      </c>
      <c r="CX409">
        <f t="shared" si="361"/>
        <v>12</v>
      </c>
      <c r="CY409" s="9">
        <f t="shared" si="326"/>
        <v>366.67730432413566</v>
      </c>
      <c r="CZ409" s="17">
        <f t="shared" si="362"/>
        <v>0.34527053137865887</v>
      </c>
      <c r="DA409">
        <v>45</v>
      </c>
      <c r="DB409" s="9">
        <f t="shared" si="363"/>
        <v>5.9172664119429932</v>
      </c>
      <c r="DC409" s="9">
        <f t="shared" si="364"/>
        <v>6.5317144086536025</v>
      </c>
    </row>
    <row r="410" spans="2:107" x14ac:dyDescent="0.25">
      <c r="B410" s="9">
        <f t="shared" si="365"/>
        <v>359</v>
      </c>
      <c r="C410" s="9">
        <v>140.96719995552851</v>
      </c>
      <c r="D410" s="9"/>
      <c r="E410" s="9">
        <f t="shared" si="327"/>
        <v>140.96719995552851</v>
      </c>
      <c r="F410" s="36">
        <f t="shared" si="366"/>
        <v>0</v>
      </c>
      <c r="G410" s="37">
        <f t="shared" si="372"/>
        <v>0</v>
      </c>
      <c r="H410" s="36" t="e">
        <f t="shared" si="312"/>
        <v>#DIV/0!</v>
      </c>
      <c r="I410" s="37" t="e">
        <f t="shared" si="328"/>
        <v>#DIV/0!</v>
      </c>
      <c r="J410" s="37" t="e">
        <f t="shared" si="329"/>
        <v>#DIV/0!</v>
      </c>
      <c r="K410" s="37" t="e">
        <f t="shared" si="330"/>
        <v>#DIV/0!</v>
      </c>
      <c r="L410" s="39" t="e">
        <f t="shared" si="313"/>
        <v>#DIV/0!</v>
      </c>
      <c r="M410" s="39" t="e">
        <f>M409+(1000*$C$2*(B410-B409))/(BerechnungenCLT!$W$47*2*'Berechnung freier Bereich'!G410)</f>
        <v>#DIV/0!</v>
      </c>
      <c r="N410" s="17" t="e">
        <f t="shared" si="331"/>
        <v>#DIV/0!</v>
      </c>
      <c r="O410" s="173">
        <f t="shared" si="332"/>
        <v>1353.2183730491547</v>
      </c>
      <c r="P410" s="173"/>
      <c r="Q410" s="173"/>
      <c r="R410" s="37" t="e">
        <f t="shared" si="314"/>
        <v>#DIV/0!</v>
      </c>
      <c r="S410" s="37" t="e">
        <f t="shared" si="315"/>
        <v>#DIV/0!</v>
      </c>
      <c r="T410" s="37" t="e">
        <f t="shared" si="316"/>
        <v>#DIV/0!</v>
      </c>
      <c r="U410" s="39" t="e">
        <f t="shared" si="317"/>
        <v>#DIV/0!</v>
      </c>
      <c r="V410" s="39" t="e">
        <f t="shared" si="333"/>
        <v>#DIV/0!</v>
      </c>
      <c r="W410" s="9" t="e">
        <f t="shared" si="334"/>
        <v>#DIV/0!</v>
      </c>
      <c r="AB410" s="129">
        <v>143.09380627930562</v>
      </c>
      <c r="AC410" s="9">
        <v>6.0625</v>
      </c>
      <c r="AD410" s="129">
        <f t="shared" si="335"/>
        <v>149.17247393827904</v>
      </c>
      <c r="AE410" s="36">
        <f t="shared" si="367"/>
        <v>9.4882453427167848E-3</v>
      </c>
      <c r="AF410" s="37">
        <f t="shared" si="336"/>
        <v>59620037.569327362</v>
      </c>
      <c r="AG410" s="36">
        <f t="shared" si="318"/>
        <v>1.998270830202252</v>
      </c>
      <c r="AH410" s="37">
        <f t="shared" si="337"/>
        <v>-1.3205393638911149E-4</v>
      </c>
      <c r="AI410" s="37">
        <f t="shared" si="338"/>
        <v>-5.9530911008055354E-2</v>
      </c>
      <c r="AJ410" s="37">
        <f t="shared" si="339"/>
        <v>-11.797973765093262</v>
      </c>
      <c r="AK410" s="39">
        <f t="shared" si="340"/>
        <v>1.9698812384451894E-2</v>
      </c>
      <c r="AL410" s="39">
        <f>AL409+(1000*$C$2*($B410-$B409))/(BerechnungenCLT!$W$47*2*AF410)</f>
        <v>1.7152159749138689E-2</v>
      </c>
      <c r="AM410" s="37">
        <f t="shared" si="319"/>
        <v>2.5020526658477583E-6</v>
      </c>
      <c r="AN410" s="173">
        <f t="shared" si="341"/>
        <v>1259.2344584498815</v>
      </c>
      <c r="AO410" s="173">
        <v>-258.23812034932729</v>
      </c>
      <c r="AV410" s="129">
        <v>143.47979605990363</v>
      </c>
      <c r="AW410" s="9">
        <v>6.0625</v>
      </c>
      <c r="AX410" s="129">
        <f t="shared" si="342"/>
        <v>149.55507300305334</v>
      </c>
      <c r="AY410" s="36">
        <f t="shared" si="368"/>
        <v>9.5078905915588537E-3</v>
      </c>
      <c r="AZ410" s="37">
        <f t="shared" si="343"/>
        <v>60057949.624790609</v>
      </c>
      <c r="BA410" s="36">
        <f t="shared" si="320"/>
        <v>1.9982818004066782</v>
      </c>
      <c r="BB410" s="37">
        <f t="shared" si="344"/>
        <v>-1.3109106617663428E-4</v>
      </c>
      <c r="BC410" s="37">
        <f t="shared" si="345"/>
        <v>-5.6065157680268929E-2</v>
      </c>
      <c r="BD410" s="37">
        <f t="shared" si="346"/>
        <v>-10.907227973056127</v>
      </c>
      <c r="BE410" s="39">
        <f t="shared" si="347"/>
        <v>1.9605333972094637E-2</v>
      </c>
      <c r="BF410" s="39">
        <f>BF409+(1000*$C$2*($B410-$B409))/(BerechnungenCLT!$W$47*2*AZ410)</f>
        <v>1.6150198837100147E-2</v>
      </c>
      <c r="BG410" s="37">
        <f t="shared" si="321"/>
        <v>2.4901794672877122E-6</v>
      </c>
      <c r="BH410" s="173">
        <f t="shared" si="348"/>
        <v>1252.6375349057535</v>
      </c>
      <c r="BI410">
        <v>-258.23812034932729</v>
      </c>
      <c r="BP410" s="129">
        <v>142.86723133922939</v>
      </c>
      <c r="BQ410" s="9">
        <v>6.21875</v>
      </c>
      <c r="BR410" s="129">
        <f t="shared" si="349"/>
        <v>149.11121429835728</v>
      </c>
      <c r="BS410" s="36">
        <f t="shared" si="369"/>
        <v>9.7366889336884862E-3</v>
      </c>
      <c r="BT410" s="37">
        <f t="shared" si="350"/>
        <v>61062212.810341649</v>
      </c>
      <c r="BU410" s="36">
        <f t="shared" si="322"/>
        <v>1.9981719671908857</v>
      </c>
      <c r="BV410" s="37">
        <f t="shared" si="351"/>
        <v>-1.2893506943729678E-4</v>
      </c>
      <c r="BW410" s="37">
        <f t="shared" si="352"/>
        <v>-6.2341360335401726E-2</v>
      </c>
      <c r="BX410" s="37">
        <f t="shared" si="353"/>
        <v>-12.315009539811504</v>
      </c>
      <c r="BY410" s="39">
        <f t="shared" si="354"/>
        <v>1.9225664769438336E-2</v>
      </c>
      <c r="BZ410" s="39">
        <f>BZ409+(1000*$C$2*($B410-$B409))/(BerechnungenCLT!$W$47*2*BT410)</f>
        <v>1.7964670507412402E-2</v>
      </c>
      <c r="CA410" s="37">
        <f t="shared" si="323"/>
        <v>2.4419556291137789E-6</v>
      </c>
      <c r="CB410" s="173">
        <f t="shared" si="355"/>
        <v>1261.71840807339</v>
      </c>
      <c r="CC410" s="9">
        <v>-257.5014331563936</v>
      </c>
      <c r="CJ410" s="9">
        <f t="shared" si="371"/>
        <v>359</v>
      </c>
      <c r="CK410" s="129">
        <v>145.83551424467376</v>
      </c>
      <c r="CL410" s="9">
        <v>3.78125</v>
      </c>
      <c r="CM410" s="129">
        <f t="shared" si="356"/>
        <v>149.61695202527898</v>
      </c>
      <c r="CN410" s="36">
        <f t="shared" si="370"/>
        <v>5.9668259881123335E-3</v>
      </c>
      <c r="CO410" s="173">
        <f t="shared" si="357"/>
        <v>1232.2215071189473</v>
      </c>
      <c r="CP410" s="9">
        <v>-631.8608973425861</v>
      </c>
      <c r="CQ410" s="129"/>
      <c r="CR410" s="36">
        <f t="shared" si="358"/>
        <v>0.61448436364199088</v>
      </c>
      <c r="CS410" s="17">
        <f t="shared" si="324"/>
        <v>0.44174114626108202</v>
      </c>
      <c r="CT410" s="9">
        <f t="shared" si="325"/>
        <v>5.1359263659335506</v>
      </c>
      <c r="CU410" s="9">
        <f t="shared" si="359"/>
        <v>150.97169566577725</v>
      </c>
      <c r="CV410" s="9">
        <v>7.2</v>
      </c>
      <c r="CW410" s="9">
        <f t="shared" si="360"/>
        <v>153.03587180377659</v>
      </c>
      <c r="CX410">
        <f t="shared" si="361"/>
        <v>12</v>
      </c>
      <c r="CY410" s="9">
        <f t="shared" si="326"/>
        <v>366.70621320680993</v>
      </c>
      <c r="CZ410" s="17">
        <f t="shared" si="362"/>
        <v>0.34529775254878525</v>
      </c>
      <c r="DA410">
        <v>45</v>
      </c>
      <c r="DB410" s="9">
        <f t="shared" si="363"/>
        <v>5.9177329299369843</v>
      </c>
      <c r="DC410" s="9">
        <f t="shared" si="364"/>
        <v>6.532217293721418</v>
      </c>
    </row>
    <row r="411" spans="2:107" x14ac:dyDescent="0.25">
      <c r="B411" s="9">
        <f t="shared" si="365"/>
        <v>360</v>
      </c>
      <c r="C411" s="9">
        <v>140.97841222954634</v>
      </c>
      <c r="D411" s="9"/>
      <c r="E411" s="9">
        <f t="shared" si="327"/>
        <v>140.97841222954634</v>
      </c>
      <c r="F411" s="36">
        <f t="shared" si="366"/>
        <v>0</v>
      </c>
      <c r="G411" s="37">
        <f t="shared" si="372"/>
        <v>0</v>
      </c>
      <c r="H411" s="36" t="e">
        <f t="shared" si="312"/>
        <v>#DIV/0!</v>
      </c>
      <c r="I411" s="37" t="e">
        <f t="shared" si="328"/>
        <v>#DIV/0!</v>
      </c>
      <c r="J411" s="37" t="e">
        <f t="shared" si="329"/>
        <v>#DIV/0!</v>
      </c>
      <c r="K411" s="37" t="e">
        <f t="shared" si="330"/>
        <v>#DIV/0!</v>
      </c>
      <c r="L411" s="39" t="e">
        <f t="shared" si="313"/>
        <v>#DIV/0!</v>
      </c>
      <c r="M411" s="39" t="e">
        <f>M410+(1000*$C$2*(B411-B410))/(BerechnungenCLT!$W$47*2*'Berechnung freier Bereich'!G411)</f>
        <v>#DIV/0!</v>
      </c>
      <c r="N411" s="17" t="e">
        <f t="shared" si="331"/>
        <v>#DIV/0!</v>
      </c>
      <c r="O411" s="173">
        <f t="shared" si="332"/>
        <v>1353.0031336857662</v>
      </c>
      <c r="P411" s="173"/>
      <c r="Q411" s="173"/>
      <c r="R411" s="37" t="e">
        <f t="shared" si="314"/>
        <v>#DIV/0!</v>
      </c>
      <c r="S411" s="37" t="e">
        <f t="shared" si="315"/>
        <v>#DIV/0!</v>
      </c>
      <c r="T411" s="37" t="e">
        <f t="shared" si="316"/>
        <v>#DIV/0!</v>
      </c>
      <c r="U411" s="39" t="e">
        <f t="shared" si="317"/>
        <v>#DIV/0!</v>
      </c>
      <c r="V411" s="39" t="e">
        <f t="shared" si="333"/>
        <v>#DIV/0!</v>
      </c>
      <c r="W411" s="9" t="e">
        <f t="shared" si="334"/>
        <v>#DIV/0!</v>
      </c>
      <c r="AB411" s="129">
        <v>143.16688686959029</v>
      </c>
      <c r="AC411" s="9">
        <v>6.0625</v>
      </c>
      <c r="AD411" s="129">
        <f t="shared" si="335"/>
        <v>149.24627570913356</v>
      </c>
      <c r="AE411" s="36">
        <f t="shared" si="367"/>
        <v>9.4941400511618489E-3</v>
      </c>
      <c r="AF411" s="37">
        <f t="shared" si="336"/>
        <v>59717035.565123923</v>
      </c>
      <c r="AG411" s="36">
        <f t="shared" si="318"/>
        <v>1.9982721561544488</v>
      </c>
      <c r="AH411" s="37">
        <f t="shared" si="337"/>
        <v>-1.3183944203175476E-4</v>
      </c>
      <c r="AI411" s="37">
        <f t="shared" si="338"/>
        <v>-5.9662750450087107E-2</v>
      </c>
      <c r="AJ411" s="37">
        <f t="shared" si="339"/>
        <v>-11.857570595822333</v>
      </c>
      <c r="AK411" s="39">
        <f t="shared" si="340"/>
        <v>1.9676545714809601E-2</v>
      </c>
      <c r="AL411" s="39">
        <f>AL410+(1000*$C$2*($B411-$B410))/(BerechnungenCLT!$W$47*2*AF411)</f>
        <v>1.7190274994334304E-2</v>
      </c>
      <c r="AM411" s="37">
        <f t="shared" si="319"/>
        <v>2.4992244557480462E-6</v>
      </c>
      <c r="AN411" s="173">
        <f t="shared" si="341"/>
        <v>1257.9697214230189</v>
      </c>
      <c r="AO411" s="173">
        <v>-258.09442545689058</v>
      </c>
      <c r="AV411" s="129">
        <v>143.54475385959725</v>
      </c>
      <c r="AW411" s="9">
        <v>6.0625</v>
      </c>
      <c r="AX411" s="129">
        <f t="shared" si="342"/>
        <v>149.62050846865603</v>
      </c>
      <c r="AY411" s="36">
        <f t="shared" si="368"/>
        <v>9.5128692538415226E-3</v>
      </c>
      <c r="AZ411" s="37">
        <f t="shared" si="343"/>
        <v>60142867.623709351</v>
      </c>
      <c r="BA411" s="36">
        <f t="shared" si="320"/>
        <v>1.9982830577334361</v>
      </c>
      <c r="BB411" s="37">
        <f t="shared" si="344"/>
        <v>-1.3090597372169028E-4</v>
      </c>
      <c r="BC411" s="37">
        <f t="shared" si="345"/>
        <v>-5.6196063653990616E-2</v>
      </c>
      <c r="BD411" s="37">
        <f t="shared" si="346"/>
        <v>-10.963358583723258</v>
      </c>
      <c r="BE411" s="39">
        <f t="shared" si="347"/>
        <v>1.9586218349823825E-2</v>
      </c>
      <c r="BF411" s="39">
        <f>BF410+(1000*$C$2*($B411-$B410))/(BerechnungenCLT!$W$47*2*AZ411)</f>
        <v>1.6188044213332635E-2</v>
      </c>
      <c r="BG411" s="37">
        <f t="shared" si="321"/>
        <v>2.4877514887513122E-6</v>
      </c>
      <c r="BH411" s="173">
        <f t="shared" si="348"/>
        <v>1251.5234931318546</v>
      </c>
      <c r="BI411">
        <v>-258.09442545689058</v>
      </c>
      <c r="BP411" s="129">
        <v>142.95740664813945</v>
      </c>
      <c r="BQ411" s="9">
        <v>6.1875</v>
      </c>
      <c r="BR411" s="129">
        <f t="shared" si="349"/>
        <v>149.17037775703935</v>
      </c>
      <c r="BS411" s="36">
        <f t="shared" si="369"/>
        <v>9.6932852474025822E-3</v>
      </c>
      <c r="BT411" s="37">
        <f t="shared" si="350"/>
        <v>60851909.86898905</v>
      </c>
      <c r="BU411" s="36">
        <f t="shared" si="322"/>
        <v>1.9981919170847879</v>
      </c>
      <c r="BV411" s="37">
        <f t="shared" si="351"/>
        <v>-1.2938066636933299E-4</v>
      </c>
      <c r="BW411" s="37">
        <f t="shared" si="352"/>
        <v>-6.2470741001771059E-2</v>
      </c>
      <c r="BX411" s="37">
        <f t="shared" si="353"/>
        <v>-12.377415590480091</v>
      </c>
      <c r="BY411" s="39">
        <f t="shared" si="354"/>
        <v>1.929976287677088E-2</v>
      </c>
      <c r="BZ411" s="39">
        <f>BZ410+(1000*$C$2*($B411-$B410))/(BerechnungenCLT!$W$47*2*BT411)</f>
        <v>1.800207491193841E-2</v>
      </c>
      <c r="CA411" s="37">
        <f t="shared" si="323"/>
        <v>2.4513672303497999E-6</v>
      </c>
      <c r="CB411" s="173">
        <f t="shared" si="355"/>
        <v>1260.4287306093154</v>
      </c>
      <c r="CC411" s="9">
        <v>-258.53740857648404</v>
      </c>
      <c r="CJ411" s="9">
        <f t="shared" si="371"/>
        <v>360</v>
      </c>
      <c r="CK411" s="129">
        <v>145.8255480799541</v>
      </c>
      <c r="CL411" s="9">
        <v>3.7890625</v>
      </c>
      <c r="CM411" s="129">
        <f t="shared" si="356"/>
        <v>149.61474692874958</v>
      </c>
      <c r="CN411" s="36">
        <f t="shared" si="370"/>
        <v>5.9788260633861189E-3</v>
      </c>
      <c r="CO411" s="173">
        <f t="shared" si="357"/>
        <v>1232.3230369309829</v>
      </c>
      <c r="CP411" s="9">
        <v>-630.6100466738983</v>
      </c>
      <c r="CQ411" s="129"/>
      <c r="CR411" s="36">
        <f t="shared" si="358"/>
        <v>0.61449130200648416</v>
      </c>
      <c r="CS411" s="17">
        <f t="shared" si="324"/>
        <v>0.44174613411962788</v>
      </c>
      <c r="CT411" s="9">
        <f t="shared" si="325"/>
        <v>5.1464796732875033</v>
      </c>
      <c r="CU411" s="9">
        <f t="shared" si="359"/>
        <v>150.97221294847247</v>
      </c>
      <c r="CV411" s="9">
        <v>7.2</v>
      </c>
      <c r="CW411" s="9">
        <f t="shared" si="360"/>
        <v>153.02580717077868</v>
      </c>
      <c r="CX411">
        <f t="shared" si="361"/>
        <v>12</v>
      </c>
      <c r="CY411" s="9">
        <f t="shared" si="326"/>
        <v>366.73127503289356</v>
      </c>
      <c r="CZ411" s="17">
        <f t="shared" si="362"/>
        <v>0.34532135125507868</v>
      </c>
      <c r="DA411">
        <v>45</v>
      </c>
      <c r="DB411" s="9">
        <f t="shared" si="363"/>
        <v>5.9181373659354986</v>
      </c>
      <c r="DC411" s="9">
        <f t="shared" si="364"/>
        <v>6.5326286700717064</v>
      </c>
    </row>
    <row r="412" spans="2:107" x14ac:dyDescent="0.25">
      <c r="B412" s="9">
        <f t="shared" si="365"/>
        <v>361</v>
      </c>
      <c r="C412" s="9">
        <v>140.99019042157911</v>
      </c>
      <c r="D412" s="9"/>
      <c r="E412" s="9">
        <f t="shared" si="327"/>
        <v>140.99019042157911</v>
      </c>
      <c r="F412" s="36">
        <f t="shared" si="366"/>
        <v>0</v>
      </c>
      <c r="G412" s="37">
        <f t="shared" si="372"/>
        <v>0</v>
      </c>
      <c r="H412" s="36" t="e">
        <f t="shared" si="312"/>
        <v>#DIV/0!</v>
      </c>
      <c r="I412" s="37" t="e">
        <f t="shared" si="328"/>
        <v>#DIV/0!</v>
      </c>
      <c r="J412" s="37" t="e">
        <f t="shared" si="329"/>
        <v>#DIV/0!</v>
      </c>
      <c r="K412" s="37" t="e">
        <f t="shared" si="330"/>
        <v>#DIV/0!</v>
      </c>
      <c r="L412" s="39" t="e">
        <f t="shared" si="313"/>
        <v>#DIV/0!</v>
      </c>
      <c r="M412" s="39" t="e">
        <f>M411+(1000*$C$2*(B412-B411))/(BerechnungenCLT!$W$47*2*'Berechnung freier Bereich'!G412)</f>
        <v>#DIV/0!</v>
      </c>
      <c r="N412" s="17" t="e">
        <f t="shared" si="331"/>
        <v>#DIV/0!</v>
      </c>
      <c r="O412" s="173">
        <f t="shared" si="332"/>
        <v>1352.7770858303052</v>
      </c>
      <c r="P412" s="173"/>
      <c r="Q412" s="173"/>
      <c r="R412" s="37" t="e">
        <f t="shared" si="314"/>
        <v>#DIV/0!</v>
      </c>
      <c r="S412" s="37" t="e">
        <f t="shared" si="315"/>
        <v>#DIV/0!</v>
      </c>
      <c r="T412" s="37" t="e">
        <f t="shared" si="316"/>
        <v>#DIV/0!</v>
      </c>
      <c r="U412" s="39" t="e">
        <f t="shared" si="317"/>
        <v>#DIV/0!</v>
      </c>
      <c r="V412" s="39" t="e">
        <f t="shared" si="333"/>
        <v>#DIV/0!</v>
      </c>
      <c r="W412" s="9" t="e">
        <f t="shared" si="334"/>
        <v>#DIV/0!</v>
      </c>
      <c r="AB412" s="129">
        <v>143.24158182622318</v>
      </c>
      <c r="AC412" s="9">
        <v>6.0625</v>
      </c>
      <c r="AD412" s="129">
        <f t="shared" si="335"/>
        <v>149.32168294654977</v>
      </c>
      <c r="AE412" s="36">
        <f t="shared" si="367"/>
        <v>9.5001265399065962E-3</v>
      </c>
      <c r="AF412" s="37">
        <f t="shared" si="336"/>
        <v>59816031.994176537</v>
      </c>
      <c r="AG412" s="36">
        <f t="shared" si="318"/>
        <v>1.998273523297363</v>
      </c>
      <c r="AH412" s="37">
        <f t="shared" si="337"/>
        <v>-1.3162124578010932E-4</v>
      </c>
      <c r="AI412" s="37">
        <f t="shared" si="338"/>
        <v>-5.9794371695867217E-2</v>
      </c>
      <c r="AJ412" s="37">
        <f t="shared" si="339"/>
        <v>-11.917299156895309</v>
      </c>
      <c r="AK412" s="39">
        <f t="shared" si="340"/>
        <v>1.9653905931407388E-2</v>
      </c>
      <c r="AL412" s="39">
        <f>AL411+(1000*$C$2*($B412-$B411))/(BerechnungenCLT!$W$47*2*AF412)</f>
        <v>1.7228327158228116E-2</v>
      </c>
      <c r="AM412" s="37">
        <f t="shared" si="319"/>
        <v>2.4963488544523843E-6</v>
      </c>
      <c r="AN412" s="173">
        <f t="shared" si="341"/>
        <v>1256.6792273723968</v>
      </c>
      <c r="AO412" s="173">
        <v>-257.95085046820043</v>
      </c>
      <c r="AV412" s="129">
        <v>143.61091604337145</v>
      </c>
      <c r="AW412" s="9">
        <v>6.0625</v>
      </c>
      <c r="AX412" s="129">
        <f t="shared" si="342"/>
        <v>149.68714086254298</v>
      </c>
      <c r="AY412" s="36">
        <f t="shared" si="368"/>
        <v>9.5179148284063892E-3</v>
      </c>
      <c r="AZ412" s="37">
        <f t="shared" si="343"/>
        <v>60229274.538967893</v>
      </c>
      <c r="BA412" s="36">
        <f t="shared" si="320"/>
        <v>1.9982843457665889</v>
      </c>
      <c r="BB412" s="37">
        <f t="shared" si="344"/>
        <v>-1.307181716692035E-4</v>
      </c>
      <c r="BC412" s="37">
        <f t="shared" si="345"/>
        <v>-5.6326781825659818E-2</v>
      </c>
      <c r="BD412" s="37">
        <f t="shared" si="346"/>
        <v>-11.019620006463082</v>
      </c>
      <c r="BE412" s="39">
        <f t="shared" si="347"/>
        <v>1.9566829375942139E-2</v>
      </c>
      <c r="BF412" s="39">
        <f>BF411+(1000*$C$2*($B412-$B411))/(BerechnungenCLT!$W$47*2*AZ412)</f>
        <v>1.6225835295332922E-2</v>
      </c>
      <c r="BG412" s="37">
        <f t="shared" si="321"/>
        <v>2.4852887903488945E-6</v>
      </c>
      <c r="BH412" s="173">
        <f t="shared" si="348"/>
        <v>1250.3904620313936</v>
      </c>
      <c r="BI412">
        <v>-257.95085046820043</v>
      </c>
      <c r="BP412" s="129">
        <v>143.04823633288004</v>
      </c>
      <c r="BQ412" s="9">
        <v>6.1875</v>
      </c>
      <c r="BR412" s="129">
        <f t="shared" si="349"/>
        <v>149.26156283478801</v>
      </c>
      <c r="BS412" s="36">
        <f t="shared" si="369"/>
        <v>9.6998796182793685E-3</v>
      </c>
      <c r="BT412" s="37">
        <f t="shared" si="350"/>
        <v>60969181.121776618</v>
      </c>
      <c r="BU412" s="36">
        <f t="shared" si="322"/>
        <v>1.9981939601048659</v>
      </c>
      <c r="BV412" s="37">
        <f t="shared" si="351"/>
        <v>-1.291318089539559E-4</v>
      </c>
      <c r="BW412" s="37">
        <f t="shared" si="352"/>
        <v>-6.2599872810725016E-2</v>
      </c>
      <c r="BX412" s="37">
        <f t="shared" si="353"/>
        <v>-12.439950897386339</v>
      </c>
      <c r="BY412" s="39">
        <f t="shared" si="354"/>
        <v>1.9274415616150731E-2</v>
      </c>
      <c r="BZ412" s="39">
        <f>BZ411+(1000*$C$2*($B412-$B411))/(BerechnungenCLT!$W$47*2*BT412)</f>
        <v>1.803940737091262E-2</v>
      </c>
      <c r="CA412" s="37">
        <f t="shared" si="323"/>
        <v>2.4481477377342638E-6</v>
      </c>
      <c r="CB412" s="173">
        <f t="shared" si="355"/>
        <v>1258.8595378529308</v>
      </c>
      <c r="CC412" s="9">
        <v>-258.21553791538241</v>
      </c>
      <c r="CJ412" s="9">
        <f t="shared" si="371"/>
        <v>361</v>
      </c>
      <c r="CK412" s="129">
        <v>145.8170645094558</v>
      </c>
      <c r="CL412" s="9">
        <v>3.7890625</v>
      </c>
      <c r="CM412" s="129">
        <f t="shared" si="356"/>
        <v>149.60622116873515</v>
      </c>
      <c r="CN412" s="36">
        <f t="shared" si="370"/>
        <v>5.9784152801918271E-3</v>
      </c>
      <c r="CO412" s="173">
        <f t="shared" si="357"/>
        <v>1232.4649458073388</v>
      </c>
      <c r="CP412" s="9">
        <v>-630.68266494074919</v>
      </c>
      <c r="CQ412" s="129"/>
      <c r="CR412" s="36">
        <f t="shared" si="358"/>
        <v>0.61451812975636622</v>
      </c>
      <c r="CS412" s="17">
        <f t="shared" si="324"/>
        <v>0.44176542007983399</v>
      </c>
      <c r="CT412" s="9">
        <f t="shared" si="325"/>
        <v>5.1462549956697696</v>
      </c>
      <c r="CU412" s="9">
        <f t="shared" si="359"/>
        <v>150.96344739102392</v>
      </c>
      <c r="CV412" s="9">
        <v>7.2</v>
      </c>
      <c r="CW412" s="9">
        <f t="shared" si="360"/>
        <v>153.01724343150082</v>
      </c>
      <c r="CX412">
        <f t="shared" si="361"/>
        <v>12</v>
      </c>
      <c r="CY412" s="9">
        <f t="shared" si="326"/>
        <v>366.75261129169252</v>
      </c>
      <c r="CZ412" s="17">
        <f t="shared" si="362"/>
        <v>0.34534144189424903</v>
      </c>
      <c r="DA412">
        <v>45</v>
      </c>
      <c r="DB412" s="9">
        <f t="shared" si="363"/>
        <v>5.918481680475991</v>
      </c>
      <c r="DC412" s="9">
        <f t="shared" si="364"/>
        <v>6.5329998117026786</v>
      </c>
    </row>
    <row r="413" spans="2:107" x14ac:dyDescent="0.25">
      <c r="B413" s="9">
        <f t="shared" si="365"/>
        <v>362</v>
      </c>
      <c r="C413" s="9">
        <v>141.00251585446466</v>
      </c>
      <c r="D413" s="9"/>
      <c r="E413" s="9">
        <f t="shared" si="327"/>
        <v>141.00251585446466</v>
      </c>
      <c r="F413" s="36">
        <f t="shared" si="366"/>
        <v>0</v>
      </c>
      <c r="G413" s="37">
        <f t="shared" si="372"/>
        <v>0</v>
      </c>
      <c r="H413" s="36" t="e">
        <f t="shared" si="312"/>
        <v>#DIV/0!</v>
      </c>
      <c r="I413" s="37" t="e">
        <f t="shared" si="328"/>
        <v>#DIV/0!</v>
      </c>
      <c r="J413" s="37" t="e">
        <f t="shared" si="329"/>
        <v>#DIV/0!</v>
      </c>
      <c r="K413" s="37" t="e">
        <f t="shared" si="330"/>
        <v>#DIV/0!</v>
      </c>
      <c r="L413" s="39" t="e">
        <f t="shared" si="313"/>
        <v>#DIV/0!</v>
      </c>
      <c r="M413" s="39" t="e">
        <f>M412+(1000*$C$2*(B413-B412))/(BerechnungenCLT!$W$47*2*'Berechnung freier Bereich'!G413)</f>
        <v>#DIV/0!</v>
      </c>
      <c r="N413" s="17" t="e">
        <f t="shared" si="331"/>
        <v>#DIV/0!</v>
      </c>
      <c r="O413" s="173">
        <f t="shared" si="332"/>
        <v>1352.5405959444677</v>
      </c>
      <c r="P413" s="173"/>
      <c r="Q413" s="173"/>
      <c r="R413" s="37" t="e">
        <f t="shared" si="314"/>
        <v>#DIV/0!</v>
      </c>
      <c r="S413" s="37" t="e">
        <f t="shared" si="315"/>
        <v>#DIV/0!</v>
      </c>
      <c r="T413" s="37" t="e">
        <f t="shared" si="316"/>
        <v>#DIV/0!</v>
      </c>
      <c r="U413" s="39" t="e">
        <f t="shared" si="317"/>
        <v>#DIV/0!</v>
      </c>
      <c r="V413" s="39" t="e">
        <f t="shared" si="333"/>
        <v>#DIV/0!</v>
      </c>
      <c r="W413" s="9" t="e">
        <f t="shared" si="334"/>
        <v>#DIV/0!</v>
      </c>
      <c r="AB413" s="129">
        <v>143.3178378697869</v>
      </c>
      <c r="AC413" s="9">
        <v>6.0625</v>
      </c>
      <c r="AD413" s="129">
        <f t="shared" si="335"/>
        <v>149.39864086606758</v>
      </c>
      <c r="AE413" s="36">
        <f t="shared" si="367"/>
        <v>9.5061989619793282E-3</v>
      </c>
      <c r="AF413" s="37">
        <f t="shared" si="336"/>
        <v>59916952.11939586</v>
      </c>
      <c r="AG413" s="36">
        <f t="shared" si="318"/>
        <v>1.9982749310528609</v>
      </c>
      <c r="AH413" s="37">
        <f t="shared" si="337"/>
        <v>-1.3139955171631278E-4</v>
      </c>
      <c r="AI413" s="37">
        <f t="shared" si="338"/>
        <v>-5.9925771247583533E-2</v>
      </c>
      <c r="AJ413" s="37">
        <f t="shared" si="339"/>
        <v>-11.977159228367034</v>
      </c>
      <c r="AK413" s="39">
        <f t="shared" si="340"/>
        <v>1.9630914436827688E-2</v>
      </c>
      <c r="AL413" s="39">
        <f>AL412+(1000*$C$2*($B413-$B412))/(BerechnungenCLT!$W$47*2*AF413)</f>
        <v>1.7266315229590361E-2</v>
      </c>
      <c r="AM413" s="37">
        <f t="shared" si="319"/>
        <v>2.4934285804184856E-6</v>
      </c>
      <c r="AN413" s="173">
        <f t="shared" si="341"/>
        <v>1255.3640269735311</v>
      </c>
      <c r="AO413" s="173">
        <v>-257.80739524989218</v>
      </c>
      <c r="AV413" s="129">
        <v>143.67824286257675</v>
      </c>
      <c r="AW413" s="9">
        <v>6.0625</v>
      </c>
      <c r="AX413" s="129">
        <f t="shared" si="342"/>
        <v>149.75492959781292</v>
      </c>
      <c r="AY413" s="36">
        <f t="shared" si="368"/>
        <v>9.5230233966276927E-3</v>
      </c>
      <c r="AZ413" s="37">
        <f t="shared" si="343"/>
        <v>60317116.625504017</v>
      </c>
      <c r="BA413" s="36">
        <f t="shared" si="320"/>
        <v>1.9982856639317939</v>
      </c>
      <c r="BB413" s="37">
        <f t="shared" si="344"/>
        <v>-1.3052780187717742E-4</v>
      </c>
      <c r="BC413" s="37">
        <f t="shared" si="345"/>
        <v>-5.6457309627536992E-2</v>
      </c>
      <c r="BD413" s="37">
        <f t="shared" si="346"/>
        <v>-11.076012052189681</v>
      </c>
      <c r="BE413" s="39">
        <f t="shared" si="347"/>
        <v>1.9547181780673977E-2</v>
      </c>
      <c r="BF413" s="39">
        <f>BF412+(1000*$C$2*($B413-$B412))/(BerechnungenCLT!$W$47*2*AZ413)</f>
        <v>1.6263571340758502E-2</v>
      </c>
      <c r="BG413" s="37">
        <f t="shared" si="321"/>
        <v>2.4827932430459006E-6</v>
      </c>
      <c r="BH413" s="173">
        <f t="shared" si="348"/>
        <v>1249.239206349708</v>
      </c>
      <c r="BI413">
        <v>-257.80739524989218</v>
      </c>
      <c r="BP413" s="129">
        <v>143.13969879688906</v>
      </c>
      <c r="BQ413" s="9">
        <v>6.1875</v>
      </c>
      <c r="BR413" s="129">
        <f t="shared" si="349"/>
        <v>149.35337088528721</v>
      </c>
      <c r="BS413" s="36">
        <f t="shared" si="369"/>
        <v>9.7065010338506785E-3</v>
      </c>
      <c r="BT413" s="37">
        <f t="shared" si="350"/>
        <v>61087297.234812059</v>
      </c>
      <c r="BU413" s="36">
        <f t="shared" si="322"/>
        <v>1.9981960206017451</v>
      </c>
      <c r="BV413" s="37">
        <f t="shared" si="351"/>
        <v>-1.2888212451818448E-4</v>
      </c>
      <c r="BW413" s="37">
        <f t="shared" si="352"/>
        <v>-6.27287549352432E-2</v>
      </c>
      <c r="BX413" s="37">
        <f t="shared" si="353"/>
        <v>-12.502615211259323</v>
      </c>
      <c r="BY413" s="39">
        <f t="shared" si="354"/>
        <v>1.9248979743648174E-2</v>
      </c>
      <c r="BZ413" s="39">
        <f>BZ412+(1000*$C$2*($B413-$B412))/(BerechnungenCLT!$W$47*2*BT413)</f>
        <v>1.8076667645240536E-2</v>
      </c>
      <c r="CA413" s="37">
        <f t="shared" si="323"/>
        <v>2.4449169900444477E-6</v>
      </c>
      <c r="CB413" s="173">
        <f t="shared" si="355"/>
        <v>1257.2824778859783</v>
      </c>
      <c r="CC413" s="9">
        <v>-257.89205354286378</v>
      </c>
      <c r="CJ413" s="9">
        <f t="shared" si="371"/>
        <v>362</v>
      </c>
      <c r="CK413" s="129">
        <v>145.81001460267652</v>
      </c>
      <c r="CL413" s="9">
        <v>3.7890625</v>
      </c>
      <c r="CM413" s="129">
        <f t="shared" si="356"/>
        <v>149.59913790563741</v>
      </c>
      <c r="CN413" s="36">
        <f t="shared" si="370"/>
        <v>5.9780766443191446E-3</v>
      </c>
      <c r="CO413" s="173">
        <f t="shared" si="357"/>
        <v>1232.5828775164678</v>
      </c>
      <c r="CP413" s="9">
        <v>-630.74301350063911</v>
      </c>
      <c r="CQ413" s="129"/>
      <c r="CR413" s="36">
        <f t="shared" si="358"/>
        <v>0.61454042006056209</v>
      </c>
      <c r="CS413" s="17">
        <f t="shared" si="324"/>
        <v>0.44178144415645598</v>
      </c>
      <c r="CT413" s="9">
        <f t="shared" si="325"/>
        <v>5.1460683332703914</v>
      </c>
      <c r="CU413" s="9">
        <f t="shared" si="359"/>
        <v>150.9561655147356</v>
      </c>
      <c r="CV413" s="9">
        <v>7.2</v>
      </c>
      <c r="CW413" s="9">
        <f t="shared" si="360"/>
        <v>153.01013014083887</v>
      </c>
      <c r="CX413">
        <f t="shared" si="361"/>
        <v>12</v>
      </c>
      <c r="CY413" s="9">
        <f t="shared" si="326"/>
        <v>366.77034376176817</v>
      </c>
      <c r="CZ413" s="17">
        <f t="shared" si="362"/>
        <v>0.34535813913537494</v>
      </c>
      <c r="DA413">
        <v>45</v>
      </c>
      <c r="DB413" s="9">
        <f t="shared" si="363"/>
        <v>5.9187678387637872</v>
      </c>
      <c r="DC413" s="9">
        <f t="shared" si="364"/>
        <v>6.5333082597734542</v>
      </c>
    </row>
    <row r="414" spans="2:107" x14ac:dyDescent="0.25">
      <c r="B414" s="9">
        <f t="shared" si="365"/>
        <v>363</v>
      </c>
      <c r="C414" s="9">
        <v>141.01536985104073</v>
      </c>
      <c r="D414" s="9"/>
      <c r="E414" s="9">
        <f t="shared" si="327"/>
        <v>141.01536985104073</v>
      </c>
      <c r="F414" s="36">
        <f t="shared" si="366"/>
        <v>0</v>
      </c>
      <c r="G414" s="37">
        <f t="shared" si="372"/>
        <v>0</v>
      </c>
      <c r="H414" s="36" t="e">
        <f t="shared" si="312"/>
        <v>#DIV/0!</v>
      </c>
      <c r="I414" s="37" t="e">
        <f t="shared" si="328"/>
        <v>#DIV/0!</v>
      </c>
      <c r="J414" s="37" t="e">
        <f t="shared" si="329"/>
        <v>#DIV/0!</v>
      </c>
      <c r="K414" s="37" t="e">
        <f t="shared" si="330"/>
        <v>#DIV/0!</v>
      </c>
      <c r="L414" s="39" t="e">
        <f t="shared" si="313"/>
        <v>#DIV/0!</v>
      </c>
      <c r="M414" s="39" t="e">
        <f>M413+(1000*$C$2*(B414-B413))/(BerechnungenCLT!$W$47*2*'Berechnung freier Bereich'!G414)</f>
        <v>#DIV/0!</v>
      </c>
      <c r="N414" s="17" t="e">
        <f t="shared" si="331"/>
        <v>#DIV/0!</v>
      </c>
      <c r="O414" s="173">
        <f t="shared" si="332"/>
        <v>1352.2940304837862</v>
      </c>
      <c r="P414" s="173"/>
      <c r="Q414" s="173"/>
      <c r="R414" s="37" t="e">
        <f t="shared" si="314"/>
        <v>#DIV/0!</v>
      </c>
      <c r="S414" s="37" t="e">
        <f t="shared" si="315"/>
        <v>#DIV/0!</v>
      </c>
      <c r="T414" s="37" t="e">
        <f t="shared" si="316"/>
        <v>#DIV/0!</v>
      </c>
      <c r="U414" s="39" t="e">
        <f t="shared" si="317"/>
        <v>#DIV/0!</v>
      </c>
      <c r="V414" s="39" t="e">
        <f t="shared" si="333"/>
        <v>#DIV/0!</v>
      </c>
      <c r="W414" s="9" t="e">
        <f t="shared" si="334"/>
        <v>#DIV/0!</v>
      </c>
      <c r="AB414" s="129">
        <v>143.39560172086394</v>
      </c>
      <c r="AC414" s="9">
        <v>6.0625</v>
      </c>
      <c r="AD414" s="129">
        <f t="shared" si="335"/>
        <v>149.47709473534067</v>
      </c>
      <c r="AE414" s="36">
        <f t="shared" si="367"/>
        <v>9.5123515460705851E-3</v>
      </c>
      <c r="AF414" s="37">
        <f t="shared" si="336"/>
        <v>60019721.462953083</v>
      </c>
      <c r="AG414" s="36">
        <f t="shared" si="318"/>
        <v>1.9982763788137856</v>
      </c>
      <c r="AH414" s="37">
        <f t="shared" si="337"/>
        <v>-1.3117456157399874E-4</v>
      </c>
      <c r="AI414" s="37">
        <f t="shared" si="338"/>
        <v>-6.0056945809157533E-2</v>
      </c>
      <c r="AJ414" s="37">
        <f t="shared" si="339"/>
        <v>-12.037150586895404</v>
      </c>
      <c r="AK414" s="39">
        <f t="shared" si="340"/>
        <v>1.960759236726339E-2</v>
      </c>
      <c r="AL414" s="39">
        <f>AL413+(1000*$C$2*($B414-$B413))/(BerechnungenCLT!$W$47*2*AF414)</f>
        <v>1.730423825551318E-2</v>
      </c>
      <c r="AM414" s="37">
        <f t="shared" si="319"/>
        <v>2.4904663182684842E-6</v>
      </c>
      <c r="AN414" s="173">
        <f t="shared" si="341"/>
        <v>1254.0251667349148</v>
      </c>
      <c r="AO414" s="173">
        <v>-257.6640596687858</v>
      </c>
      <c r="AV414" s="129">
        <v>143.74669456856356</v>
      </c>
      <c r="AW414" s="9">
        <v>6.0625</v>
      </c>
      <c r="AX414" s="129">
        <f t="shared" si="342"/>
        <v>149.82383411645387</v>
      </c>
      <c r="AY414" s="36">
        <f t="shared" si="368"/>
        <v>9.5281910822975335E-3</v>
      </c>
      <c r="AZ414" s="37">
        <f t="shared" si="343"/>
        <v>60406340.262368046</v>
      </c>
      <c r="BA414" s="36">
        <f t="shared" si="320"/>
        <v>1.9982870116397213</v>
      </c>
      <c r="BB414" s="37">
        <f t="shared" si="344"/>
        <v>-1.3033500481076412E-4</v>
      </c>
      <c r="BC414" s="37">
        <f t="shared" si="345"/>
        <v>-5.6587644632347757E-2</v>
      </c>
      <c r="BD414" s="37">
        <f t="shared" si="346"/>
        <v>-11.132534529319623</v>
      </c>
      <c r="BE414" s="39">
        <f t="shared" si="347"/>
        <v>1.9527290140335142E-2</v>
      </c>
      <c r="BF414" s="39">
        <f>BF413+(1000*$C$2*($B414-$B413))/(BerechnungenCLT!$W$47*2*AZ414)</f>
        <v>1.6301251647875832E-2</v>
      </c>
      <c r="BG414" s="37">
        <f t="shared" si="321"/>
        <v>2.4802666982590094E-6</v>
      </c>
      <c r="BH414" s="173">
        <f t="shared" si="348"/>
        <v>1248.0704879519039</v>
      </c>
      <c r="BI414">
        <v>-257.6640596687858</v>
      </c>
      <c r="BP414" s="129">
        <v>143.23177244360451</v>
      </c>
      <c r="BQ414" s="9">
        <v>6.1875</v>
      </c>
      <c r="BR414" s="129">
        <f t="shared" si="349"/>
        <v>149.4457800696415</v>
      </c>
      <c r="BS414" s="36">
        <f t="shared" si="369"/>
        <v>9.7131476519801575E-3</v>
      </c>
      <c r="BT414" s="37">
        <f t="shared" si="350"/>
        <v>61206231.234400153</v>
      </c>
      <c r="BU414" s="36">
        <f t="shared" si="322"/>
        <v>1.9981980980880831</v>
      </c>
      <c r="BV414" s="37">
        <f t="shared" si="351"/>
        <v>-1.2863168487772277E-4</v>
      </c>
      <c r="BW414" s="37">
        <f t="shared" si="352"/>
        <v>-6.2857386620120928E-2</v>
      </c>
      <c r="BX414" s="37">
        <f t="shared" si="353"/>
        <v>-12.565408282037005</v>
      </c>
      <c r="BY414" s="39">
        <f t="shared" si="354"/>
        <v>1.9223462488223587E-2</v>
      </c>
      <c r="BZ414" s="39">
        <f>BZ413+(1000*$C$2*($B414-$B413))/(BerechnungenCLT!$W$47*2*BT414)</f>
        <v>1.8113855516589828E-2</v>
      </c>
      <c r="CA414" s="37">
        <f t="shared" si="323"/>
        <v>2.4416759054696946E-6</v>
      </c>
      <c r="CB414" s="173">
        <f t="shared" si="355"/>
        <v>1255.6979769385046</v>
      </c>
      <c r="CC414" s="9">
        <v>-257.5670428866494</v>
      </c>
      <c r="CJ414" s="9">
        <f t="shared" si="371"/>
        <v>363</v>
      </c>
      <c r="CK414" s="129">
        <v>145.80434942911387</v>
      </c>
      <c r="CL414" s="9">
        <v>3.7890625</v>
      </c>
      <c r="CM414" s="129">
        <f t="shared" si="356"/>
        <v>149.59344743900292</v>
      </c>
      <c r="CN414" s="36">
        <f t="shared" si="370"/>
        <v>5.9778069415881499E-3</v>
      </c>
      <c r="CO414" s="173">
        <f t="shared" si="357"/>
        <v>1232.6776448901555</v>
      </c>
      <c r="CP414" s="9">
        <v>-630.791508299611</v>
      </c>
      <c r="CQ414" s="129"/>
      <c r="CR414" s="36">
        <f t="shared" si="358"/>
        <v>0.61455832843899083</v>
      </c>
      <c r="CS414" s="17">
        <f t="shared" si="324"/>
        <v>0.44179431814981174</v>
      </c>
      <c r="CT414" s="9">
        <f t="shared" si="325"/>
        <v>5.1459183755936877</v>
      </c>
      <c r="CU414" s="9">
        <f t="shared" si="359"/>
        <v>150.95031603061847</v>
      </c>
      <c r="CV414" s="9">
        <v>7.2</v>
      </c>
      <c r="CW414" s="9">
        <f t="shared" si="360"/>
        <v>153.00441690522467</v>
      </c>
      <c r="CX414">
        <f t="shared" si="361"/>
        <v>12</v>
      </c>
      <c r="CY414" s="9">
        <f t="shared" si="326"/>
        <v>366.78459448654536</v>
      </c>
      <c r="CZ414" s="17">
        <f t="shared" si="362"/>
        <v>0.34537155789693541</v>
      </c>
      <c r="DA414">
        <v>45</v>
      </c>
      <c r="DB414" s="9">
        <f t="shared" si="363"/>
        <v>5.9189978102784568</v>
      </c>
      <c r="DC414" s="9">
        <f t="shared" si="364"/>
        <v>6.5335561392714645</v>
      </c>
    </row>
    <row r="415" spans="2:107" x14ac:dyDescent="0.25">
      <c r="B415" s="9">
        <f t="shared" si="365"/>
        <v>364</v>
      </c>
      <c r="C415" s="9">
        <v>141.02873373414513</v>
      </c>
      <c r="D415" s="9"/>
      <c r="E415" s="9">
        <f t="shared" si="327"/>
        <v>141.02873373414513</v>
      </c>
      <c r="F415" s="36">
        <f t="shared" si="366"/>
        <v>0</v>
      </c>
      <c r="G415" s="37">
        <f t="shared" si="372"/>
        <v>0</v>
      </c>
      <c r="H415" s="36" t="e">
        <f t="shared" si="312"/>
        <v>#DIV/0!</v>
      </c>
      <c r="I415" s="37" t="e">
        <f t="shared" si="328"/>
        <v>#DIV/0!</v>
      </c>
      <c r="J415" s="37" t="e">
        <f t="shared" si="329"/>
        <v>#DIV/0!</v>
      </c>
      <c r="K415" s="37" t="e">
        <f t="shared" si="330"/>
        <v>#DIV/0!</v>
      </c>
      <c r="L415" s="39" t="e">
        <f t="shared" si="313"/>
        <v>#DIV/0!</v>
      </c>
      <c r="M415" s="39" t="e">
        <f>M414+(1000*$C$2*(B415-B414))/(BerechnungenCLT!$W$47*2*'Berechnung freier Bereich'!G415)</f>
        <v>#DIV/0!</v>
      </c>
      <c r="N415" s="17" t="e">
        <f t="shared" si="331"/>
        <v>#DIV/0!</v>
      </c>
      <c r="O415" s="173">
        <f t="shared" si="332"/>
        <v>1352.0377558563243</v>
      </c>
      <c r="P415" s="173"/>
      <c r="Q415" s="173"/>
      <c r="R415" s="37" t="e">
        <f t="shared" si="314"/>
        <v>#DIV/0!</v>
      </c>
      <c r="S415" s="37" t="e">
        <f t="shared" si="315"/>
        <v>#DIV/0!</v>
      </c>
      <c r="T415" s="37" t="e">
        <f t="shared" si="316"/>
        <v>#DIV/0!</v>
      </c>
      <c r="U415" s="39" t="e">
        <f t="shared" si="317"/>
        <v>#DIV/0!</v>
      </c>
      <c r="V415" s="39" t="e">
        <f t="shared" si="333"/>
        <v>#DIV/0!</v>
      </c>
      <c r="W415" s="9" t="e">
        <f t="shared" si="334"/>
        <v>#DIV/0!</v>
      </c>
      <c r="AB415" s="129">
        <v>143.47482010003696</v>
      </c>
      <c r="AC415" s="9">
        <v>6.0625</v>
      </c>
      <c r="AD415" s="129">
        <f t="shared" si="335"/>
        <v>149.55698987407982</v>
      </c>
      <c r="AE415" s="36">
        <f t="shared" si="367"/>
        <v>9.5185785964830797E-3</v>
      </c>
      <c r="AF415" s="37">
        <f t="shared" si="336"/>
        <v>60124265.792289265</v>
      </c>
      <c r="AG415" s="36">
        <f t="shared" si="318"/>
        <v>1.9982778659444311</v>
      </c>
      <c r="AH415" s="37">
        <f t="shared" si="337"/>
        <v>-1.3094647468786364E-4</v>
      </c>
      <c r="AI415" s="37">
        <f t="shared" si="338"/>
        <v>-6.0187892283845398E-2</v>
      </c>
      <c r="AJ415" s="37">
        <f t="shared" si="339"/>
        <v>-12.097273005941906</v>
      </c>
      <c r="AK415" s="39">
        <f t="shared" si="340"/>
        <v>1.9583960588939273E-2</v>
      </c>
      <c r="AL415" s="39">
        <f>AL414+(1000*$C$2*($B415-$B414))/(BerechnungenCLT!$W$47*2*AF415)</f>
        <v>1.7342095340717067E-2</v>
      </c>
      <c r="AM415" s="37">
        <f t="shared" si="319"/>
        <v>2.4874647183344065E-6</v>
      </c>
      <c r="AN415" s="173">
        <f t="shared" si="341"/>
        <v>1252.6636887182415</v>
      </c>
      <c r="AO415" s="173">
        <v>-257.52084359188694</v>
      </c>
      <c r="AV415" s="129">
        <v>143.81623141268244</v>
      </c>
      <c r="AW415" s="9">
        <v>6.0625</v>
      </c>
      <c r="AX415" s="129">
        <f t="shared" si="342"/>
        <v>149.89381388932057</v>
      </c>
      <c r="AY415" s="36">
        <f t="shared" si="368"/>
        <v>9.5334140516324418E-3</v>
      </c>
      <c r="AZ415" s="37">
        <f t="shared" si="343"/>
        <v>60496891.9454313</v>
      </c>
      <c r="BA415" s="36">
        <f t="shared" si="320"/>
        <v>1.9982883882863101</v>
      </c>
      <c r="BB415" s="37">
        <f t="shared" si="344"/>
        <v>-1.3013991951517045E-4</v>
      </c>
      <c r="BC415" s="37">
        <f t="shared" si="345"/>
        <v>-5.6717784551862931E-2</v>
      </c>
      <c r="BD415" s="37">
        <f t="shared" si="346"/>
        <v>-11.189187243911729</v>
      </c>
      <c r="BE415" s="39">
        <f t="shared" si="347"/>
        <v>1.9507168875378116E-2</v>
      </c>
      <c r="BF415" s="39">
        <f>BF414+(1000*$C$2*($B415-$B414))/(BerechnungenCLT!$W$47*2*AZ415)</f>
        <v>1.6338875555149828E-2</v>
      </c>
      <c r="BG415" s="37">
        <f t="shared" si="321"/>
        <v>2.4777109876078598E-6</v>
      </c>
      <c r="BH415" s="173">
        <f t="shared" si="348"/>
        <v>1246.8850656711604</v>
      </c>
      <c r="BI415">
        <v>-257.52084359188694</v>
      </c>
      <c r="BP415" s="129">
        <v>143.32443567646428</v>
      </c>
      <c r="BQ415" s="9">
        <v>6.15625</v>
      </c>
      <c r="BR415" s="129">
        <f t="shared" si="349"/>
        <v>149.50738303797863</v>
      </c>
      <c r="BS415" s="36">
        <f t="shared" si="369"/>
        <v>9.6696912634760337E-3</v>
      </c>
      <c r="BT415" s="37">
        <f t="shared" si="350"/>
        <v>60996343.44392021</v>
      </c>
      <c r="BU415" s="36">
        <f t="shared" si="322"/>
        <v>1.9982179322408395</v>
      </c>
      <c r="BV415" s="37">
        <f t="shared" si="351"/>
        <v>-1.2907430518248775E-4</v>
      </c>
      <c r="BW415" s="37">
        <f t="shared" si="352"/>
        <v>-6.2986460925303411E-2</v>
      </c>
      <c r="BX415" s="37">
        <f t="shared" si="353"/>
        <v>-12.628330205809718</v>
      </c>
      <c r="BY415" s="39">
        <f t="shared" si="354"/>
        <v>1.9297561585279146E-2</v>
      </c>
      <c r="BZ415" s="39">
        <f>BZ414+(1000*$C$2*($B415-$B414))/(BerechnungenCLT!$W$47*2*BT415)</f>
        <v>1.815117135102198E-2</v>
      </c>
      <c r="CA415" s="37">
        <f t="shared" si="323"/>
        <v>2.4510876324157875E-6</v>
      </c>
      <c r="CB415" s="173">
        <f t="shared" si="355"/>
        <v>1254.3753014646932</v>
      </c>
      <c r="CC415" s="9">
        <v>-258.60180724523644</v>
      </c>
      <c r="CJ415" s="9">
        <f t="shared" si="371"/>
        <v>364</v>
      </c>
      <c r="CK415" s="129">
        <v>145.80002005826552</v>
      </c>
      <c r="CL415" s="9">
        <v>3.7890625</v>
      </c>
      <c r="CM415" s="129">
        <f t="shared" si="356"/>
        <v>149.58910009551792</v>
      </c>
      <c r="CN415" s="36">
        <f t="shared" si="370"/>
        <v>5.9776030021731919E-3</v>
      </c>
      <c r="CO415" s="173">
        <f t="shared" si="357"/>
        <v>1232.7500629187514</v>
      </c>
      <c r="CP415" s="9">
        <v>-630.82856638829742</v>
      </c>
      <c r="CQ415" s="129"/>
      <c r="CR415" s="36">
        <f t="shared" si="358"/>
        <v>0.61457201053330579</v>
      </c>
      <c r="CS415" s="17">
        <f t="shared" si="324"/>
        <v>0.44180415394773209</v>
      </c>
      <c r="CT415" s="9">
        <f t="shared" si="325"/>
        <v>5.1458038130373946</v>
      </c>
      <c r="CU415" s="9">
        <f t="shared" si="359"/>
        <v>150.9458476880809</v>
      </c>
      <c r="CV415" s="9">
        <v>7.2</v>
      </c>
      <c r="CW415" s="9">
        <f t="shared" si="360"/>
        <v>153.00005338266104</v>
      </c>
      <c r="CX415">
        <f t="shared" si="361"/>
        <v>12</v>
      </c>
      <c r="CY415" s="9">
        <f t="shared" si="326"/>
        <v>366.79548575069174</v>
      </c>
      <c r="CZ415" s="17">
        <f t="shared" si="362"/>
        <v>0.34538181332456847</v>
      </c>
      <c r="DA415">
        <v>45</v>
      </c>
      <c r="DB415" s="9">
        <f t="shared" si="363"/>
        <v>5.9191735683926261</v>
      </c>
      <c r="DC415" s="9">
        <f t="shared" si="364"/>
        <v>6.5337455791993451</v>
      </c>
    </row>
    <row r="416" spans="2:107" x14ac:dyDescent="0.25">
      <c r="B416" s="9">
        <f t="shared" si="365"/>
        <v>365</v>
      </c>
      <c r="C416" s="9">
        <v>141.04258882661563</v>
      </c>
      <c r="D416" s="9"/>
      <c r="E416" s="9">
        <f t="shared" si="327"/>
        <v>141.04258882661563</v>
      </c>
      <c r="F416" s="36">
        <f t="shared" si="366"/>
        <v>0</v>
      </c>
      <c r="G416" s="37">
        <f t="shared" si="372"/>
        <v>0</v>
      </c>
      <c r="H416" s="36" t="e">
        <f t="shared" si="312"/>
        <v>#DIV/0!</v>
      </c>
      <c r="I416" s="37" t="e">
        <f t="shared" si="328"/>
        <v>#DIV/0!</v>
      </c>
      <c r="J416" s="37" t="e">
        <f t="shared" si="329"/>
        <v>#DIV/0!</v>
      </c>
      <c r="K416" s="37" t="e">
        <f t="shared" si="330"/>
        <v>#DIV/0!</v>
      </c>
      <c r="L416" s="39" t="e">
        <f t="shared" si="313"/>
        <v>#DIV/0!</v>
      </c>
      <c r="M416" s="39" t="e">
        <f>M415+(1000*$C$2*(B416-B415))/(BerechnungenCLT!$W$47*2*'Berechnung freier Bereich'!G416)</f>
        <v>#DIV/0!</v>
      </c>
      <c r="N416" s="17" t="e">
        <f t="shared" si="331"/>
        <v>#DIV/0!</v>
      </c>
      <c r="O416" s="173">
        <f t="shared" si="332"/>
        <v>1351.7721383828653</v>
      </c>
      <c r="P416" s="173"/>
      <c r="Q416" s="173"/>
      <c r="R416" s="37" t="e">
        <f t="shared" si="314"/>
        <v>#DIV/0!</v>
      </c>
      <c r="S416" s="37" t="e">
        <f t="shared" si="315"/>
        <v>#DIV/0!</v>
      </c>
      <c r="T416" s="37" t="e">
        <f t="shared" si="316"/>
        <v>#DIV/0!</v>
      </c>
      <c r="U416" s="39" t="e">
        <f t="shared" si="317"/>
        <v>#DIV/0!</v>
      </c>
      <c r="V416" s="39" t="e">
        <f t="shared" si="333"/>
        <v>#DIV/0!</v>
      </c>
      <c r="W416" s="9" t="e">
        <f t="shared" si="334"/>
        <v>#DIV/0!</v>
      </c>
      <c r="AB416" s="129">
        <v>143.55543972788848</v>
      </c>
      <c r="AC416" s="9">
        <v>6.0625</v>
      </c>
      <c r="AD416" s="129">
        <f t="shared" si="335"/>
        <v>149.63827165399442</v>
      </c>
      <c r="AE416" s="36">
        <f t="shared" si="367"/>
        <v>9.524874493108482E-3</v>
      </c>
      <c r="AF416" s="37">
        <f t="shared" si="336"/>
        <v>60230511.107098043</v>
      </c>
      <c r="AG416" s="36">
        <f t="shared" si="318"/>
        <v>1.9982793917809358</v>
      </c>
      <c r="AH416" s="37">
        <f t="shared" si="337"/>
        <v>-1.3071548794757893E-4</v>
      </c>
      <c r="AI416" s="37">
        <f t="shared" si="338"/>
        <v>-6.031860777179298E-2</v>
      </c>
      <c r="AJ416" s="37">
        <f t="shared" si="339"/>
        <v>-12.157526255969724</v>
      </c>
      <c r="AK416" s="39">
        <f t="shared" si="340"/>
        <v>1.9560039694884249E-2</v>
      </c>
      <c r="AL416" s="39">
        <f>AL415+(1000*$C$2*($B416-$B415))/(BerechnungenCLT!$W$47*2*AF416)</f>
        <v>1.7379885646844017E-2</v>
      </c>
      <c r="AM416" s="37">
        <f t="shared" si="319"/>
        <v>2.4844263962481941E-6</v>
      </c>
      <c r="AN416" s="173">
        <f t="shared" si="341"/>
        <v>1251.2806302722211</v>
      </c>
      <c r="AO416" s="173">
        <v>-257.37774688638524</v>
      </c>
      <c r="AV416" s="129">
        <v>143.8868136462838</v>
      </c>
      <c r="AW416" s="9">
        <v>6.0625</v>
      </c>
      <c r="AX416" s="129">
        <f t="shared" si="342"/>
        <v>149.96482841611152</v>
      </c>
      <c r="AY416" s="36">
        <f t="shared" si="368"/>
        <v>9.5386885132923652E-3</v>
      </c>
      <c r="AZ416" s="37">
        <f t="shared" si="343"/>
        <v>60588718.280574344</v>
      </c>
      <c r="BA416" s="36">
        <f t="shared" si="320"/>
        <v>1.9982897932530039</v>
      </c>
      <c r="BB416" s="37">
        <f t="shared" si="344"/>
        <v>-1.2994268359066137E-4</v>
      </c>
      <c r="BC416" s="37">
        <f t="shared" si="345"/>
        <v>-5.6847727235453595E-2</v>
      </c>
      <c r="BD416" s="37">
        <f t="shared" si="346"/>
        <v>-11.245969999805387</v>
      </c>
      <c r="BE416" s="39">
        <f t="shared" si="347"/>
        <v>1.9486832248602603E-2</v>
      </c>
      <c r="BF416" s="39">
        <f>BF415+(1000*$C$2*($B416-$B415))/(BerechnungenCLT!$W$47*2*AZ416)</f>
        <v>1.6376442440826131E-2</v>
      </c>
      <c r="BG416" s="37">
        <f t="shared" si="321"/>
        <v>2.475127922687754E-6</v>
      </c>
      <c r="BH416" s="173">
        <f t="shared" si="348"/>
        <v>1245.6836951642611</v>
      </c>
      <c r="BI416">
        <v>-257.37774688638524</v>
      </c>
      <c r="BP416" s="129">
        <v>143.4176668989063</v>
      </c>
      <c r="BQ416" s="9">
        <v>6.15625</v>
      </c>
      <c r="BR416" s="129">
        <f t="shared" si="349"/>
        <v>149.60092741821614</v>
      </c>
      <c r="BS416" s="36">
        <f t="shared" si="369"/>
        <v>9.6763489081568115E-3</v>
      </c>
      <c r="BT416" s="37">
        <f t="shared" si="350"/>
        <v>61116196.317543939</v>
      </c>
      <c r="BU416" s="36">
        <f t="shared" si="322"/>
        <v>1.9982200216753798</v>
      </c>
      <c r="BV416" s="37">
        <f t="shared" si="351"/>
        <v>-1.2882118199552224E-4</v>
      </c>
      <c r="BW416" s="37">
        <f t="shared" si="352"/>
        <v>-6.3115282107298928E-2</v>
      </c>
      <c r="BX416" s="37">
        <f t="shared" si="353"/>
        <v>-12.691381077326019</v>
      </c>
      <c r="BY416" s="39">
        <f t="shared" si="354"/>
        <v>1.9271768297640934E-2</v>
      </c>
      <c r="BZ416" s="39">
        <f>BZ415+(1000*$C$2*($B416-$B415))/(BerechnungenCLT!$W$47*2*BT416)</f>
        <v>1.81884140066528E-2</v>
      </c>
      <c r="CA416" s="37">
        <f t="shared" si="323"/>
        <v>2.4478114874971676E-6</v>
      </c>
      <c r="CB416" s="173">
        <f t="shared" si="355"/>
        <v>1252.7766859633664</v>
      </c>
      <c r="CC416" s="9">
        <v>-258.27223693462003</v>
      </c>
      <c r="CJ416" s="9">
        <f t="shared" si="371"/>
        <v>365</v>
      </c>
      <c r="CK416" s="129">
        <v>145.79697755962908</v>
      </c>
      <c r="CL416" s="9">
        <v>3.7890625</v>
      </c>
      <c r="CM416" s="129">
        <f t="shared" si="356"/>
        <v>149.5860462290243</v>
      </c>
      <c r="CN416" s="36">
        <f t="shared" si="370"/>
        <v>5.9774617004712677E-3</v>
      </c>
      <c r="CO416" s="173">
        <f t="shared" si="357"/>
        <v>1232.8009485245302</v>
      </c>
      <c r="CP416" s="9">
        <v>-630.85460580594497</v>
      </c>
      <c r="CQ416" s="129"/>
      <c r="CR416" s="36">
        <f t="shared" si="358"/>
        <v>0.61458162208701905</v>
      </c>
      <c r="CS416" s="17">
        <f t="shared" si="324"/>
        <v>0.44181106351127158</v>
      </c>
      <c r="CT416" s="9">
        <f t="shared" si="325"/>
        <v>5.1457233368761024</v>
      </c>
      <c r="CU416" s="9">
        <f t="shared" si="359"/>
        <v>150.94270927483123</v>
      </c>
      <c r="CV416" s="9">
        <v>7.2</v>
      </c>
      <c r="CW416" s="9">
        <f t="shared" si="360"/>
        <v>152.99698928275208</v>
      </c>
      <c r="CX416">
        <f t="shared" si="361"/>
        <v>12</v>
      </c>
      <c r="CY416" s="9">
        <f t="shared" si="326"/>
        <v>366.8031400572757</v>
      </c>
      <c r="CZ416" s="17">
        <f t="shared" si="362"/>
        <v>0.34538902076956279</v>
      </c>
      <c r="DA416">
        <v>45</v>
      </c>
      <c r="DB416" s="9">
        <f t="shared" si="363"/>
        <v>5.9192970900033766</v>
      </c>
      <c r="DC416" s="9">
        <f t="shared" si="364"/>
        <v>6.5338787121864481</v>
      </c>
    </row>
    <row r="417" spans="2:107" x14ac:dyDescent="0.25">
      <c r="B417" s="9">
        <f t="shared" si="365"/>
        <v>366</v>
      </c>
      <c r="C417" s="9">
        <v>141.05691645129008</v>
      </c>
      <c r="D417" s="9"/>
      <c r="E417" s="9">
        <f t="shared" si="327"/>
        <v>141.05691645129008</v>
      </c>
      <c r="F417" s="36">
        <f t="shared" si="366"/>
        <v>0</v>
      </c>
      <c r="G417" s="37">
        <f t="shared" si="372"/>
        <v>0</v>
      </c>
      <c r="H417" s="36" t="e">
        <f t="shared" si="312"/>
        <v>#DIV/0!</v>
      </c>
      <c r="I417" s="37" t="e">
        <f t="shared" si="328"/>
        <v>#DIV/0!</v>
      </c>
      <c r="J417" s="37" t="e">
        <f t="shared" si="329"/>
        <v>#DIV/0!</v>
      </c>
      <c r="K417" s="37" t="e">
        <f t="shared" si="330"/>
        <v>#DIV/0!</v>
      </c>
      <c r="L417" s="39" t="e">
        <f t="shared" si="313"/>
        <v>#DIV/0!</v>
      </c>
      <c r="M417" s="39" t="e">
        <f>M416+(1000*$C$2*(B417-B416))/(BerechnungenCLT!$W$47*2*'Berechnung freier Bereich'!G417)</f>
        <v>#DIV/0!</v>
      </c>
      <c r="N417" s="17" t="e">
        <f t="shared" si="331"/>
        <v>#DIV/0!</v>
      </c>
      <c r="O417" s="173">
        <f t="shared" si="332"/>
        <v>1351.497544258578</v>
      </c>
      <c r="P417" s="173"/>
      <c r="Q417" s="173"/>
      <c r="R417" s="37" t="e">
        <f t="shared" si="314"/>
        <v>#DIV/0!</v>
      </c>
      <c r="S417" s="37" t="e">
        <f t="shared" si="315"/>
        <v>#DIV/0!</v>
      </c>
      <c r="T417" s="37" t="e">
        <f t="shared" si="316"/>
        <v>#DIV/0!</v>
      </c>
      <c r="U417" s="39" t="e">
        <f t="shared" si="317"/>
        <v>#DIV/0!</v>
      </c>
      <c r="V417" s="39" t="e">
        <f t="shared" si="333"/>
        <v>#DIV/0!</v>
      </c>
      <c r="W417" s="9" t="e">
        <f t="shared" si="334"/>
        <v>#DIV/0!</v>
      </c>
      <c r="AB417" s="129">
        <v>143.63740732500102</v>
      </c>
      <c r="AC417" s="9">
        <v>6.03125</v>
      </c>
      <c r="AD417" s="129">
        <f t="shared" si="335"/>
        <v>149.68952736381689</v>
      </c>
      <c r="AE417" s="36">
        <f t="shared" si="367"/>
        <v>9.4810900443108772E-3</v>
      </c>
      <c r="AF417" s="37">
        <f t="shared" si="336"/>
        <v>60007853.679395229</v>
      </c>
      <c r="AG417" s="36">
        <f t="shared" si="318"/>
        <v>1.9982982572242591</v>
      </c>
      <c r="AH417" s="37">
        <f t="shared" si="337"/>
        <v>-1.3120050403335373E-4</v>
      </c>
      <c r="AI417" s="37">
        <f t="shared" si="338"/>
        <v>-6.0449808275826335E-2</v>
      </c>
      <c r="AJ417" s="37">
        <f t="shared" si="339"/>
        <v>-12.217910463993533</v>
      </c>
      <c r="AK417" s="39">
        <f t="shared" si="340"/>
        <v>1.9639341438647272E-2</v>
      </c>
      <c r="AL417" s="39">
        <f>AL416+(1000*$C$2*($B417-$B416))/(BerechnungenCLT!$W$47*2*AF417)</f>
        <v>1.7417816172822842E-2</v>
      </c>
      <c r="AM417" s="37">
        <f t="shared" si="319"/>
        <v>2.4944989394815743E-6</v>
      </c>
      <c r="AN417" s="173">
        <f t="shared" si="341"/>
        <v>1250.1442744324274</v>
      </c>
      <c r="AO417" s="173">
        <v>-258.62226695257499</v>
      </c>
      <c r="AV417" s="129">
        <v>143.95840152071807</v>
      </c>
      <c r="AW417" s="9">
        <v>6.03125</v>
      </c>
      <c r="AX417" s="129">
        <f t="shared" si="342"/>
        <v>150.00550508253858</v>
      </c>
      <c r="AY417" s="36">
        <f t="shared" si="368"/>
        <v>9.493802889896456E-3</v>
      </c>
      <c r="AZ417" s="37">
        <f t="shared" si="343"/>
        <v>60349414.488020226</v>
      </c>
      <c r="BA417" s="36">
        <f t="shared" si="320"/>
        <v>1.9983084252803942</v>
      </c>
      <c r="BB417" s="37">
        <f t="shared" si="344"/>
        <v>-1.3045794587218819E-4</v>
      </c>
      <c r="BC417" s="37">
        <f t="shared" si="345"/>
        <v>-5.6978185181325781E-2</v>
      </c>
      <c r="BD417" s="37">
        <f t="shared" si="346"/>
        <v>-11.302882956013777</v>
      </c>
      <c r="BE417" s="39">
        <f t="shared" si="347"/>
        <v>1.9569410062588069E-2</v>
      </c>
      <c r="BF417" s="39">
        <f>BF416+(1000*$C$2*($B417-$B416))/(BerechnungenCLT!$W$47*2*AZ417)</f>
        <v>1.6414158290635604E-2</v>
      </c>
      <c r="BG417" s="37">
        <f t="shared" si="321"/>
        <v>2.4856165773127045E-6</v>
      </c>
      <c r="BH417" s="173">
        <f t="shared" si="348"/>
        <v>1244.7324259682375</v>
      </c>
      <c r="BI417">
        <v>-258.62226695257499</v>
      </c>
      <c r="BP417" s="129">
        <v>143.51144451436852</v>
      </c>
      <c r="BQ417" s="9">
        <v>6.15625</v>
      </c>
      <c r="BR417" s="129">
        <f t="shared" si="349"/>
        <v>149.69500752150873</v>
      </c>
      <c r="BS417" s="36">
        <f t="shared" si="369"/>
        <v>9.6830262056923459E-3</v>
      </c>
      <c r="BT417" s="37">
        <f t="shared" si="350"/>
        <v>61236781.997484393</v>
      </c>
      <c r="BU417" s="36">
        <f t="shared" si="322"/>
        <v>1.9982221264728839</v>
      </c>
      <c r="BV417" s="37">
        <f t="shared" si="351"/>
        <v>-1.2856751109194172E-4</v>
      </c>
      <c r="BW417" s="37">
        <f t="shared" si="352"/>
        <v>-6.3243849618390871E-2</v>
      </c>
      <c r="BX417" s="37">
        <f t="shared" si="353"/>
        <v>-12.754560643188864</v>
      </c>
      <c r="BY417" s="39">
        <f t="shared" si="354"/>
        <v>1.9245914539929874E-2</v>
      </c>
      <c r="BZ417" s="39">
        <f>BZ416+(1000*$C$2*($B417-$B416))/(BerechnungenCLT!$W$47*2*BT417)</f>
        <v>1.8225583325135495E-2</v>
      </c>
      <c r="CA417" s="37">
        <f t="shared" si="323"/>
        <v>2.444527661947654E-6</v>
      </c>
      <c r="CB417" s="173">
        <f t="shared" si="355"/>
        <v>1251.171889232698</v>
      </c>
      <c r="CC417" s="9">
        <v>-257.94139230277221</v>
      </c>
      <c r="CJ417" s="9">
        <f t="shared" si="371"/>
        <v>366</v>
      </c>
      <c r="CK417" s="129">
        <v>145.79517300270223</v>
      </c>
      <c r="CL417" s="9">
        <v>3.7890625</v>
      </c>
      <c r="CM417" s="129">
        <f t="shared" si="356"/>
        <v>149.58423622053348</v>
      </c>
      <c r="CN417" s="36">
        <f t="shared" si="370"/>
        <v>5.9773799549808606E-3</v>
      </c>
      <c r="CO417" s="173">
        <f t="shared" si="357"/>
        <v>1232.8311203428807</v>
      </c>
      <c r="CP417" s="9">
        <v>-630.87004546844253</v>
      </c>
      <c r="CQ417" s="129"/>
      <c r="CR417" s="36">
        <f t="shared" si="358"/>
        <v>0.61458731892635243</v>
      </c>
      <c r="CS417" s="17">
        <f t="shared" si="324"/>
        <v>0.44181515886094375</v>
      </c>
      <c r="CT417" s="9">
        <f t="shared" si="325"/>
        <v>5.1456756392451855</v>
      </c>
      <c r="CU417" s="9">
        <f t="shared" si="359"/>
        <v>150.94084961678666</v>
      </c>
      <c r="CV417" s="9">
        <v>7.2</v>
      </c>
      <c r="CW417" s="9">
        <f t="shared" si="360"/>
        <v>152.99517436672963</v>
      </c>
      <c r="CX417">
        <f t="shared" si="361"/>
        <v>12</v>
      </c>
      <c r="CY417" s="9">
        <f t="shared" si="326"/>
        <v>366.80768010571177</v>
      </c>
      <c r="CZ417" s="17">
        <f t="shared" si="362"/>
        <v>0.34539329576809019</v>
      </c>
      <c r="DA417">
        <v>45</v>
      </c>
      <c r="DB417" s="9">
        <f t="shared" si="363"/>
        <v>5.9193703551763299</v>
      </c>
      <c r="DC417" s="9">
        <f t="shared" si="364"/>
        <v>6.5339576741137995</v>
      </c>
    </row>
    <row r="418" spans="2:107" x14ac:dyDescent="0.25">
      <c r="B418" s="9">
        <f t="shared" si="365"/>
        <v>367</v>
      </c>
      <c r="C418" s="9">
        <v>141.07169793100618</v>
      </c>
      <c r="D418" s="9"/>
      <c r="E418" s="9">
        <f t="shared" si="327"/>
        <v>141.07169793100618</v>
      </c>
      <c r="F418" s="36">
        <f t="shared" si="366"/>
        <v>0</v>
      </c>
      <c r="G418" s="37">
        <f t="shared" si="372"/>
        <v>0</v>
      </c>
      <c r="H418" s="36" t="e">
        <f t="shared" si="312"/>
        <v>#DIV/0!</v>
      </c>
      <c r="I418" s="37" t="e">
        <f t="shared" si="328"/>
        <v>#DIV/0!</v>
      </c>
      <c r="J418" s="37" t="e">
        <f t="shared" si="329"/>
        <v>#DIV/0!</v>
      </c>
      <c r="K418" s="37" t="e">
        <f t="shared" si="330"/>
        <v>#DIV/0!</v>
      </c>
      <c r="L418" s="39" t="e">
        <f t="shared" si="313"/>
        <v>#DIV/0!</v>
      </c>
      <c r="M418" s="39" t="e">
        <f>M417+(1000*$C$2*(B418-B417))/(BerechnungenCLT!$W$47*2*'Berechnung freier Bereich'!G418)</f>
        <v>#DIV/0!</v>
      </c>
      <c r="N418" s="17" t="e">
        <f t="shared" si="331"/>
        <v>#DIV/0!</v>
      </c>
      <c r="O418" s="173">
        <f t="shared" si="332"/>
        <v>1351.2143395161856</v>
      </c>
      <c r="P418" s="173"/>
      <c r="Q418" s="173"/>
      <c r="R418" s="37" t="e">
        <f t="shared" si="314"/>
        <v>#DIV/0!</v>
      </c>
      <c r="S418" s="37" t="e">
        <f t="shared" si="315"/>
        <v>#DIV/0!</v>
      </c>
      <c r="T418" s="37" t="e">
        <f t="shared" si="316"/>
        <v>#DIV/0!</v>
      </c>
      <c r="U418" s="39" t="e">
        <f t="shared" si="317"/>
        <v>#DIV/0!</v>
      </c>
      <c r="V418" s="39" t="e">
        <f t="shared" si="333"/>
        <v>#DIV/0!</v>
      </c>
      <c r="W418" s="9" t="e">
        <f t="shared" si="334"/>
        <v>#DIV/0!</v>
      </c>
      <c r="AB418" s="129">
        <v>143.72066961195722</v>
      </c>
      <c r="AC418" s="9">
        <v>6.03125</v>
      </c>
      <c r="AD418" s="129">
        <f t="shared" si="335"/>
        <v>149.77341550613238</v>
      </c>
      <c r="AE418" s="36">
        <f t="shared" si="367"/>
        <v>9.4874737883062429E-3</v>
      </c>
      <c r="AF418" s="37">
        <f t="shared" si="336"/>
        <v>60116689.630908132</v>
      </c>
      <c r="AG418" s="36">
        <f t="shared" si="318"/>
        <v>1.9982998424351939</v>
      </c>
      <c r="AH418" s="37">
        <f t="shared" si="337"/>
        <v>-1.3096297712055942E-4</v>
      </c>
      <c r="AI418" s="37">
        <f t="shared" si="338"/>
        <v>-6.0580771252946891E-2</v>
      </c>
      <c r="AJ418" s="37">
        <f t="shared" si="339"/>
        <v>-12.27842575375792</v>
      </c>
      <c r="AK418" s="39">
        <f t="shared" si="340"/>
        <v>1.9614772388197654E-2</v>
      </c>
      <c r="AL418" s="39">
        <f>AL417+(1000*$C$2*($B418-$B417))/(BerechnungenCLT!$W$47*2*AF418)</f>
        <v>1.7455678028937913E-2</v>
      </c>
      <c r="AM418" s="37">
        <f t="shared" si="319"/>
        <v>2.4913782915473198E-6</v>
      </c>
      <c r="AN418" s="173">
        <f t="shared" si="341"/>
        <v>1248.7207183284527</v>
      </c>
      <c r="AO418" s="173">
        <v>-258.47862285081641</v>
      </c>
      <c r="AV418" s="129">
        <v>144.03095528733584</v>
      </c>
      <c r="AW418" s="9">
        <v>6.03125</v>
      </c>
      <c r="AX418" s="129">
        <f t="shared" si="342"/>
        <v>150.07846562389187</v>
      </c>
      <c r="AY418" s="36">
        <f t="shared" si="368"/>
        <v>9.499141334933946E-3</v>
      </c>
      <c r="AZ418" s="37">
        <f t="shared" si="343"/>
        <v>60443122.81923873</v>
      </c>
      <c r="BA418" s="36">
        <f t="shared" si="320"/>
        <v>1.9983098704459041</v>
      </c>
      <c r="BB418" s="37">
        <f t="shared" si="344"/>
        <v>-1.3025568967112399E-4</v>
      </c>
      <c r="BC418" s="37">
        <f t="shared" si="345"/>
        <v>-5.7108440870996903E-2</v>
      </c>
      <c r="BD418" s="37">
        <f t="shared" si="346"/>
        <v>-11.359926269039939</v>
      </c>
      <c r="BE418" s="39">
        <f t="shared" si="347"/>
        <v>1.9548574044624109E-2</v>
      </c>
      <c r="BF418" s="39">
        <f>BF417+(1000*$C$2*($B418-$B417))/(BerechnungenCLT!$W$47*2*AZ418)</f>
        <v>1.6451815667467819E-2</v>
      </c>
      <c r="BG418" s="37">
        <f t="shared" si="321"/>
        <v>2.4829700820177126E-6</v>
      </c>
      <c r="BH418" s="173">
        <f t="shared" si="348"/>
        <v>1243.501036849558</v>
      </c>
      <c r="BI418">
        <v>-258.47862285081641</v>
      </c>
      <c r="BP418" s="129">
        <v>143.6057469262889</v>
      </c>
      <c r="BQ418" s="9">
        <v>6.15625</v>
      </c>
      <c r="BR418" s="129">
        <f t="shared" si="349"/>
        <v>149.78960154447338</v>
      </c>
      <c r="BS418" s="36">
        <f t="shared" si="369"/>
        <v>9.6897213718025385E-3</v>
      </c>
      <c r="BT418" s="37">
        <f t="shared" si="350"/>
        <v>61358073.422536992</v>
      </c>
      <c r="BU418" s="36">
        <f t="shared" si="322"/>
        <v>1.9982242461425546</v>
      </c>
      <c r="BV418" s="37">
        <f t="shared" si="351"/>
        <v>-1.2831336138081212E-4</v>
      </c>
      <c r="BW418" s="37">
        <f t="shared" si="352"/>
        <v>-6.337216297977169E-2</v>
      </c>
      <c r="BX418" s="37">
        <f t="shared" si="353"/>
        <v>-12.817868649487945</v>
      </c>
      <c r="BY418" s="39">
        <f t="shared" si="354"/>
        <v>1.9220007274063866E-2</v>
      </c>
      <c r="BZ418" s="39">
        <f>BZ417+(1000*$C$2*($B418-$B417))/(BerechnungenCLT!$W$47*2*BT418)</f>
        <v>1.8262679168045123E-2</v>
      </c>
      <c r="CA418" s="37">
        <f t="shared" si="323"/>
        <v>2.4412370400380798E-6</v>
      </c>
      <c r="CB418" s="173">
        <f t="shared" si="355"/>
        <v>1249.5613263614873</v>
      </c>
      <c r="CC418" s="9">
        <v>-257.60935892433201</v>
      </c>
      <c r="CJ418" s="9">
        <f t="shared" si="371"/>
        <v>367</v>
      </c>
      <c r="CK418" s="129">
        <v>145.7945574569826</v>
      </c>
      <c r="CL418" s="9">
        <v>3.7890625</v>
      </c>
      <c r="CM418" s="129">
        <f t="shared" si="356"/>
        <v>149.58362047823812</v>
      </c>
      <c r="CN418" s="36">
        <f t="shared" si="370"/>
        <v>5.9773547281899951E-3</v>
      </c>
      <c r="CO418" s="173">
        <f t="shared" si="357"/>
        <v>1232.8413985114134</v>
      </c>
      <c r="CP418" s="9">
        <v>-630.87530506040332</v>
      </c>
      <c r="CQ418" s="129"/>
      <c r="CR418" s="36">
        <f t="shared" si="358"/>
        <v>0.61458925694181366</v>
      </c>
      <c r="CS418" s="17">
        <f t="shared" si="324"/>
        <v>0.44181655206347581</v>
      </c>
      <c r="CT418" s="9">
        <f t="shared" si="325"/>
        <v>5.1456594131253262</v>
      </c>
      <c r="CU418" s="9">
        <f t="shared" si="359"/>
        <v>150.94021757798839</v>
      </c>
      <c r="CV418" s="9">
        <v>7.2</v>
      </c>
      <c r="CW418" s="9">
        <f t="shared" si="360"/>
        <v>152.99455844747555</v>
      </c>
      <c r="CX418">
        <f t="shared" si="361"/>
        <v>12</v>
      </c>
      <c r="CY418" s="9">
        <f t="shared" si="326"/>
        <v>366.80922877049971</v>
      </c>
      <c r="CZ418" s="17">
        <f t="shared" si="362"/>
        <v>0.34539475402118625</v>
      </c>
      <c r="DA418">
        <v>45</v>
      </c>
      <c r="DB418" s="9">
        <f t="shared" si="363"/>
        <v>5.9193953468025509</v>
      </c>
      <c r="DC418" s="9">
        <f t="shared" si="364"/>
        <v>6.5339846037525682</v>
      </c>
    </row>
    <row r="419" spans="2:107" x14ac:dyDescent="0.25">
      <c r="B419" s="9">
        <f t="shared" si="365"/>
        <v>368</v>
      </c>
      <c r="C419" s="9">
        <v>141.08691458860181</v>
      </c>
      <c r="D419" s="9"/>
      <c r="E419" s="9">
        <f t="shared" si="327"/>
        <v>141.08691458860181</v>
      </c>
      <c r="F419" s="36">
        <f t="shared" si="366"/>
        <v>0</v>
      </c>
      <c r="G419" s="37">
        <f t="shared" si="372"/>
        <v>0</v>
      </c>
      <c r="H419" s="36" t="e">
        <f t="shared" si="312"/>
        <v>#DIV/0!</v>
      </c>
      <c r="I419" s="37" t="e">
        <f t="shared" si="328"/>
        <v>#DIV/0!</v>
      </c>
      <c r="J419" s="37" t="e">
        <f t="shared" si="329"/>
        <v>#DIV/0!</v>
      </c>
      <c r="K419" s="37" t="e">
        <f t="shared" si="330"/>
        <v>#DIV/0!</v>
      </c>
      <c r="L419" s="39" t="e">
        <f t="shared" si="313"/>
        <v>#DIV/0!</v>
      </c>
      <c r="M419" s="39" t="e">
        <f>M418+(1000*$C$2*(B419-B418))/(BerechnungenCLT!$W$47*2*'Berechnung freier Bereich'!G419)</f>
        <v>#DIV/0!</v>
      </c>
      <c r="N419" s="17" t="e">
        <f t="shared" si="331"/>
        <v>#DIV/0!</v>
      </c>
      <c r="O419" s="173">
        <f t="shared" si="332"/>
        <v>1350.9228899906082</v>
      </c>
      <c r="P419" s="173"/>
      <c r="Q419" s="173"/>
      <c r="R419" s="37" t="e">
        <f t="shared" si="314"/>
        <v>#DIV/0!</v>
      </c>
      <c r="S419" s="37" t="e">
        <f t="shared" si="315"/>
        <v>#DIV/0!</v>
      </c>
      <c r="T419" s="37" t="e">
        <f t="shared" si="316"/>
        <v>#DIV/0!</v>
      </c>
      <c r="U419" s="39" t="e">
        <f t="shared" si="317"/>
        <v>#DIV/0!</v>
      </c>
      <c r="V419" s="39" t="e">
        <f t="shared" si="333"/>
        <v>#DIV/0!</v>
      </c>
      <c r="W419" s="9" t="e">
        <f t="shared" si="334"/>
        <v>#DIV/0!</v>
      </c>
      <c r="AB419" s="129">
        <v>143.80517330933966</v>
      </c>
      <c r="AC419" s="9">
        <v>6.03125</v>
      </c>
      <c r="AD419" s="129">
        <f t="shared" si="335"/>
        <v>149.85852681069241</v>
      </c>
      <c r="AE419" s="36">
        <f t="shared" si="367"/>
        <v>9.4939097076493732E-3</v>
      </c>
      <c r="AF419" s="37">
        <f t="shared" si="336"/>
        <v>60226997.984914862</v>
      </c>
      <c r="AG419" s="36">
        <f t="shared" si="318"/>
        <v>1.9983014638320011</v>
      </c>
      <c r="AH419" s="37">
        <f t="shared" si="337"/>
        <v>-1.3072311275863973E-4</v>
      </c>
      <c r="AI419" s="37">
        <f t="shared" si="338"/>
        <v>-6.0711494365705533E-2</v>
      </c>
      <c r="AJ419" s="37">
        <f t="shared" si="339"/>
        <v>-12.339071886567247</v>
      </c>
      <c r="AK419" s="39">
        <f t="shared" si="340"/>
        <v>1.9589973098117781E-2</v>
      </c>
      <c r="AL419" s="39">
        <f>AL418+(1000*$C$2*($B419-$B418))/(BerechnungenCLT!$W$47*2*AF419)</f>
        <v>1.7493470539424492E-2</v>
      </c>
      <c r="AM419" s="37">
        <f t="shared" si="319"/>
        <v>2.4882283996327971E-6</v>
      </c>
      <c r="AN419" s="173">
        <f t="shared" si="341"/>
        <v>1247.2786565381416</v>
      </c>
      <c r="AO419" s="173">
        <v>-258.3350983901438</v>
      </c>
      <c r="AV419" s="129">
        <v>144.10443519748756</v>
      </c>
      <c r="AW419" s="9">
        <v>6.03125</v>
      </c>
      <c r="AX419" s="129">
        <f t="shared" si="342"/>
        <v>150.15233965665081</v>
      </c>
      <c r="AY419" s="36">
        <f t="shared" si="368"/>
        <v>9.5045199493993641E-3</v>
      </c>
      <c r="AZ419" s="37">
        <f t="shared" si="343"/>
        <v>60537940.295629703</v>
      </c>
      <c r="BA419" s="36">
        <f t="shared" si="320"/>
        <v>1.9983113417286436</v>
      </c>
      <c r="BB419" s="37">
        <f t="shared" si="344"/>
        <v>-1.3005167685337912E-4</v>
      </c>
      <c r="BC419" s="37">
        <f t="shared" si="345"/>
        <v>-5.7238492547850281E-2</v>
      </c>
      <c r="BD419" s="37">
        <f t="shared" si="346"/>
        <v>-11.417099735749362</v>
      </c>
      <c r="BE419" s="39">
        <f t="shared" si="347"/>
        <v>1.9527563555805573E-2</v>
      </c>
      <c r="BF419" s="39">
        <f>BF418+(1000*$C$2*($B419-$B418))/(BerechnungenCLT!$W$47*2*AZ419)</f>
        <v>1.648941406347873E-2</v>
      </c>
      <c r="BG419" s="37">
        <f t="shared" si="321"/>
        <v>2.4803014262361757E-6</v>
      </c>
      <c r="BH419" s="173">
        <f t="shared" si="348"/>
        <v>1242.2559412899961</v>
      </c>
      <c r="BI419">
        <v>-258.3350983901438</v>
      </c>
      <c r="BP419" s="129">
        <v>143.70055253810537</v>
      </c>
      <c r="BQ419" s="9">
        <v>6.15625</v>
      </c>
      <c r="BR419" s="129">
        <f t="shared" si="349"/>
        <v>149.8846876922847</v>
      </c>
      <c r="BS419" s="36">
        <f t="shared" si="369"/>
        <v>9.6964326344381371E-3</v>
      </c>
      <c r="BT419" s="37">
        <f t="shared" si="350"/>
        <v>61480043.470396683</v>
      </c>
      <c r="BU419" s="36">
        <f t="shared" si="322"/>
        <v>1.9982263801917599</v>
      </c>
      <c r="BV419" s="37">
        <f t="shared" si="351"/>
        <v>-1.2805880094224979E-4</v>
      </c>
      <c r="BW419" s="37">
        <f t="shared" si="352"/>
        <v>-6.3500221780713934E-2</v>
      </c>
      <c r="BX419" s="37">
        <f t="shared" si="353"/>
        <v>-12.881304841868188</v>
      </c>
      <c r="BY419" s="39">
        <f t="shared" si="354"/>
        <v>1.9194053385477562E-2</v>
      </c>
      <c r="BZ419" s="39">
        <f>BZ418+(1000*$C$2*($B419-$B418))/(BerechnungenCLT!$W$47*2*BT419)</f>
        <v>1.8299701416638944E-2</v>
      </c>
      <c r="CA419" s="37">
        <f t="shared" si="323"/>
        <v>2.4379404963247274E-6</v>
      </c>
      <c r="CB419" s="173">
        <f t="shared" si="355"/>
        <v>1247.9454095551719</v>
      </c>
      <c r="CC419" s="9">
        <v>-257.27622177950531</v>
      </c>
      <c r="CJ419" s="9">
        <f t="shared" si="371"/>
        <v>368</v>
      </c>
      <c r="CK419" s="129">
        <v>145.79508199196786</v>
      </c>
      <c r="CL419" s="9">
        <v>3.7890625</v>
      </c>
      <c r="CM419" s="129">
        <f t="shared" si="356"/>
        <v>149.5841494375222</v>
      </c>
      <c r="CN419" s="36">
        <f t="shared" si="370"/>
        <v>5.9773830264743784E-3</v>
      </c>
      <c r="CO419" s="173">
        <f t="shared" si="357"/>
        <v>1232.8326044670523</v>
      </c>
      <c r="CP419" s="9">
        <v>-630.87080493133101</v>
      </c>
      <c r="CQ419" s="129"/>
      <c r="CR419" s="36">
        <f t="shared" si="358"/>
        <v>0.61458759207050029</v>
      </c>
      <c r="CS419" s="17">
        <f t="shared" si="324"/>
        <v>0.44181535521908744</v>
      </c>
      <c r="CT419" s="9">
        <f t="shared" si="325"/>
        <v>5.1456733523275746</v>
      </c>
      <c r="CU419" s="9">
        <f t="shared" si="359"/>
        <v>150.9407620605233</v>
      </c>
      <c r="CV419" s="9">
        <v>7.2</v>
      </c>
      <c r="CW419" s="9">
        <f t="shared" si="360"/>
        <v>152.99509138954079</v>
      </c>
      <c r="CX419">
        <f t="shared" si="361"/>
        <v>12</v>
      </c>
      <c r="CY419" s="9">
        <f t="shared" si="326"/>
        <v>366.80790908076278</v>
      </c>
      <c r="CZ419" s="17">
        <f t="shared" si="362"/>
        <v>0.34539351137548285</v>
      </c>
      <c r="DA419">
        <v>45</v>
      </c>
      <c r="DB419" s="9">
        <f t="shared" si="363"/>
        <v>5.9193740502683436</v>
      </c>
      <c r="DC419" s="9">
        <f t="shared" si="364"/>
        <v>6.5339616424161813</v>
      </c>
    </row>
    <row r="420" spans="2:107" x14ac:dyDescent="0.25">
      <c r="B420" s="9">
        <f t="shared" si="365"/>
        <v>369</v>
      </c>
      <c r="C420" s="9">
        <v>141.10254774691472</v>
      </c>
      <c r="D420" s="9"/>
      <c r="E420" s="9">
        <f t="shared" si="327"/>
        <v>141.10254774691472</v>
      </c>
      <c r="F420" s="36">
        <f t="shared" si="366"/>
        <v>0</v>
      </c>
      <c r="G420" s="37">
        <f t="shared" si="372"/>
        <v>0</v>
      </c>
      <c r="H420" s="36" t="e">
        <f t="shared" si="312"/>
        <v>#DIV/0!</v>
      </c>
      <c r="I420" s="37" t="e">
        <f t="shared" si="328"/>
        <v>#DIV/0!</v>
      </c>
      <c r="J420" s="37" t="e">
        <f t="shared" si="329"/>
        <v>#DIV/0!</v>
      </c>
      <c r="K420" s="37" t="e">
        <f t="shared" si="330"/>
        <v>#DIV/0!</v>
      </c>
      <c r="L420" s="39" t="e">
        <f t="shared" si="313"/>
        <v>#DIV/0!</v>
      </c>
      <c r="M420" s="39" t="e">
        <f>M419+(1000*$C$2*(B420-B419))/(BerechnungenCLT!$W$47*2*'Berechnung freier Bereich'!G420)</f>
        <v>#DIV/0!</v>
      </c>
      <c r="N420" s="17" t="e">
        <f t="shared" si="331"/>
        <v>#DIV/0!</v>
      </c>
      <c r="O420" s="173">
        <f t="shared" si="332"/>
        <v>1350.6235612851115</v>
      </c>
      <c r="P420" s="173"/>
      <c r="Q420" s="173"/>
      <c r="R420" s="37" t="e">
        <f t="shared" si="314"/>
        <v>#DIV/0!</v>
      </c>
      <c r="S420" s="37" t="e">
        <f t="shared" si="315"/>
        <v>#DIV/0!</v>
      </c>
      <c r="T420" s="37" t="e">
        <f t="shared" si="316"/>
        <v>#DIV/0!</v>
      </c>
      <c r="U420" s="39" t="e">
        <f t="shared" si="317"/>
        <v>#DIV/0!</v>
      </c>
      <c r="V420" s="39" t="e">
        <f t="shared" si="333"/>
        <v>#DIV/0!</v>
      </c>
      <c r="W420" s="9" t="e">
        <f t="shared" si="334"/>
        <v>#DIV/0!</v>
      </c>
      <c r="AB420" s="129">
        <v>143.89086513773086</v>
      </c>
      <c r="AC420" s="9">
        <v>6.03125</v>
      </c>
      <c r="AD420" s="129">
        <f t="shared" si="335"/>
        <v>149.94480686247994</v>
      </c>
      <c r="AE420" s="36">
        <f t="shared" si="367"/>
        <v>9.5003925126438318E-3</v>
      </c>
      <c r="AF420" s="37">
        <f t="shared" si="336"/>
        <v>60338705.957336918</v>
      </c>
      <c r="AG420" s="36">
        <f t="shared" si="318"/>
        <v>1.9983031206503699</v>
      </c>
      <c r="AH420" s="37">
        <f t="shared" si="337"/>
        <v>-1.3048109872066397E-4</v>
      </c>
      <c r="AI420" s="37">
        <f t="shared" si="338"/>
        <v>-6.0841975464426198E-2</v>
      </c>
      <c r="AJ420" s="37">
        <f t="shared" si="339"/>
        <v>-12.399848621482313</v>
      </c>
      <c r="AK420" s="39">
        <f t="shared" si="340"/>
        <v>1.9564963146874136E-2</v>
      </c>
      <c r="AL420" s="39">
        <f>AL419+(1000*$C$2*($B420-$B419))/(BerechnungenCLT!$W$47*2*AF420)</f>
        <v>1.7531193082803685E-2</v>
      </c>
      <c r="AM420" s="37">
        <f t="shared" si="319"/>
        <v>2.4850517505048899E-6</v>
      </c>
      <c r="AN420" s="173">
        <f t="shared" si="341"/>
        <v>1245.8191054536346</v>
      </c>
      <c r="AO420" s="173">
        <v>-258.19169343772882</v>
      </c>
      <c r="AV420" s="129">
        <v>144.17880150252367</v>
      </c>
      <c r="AW420" s="9">
        <v>6.03125</v>
      </c>
      <c r="AX420" s="129">
        <f t="shared" si="342"/>
        <v>150.22708679893759</v>
      </c>
      <c r="AY420" s="36">
        <f t="shared" si="368"/>
        <v>9.509935131004869E-3</v>
      </c>
      <c r="AZ420" s="37">
        <f t="shared" si="343"/>
        <v>60633814.192018598</v>
      </c>
      <c r="BA420" s="36">
        <f t="shared" si="320"/>
        <v>1.9983128384612869</v>
      </c>
      <c r="BB420" s="37">
        <f t="shared" si="344"/>
        <v>-1.2984603976526265E-4</v>
      </c>
      <c r="BC420" s="37">
        <f t="shared" si="345"/>
        <v>-5.7368338587615544E-2</v>
      </c>
      <c r="BD420" s="37">
        <f t="shared" si="346"/>
        <v>-11.474403151317095</v>
      </c>
      <c r="BE420" s="39">
        <f t="shared" si="347"/>
        <v>1.9506392286314414E-2</v>
      </c>
      <c r="BF420" s="39">
        <f>BF419+(1000*$C$2*($B420-$B419))/(BerechnungenCLT!$W$47*2*AZ420)</f>
        <v>1.6526953009086073E-2</v>
      </c>
      <c r="BG420" s="37">
        <f t="shared" si="321"/>
        <v>2.477612348832121E-6</v>
      </c>
      <c r="BH420" s="173">
        <f t="shared" si="348"/>
        <v>1240.9978811565468</v>
      </c>
      <c r="BI420">
        <v>-258.19169343772882</v>
      </c>
      <c r="BP420" s="129">
        <v>143.79583975325585</v>
      </c>
      <c r="BQ420" s="9">
        <v>6.125</v>
      </c>
      <c r="BR420" s="129">
        <f t="shared" si="349"/>
        <v>149.94885126280417</v>
      </c>
      <c r="BS420" s="36">
        <f t="shared" si="369"/>
        <v>9.6528720072482817E-3</v>
      </c>
      <c r="BT420" s="37">
        <f t="shared" si="350"/>
        <v>61270045.737343259</v>
      </c>
      <c r="BU420" s="36">
        <f t="shared" si="322"/>
        <v>1.998246080587128</v>
      </c>
      <c r="BV420" s="37">
        <f t="shared" si="351"/>
        <v>-1.2849771130328812E-4</v>
      </c>
      <c r="BW420" s="37">
        <f t="shared" si="352"/>
        <v>-6.3628719492017219E-2</v>
      </c>
      <c r="BX420" s="37">
        <f t="shared" si="353"/>
        <v>-12.944869312504553</v>
      </c>
      <c r="BY420" s="39">
        <f t="shared" si="354"/>
        <v>1.92680841998275E-2</v>
      </c>
      <c r="BZ420" s="39">
        <f>BZ419+(1000*$C$2*($B420-$B419))/(BerechnungenCLT!$W$47*2*BT420)</f>
        <v>1.8336850555757876E-2</v>
      </c>
      <c r="CA420" s="37">
        <f t="shared" si="323"/>
        <v>2.4473435503151971E-6</v>
      </c>
      <c r="CB420" s="173">
        <f t="shared" si="355"/>
        <v>1246.5909553283873</v>
      </c>
      <c r="CC420" s="9">
        <v>-258.30819683837115</v>
      </c>
      <c r="CJ420" s="9">
        <f t="shared" si="371"/>
        <v>369</v>
      </c>
      <c r="CK420" s="129">
        <v>145.79669767715561</v>
      </c>
      <c r="CL420" s="9">
        <v>3.7890625</v>
      </c>
      <c r="CM420" s="129">
        <f t="shared" si="356"/>
        <v>149.58577356096916</v>
      </c>
      <c r="CN420" s="36">
        <f t="shared" si="370"/>
        <v>5.9774619000044788E-3</v>
      </c>
      <c r="CO420" s="173">
        <f t="shared" si="357"/>
        <v>1232.8055607511808</v>
      </c>
      <c r="CP420" s="9">
        <v>-630.85696599590835</v>
      </c>
      <c r="CQ420" s="129"/>
      <c r="CR420" s="36">
        <f t="shared" si="358"/>
        <v>0.61458248027913276</v>
      </c>
      <c r="CS420" s="17">
        <f t="shared" si="324"/>
        <v>0.44181168044929386</v>
      </c>
      <c r="CT420" s="9">
        <f t="shared" si="325"/>
        <v>5.1457161514789771</v>
      </c>
      <c r="CU420" s="9">
        <f t="shared" si="359"/>
        <v>150.94243200445132</v>
      </c>
      <c r="CV420" s="9">
        <v>7.2</v>
      </c>
      <c r="CW420" s="9">
        <f t="shared" si="360"/>
        <v>152.99672310916091</v>
      </c>
      <c r="CX420">
        <f t="shared" si="361"/>
        <v>12</v>
      </c>
      <c r="CY420" s="9">
        <f t="shared" si="326"/>
        <v>366.8038442005913</v>
      </c>
      <c r="CZ420" s="17">
        <f t="shared" si="362"/>
        <v>0.34538968380469992</v>
      </c>
      <c r="DA420">
        <v>45</v>
      </c>
      <c r="DB420" s="9">
        <f t="shared" si="363"/>
        <v>5.9193084531380507</v>
      </c>
      <c r="DC420" s="9">
        <f t="shared" si="364"/>
        <v>6.5338909336261519</v>
      </c>
    </row>
    <row r="421" spans="2:107" x14ac:dyDescent="0.25">
      <c r="B421" s="9">
        <f t="shared" si="365"/>
        <v>370</v>
      </c>
      <c r="C421" s="9">
        <v>141.11857872878267</v>
      </c>
      <c r="D421" s="9"/>
      <c r="E421" s="9">
        <f t="shared" si="327"/>
        <v>141.11857872878267</v>
      </c>
      <c r="F421" s="36">
        <f t="shared" si="366"/>
        <v>0</v>
      </c>
      <c r="G421" s="37">
        <f t="shared" si="372"/>
        <v>0</v>
      </c>
      <c r="H421" s="36" t="e">
        <f t="shared" si="312"/>
        <v>#DIV/0!</v>
      </c>
      <c r="I421" s="37" t="e">
        <f t="shared" si="328"/>
        <v>#DIV/0!</v>
      </c>
      <c r="J421" s="37" t="e">
        <f t="shared" si="329"/>
        <v>#DIV/0!</v>
      </c>
      <c r="K421" s="37" t="e">
        <f t="shared" si="330"/>
        <v>#DIV/0!</v>
      </c>
      <c r="L421" s="39" t="e">
        <f t="shared" si="313"/>
        <v>#DIV/0!</v>
      </c>
      <c r="M421" s="39" t="e">
        <f>M420+(1000*$C$2*(B421-B420))/(BerechnungenCLT!$W$47*2*'Berechnung freier Bereich'!G421)</f>
        <v>#DIV/0!</v>
      </c>
      <c r="N421" s="17" t="e">
        <f t="shared" si="331"/>
        <v>#DIV/0!</v>
      </c>
      <c r="O421" s="173">
        <f t="shared" si="332"/>
        <v>1350.316718738939</v>
      </c>
      <c r="P421" s="173"/>
      <c r="Q421" s="173"/>
      <c r="R421" s="37" t="e">
        <f t="shared" si="314"/>
        <v>#DIV/0!</v>
      </c>
      <c r="S421" s="37" t="e">
        <f t="shared" si="315"/>
        <v>#DIV/0!</v>
      </c>
      <c r="T421" s="37" t="e">
        <f t="shared" si="316"/>
        <v>#DIV/0!</v>
      </c>
      <c r="U421" s="39" t="e">
        <f t="shared" si="317"/>
        <v>#DIV/0!</v>
      </c>
      <c r="V421" s="39" t="e">
        <f t="shared" si="333"/>
        <v>#DIV/0!</v>
      </c>
      <c r="W421" s="9" t="e">
        <f t="shared" si="334"/>
        <v>#DIV/0!</v>
      </c>
      <c r="AB421" s="129">
        <v>143.97769181771335</v>
      </c>
      <c r="AC421" s="9">
        <v>6.03125</v>
      </c>
      <c r="AD421" s="129">
        <f t="shared" si="335"/>
        <v>150.03220129790554</v>
      </c>
      <c r="AE421" s="36">
        <f t="shared" si="367"/>
        <v>9.5069169890271404E-3</v>
      </c>
      <c r="AF421" s="37">
        <f t="shared" si="336"/>
        <v>60451740.944091238</v>
      </c>
      <c r="AG421" s="36">
        <f t="shared" si="318"/>
        <v>1.9983048121003453</v>
      </c>
      <c r="AH421" s="37">
        <f t="shared" si="337"/>
        <v>-1.3023712015139134E-4</v>
      </c>
      <c r="AI421" s="37">
        <f t="shared" si="338"/>
        <v>-6.0972212584577593E-2</v>
      </c>
      <c r="AJ421" s="37">
        <f t="shared" si="339"/>
        <v>-12.460755715506815</v>
      </c>
      <c r="AK421" s="39">
        <f t="shared" si="340"/>
        <v>1.9539761827013055E-2</v>
      </c>
      <c r="AL421" s="39">
        <f>AL420+(1000*$C$2*($B421-$B420))/(BerechnungenCLT!$W$47*2*AF421)</f>
        <v>1.7568845091122602E-2</v>
      </c>
      <c r="AM421" s="37">
        <f t="shared" si="319"/>
        <v>2.4818507946142157E-6</v>
      </c>
      <c r="AN421" s="173">
        <f t="shared" si="341"/>
        <v>1244.3430756241269</v>
      </c>
      <c r="AO421" s="173">
        <v>-258.04840786092723</v>
      </c>
      <c r="AV421" s="129">
        <v>144.25401445379464</v>
      </c>
      <c r="AW421" s="9">
        <v>6.03125</v>
      </c>
      <c r="AX421" s="129">
        <f t="shared" si="342"/>
        <v>150.30266669745433</v>
      </c>
      <c r="AY421" s="36">
        <f t="shared" si="368"/>
        <v>9.5153833199291098E-3</v>
      </c>
      <c r="AZ421" s="37">
        <f t="shared" si="343"/>
        <v>60730691.865488641</v>
      </c>
      <c r="BA421" s="36">
        <f t="shared" si="320"/>
        <v>1.9983143599633686</v>
      </c>
      <c r="BB421" s="37">
        <f t="shared" si="344"/>
        <v>-1.2963890920482675E-4</v>
      </c>
      <c r="BC421" s="37">
        <f t="shared" si="345"/>
        <v>-5.7497977496820368E-2</v>
      </c>
      <c r="BD421" s="37">
        <f t="shared" si="346"/>
        <v>-11.531836309359312</v>
      </c>
      <c r="BE421" s="39">
        <f t="shared" si="347"/>
        <v>1.9485073761234619E-2</v>
      </c>
      <c r="BF421" s="39">
        <f>BF420+(1000*$C$2*($B421-$B420))/(BerechnungenCLT!$W$47*2*AZ421)</f>
        <v>1.6564432072521763E-2</v>
      </c>
      <c r="BG421" s="37">
        <f t="shared" si="321"/>
        <v>2.4749045676995924E-6</v>
      </c>
      <c r="BH421" s="173">
        <f t="shared" si="348"/>
        <v>1239.7275945240865</v>
      </c>
      <c r="BI421">
        <v>-258.04840786092723</v>
      </c>
      <c r="BP421" s="129">
        <v>143.89158697517829</v>
      </c>
      <c r="BQ421" s="9">
        <v>6.125</v>
      </c>
      <c r="BR421" s="129">
        <f t="shared" si="349"/>
        <v>150.04485500127717</v>
      </c>
      <c r="BS421" s="36">
        <f t="shared" si="369"/>
        <v>9.6595759059363556E-3</v>
      </c>
      <c r="BT421" s="37">
        <f t="shared" si="350"/>
        <v>61392638.302471779</v>
      </c>
      <c r="BU421" s="36">
        <f t="shared" si="322"/>
        <v>1.9982482207378303</v>
      </c>
      <c r="BV421" s="37">
        <f t="shared" si="351"/>
        <v>-1.2824111923496551E-4</v>
      </c>
      <c r="BW421" s="37">
        <f t="shared" si="352"/>
        <v>-6.3756960611252189E-2</v>
      </c>
      <c r="BX421" s="37">
        <f t="shared" si="353"/>
        <v>-13.008562152556188</v>
      </c>
      <c r="BY421" s="39">
        <f t="shared" si="354"/>
        <v>1.9241920140811896E-2</v>
      </c>
      <c r="BZ421" s="39">
        <f>BZ420+(1000*$C$2*($B421-$B420))/(BerechnungenCLT!$W$47*2*BT421)</f>
        <v>1.837392551320971E-2</v>
      </c>
      <c r="CA421" s="37">
        <f t="shared" si="323"/>
        <v>2.4440203117192977E-6</v>
      </c>
      <c r="CB421" s="173">
        <f t="shared" si="355"/>
        <v>1244.9650457036171</v>
      </c>
      <c r="CC421" s="9">
        <v>-257.97128938560866</v>
      </c>
      <c r="CJ421" s="9">
        <f t="shared" si="371"/>
        <v>370</v>
      </c>
      <c r="CK421" s="129">
        <v>145.79935558204352</v>
      </c>
      <c r="CL421" s="9">
        <v>3.7890625</v>
      </c>
      <c r="CM421" s="129">
        <f t="shared" si="356"/>
        <v>149.58844333836893</v>
      </c>
      <c r="CN421" s="36">
        <f t="shared" si="370"/>
        <v>5.9775884426621056E-3</v>
      </c>
      <c r="CO421" s="173">
        <f t="shared" si="357"/>
        <v>1232.761090822881</v>
      </c>
      <c r="CP421" s="9">
        <v>-630.83420963842707</v>
      </c>
      <c r="CQ421" s="129"/>
      <c r="CR421" s="36">
        <f t="shared" si="358"/>
        <v>0.61457407754781435</v>
      </c>
      <c r="CS421" s="17">
        <f t="shared" si="324"/>
        <v>0.44180563988523081</v>
      </c>
      <c r="CT421" s="9">
        <f t="shared" si="325"/>
        <v>5.1457865060087906</v>
      </c>
      <c r="CU421" s="9">
        <f t="shared" si="359"/>
        <v>150.94517638773948</v>
      </c>
      <c r="CV421" s="9">
        <v>7.2</v>
      </c>
      <c r="CW421" s="9">
        <f t="shared" si="360"/>
        <v>152.99940357426928</v>
      </c>
      <c r="CX421">
        <f t="shared" si="361"/>
        <v>12</v>
      </c>
      <c r="CY421" s="9">
        <f t="shared" si="326"/>
        <v>366.79715741019703</v>
      </c>
      <c r="CZ421" s="17">
        <f t="shared" si="362"/>
        <v>0.34538338739189928</v>
      </c>
      <c r="DA421">
        <v>45</v>
      </c>
      <c r="DB421" s="9">
        <f t="shared" si="363"/>
        <v>5.9192005448499252</v>
      </c>
      <c r="DC421" s="9">
        <f t="shared" si="364"/>
        <v>6.5337746227917171</v>
      </c>
    </row>
    <row r="422" spans="2:107" x14ac:dyDescent="0.25">
      <c r="B422" s="9">
        <f t="shared" si="365"/>
        <v>371</v>
      </c>
      <c r="C422" s="9">
        <v>141.13498885704351</v>
      </c>
      <c r="D422" s="9"/>
      <c r="E422" s="9">
        <f t="shared" si="327"/>
        <v>141.13498885704351</v>
      </c>
      <c r="F422" s="36">
        <f t="shared" si="366"/>
        <v>0</v>
      </c>
      <c r="G422" s="37">
        <f>(PI()/4)*(E422^4-C422^4)</f>
        <v>0</v>
      </c>
      <c r="H422" s="36" t="e">
        <f t="shared" si="312"/>
        <v>#DIV/0!</v>
      </c>
      <c r="I422" s="37" t="e">
        <f t="shared" si="328"/>
        <v>#DIV/0!</v>
      </c>
      <c r="J422" s="37" t="e">
        <f t="shared" si="329"/>
        <v>#DIV/0!</v>
      </c>
      <c r="K422" s="37" t="e">
        <f t="shared" si="330"/>
        <v>#DIV/0!</v>
      </c>
      <c r="L422" s="39" t="e">
        <f t="shared" si="313"/>
        <v>#DIV/0!</v>
      </c>
      <c r="M422" s="39" t="e">
        <f>M421+(1000*$C$2*(B422-B421))/(BerechnungenCLT!$W$47*2*'Berechnung freier Bereich'!G422)</f>
        <v>#DIV/0!</v>
      </c>
      <c r="N422" s="17" t="e">
        <f t="shared" si="331"/>
        <v>#DIV/0!</v>
      </c>
      <c r="O422" s="173">
        <f t="shared" si="332"/>
        <v>1350.002727396434</v>
      </c>
      <c r="P422" s="173"/>
      <c r="Q422" s="173"/>
      <c r="R422" s="37" t="e">
        <f t="shared" si="314"/>
        <v>#DIV/0!</v>
      </c>
      <c r="S422" s="37" t="e">
        <f t="shared" si="315"/>
        <v>#DIV/0!</v>
      </c>
      <c r="T422" s="37" t="e">
        <f t="shared" si="316"/>
        <v>#DIV/0!</v>
      </c>
      <c r="U422" s="39" t="e">
        <f t="shared" si="317"/>
        <v>#DIV/0!</v>
      </c>
      <c r="V422" s="39" t="e">
        <f t="shared" si="333"/>
        <v>#DIV/0!</v>
      </c>
      <c r="W422" s="9" t="e">
        <f t="shared" si="334"/>
        <v>#DIV/0!</v>
      </c>
      <c r="AB422" s="129">
        <v>144.06560006986976</v>
      </c>
      <c r="AC422" s="9">
        <v>6.03125</v>
      </c>
      <c r="AD422" s="129">
        <f t="shared" si="335"/>
        <v>150.12065580474666</v>
      </c>
      <c r="AE422" s="36">
        <f t="shared" si="367"/>
        <v>9.513477998091345E-3</v>
      </c>
      <c r="AF422" s="37">
        <f t="shared" si="336"/>
        <v>60566030.513634317</v>
      </c>
      <c r="AG422" s="36">
        <f t="shared" si="318"/>
        <v>1.998306537366739</v>
      </c>
      <c r="AH422" s="37">
        <f t="shared" si="337"/>
        <v>-1.2999135954475422E-4</v>
      </c>
      <c r="AI422" s="37">
        <f t="shared" si="338"/>
        <v>-6.1102203944122344E-2</v>
      </c>
      <c r="AJ422" s="37">
        <f t="shared" si="339"/>
        <v>-12.521792923771166</v>
      </c>
      <c r="AK422" s="39">
        <f t="shared" si="340"/>
        <v>1.9514388143809118E-2</v>
      </c>
      <c r="AL422" s="39">
        <f>AL421+(1000*$C$2*($B422-$B421))/(BerechnungenCLT!$W$47*2*AF422)</f>
        <v>1.7606426049187992E-2</v>
      </c>
      <c r="AM422" s="37">
        <f t="shared" si="319"/>
        <v>2.4786279459234539E-6</v>
      </c>
      <c r="AN422" s="173">
        <f t="shared" si="341"/>
        <v>1242.851571569023</v>
      </c>
      <c r="AO422" s="173">
        <v>-257.90524152727937</v>
      </c>
      <c r="AV422" s="129">
        <v>144.33003430265097</v>
      </c>
      <c r="AW422" s="9">
        <v>6.03125</v>
      </c>
      <c r="AX422" s="129">
        <f t="shared" si="342"/>
        <v>150.37903902746012</v>
      </c>
      <c r="AY422" s="36">
        <f t="shared" si="368"/>
        <v>9.5208609988968566E-3</v>
      </c>
      <c r="AZ422" s="37">
        <f t="shared" si="343"/>
        <v>60828520.75130152</v>
      </c>
      <c r="BA422" s="36">
        <f t="shared" si="320"/>
        <v>1.9983159055415181</v>
      </c>
      <c r="BB422" s="37">
        <f t="shared" si="344"/>
        <v>-1.2943041440849007E-4</v>
      </c>
      <c r="BC422" s="37">
        <f t="shared" si="345"/>
        <v>-5.7627407911228862E-2</v>
      </c>
      <c r="BD422" s="37">
        <f t="shared" si="346"/>
        <v>-11.589399002063336</v>
      </c>
      <c r="BE422" s="39">
        <f t="shared" si="347"/>
        <v>1.9463621339674664E-2</v>
      </c>
      <c r="BF422" s="39">
        <f>BF421+(1000*$C$2*($B422-$B421))/(BerechnungenCLT!$W$47*2*AZ422)</f>
        <v>1.6601850859380412E-2</v>
      </c>
      <c r="BG422" s="37">
        <f t="shared" si="321"/>
        <v>2.4721797796511848E-6</v>
      </c>
      <c r="BH422" s="173">
        <f t="shared" si="348"/>
        <v>1238.4458155731368</v>
      </c>
      <c r="BI422">
        <v>-257.90524152727937</v>
      </c>
      <c r="BP422" s="129">
        <v>143.9877726073106</v>
      </c>
      <c r="BQ422" s="9">
        <v>6.125</v>
      </c>
      <c r="BR422" s="129">
        <f t="shared" si="349"/>
        <v>150.14128559038863</v>
      </c>
      <c r="BS422" s="36">
        <f t="shared" si="369"/>
        <v>9.6662906076612539E-3</v>
      </c>
      <c r="BT422" s="37">
        <f t="shared" si="350"/>
        <v>61515824.654190235</v>
      </c>
      <c r="BU422" s="36">
        <f t="shared" si="322"/>
        <v>1.9982503736531714</v>
      </c>
      <c r="BV422" s="37">
        <f t="shared" si="351"/>
        <v>-1.2798431449069598E-4</v>
      </c>
      <c r="BW422" s="37">
        <f t="shared" si="352"/>
        <v>-6.3884944925742884E-2</v>
      </c>
      <c r="BX422" s="37">
        <f t="shared" si="353"/>
        <v>-13.072383105324684</v>
      </c>
      <c r="BY422" s="39">
        <f t="shared" si="354"/>
        <v>1.92157295130377E-2</v>
      </c>
      <c r="BZ422" s="39">
        <f>BZ421+(1000*$C$2*($B422-$B421))/(BerechnungenCLT!$W$47*2*BT422)</f>
        <v>1.8410926227509082E-2</v>
      </c>
      <c r="CA422" s="37">
        <f t="shared" si="323"/>
        <v>2.4406936984817216E-6</v>
      </c>
      <c r="CB422" s="173">
        <f t="shared" si="355"/>
        <v>1243.3349997291114</v>
      </c>
      <c r="CC422" s="9">
        <v>-257.63352483289913</v>
      </c>
      <c r="CJ422" s="9">
        <f t="shared" si="371"/>
        <v>371</v>
      </c>
      <c r="CK422" s="129">
        <v>145.80300677612925</v>
      </c>
      <c r="CL422" s="9">
        <v>3.7890625</v>
      </c>
      <c r="CM422" s="129">
        <f t="shared" si="356"/>
        <v>149.59210928672309</v>
      </c>
      <c r="CN422" s="36">
        <f t="shared" si="370"/>
        <v>5.9777597919654039E-3</v>
      </c>
      <c r="CO422" s="173">
        <f t="shared" si="357"/>
        <v>1232.7000188803472</v>
      </c>
      <c r="CP422" s="9">
        <v>-630.80295762140122</v>
      </c>
      <c r="CQ422" s="129"/>
      <c r="CR422" s="36">
        <f t="shared" si="358"/>
        <v>0.61456253985452114</v>
      </c>
      <c r="CS422" s="17">
        <f t="shared" si="324"/>
        <v>0.44179734565650491</v>
      </c>
      <c r="CT422" s="9">
        <f t="shared" si="325"/>
        <v>5.1458831121352766</v>
      </c>
      <c r="CU422" s="9">
        <f t="shared" si="359"/>
        <v>150.94894422620146</v>
      </c>
      <c r="CV422" s="9">
        <v>7.2</v>
      </c>
      <c r="CW422" s="9">
        <f t="shared" si="360"/>
        <v>153.00308280450716</v>
      </c>
      <c r="CX422">
        <f t="shared" si="361"/>
        <v>12</v>
      </c>
      <c r="CY422" s="9">
        <f t="shared" si="326"/>
        <v>366.78797208788149</v>
      </c>
      <c r="CZ422" s="17">
        <f t="shared" si="362"/>
        <v>0.34537473831250615</v>
      </c>
      <c r="DA422">
        <v>45</v>
      </c>
      <c r="DB422" s="9">
        <f t="shared" si="363"/>
        <v>5.9190523164251525</v>
      </c>
      <c r="DC422" s="9">
        <f t="shared" si="364"/>
        <v>6.5336148569033483</v>
      </c>
    </row>
    <row r="423" spans="2:107" x14ac:dyDescent="0.25">
      <c r="B423" s="9">
        <f t="shared" si="365"/>
        <v>372</v>
      </c>
      <c r="C423" s="9">
        <v>141.15175945453498</v>
      </c>
      <c r="D423" s="9"/>
      <c r="E423" s="9">
        <f t="shared" si="327"/>
        <v>141.15175945453498</v>
      </c>
      <c r="F423" s="36">
        <f t="shared" si="366"/>
        <v>0</v>
      </c>
      <c r="G423" s="37">
        <f>(PI()/4)*(E423^4-C423^4)</f>
        <v>0</v>
      </c>
      <c r="H423" s="36" t="e">
        <f t="shared" si="312"/>
        <v>#DIV/0!</v>
      </c>
      <c r="I423" s="37" t="e">
        <f t="shared" si="328"/>
        <v>#DIV/0!</v>
      </c>
      <c r="J423" s="37" t="e">
        <f t="shared" si="329"/>
        <v>#DIV/0!</v>
      </c>
      <c r="K423" s="37" t="e">
        <f t="shared" si="330"/>
        <v>#DIV/0!</v>
      </c>
      <c r="L423" s="39" t="e">
        <f t="shared" si="313"/>
        <v>#DIV/0!</v>
      </c>
      <c r="M423" s="39" t="e">
        <f>M422+(1000*$C$2*(B423-B422))/(BerechnungenCLT!$W$47*2*'Berechnung freier Bereich'!G423)</f>
        <v>#DIV/0!</v>
      </c>
      <c r="N423" s="17" t="e">
        <f t="shared" si="331"/>
        <v>#DIV/0!</v>
      </c>
      <c r="O423" s="173">
        <f t="shared" si="332"/>
        <v>1349.6819519776609</v>
      </c>
      <c r="P423" s="173"/>
      <c r="Q423" s="173"/>
      <c r="R423" s="37" t="e">
        <f t="shared" si="314"/>
        <v>#DIV/0!</v>
      </c>
      <c r="S423" s="37" t="e">
        <f t="shared" si="315"/>
        <v>#DIV/0!</v>
      </c>
      <c r="T423" s="37" t="e">
        <f t="shared" si="316"/>
        <v>#DIV/0!</v>
      </c>
      <c r="U423" s="39" t="e">
        <f t="shared" si="317"/>
        <v>#DIV/0!</v>
      </c>
      <c r="V423" s="39" t="e">
        <f t="shared" si="333"/>
        <v>#DIV/0!</v>
      </c>
      <c r="W423" s="9" t="e">
        <f t="shared" si="334"/>
        <v>#DIV/0!</v>
      </c>
      <c r="AB423" s="129">
        <v>144.15453661478264</v>
      </c>
      <c r="AC423" s="9">
        <v>6.03125</v>
      </c>
      <c r="AD423" s="129">
        <f t="shared" si="335"/>
        <v>150.21011612208787</v>
      </c>
      <c r="AE423" s="36">
        <f t="shared" si="367"/>
        <v>9.520070476826464E-3</v>
      </c>
      <c r="AF423" s="37">
        <f t="shared" si="336"/>
        <v>60681502.400382474</v>
      </c>
      <c r="AG423" s="36">
        <f t="shared" si="318"/>
        <v>1.9983082956095737</v>
      </c>
      <c r="AH423" s="37">
        <f t="shared" si="337"/>
        <v>-1.2974399672488612E-4</v>
      </c>
      <c r="AI423" s="37">
        <f t="shared" si="338"/>
        <v>-6.1231947940847228E-2</v>
      </c>
      <c r="AJ423" s="37">
        <f t="shared" si="339"/>
        <v>-12.582959999713651</v>
      </c>
      <c r="AK423" s="39">
        <f t="shared" si="340"/>
        <v>1.9488860814188932E-2</v>
      </c>
      <c r="AL423" s="39">
        <f>AL422+(1000*$C$2*($B423-$B422))/(BerechnungenCLT!$W$47*2*AF423)</f>
        <v>1.7643935493794387E-2</v>
      </c>
      <c r="AM423" s="37">
        <f t="shared" si="319"/>
        <v>2.4753855817706502E-6</v>
      </c>
      <c r="AN423" s="173">
        <f t="shared" si="341"/>
        <v>1241.3455916038956</v>
      </c>
      <c r="AO423" s="173">
        <v>-257.76219430451084</v>
      </c>
      <c r="AV423" s="129">
        <v>144.40682130044311</v>
      </c>
      <c r="AW423" s="9">
        <v>6.03125</v>
      </c>
      <c r="AX423" s="129">
        <f t="shared" si="342"/>
        <v>150.45616349274923</v>
      </c>
      <c r="AY423" s="36">
        <f t="shared" si="368"/>
        <v>9.5263646932695709E-3</v>
      </c>
      <c r="AZ423" s="37">
        <f t="shared" si="343"/>
        <v>60927248.359259129</v>
      </c>
      <c r="BA423" s="36">
        <f t="shared" si="320"/>
        <v>1.9983174744896957</v>
      </c>
      <c r="BB423" s="37">
        <f t="shared" si="344"/>
        <v>-1.2922068303942896E-4</v>
      </c>
      <c r="BC423" s="37">
        <f t="shared" si="345"/>
        <v>-5.7756628594268292E-2</v>
      </c>
      <c r="BD423" s="37">
        <f t="shared" si="346"/>
        <v>-11.647091020316084</v>
      </c>
      <c r="BE423" s="39">
        <f t="shared" si="347"/>
        <v>1.9442048214025051E-2</v>
      </c>
      <c r="BF423" s="39">
        <f>BF422+(1000*$C$2*($B423-$B422))/(BerechnungenCLT!$W$47*2*AZ423)</f>
        <v>1.6639209012164511E-2</v>
      </c>
      <c r="BG423" s="37">
        <f t="shared" si="321"/>
        <v>2.4694396603237435E-6</v>
      </c>
      <c r="BH423" s="173">
        <f t="shared" si="348"/>
        <v>1237.1532744944398</v>
      </c>
      <c r="BI423">
        <v>-257.76219430451084</v>
      </c>
      <c r="BP423" s="129">
        <v>144.08437505309075</v>
      </c>
      <c r="BQ423" s="9">
        <v>6.125</v>
      </c>
      <c r="BR423" s="129">
        <f t="shared" si="349"/>
        <v>150.23812127032258</v>
      </c>
      <c r="BS423" s="36">
        <f t="shared" si="369"/>
        <v>9.6730143986044018E-3</v>
      </c>
      <c r="BT423" s="37">
        <f t="shared" si="350"/>
        <v>61639577.561640985</v>
      </c>
      <c r="BU423" s="36">
        <f t="shared" si="322"/>
        <v>1.9982525388388319</v>
      </c>
      <c r="BV423" s="37">
        <f t="shared" si="351"/>
        <v>-1.2772736219392731E-4</v>
      </c>
      <c r="BW423" s="37">
        <f t="shared" si="352"/>
        <v>-6.4012672287936806E-2</v>
      </c>
      <c r="BX423" s="37">
        <f t="shared" si="353"/>
        <v>-13.136331913931524</v>
      </c>
      <c r="BY423" s="39">
        <f t="shared" si="354"/>
        <v>1.9189518930829666E-2</v>
      </c>
      <c r="BZ423" s="39">
        <f>BZ422+(1000*$C$2*($B423-$B422))/(BerechnungenCLT!$W$47*2*BT423)</f>
        <v>1.8447852655998048E-2</v>
      </c>
      <c r="CA423" s="37">
        <f t="shared" si="323"/>
        <v>2.4373645507236161E-6</v>
      </c>
      <c r="CB423" s="173">
        <f t="shared" si="355"/>
        <v>1241.7012180094321</v>
      </c>
      <c r="CC423" s="9">
        <v>-257.29498619018392</v>
      </c>
      <c r="CJ423" s="9">
        <f t="shared" si="371"/>
        <v>372</v>
      </c>
      <c r="CK423" s="129">
        <v>145.80760232891043</v>
      </c>
      <c r="CL423" s="9">
        <v>3.7890625</v>
      </c>
      <c r="CM423" s="129">
        <f t="shared" si="356"/>
        <v>149.59672195024922</v>
      </c>
      <c r="CN423" s="36">
        <f t="shared" si="370"/>
        <v>5.9779731290027652E-3</v>
      </c>
      <c r="CO423" s="173">
        <f t="shared" si="357"/>
        <v>1232.6231696904797</v>
      </c>
      <c r="CP423" s="9">
        <v>-630.76363199836487</v>
      </c>
      <c r="CQ423" s="129"/>
      <c r="CR423" s="36">
        <f t="shared" si="358"/>
        <v>0.61454802316032087</v>
      </c>
      <c r="CS423" s="17">
        <f t="shared" si="324"/>
        <v>0.44178690988056757</v>
      </c>
      <c r="CT423" s="9">
        <f t="shared" si="325"/>
        <v>5.1460046668530763</v>
      </c>
      <c r="CU423" s="9">
        <f t="shared" si="359"/>
        <v>150.95368457344293</v>
      </c>
      <c r="CV423" s="9">
        <v>7.2</v>
      </c>
      <c r="CW423" s="9">
        <f t="shared" si="360"/>
        <v>153.00771087123169</v>
      </c>
      <c r="CX423">
        <f t="shared" si="361"/>
        <v>12</v>
      </c>
      <c r="CY423" s="9">
        <f t="shared" si="326"/>
        <v>366.77641169282458</v>
      </c>
      <c r="CZ423" s="17">
        <f t="shared" si="362"/>
        <v>0.34536385281810222</v>
      </c>
      <c r="DA423">
        <v>45</v>
      </c>
      <c r="DB423" s="9">
        <f t="shared" si="363"/>
        <v>5.9188657601900845</v>
      </c>
      <c r="DC423" s="9">
        <f t="shared" si="364"/>
        <v>6.5334137842402109</v>
      </c>
    </row>
    <row r="424" spans="2:107" x14ac:dyDescent="0.25">
      <c r="B424" s="9">
        <f t="shared" si="365"/>
        <v>373</v>
      </c>
      <c r="C424" s="9">
        <v>141.16887184409489</v>
      </c>
      <c r="D424" s="9"/>
      <c r="E424" s="9">
        <f t="shared" si="327"/>
        <v>141.16887184409489</v>
      </c>
      <c r="F424" s="36">
        <f t="shared" si="366"/>
        <v>0</v>
      </c>
      <c r="G424" s="37">
        <f t="shared" ref="G424:G441" si="373">(PI()/4)*(E424^4-C424^4)</f>
        <v>0</v>
      </c>
      <c r="H424" s="36" t="e">
        <f t="shared" si="312"/>
        <v>#DIV/0!</v>
      </c>
      <c r="I424" s="37" t="e">
        <f t="shared" si="328"/>
        <v>#DIV/0!</v>
      </c>
      <c r="J424" s="37" t="e">
        <f t="shared" si="329"/>
        <v>#DIV/0!</v>
      </c>
      <c r="K424" s="37" t="e">
        <f t="shared" si="330"/>
        <v>#DIV/0!</v>
      </c>
      <c r="L424" s="39" t="e">
        <f t="shared" si="313"/>
        <v>#DIV/0!</v>
      </c>
      <c r="M424" s="39" t="e">
        <f>M423+(1000*$C$2*(B424-B423))/(BerechnungenCLT!$W$47*2*'Berechnung freier Bereich'!G424)</f>
        <v>#DIV/0!</v>
      </c>
      <c r="N424" s="17" t="e">
        <f t="shared" si="331"/>
        <v>#DIV/0!</v>
      </c>
      <c r="O424" s="173">
        <f t="shared" si="332"/>
        <v>1349.3547568505046</v>
      </c>
      <c r="P424" s="173"/>
      <c r="Q424" s="173"/>
      <c r="R424" s="37" t="e">
        <f t="shared" si="314"/>
        <v>#DIV/0!</v>
      </c>
      <c r="S424" s="37" t="e">
        <f t="shared" si="315"/>
        <v>#DIV/0!</v>
      </c>
      <c r="T424" s="37" t="e">
        <f t="shared" si="316"/>
        <v>#DIV/0!</v>
      </c>
      <c r="U424" s="39" t="e">
        <f t="shared" si="317"/>
        <v>#DIV/0!</v>
      </c>
      <c r="V424" s="39" t="e">
        <f t="shared" si="333"/>
        <v>#DIV/0!</v>
      </c>
      <c r="W424" s="9" t="e">
        <f t="shared" si="334"/>
        <v>#DIV/0!</v>
      </c>
      <c r="AB424" s="129">
        <v>144.24444817303456</v>
      </c>
      <c r="AC424" s="9">
        <v>6.03125</v>
      </c>
      <c r="AD424" s="129">
        <f t="shared" si="335"/>
        <v>150.30052804026212</v>
      </c>
      <c r="AE424" s="36">
        <f t="shared" si="367"/>
        <v>9.5266894380852171E-3</v>
      </c>
      <c r="AF424" s="37">
        <f t="shared" si="336"/>
        <v>60798084.498990409</v>
      </c>
      <c r="AG424" s="36">
        <f t="shared" si="318"/>
        <v>1.9983100859644967</v>
      </c>
      <c r="AH424" s="37">
        <f t="shared" si="337"/>
        <v>-1.2949520883058629E-4</v>
      </c>
      <c r="AI424" s="37">
        <f t="shared" si="338"/>
        <v>-6.1361443149677813E-2</v>
      </c>
      <c r="AJ424" s="37">
        <f t="shared" si="339"/>
        <v>-12.644256695258914</v>
      </c>
      <c r="AK424" s="39">
        <f t="shared" si="340"/>
        <v>1.9463198265921133E-2</v>
      </c>
      <c r="AL424" s="39">
        <f>AL423+(1000*$C$2*($B424-$B423))/(BerechnungenCLT!$W$47*2*AF424)</f>
        <v>1.7681373012947768E-2</v>
      </c>
      <c r="AM424" s="37">
        <f t="shared" si="319"/>
        <v>2.47212604276633E-6</v>
      </c>
      <c r="AN424" s="173">
        <f t="shared" si="341"/>
        <v>1239.8261276790818</v>
      </c>
      <c r="AO424" s="173">
        <v>-257.61926606052288</v>
      </c>
      <c r="AV424" s="129">
        <v>144.48433569852156</v>
      </c>
      <c r="AW424" s="9">
        <v>6.03125</v>
      </c>
      <c r="AX424" s="129">
        <f t="shared" si="342"/>
        <v>150.53399982562914</v>
      </c>
      <c r="AY424" s="36">
        <f t="shared" si="368"/>
        <v>9.5318909711436944E-3</v>
      </c>
      <c r="AZ424" s="37">
        <f t="shared" si="343"/>
        <v>61026822.270482458</v>
      </c>
      <c r="BA424" s="36">
        <f t="shared" si="320"/>
        <v>1.9983190660894079</v>
      </c>
      <c r="BB424" s="37">
        <f t="shared" si="344"/>
        <v>-1.2900984117772827E-4</v>
      </c>
      <c r="BC424" s="37">
        <f t="shared" si="345"/>
        <v>-5.7885638435446023E-2</v>
      </c>
      <c r="BD424" s="37">
        <f t="shared" si="346"/>
        <v>-11.704912153830941</v>
      </c>
      <c r="BE424" s="39">
        <f t="shared" si="347"/>
        <v>1.9420367409352591E-2</v>
      </c>
      <c r="BF424" s="39">
        <f>BF423+(1000*$C$2*($B424-$B423))/(BerechnungenCLT!$W$47*2*AZ424)</f>
        <v>1.667650620982674E-2</v>
      </c>
      <c r="BG424" s="37">
        <f t="shared" si="321"/>
        <v>2.4666858641014254E-6</v>
      </c>
      <c r="BH424" s="173">
        <f t="shared" si="348"/>
        <v>1235.8506974003092</v>
      </c>
      <c r="BI424">
        <v>-257.61926606052288</v>
      </c>
      <c r="BP424" s="129">
        <v>144.18137271595668</v>
      </c>
      <c r="BQ424" s="9">
        <v>6.09375</v>
      </c>
      <c r="BR424" s="129">
        <f t="shared" si="349"/>
        <v>150.30394249600755</v>
      </c>
      <c r="BS424" s="36">
        <f t="shared" si="369"/>
        <v>9.6293324484606584E-3</v>
      </c>
      <c r="BT424" s="37">
        <f t="shared" si="350"/>
        <v>61428830.081449859</v>
      </c>
      <c r="BU424" s="36">
        <f t="shared" si="322"/>
        <v>1.9982720997238053</v>
      </c>
      <c r="BV424" s="37">
        <f t="shared" si="351"/>
        <v>-1.2816556392588506E-4</v>
      </c>
      <c r="BW424" s="37">
        <f t="shared" si="352"/>
        <v>-6.4140837851862698E-2</v>
      </c>
      <c r="BX424" s="37">
        <f t="shared" si="353"/>
        <v>-13.200408669001424</v>
      </c>
      <c r="BY424" s="39">
        <f t="shared" si="354"/>
        <v>1.9263789550284609E-2</v>
      </c>
      <c r="BZ424" s="39">
        <f>BZ423+(1000*$C$2*($B424-$B423))/(BerechnungenCLT!$W$47*2*BT424)</f>
        <v>1.8484905770144971E-2</v>
      </c>
      <c r="CA424" s="37">
        <f t="shared" si="323"/>
        <v>2.4467980636570188E-6</v>
      </c>
      <c r="CB424" s="173">
        <f t="shared" si="355"/>
        <v>1240.3285416013009</v>
      </c>
      <c r="CC424" s="9">
        <v>-258.32855444458511</v>
      </c>
      <c r="CJ424" s="9">
        <f t="shared" si="371"/>
        <v>373</v>
      </c>
      <c r="CK424" s="129">
        <v>145.81309330988469</v>
      </c>
      <c r="CL424" s="9">
        <v>3.7890625</v>
      </c>
      <c r="CM424" s="129">
        <f t="shared" si="356"/>
        <v>149.60223190038388</v>
      </c>
      <c r="CN424" s="36">
        <f t="shared" si="370"/>
        <v>5.9782256783746995E-3</v>
      </c>
      <c r="CO424" s="173">
        <f t="shared" si="357"/>
        <v>1232.5313684267244</v>
      </c>
      <c r="CP424" s="9">
        <v>-630.71665503089241</v>
      </c>
      <c r="CQ424" s="129"/>
      <c r="CR424" s="36">
        <f t="shared" si="358"/>
        <v>0.61453068339532047</v>
      </c>
      <c r="CS424" s="17">
        <f t="shared" si="324"/>
        <v>0.44177444465261323</v>
      </c>
      <c r="CT424" s="9">
        <f t="shared" si="325"/>
        <v>5.1461498679211841</v>
      </c>
      <c r="CU424" s="9">
        <f t="shared" si="359"/>
        <v>150.95934652081283</v>
      </c>
      <c r="CV424" s="9">
        <v>7.2</v>
      </c>
      <c r="CW424" s="9">
        <f t="shared" si="360"/>
        <v>153.01323789752189</v>
      </c>
      <c r="CX424">
        <f t="shared" si="361"/>
        <v>12</v>
      </c>
      <c r="CY424" s="9">
        <f t="shared" si="326"/>
        <v>366.76259974869322</v>
      </c>
      <c r="CZ424" s="17">
        <f t="shared" si="362"/>
        <v>0.34535084722099174</v>
      </c>
      <c r="DA424">
        <v>45</v>
      </c>
      <c r="DB424" s="9">
        <f t="shared" si="363"/>
        <v>5.9186428695117463</v>
      </c>
      <c r="DC424" s="9">
        <f t="shared" si="364"/>
        <v>6.5331735540916176</v>
      </c>
    </row>
    <row r="425" spans="2:107" x14ac:dyDescent="0.25">
      <c r="B425" s="9">
        <f t="shared" si="365"/>
        <v>374</v>
      </c>
      <c r="C425" s="9">
        <v>141.18630734856106</v>
      </c>
      <c r="D425" s="9"/>
      <c r="E425" s="9">
        <f t="shared" si="327"/>
        <v>141.18630734856106</v>
      </c>
      <c r="F425" s="36">
        <f t="shared" si="366"/>
        <v>0</v>
      </c>
      <c r="G425" s="37">
        <f t="shared" si="373"/>
        <v>0</v>
      </c>
      <c r="H425" s="36" t="e">
        <f t="shared" si="312"/>
        <v>#DIV/0!</v>
      </c>
      <c r="I425" s="37" t="e">
        <f t="shared" si="328"/>
        <v>#DIV/0!</v>
      </c>
      <c r="J425" s="37" t="e">
        <f t="shared" si="329"/>
        <v>#DIV/0!</v>
      </c>
      <c r="K425" s="37" t="e">
        <f t="shared" si="330"/>
        <v>#DIV/0!</v>
      </c>
      <c r="L425" s="39" t="e">
        <f t="shared" si="313"/>
        <v>#DIV/0!</v>
      </c>
      <c r="M425" s="39" t="e">
        <f>M424+(1000*$C$2*(B425-B424))/(BerechnungenCLT!$W$47*2*'Berechnung freier Bereich'!G425)</f>
        <v>#DIV/0!</v>
      </c>
      <c r="N425" s="17" t="e">
        <f t="shared" si="331"/>
        <v>#DIV/0!</v>
      </c>
      <c r="O425" s="173">
        <f t="shared" si="332"/>
        <v>1349.0215060042653</v>
      </c>
      <c r="P425" s="173"/>
      <c r="Q425" s="173"/>
      <c r="R425" s="37" t="e">
        <f t="shared" si="314"/>
        <v>#DIV/0!</v>
      </c>
      <c r="S425" s="37" t="e">
        <f t="shared" si="315"/>
        <v>#DIV/0!</v>
      </c>
      <c r="T425" s="37" t="e">
        <f t="shared" si="316"/>
        <v>#DIV/0!</v>
      </c>
      <c r="U425" s="39" t="e">
        <f t="shared" si="317"/>
        <v>#DIV/0!</v>
      </c>
      <c r="V425" s="39" t="e">
        <f t="shared" si="333"/>
        <v>#DIV/0!</v>
      </c>
      <c r="W425" s="9" t="e">
        <f t="shared" si="334"/>
        <v>#DIV/0!</v>
      </c>
      <c r="AB425" s="129">
        <v>144.33528146520806</v>
      </c>
      <c r="AC425" s="9">
        <v>6.03125</v>
      </c>
      <c r="AD425" s="129">
        <f t="shared" si="335"/>
        <v>150.39183740079332</v>
      </c>
      <c r="AE425" s="36">
        <f t="shared" si="367"/>
        <v>9.5333299707686878E-3</v>
      </c>
      <c r="AF425" s="37">
        <f t="shared" si="336"/>
        <v>60915704.859475911</v>
      </c>
      <c r="AG425" s="36">
        <f t="shared" si="318"/>
        <v>1.9983119075432572</v>
      </c>
      <c r="AH425" s="37">
        <f t="shared" si="337"/>
        <v>-1.2924517030310086E-4</v>
      </c>
      <c r="AI425" s="37">
        <f t="shared" si="338"/>
        <v>-6.1490688319980912E-2</v>
      </c>
      <c r="AJ425" s="37">
        <f t="shared" si="339"/>
        <v>-12.705682760993744</v>
      </c>
      <c r="AK425" s="39">
        <f t="shared" si="340"/>
        <v>1.9437418637061787E-2</v>
      </c>
      <c r="AL425" s="39">
        <f>AL424+(1000*$C$2*($B425-$B424))/(BerechnungenCLT!$W$47*2*AF425)</f>
        <v>1.77187382450857E-2</v>
      </c>
      <c r="AM425" s="37">
        <f t="shared" si="319"/>
        <v>2.468851632723063E-6</v>
      </c>
      <c r="AN425" s="173">
        <f t="shared" si="341"/>
        <v>1238.2941652307779</v>
      </c>
      <c r="AO425" s="173">
        <v>-257.47645666340844</v>
      </c>
      <c r="AV425" s="129">
        <v>144.56253774823679</v>
      </c>
      <c r="AW425" s="9">
        <v>6.03125</v>
      </c>
      <c r="AX425" s="129">
        <f t="shared" si="342"/>
        <v>150.61250778689978</v>
      </c>
      <c r="AY425" s="36">
        <f t="shared" si="368"/>
        <v>9.5374364434589343E-3</v>
      </c>
      <c r="AZ425" s="37">
        <f t="shared" si="343"/>
        <v>61127190.134618632</v>
      </c>
      <c r="BA425" s="36">
        <f t="shared" si="320"/>
        <v>1.9983206796099438</v>
      </c>
      <c r="BB425" s="37">
        <f t="shared" si="344"/>
        <v>-1.2879801331220657E-4</v>
      </c>
      <c r="BC425" s="37">
        <f t="shared" si="345"/>
        <v>-5.8014436448758228E-2</v>
      </c>
      <c r="BD425" s="37">
        <f t="shared" si="346"/>
        <v>-11.762862191273044</v>
      </c>
      <c r="BE425" s="39">
        <f t="shared" si="347"/>
        <v>1.9398591782921935E-2</v>
      </c>
      <c r="BF425" s="39">
        <f>BF424+(1000*$C$2*($B425-$B424))/(BerechnungenCLT!$W$47*2*AZ425)</f>
        <v>1.6713742167309937E-2</v>
      </c>
      <c r="BG425" s="37">
        <f t="shared" si="321"/>
        <v>2.4639200240549293E-6</v>
      </c>
      <c r="BH425" s="173">
        <f t="shared" si="348"/>
        <v>1234.5388062426466</v>
      </c>
      <c r="BI425">
        <v>-257.47645666340844</v>
      </c>
      <c r="BP425" s="129">
        <v>144.27874399934629</v>
      </c>
      <c r="BQ425" s="9">
        <v>6.09375</v>
      </c>
      <c r="BR425" s="129">
        <f t="shared" si="349"/>
        <v>150.40152204406343</v>
      </c>
      <c r="BS425" s="36">
        <f t="shared" si="369"/>
        <v>9.6360348844785025E-3</v>
      </c>
      <c r="BT425" s="37">
        <f t="shared" si="350"/>
        <v>61552969.829972349</v>
      </c>
      <c r="BU425" s="36">
        <f t="shared" si="322"/>
        <v>1.9982742664103088</v>
      </c>
      <c r="BV425" s="37">
        <f t="shared" si="351"/>
        <v>-1.279070802017211E-4</v>
      </c>
      <c r="BW425" s="37">
        <f t="shared" si="352"/>
        <v>-6.4268744932064414E-2</v>
      </c>
      <c r="BX425" s="37">
        <f t="shared" si="353"/>
        <v>-13.264613460393388</v>
      </c>
      <c r="BY425" s="39">
        <f t="shared" si="354"/>
        <v>1.9237419542550944E-2</v>
      </c>
      <c r="BZ425" s="39">
        <f>BZ424+(1000*$C$2*($B425-$B424))/(BerechnungenCLT!$W$47*2*BT425)</f>
        <v>1.8521884155740454E-2</v>
      </c>
      <c r="CA425" s="37">
        <f t="shared" si="323"/>
        <v>2.4434486664009434E-6</v>
      </c>
      <c r="CB425" s="173">
        <f t="shared" si="355"/>
        <v>1238.6879628194961</v>
      </c>
      <c r="CC425" s="9">
        <v>-257.98686405293375</v>
      </c>
      <c r="CJ425" s="9">
        <f t="shared" si="371"/>
        <v>374</v>
      </c>
      <c r="CK425" s="129">
        <v>145.81943078854968</v>
      </c>
      <c r="CL425" s="9">
        <v>3.7890625</v>
      </c>
      <c r="CM425" s="129">
        <f t="shared" si="356"/>
        <v>149.60858973578499</v>
      </c>
      <c r="CN425" s="36">
        <f t="shared" si="370"/>
        <v>5.9785147081440754E-3</v>
      </c>
      <c r="CO425" s="173">
        <f t="shared" si="357"/>
        <v>1232.4254405151712</v>
      </c>
      <c r="CP425" s="9">
        <v>-630.66244910984187</v>
      </c>
      <c r="CQ425" s="129"/>
      <c r="CR425" s="36">
        <f t="shared" si="358"/>
        <v>0.61451067644534141</v>
      </c>
      <c r="CS425" s="17">
        <f t="shared" si="324"/>
        <v>0.44176006203600027</v>
      </c>
      <c r="CT425" s="9">
        <f t="shared" si="325"/>
        <v>5.1463174138515289</v>
      </c>
      <c r="CU425" s="9">
        <f t="shared" si="359"/>
        <v>150.96587919736012</v>
      </c>
      <c r="CV425" s="9">
        <v>7.2</v>
      </c>
      <c r="CW425" s="9">
        <f t="shared" si="360"/>
        <v>153.01961405818278</v>
      </c>
      <c r="CX425">
        <f t="shared" si="361"/>
        <v>12</v>
      </c>
      <c r="CY425" s="9">
        <f t="shared" si="326"/>
        <v>366.74665982807733</v>
      </c>
      <c r="CZ425" s="17">
        <f t="shared" si="362"/>
        <v>0.34533583787954553</v>
      </c>
      <c r="DA425">
        <v>45</v>
      </c>
      <c r="DB425" s="9">
        <f t="shared" si="363"/>
        <v>5.9183856385466527</v>
      </c>
      <c r="DC425" s="9">
        <f t="shared" si="364"/>
        <v>6.5328963164925256</v>
      </c>
    </row>
    <row r="426" spans="2:107" x14ac:dyDescent="0.25">
      <c r="B426" s="9">
        <f t="shared" si="365"/>
        <v>375</v>
      </c>
      <c r="C426" s="9">
        <v>141.20404729077123</v>
      </c>
      <c r="D426" s="9"/>
      <c r="E426" s="9">
        <f t="shared" si="327"/>
        <v>141.20404729077123</v>
      </c>
      <c r="F426" s="36">
        <f t="shared" si="366"/>
        <v>0</v>
      </c>
      <c r="G426" s="37">
        <f t="shared" si="373"/>
        <v>0</v>
      </c>
      <c r="H426" s="36" t="e">
        <f t="shared" si="312"/>
        <v>#DIV/0!</v>
      </c>
      <c r="I426" s="37" t="e">
        <f t="shared" si="328"/>
        <v>#DIV/0!</v>
      </c>
      <c r="J426" s="37" t="e">
        <f t="shared" si="329"/>
        <v>#DIV/0!</v>
      </c>
      <c r="K426" s="37" t="e">
        <f t="shared" si="330"/>
        <v>#DIV/0!</v>
      </c>
      <c r="L426" s="39" t="e">
        <f t="shared" si="313"/>
        <v>#DIV/0!</v>
      </c>
      <c r="M426" s="39" t="e">
        <f>M425+(1000*$C$2*(B426-B425))/(BerechnungenCLT!$W$47*2*'Berechnung freier Bereich'!G426)</f>
        <v>#DIV/0!</v>
      </c>
      <c r="N426" s="17" t="e">
        <f t="shared" si="331"/>
        <v>#DIV/0!</v>
      </c>
      <c r="O426" s="173">
        <f t="shared" si="332"/>
        <v>1348.6825630247365</v>
      </c>
      <c r="P426" s="173"/>
      <c r="Q426" s="173"/>
      <c r="R426" s="37" t="e">
        <f t="shared" si="314"/>
        <v>#DIV/0!</v>
      </c>
      <c r="S426" s="37" t="e">
        <f t="shared" si="315"/>
        <v>#DIV/0!</v>
      </c>
      <c r="T426" s="37" t="e">
        <f t="shared" si="316"/>
        <v>#DIV/0!</v>
      </c>
      <c r="U426" s="39" t="e">
        <f t="shared" si="317"/>
        <v>#DIV/0!</v>
      </c>
      <c r="V426" s="39" t="e">
        <f t="shared" si="333"/>
        <v>#DIV/0!</v>
      </c>
      <c r="W426" s="9" t="e">
        <f t="shared" si="334"/>
        <v>#DIV/0!</v>
      </c>
      <c r="AB426" s="129">
        <v>144.42698321188576</v>
      </c>
      <c r="AC426" s="9">
        <v>6.03125</v>
      </c>
      <c r="AD426" s="129">
        <f t="shared" si="335"/>
        <v>150.48399009634068</v>
      </c>
      <c r="AE426" s="36">
        <f t="shared" si="367"/>
        <v>9.5399872400328926E-3</v>
      </c>
      <c r="AF426" s="37">
        <f t="shared" si="336"/>
        <v>61034291.683183424</v>
      </c>
      <c r="AG426" s="36">
        <f t="shared" si="318"/>
        <v>1.9983137594340616</v>
      </c>
      <c r="AH426" s="37">
        <f t="shared" si="337"/>
        <v>-1.2899405287709157E-4</v>
      </c>
      <c r="AI426" s="37">
        <f t="shared" si="338"/>
        <v>-6.1619682372858003E-2</v>
      </c>
      <c r="AJ426" s="37">
        <f t="shared" si="339"/>
        <v>-12.767237946340163</v>
      </c>
      <c r="AK426" s="39">
        <f t="shared" si="340"/>
        <v>1.9411539775643093E-2</v>
      </c>
      <c r="AL426" s="39">
        <f>AL425+(1000*$C$2*($B426-$B425))/(BerechnungenCLT!$W$47*2*AF426)</f>
        <v>1.7756030878294828E-2</v>
      </c>
      <c r="AM426" s="37">
        <f t="shared" si="319"/>
        <v>2.4655646186159153E-6</v>
      </c>
      <c r="AN426" s="173">
        <f t="shared" si="341"/>
        <v>1236.7506830444706</v>
      </c>
      <c r="AO426" s="173">
        <v>-257.33376598144031</v>
      </c>
      <c r="AV426" s="129">
        <v>144.64138770093928</v>
      </c>
      <c r="AW426" s="9">
        <v>6.03125</v>
      </c>
      <c r="AX426" s="129">
        <f t="shared" si="342"/>
        <v>150.69164716583293</v>
      </c>
      <c r="AY426" s="36">
        <f t="shared" si="368"/>
        <v>9.5429977641142676E-3</v>
      </c>
      <c r="AZ426" s="37">
        <f t="shared" si="343"/>
        <v>61228299.66745726</v>
      </c>
      <c r="BA426" s="36">
        <f t="shared" si="320"/>
        <v>1.9983223143085815</v>
      </c>
      <c r="BB426" s="37">
        <f t="shared" si="344"/>
        <v>-1.2858532233389638E-4</v>
      </c>
      <c r="BC426" s="37">
        <f t="shared" si="345"/>
        <v>-5.8143021771092124E-2</v>
      </c>
      <c r="BD426" s="37">
        <f t="shared" si="346"/>
        <v>-11.820940920382968</v>
      </c>
      <c r="BE426" s="39">
        <f t="shared" si="347"/>
        <v>1.9376734023844412E-2</v>
      </c>
      <c r="BF426" s="39">
        <f>BF425+(1000*$C$2*($B426-$B425))/(BerechnungenCLT!$W$47*2*AZ426)</f>
        <v>1.6750916635085166E-2</v>
      </c>
      <c r="BG426" s="37">
        <f t="shared" si="321"/>
        <v>2.461143751896891E-6</v>
      </c>
      <c r="BH426" s="173">
        <f t="shared" si="348"/>
        <v>1233.2183187375781</v>
      </c>
      <c r="BI426">
        <v>-257.33376598144031</v>
      </c>
      <c r="BP426" s="129">
        <v>144.37646730669752</v>
      </c>
      <c r="BQ426" s="9">
        <v>6.09375</v>
      </c>
      <c r="BR426" s="129">
        <f t="shared" si="349"/>
        <v>150.49944151645522</v>
      </c>
      <c r="BS426" s="36">
        <f t="shared" si="369"/>
        <v>9.6427413265854373E-3</v>
      </c>
      <c r="BT426" s="37">
        <f t="shared" si="350"/>
        <v>61677591.541485719</v>
      </c>
      <c r="BU426" s="36">
        <f t="shared" si="322"/>
        <v>1.9982764437691023</v>
      </c>
      <c r="BV426" s="37">
        <f t="shared" si="351"/>
        <v>-1.2764863951279288E-4</v>
      </c>
      <c r="BW426" s="37">
        <f t="shared" si="352"/>
        <v>-6.4396393571577212E-2</v>
      </c>
      <c r="BX426" s="37">
        <f t="shared" si="353"/>
        <v>-13.328946029645209</v>
      </c>
      <c r="BY426" s="39">
        <f t="shared" si="354"/>
        <v>1.9211048957010646E-2</v>
      </c>
      <c r="BZ426" s="39">
        <f>BZ425+(1000*$C$2*($B426-$B425))/(BerechnungenCLT!$W$47*2*BT426)</f>
        <v>1.8558787825226138E-2</v>
      </c>
      <c r="CA426" s="37">
        <f t="shared" si="323"/>
        <v>2.440099195754522E-6</v>
      </c>
      <c r="CB426" s="173">
        <f t="shared" si="355"/>
        <v>1237.0448312129238</v>
      </c>
      <c r="CC426" s="9">
        <v>-257.64464197349986</v>
      </c>
      <c r="CJ426" s="9">
        <f t="shared" si="371"/>
        <v>375</v>
      </c>
      <c r="CK426" s="129">
        <v>145.82656583440308</v>
      </c>
      <c r="CL426" s="9">
        <v>3.7890625</v>
      </c>
      <c r="CM426" s="129">
        <f t="shared" si="356"/>
        <v>149.61574608233303</v>
      </c>
      <c r="CN426" s="36">
        <f t="shared" si="370"/>
        <v>5.9788375297937062E-3</v>
      </c>
      <c r="CO426" s="173">
        <f t="shared" si="357"/>
        <v>1232.3062114889415</v>
      </c>
      <c r="CP426" s="9">
        <v>-630.60143668084208</v>
      </c>
      <c r="CQ426" s="129"/>
      <c r="CR426" s="36">
        <f t="shared" si="358"/>
        <v>0.61448815813932312</v>
      </c>
      <c r="CS426" s="17">
        <f t="shared" si="324"/>
        <v>0.4417438740531956</v>
      </c>
      <c r="CT426" s="9">
        <f t="shared" si="325"/>
        <v>5.1465060038981516</v>
      </c>
      <c r="CU426" s="9">
        <f t="shared" si="359"/>
        <v>150.97323176979577</v>
      </c>
      <c r="CV426" s="9">
        <v>7.2</v>
      </c>
      <c r="CW426" s="9">
        <f t="shared" si="360"/>
        <v>153.02678957974794</v>
      </c>
      <c r="CX426">
        <f t="shared" si="361"/>
        <v>12</v>
      </c>
      <c r="CY426" s="9">
        <f t="shared" si="326"/>
        <v>366.72871553775218</v>
      </c>
      <c r="CZ426" s="17">
        <f t="shared" si="362"/>
        <v>0.3453189411843241</v>
      </c>
      <c r="DA426">
        <v>45</v>
      </c>
      <c r="DB426" s="9">
        <f t="shared" si="363"/>
        <v>5.9180960620029852</v>
      </c>
      <c r="DC426" s="9">
        <f t="shared" si="364"/>
        <v>6.5325842219731047</v>
      </c>
    </row>
    <row r="427" spans="2:107" x14ac:dyDescent="0.25">
      <c r="B427" s="9">
        <f t="shared" si="365"/>
        <v>376</v>
      </c>
      <c r="C427" s="9">
        <v>141.22207299356319</v>
      </c>
      <c r="D427" s="9"/>
      <c r="E427" s="9">
        <f t="shared" si="327"/>
        <v>141.22207299356319</v>
      </c>
      <c r="F427" s="36">
        <f t="shared" si="366"/>
        <v>0</v>
      </c>
      <c r="G427" s="37">
        <f t="shared" si="373"/>
        <v>0</v>
      </c>
      <c r="H427" s="36" t="e">
        <f t="shared" si="312"/>
        <v>#DIV/0!</v>
      </c>
      <c r="I427" s="37" t="e">
        <f t="shared" si="328"/>
        <v>#DIV/0!</v>
      </c>
      <c r="J427" s="37" t="e">
        <f t="shared" si="329"/>
        <v>#DIV/0!</v>
      </c>
      <c r="K427" s="37" t="e">
        <f t="shared" si="330"/>
        <v>#DIV/0!</v>
      </c>
      <c r="L427" s="39" t="e">
        <f t="shared" si="313"/>
        <v>#DIV/0!</v>
      </c>
      <c r="M427" s="39" t="e">
        <f>M426+(1000*$C$2*(B427-B426))/(BerechnungenCLT!$W$47*2*'Berechnung freier Bereich'!G427)</f>
        <v>#DIV/0!</v>
      </c>
      <c r="N427" s="17" t="e">
        <f t="shared" si="331"/>
        <v>#DIV/0!</v>
      </c>
      <c r="O427" s="173">
        <f t="shared" si="332"/>
        <v>1348.3382910707635</v>
      </c>
      <c r="P427" s="173"/>
      <c r="Q427" s="173"/>
      <c r="R427" s="37" t="e">
        <f t="shared" si="314"/>
        <v>#DIV/0!</v>
      </c>
      <c r="S427" s="37" t="e">
        <f t="shared" si="315"/>
        <v>#DIV/0!</v>
      </c>
      <c r="T427" s="37" t="e">
        <f t="shared" si="316"/>
        <v>#DIV/0!</v>
      </c>
      <c r="U427" s="39" t="e">
        <f t="shared" si="317"/>
        <v>#DIV/0!</v>
      </c>
      <c r="V427" s="39" t="e">
        <f t="shared" si="333"/>
        <v>#DIV/0!</v>
      </c>
      <c r="W427" s="9" t="e">
        <f t="shared" si="334"/>
        <v>#DIV/0!</v>
      </c>
      <c r="AB427" s="129">
        <v>144.51950013365015</v>
      </c>
      <c r="AC427" s="9">
        <v>6</v>
      </c>
      <c r="AD427" s="129">
        <f t="shared" si="335"/>
        <v>150.54554641294024</v>
      </c>
      <c r="AE427" s="36">
        <f t="shared" si="367"/>
        <v>9.4961818505026659E-3</v>
      </c>
      <c r="AF427" s="37">
        <f t="shared" si="336"/>
        <v>60817245.746541269</v>
      </c>
      <c r="AG427" s="36">
        <f t="shared" si="318"/>
        <v>1.9983326846776643</v>
      </c>
      <c r="AH427" s="37">
        <f t="shared" si="337"/>
        <v>-1.2945440971641077E-4</v>
      </c>
      <c r="AI427" s="37">
        <f t="shared" si="338"/>
        <v>-6.1749136782574411E-2</v>
      </c>
      <c r="AJ427" s="37">
        <f t="shared" si="339"/>
        <v>-12.828922355917879</v>
      </c>
      <c r="AK427" s="39">
        <f t="shared" si="340"/>
        <v>1.9488784846321699E-2</v>
      </c>
      <c r="AL427" s="39">
        <f>AL426+(1000*$C$2*($B427-$B426))/(BerechnungenCLT!$W$47*2*AF427)</f>
        <v>1.7793456602281175E-2</v>
      </c>
      <c r="AM427" s="37">
        <f t="shared" si="319"/>
        <v>2.4753759326810996E-6</v>
      </c>
      <c r="AN427" s="173">
        <f t="shared" si="341"/>
        <v>1235.45943939834</v>
      </c>
      <c r="AO427" s="173">
        <v>-258.58525273213678</v>
      </c>
      <c r="AV427" s="129">
        <v>144.72084580797949</v>
      </c>
      <c r="AW427" s="9">
        <v>6</v>
      </c>
      <c r="AX427" s="129">
        <f t="shared" si="342"/>
        <v>150.74002787356125</v>
      </c>
      <c r="AY427" s="36">
        <f t="shared" si="368"/>
        <v>9.4980893699321729E-3</v>
      </c>
      <c r="AZ427" s="37">
        <f t="shared" si="343"/>
        <v>60992650.245495684</v>
      </c>
      <c r="BA427" s="36">
        <f t="shared" si="320"/>
        <v>1.9983409300545147</v>
      </c>
      <c r="BB427" s="37">
        <f t="shared" si="344"/>
        <v>-1.2908212082943254E-4</v>
      </c>
      <c r="BC427" s="37">
        <f t="shared" si="345"/>
        <v>-5.8272103891921556E-2</v>
      </c>
      <c r="BD427" s="37">
        <f t="shared" si="346"/>
        <v>-11.879148483214475</v>
      </c>
      <c r="BE427" s="39">
        <f t="shared" si="347"/>
        <v>1.9457842491807063E-2</v>
      </c>
      <c r="BF427" s="39">
        <f>BF426+(1000*$C$2*($B427-$B426))/(BerechnungenCLT!$W$47*2*AZ427)</f>
        <v>1.6788234729048265E-2</v>
      </c>
      <c r="BG427" s="37">
        <f t="shared" si="321"/>
        <v>2.4714457769392208E-6</v>
      </c>
      <c r="BH427" s="173">
        <f t="shared" si="348"/>
        <v>1232.1513817865905</v>
      </c>
      <c r="BI427">
        <v>-258.58525273213678</v>
      </c>
      <c r="BP427" s="129">
        <v>144.47452104144833</v>
      </c>
      <c r="BQ427" s="9">
        <v>6.09375</v>
      </c>
      <c r="BR427" s="129">
        <f t="shared" si="349"/>
        <v>150.59767918795356</v>
      </c>
      <c r="BS427" s="36">
        <f t="shared" si="369"/>
        <v>9.6494501195534023E-3</v>
      </c>
      <c r="BT427" s="37">
        <f t="shared" si="350"/>
        <v>61802667.868006505</v>
      </c>
      <c r="BU427" s="36">
        <f t="shared" si="322"/>
        <v>1.9982786313053988</v>
      </c>
      <c r="BV427" s="37">
        <f t="shared" si="351"/>
        <v>-1.2739030401585712E-4</v>
      </c>
      <c r="BW427" s="37">
        <f t="shared" si="352"/>
        <v>-6.4523783875593071E-2</v>
      </c>
      <c r="BX427" s="37">
        <f t="shared" si="353"/>
        <v>-13.393406118368794</v>
      </c>
      <c r="BY427" s="39">
        <f t="shared" si="354"/>
        <v>1.9184684135835923E-2</v>
      </c>
      <c r="BZ427" s="39">
        <f>BZ426+(1000*$C$2*($B427-$B426))/(BerechnungenCLT!$W$47*2*BT427)</f>
        <v>1.8595616809013393E-2</v>
      </c>
      <c r="CA427" s="37">
        <f t="shared" si="323"/>
        <v>2.4367504572713392E-6</v>
      </c>
      <c r="CB427" s="173">
        <f t="shared" si="355"/>
        <v>1235.3995355658913</v>
      </c>
      <c r="CC427" s="9">
        <v>-257.30196918006141</v>
      </c>
      <c r="CJ427" s="9">
        <f t="shared" si="371"/>
        <v>376</v>
      </c>
      <c r="CK427" s="129">
        <v>145.8344495169425</v>
      </c>
      <c r="CL427" s="9">
        <v>3.7890625</v>
      </c>
      <c r="CM427" s="129">
        <f t="shared" si="356"/>
        <v>149.62365159313174</v>
      </c>
      <c r="CN427" s="36">
        <f t="shared" si="370"/>
        <v>5.9791914981916893E-3</v>
      </c>
      <c r="CO427" s="173">
        <f t="shared" si="357"/>
        <v>1232.1745068508865</v>
      </c>
      <c r="CP427" s="9">
        <v>-630.5340401740317</v>
      </c>
      <c r="CQ427" s="129"/>
      <c r="CR427" s="36">
        <f t="shared" si="358"/>
        <v>0.61446328423745433</v>
      </c>
      <c r="CS427" s="17">
        <f t="shared" si="324"/>
        <v>0.44172599267724261</v>
      </c>
      <c r="CT427" s="9">
        <f t="shared" si="325"/>
        <v>5.14671433804698</v>
      </c>
      <c r="CU427" s="9">
        <f t="shared" si="359"/>
        <v>150.98135344245983</v>
      </c>
      <c r="CV427" s="9">
        <v>7.2</v>
      </c>
      <c r="CW427" s="9">
        <f t="shared" si="360"/>
        <v>153.03471474048064</v>
      </c>
      <c r="CX427">
        <f t="shared" si="361"/>
        <v>12</v>
      </c>
      <c r="CY427" s="9">
        <f t="shared" si="326"/>
        <v>366.70889050477155</v>
      </c>
      <c r="CZ427" s="17">
        <f t="shared" si="362"/>
        <v>0.34530027354498266</v>
      </c>
      <c r="DA427">
        <v>45</v>
      </c>
      <c r="DB427" s="9">
        <f t="shared" si="363"/>
        <v>5.917776134916175</v>
      </c>
      <c r="DC427" s="9">
        <f t="shared" si="364"/>
        <v>6.532239421322469</v>
      </c>
    </row>
    <row r="428" spans="2:107" x14ac:dyDescent="0.25">
      <c r="B428" s="9">
        <f t="shared" si="365"/>
        <v>377</v>
      </c>
      <c r="C428" s="9">
        <v>141.24036577977478</v>
      </c>
      <c r="D428" s="9"/>
      <c r="E428" s="9">
        <f t="shared" si="327"/>
        <v>141.24036577977478</v>
      </c>
      <c r="F428" s="36">
        <f t="shared" si="366"/>
        <v>0</v>
      </c>
      <c r="G428" s="37">
        <f t="shared" si="373"/>
        <v>0</v>
      </c>
      <c r="H428" s="36" t="e">
        <f t="shared" si="312"/>
        <v>#DIV/0!</v>
      </c>
      <c r="I428" s="37" t="e">
        <f t="shared" si="328"/>
        <v>#DIV/0!</v>
      </c>
      <c r="J428" s="37" t="e">
        <f t="shared" si="329"/>
        <v>#DIV/0!</v>
      </c>
      <c r="K428" s="37" t="e">
        <f t="shared" si="330"/>
        <v>#DIV/0!</v>
      </c>
      <c r="L428" s="39" t="e">
        <f t="shared" si="313"/>
        <v>#DIV/0!</v>
      </c>
      <c r="M428" s="39" t="e">
        <f>M427+(1000*$C$2*(B428-B427))/(BerechnungenCLT!$W$47*2*'Berechnung freier Bereich'!G428)</f>
        <v>#DIV/0!</v>
      </c>
      <c r="N428" s="17" t="e">
        <f t="shared" si="331"/>
        <v>#DIV/0!</v>
      </c>
      <c r="O428" s="173">
        <f t="shared" si="332"/>
        <v>1347.9890528522862</v>
      </c>
      <c r="P428" s="173"/>
      <c r="Q428" s="173"/>
      <c r="R428" s="37" t="e">
        <f t="shared" si="314"/>
        <v>#DIV/0!</v>
      </c>
      <c r="S428" s="37" t="e">
        <f t="shared" si="315"/>
        <v>#DIV/0!</v>
      </c>
      <c r="T428" s="37" t="e">
        <f t="shared" si="316"/>
        <v>#DIV/0!</v>
      </c>
      <c r="U428" s="39" t="e">
        <f t="shared" si="317"/>
        <v>#DIV/0!</v>
      </c>
      <c r="V428" s="39" t="e">
        <f t="shared" si="333"/>
        <v>#DIV/0!</v>
      </c>
      <c r="W428" s="9" t="e">
        <f t="shared" si="334"/>
        <v>#DIV/0!</v>
      </c>
      <c r="AB428" s="129">
        <v>144.61277895108387</v>
      </c>
      <c r="AC428" s="9">
        <v>6</v>
      </c>
      <c r="AD428" s="129">
        <f t="shared" si="335"/>
        <v>150.63922159636547</v>
      </c>
      <c r="AE428" s="36">
        <f t="shared" si="367"/>
        <v>9.5028236681911505E-3</v>
      </c>
      <c r="AF428" s="37">
        <f t="shared" si="336"/>
        <v>60936899.9809357</v>
      </c>
      <c r="AG428" s="36">
        <f t="shared" si="318"/>
        <v>1.9983345752541586</v>
      </c>
      <c r="AH428" s="37">
        <f t="shared" si="337"/>
        <v>-1.2920021614423288E-4</v>
      </c>
      <c r="AI428" s="37">
        <f t="shared" si="338"/>
        <v>-6.1878336998718642E-2</v>
      </c>
      <c r="AJ428" s="37">
        <f t="shared" si="339"/>
        <v>-12.890736092808526</v>
      </c>
      <c r="AK428" s="39">
        <f t="shared" si="340"/>
        <v>1.9462619990049411E-2</v>
      </c>
      <c r="AL428" s="39">
        <f>AL427+(1000*$C$2*($B428-$B427))/(BerechnungenCLT!$W$47*2*AF428)</f>
        <v>1.7830808838014075E-2</v>
      </c>
      <c r="AM428" s="37">
        <f t="shared" si="319"/>
        <v>2.4720525928213187E-6</v>
      </c>
      <c r="AN428" s="173">
        <f t="shared" si="341"/>
        <v>1233.8953452814417</v>
      </c>
      <c r="AO428" s="173">
        <v>-258.44201184618095</v>
      </c>
      <c r="AV428" s="129">
        <v>144.8008723207079</v>
      </c>
      <c r="AW428" s="9">
        <v>6</v>
      </c>
      <c r="AX428" s="129">
        <f t="shared" si="342"/>
        <v>150.82030824723319</v>
      </c>
      <c r="AY428" s="36">
        <f t="shared" si="368"/>
        <v>9.5036435081772477E-3</v>
      </c>
      <c r="AZ428" s="37">
        <f t="shared" si="343"/>
        <v>61094532.87820147</v>
      </c>
      <c r="BA428" s="36">
        <f t="shared" si="320"/>
        <v>1.9983425880726151</v>
      </c>
      <c r="BB428" s="37">
        <f t="shared" si="344"/>
        <v>-1.2886686054858928E-4</v>
      </c>
      <c r="BC428" s="37">
        <f t="shared" si="345"/>
        <v>-5.8400970752470145E-2</v>
      </c>
      <c r="BD428" s="37">
        <f t="shared" si="346"/>
        <v>-11.937485020536672</v>
      </c>
      <c r="BE428" s="39">
        <f t="shared" si="347"/>
        <v>1.9435739630791447E-2</v>
      </c>
      <c r="BF428" s="39">
        <f>BF427+(1000*$C$2*($B428-$B427))/(BerechnungenCLT!$W$47*2*AZ428)</f>
        <v>1.6825490590509022E-2</v>
      </c>
      <c r="BG428" s="37">
        <f t="shared" si="321"/>
        <v>2.4686383730588418E-6</v>
      </c>
      <c r="BH428" s="173">
        <f t="shared" si="348"/>
        <v>1230.815423410022</v>
      </c>
      <c r="BI428">
        <v>-258.44201184618095</v>
      </c>
      <c r="BP428" s="129">
        <v>144.57288360703663</v>
      </c>
      <c r="BQ428" s="9">
        <v>6.0625</v>
      </c>
      <c r="BR428" s="129">
        <f t="shared" si="349"/>
        <v>150.6648116508099</v>
      </c>
      <c r="BS428" s="36">
        <f t="shared" si="369"/>
        <v>9.605619192986737E-3</v>
      </c>
      <c r="BT428" s="37">
        <f t="shared" si="350"/>
        <v>61590671.083106972</v>
      </c>
      <c r="BU428" s="36">
        <f t="shared" si="322"/>
        <v>1.9982980428615669</v>
      </c>
      <c r="BV428" s="37">
        <f t="shared" si="351"/>
        <v>-1.2782878494817715E-4</v>
      </c>
      <c r="BW428" s="37">
        <f t="shared" si="352"/>
        <v>-6.4651612660541244E-2</v>
      </c>
      <c r="BX428" s="37">
        <f t="shared" si="353"/>
        <v>-13.457993816636861</v>
      </c>
      <c r="BY428" s="39">
        <f t="shared" si="354"/>
        <v>1.9259299807768991E-2</v>
      </c>
      <c r="BZ428" s="39">
        <f>BZ427+(1000*$C$2*($B428-$B427))/(BerechnungenCLT!$W$47*2*BT428)</f>
        <v>1.863257255917641E-2</v>
      </c>
      <c r="CA428" s="37">
        <f t="shared" si="323"/>
        <v>2.4462277971855721E-6</v>
      </c>
      <c r="CB428" s="173">
        <f t="shared" si="355"/>
        <v>1234.0149211904059</v>
      </c>
      <c r="CC428" s="9">
        <v>-258.33840191256854</v>
      </c>
      <c r="CJ428" s="9">
        <f t="shared" si="371"/>
        <v>377</v>
      </c>
      <c r="CK428" s="129">
        <v>145.84303290566561</v>
      </c>
      <c r="CL428" s="9">
        <v>3.7890625</v>
      </c>
      <c r="CM428" s="129">
        <f t="shared" si="356"/>
        <v>149.63225694850809</v>
      </c>
      <c r="CN428" s="36">
        <f t="shared" si="370"/>
        <v>5.9795740115630549E-3</v>
      </c>
      <c r="CO428" s="173">
        <f t="shared" si="357"/>
        <v>1232.0311519446</v>
      </c>
      <c r="CP428" s="9">
        <v>-630.46068193805388</v>
      </c>
      <c r="CQ428" s="129"/>
      <c r="CR428" s="36">
        <f t="shared" si="358"/>
        <v>0.61443621042002938</v>
      </c>
      <c r="CS428" s="17">
        <f t="shared" si="324"/>
        <v>0.44170652982375014</v>
      </c>
      <c r="CT428" s="9">
        <f t="shared" si="325"/>
        <v>5.146941117006234</v>
      </c>
      <c r="CU428" s="9">
        <f t="shared" si="359"/>
        <v>150.99019345729403</v>
      </c>
      <c r="CV428" s="9">
        <v>7.2</v>
      </c>
      <c r="CW428" s="9">
        <f t="shared" si="360"/>
        <v>153.04333987037413</v>
      </c>
      <c r="CX428">
        <f t="shared" si="361"/>
        <v>12</v>
      </c>
      <c r="CY428" s="9">
        <f t="shared" si="326"/>
        <v>366.68730836339182</v>
      </c>
      <c r="CZ428" s="17">
        <f t="shared" si="362"/>
        <v>0.34527995137795836</v>
      </c>
      <c r="DA428">
        <v>45</v>
      </c>
      <c r="DB428" s="9">
        <f t="shared" si="363"/>
        <v>5.9174278524378803</v>
      </c>
      <c r="DC428" s="9">
        <f t="shared" si="364"/>
        <v>6.531864065366503</v>
      </c>
    </row>
    <row r="429" spans="2:107" x14ac:dyDescent="0.25">
      <c r="B429" s="9">
        <f t="shared" si="365"/>
        <v>378</v>
      </c>
      <c r="C429" s="9">
        <v>141.25890697224375</v>
      </c>
      <c r="D429" s="9"/>
      <c r="E429" s="9">
        <f t="shared" si="327"/>
        <v>141.25890697224375</v>
      </c>
      <c r="F429" s="36">
        <f t="shared" si="366"/>
        <v>0</v>
      </c>
      <c r="G429" s="37">
        <f t="shared" si="373"/>
        <v>0</v>
      </c>
      <c r="H429" s="36" t="e">
        <f t="shared" si="312"/>
        <v>#DIV/0!</v>
      </c>
      <c r="I429" s="37" t="e">
        <f t="shared" si="328"/>
        <v>#DIV/0!</v>
      </c>
      <c r="J429" s="37" t="e">
        <f t="shared" si="329"/>
        <v>#DIV/0!</v>
      </c>
      <c r="K429" s="37" t="e">
        <f t="shared" si="330"/>
        <v>#DIV/0!</v>
      </c>
      <c r="L429" s="39" t="e">
        <f t="shared" si="313"/>
        <v>#DIV/0!</v>
      </c>
      <c r="M429" s="39" t="e">
        <f>M428+(1000*$C$2*(B429-B428))/(BerechnungenCLT!$W$47*2*'Berechnung freier Bereich'!G429)</f>
        <v>#DIV/0!</v>
      </c>
      <c r="N429" s="17" t="e">
        <f t="shared" si="331"/>
        <v>#DIV/0!</v>
      </c>
      <c r="O429" s="173">
        <f t="shared" si="332"/>
        <v>1347.635210609857</v>
      </c>
      <c r="P429" s="173"/>
      <c r="Q429" s="173"/>
      <c r="R429" s="37" t="e">
        <f t="shared" si="314"/>
        <v>#DIV/0!</v>
      </c>
      <c r="S429" s="37" t="e">
        <f t="shared" si="315"/>
        <v>#DIV/0!</v>
      </c>
      <c r="T429" s="37" t="e">
        <f t="shared" si="316"/>
        <v>#DIV/0!</v>
      </c>
      <c r="U429" s="39" t="e">
        <f t="shared" si="317"/>
        <v>#DIV/0!</v>
      </c>
      <c r="V429" s="39" t="e">
        <f t="shared" si="333"/>
        <v>#DIV/0!</v>
      </c>
      <c r="W429" s="9" t="e">
        <f t="shared" si="334"/>
        <v>#DIV/0!</v>
      </c>
      <c r="AB429" s="129">
        <v>144.70676638476945</v>
      </c>
      <c r="AC429" s="9">
        <v>6</v>
      </c>
      <c r="AD429" s="129">
        <f t="shared" si="335"/>
        <v>150.7335782405039</v>
      </c>
      <c r="AE429" s="36">
        <f t="shared" si="367"/>
        <v>9.5094681729647208E-3</v>
      </c>
      <c r="AF429" s="37">
        <f t="shared" si="336"/>
        <v>61057302.23868309</v>
      </c>
      <c r="AG429" s="36">
        <f t="shared" si="318"/>
        <v>1.9983364929954244</v>
      </c>
      <c r="AH429" s="37">
        <f t="shared" si="337"/>
        <v>-1.2894543912076719E-4</v>
      </c>
      <c r="AI429" s="37">
        <f t="shared" si="338"/>
        <v>-6.2007282437839407E-2</v>
      </c>
      <c r="AJ429" s="37">
        <f t="shared" si="339"/>
        <v>-12.952678902526804</v>
      </c>
      <c r="AK429" s="39">
        <f t="shared" si="340"/>
        <v>1.9436407436466293E-2</v>
      </c>
      <c r="AL429" s="39">
        <f>AL428+(1000*$C$2*($B429-$B428))/(BerechnungenCLT!$W$47*2*AF429)</f>
        <v>1.7868087416815708E-2</v>
      </c>
      <c r="AM429" s="37">
        <f t="shared" si="319"/>
        <v>2.4687231946682055E-6</v>
      </c>
      <c r="AN429" s="173">
        <f t="shared" si="341"/>
        <v>1232.3226230157015</v>
      </c>
      <c r="AO429" s="173">
        <v>-258.29888994769493</v>
      </c>
      <c r="AV429" s="129">
        <v>144.88142749047498</v>
      </c>
      <c r="AW429" s="9">
        <v>6</v>
      </c>
      <c r="AX429" s="129">
        <f t="shared" si="342"/>
        <v>150.90109966873777</v>
      </c>
      <c r="AY429" s="36">
        <f t="shared" si="368"/>
        <v>9.5092036899490622E-3</v>
      </c>
      <c r="AZ429" s="37">
        <f t="shared" si="343"/>
        <v>61196997.637436122</v>
      </c>
      <c r="BA429" s="36">
        <f t="shared" si="320"/>
        <v>1.9983442647814973</v>
      </c>
      <c r="BB429" s="37">
        <f t="shared" si="344"/>
        <v>-1.2865109323402814E-4</v>
      </c>
      <c r="BC429" s="37">
        <f t="shared" si="345"/>
        <v>-5.852962184570417E-2</v>
      </c>
      <c r="BD429" s="37">
        <f t="shared" si="346"/>
        <v>-11.995950316835758</v>
      </c>
      <c r="BE429" s="39">
        <f t="shared" si="347"/>
        <v>1.9413591442600155E-2</v>
      </c>
      <c r="BF429" s="39">
        <f>BF428+(1000*$C$2*($B429-$B428))/(BerechnungenCLT!$W$47*2*AZ429)</f>
        <v>1.686268407288221E-2</v>
      </c>
      <c r="BG429" s="37">
        <f t="shared" si="321"/>
        <v>2.4658252119288096E-6</v>
      </c>
      <c r="BH429" s="173">
        <f t="shared" si="348"/>
        <v>1229.4729931383727</v>
      </c>
      <c r="BI429">
        <v>-258.29888994769493</v>
      </c>
      <c r="BP429" s="129">
        <v>144.67153340690041</v>
      </c>
      <c r="BQ429" s="9">
        <v>6.0625</v>
      </c>
      <c r="BR429" s="129">
        <f t="shared" si="349"/>
        <v>150.76361976250161</v>
      </c>
      <c r="BS429" s="36">
        <f t="shared" si="369"/>
        <v>9.6122933163734665E-3</v>
      </c>
      <c r="BT429" s="37">
        <f t="shared" si="350"/>
        <v>61715901.159573272</v>
      </c>
      <c r="BU429" s="36">
        <f t="shared" si="322"/>
        <v>1.9983002274169694</v>
      </c>
      <c r="BV429" s="37">
        <f t="shared" si="351"/>
        <v>-1.2756940271097601E-4</v>
      </c>
      <c r="BW429" s="37">
        <f t="shared" si="352"/>
        <v>-6.4779182063252214E-2</v>
      </c>
      <c r="BX429" s="37">
        <f t="shared" si="353"/>
        <v>-13.522709213998757</v>
      </c>
      <c r="BY429" s="39">
        <f t="shared" si="354"/>
        <v>1.9232824923647029E-2</v>
      </c>
      <c r="BZ429" s="39">
        <f>BZ428+(1000*$C$2*($B429-$B428))/(BerechnungenCLT!$W$47*2*BT429)</f>
        <v>1.8669453321024716E-2</v>
      </c>
      <c r="CA429" s="37">
        <f t="shared" si="323"/>
        <v>2.4428650790123866E-6</v>
      </c>
      <c r="CB429" s="173">
        <f t="shared" si="355"/>
        <v>1232.3659327211149</v>
      </c>
      <c r="CC429" s="9">
        <v>-257.99318968003087</v>
      </c>
      <c r="CJ429" s="9">
        <f t="shared" si="371"/>
        <v>378</v>
      </c>
      <c r="CK429" s="129">
        <v>145.85226707007001</v>
      </c>
      <c r="CL429" s="9">
        <v>3.7890625</v>
      </c>
      <c r="CM429" s="129">
        <f t="shared" si="356"/>
        <v>149.64151285601201</v>
      </c>
      <c r="CN429" s="36">
        <f t="shared" si="370"/>
        <v>5.9799825114693313E-3</v>
      </c>
      <c r="CO429" s="173">
        <f t="shared" si="357"/>
        <v>1231.8769718337642</v>
      </c>
      <c r="CP429" s="9">
        <v>-630.3817841783133</v>
      </c>
      <c r="CQ429" s="129"/>
      <c r="CR429" s="36">
        <f t="shared" si="358"/>
        <v>0.61440709227702928</v>
      </c>
      <c r="CS429" s="17">
        <f t="shared" si="324"/>
        <v>0.44168559734340251</v>
      </c>
      <c r="CT429" s="9">
        <f t="shared" si="325"/>
        <v>5.1471850421974334</v>
      </c>
      <c r="CU429" s="9">
        <f t="shared" si="359"/>
        <v>150.99970109381871</v>
      </c>
      <c r="CV429" s="9">
        <v>7.2</v>
      </c>
      <c r="CW429" s="9">
        <f t="shared" si="360"/>
        <v>153.05261535115071</v>
      </c>
      <c r="CX429">
        <f t="shared" si="361"/>
        <v>12</v>
      </c>
      <c r="CY429" s="9">
        <f t="shared" si="326"/>
        <v>366.66409274282955</v>
      </c>
      <c r="CZ429" s="17">
        <f t="shared" si="362"/>
        <v>0.3452580910949431</v>
      </c>
      <c r="DA429">
        <v>45</v>
      </c>
      <c r="DB429" s="9">
        <f t="shared" si="363"/>
        <v>5.9170532096384347</v>
      </c>
      <c r="DC429" s="9">
        <f t="shared" si="364"/>
        <v>6.5314603047598885</v>
      </c>
    </row>
    <row r="430" spans="2:107" x14ac:dyDescent="0.25">
      <c r="B430" s="9">
        <f t="shared" si="365"/>
        <v>379</v>
      </c>
      <c r="C430" s="9">
        <v>141.27767789380792</v>
      </c>
      <c r="D430" s="9"/>
      <c r="E430" s="9">
        <f t="shared" si="327"/>
        <v>141.27767789380792</v>
      </c>
      <c r="F430" s="36">
        <f t="shared" si="366"/>
        <v>0</v>
      </c>
      <c r="G430" s="37">
        <f t="shared" si="373"/>
        <v>0</v>
      </c>
      <c r="H430" s="36" t="e">
        <f t="shared" si="312"/>
        <v>#DIV/0!</v>
      </c>
      <c r="I430" s="37" t="e">
        <f t="shared" si="328"/>
        <v>#DIV/0!</v>
      </c>
      <c r="J430" s="37" t="e">
        <f t="shared" si="329"/>
        <v>#DIV/0!</v>
      </c>
      <c r="K430" s="37" t="e">
        <f t="shared" si="330"/>
        <v>#DIV/0!</v>
      </c>
      <c r="L430" s="39" t="e">
        <f t="shared" si="313"/>
        <v>#DIV/0!</v>
      </c>
      <c r="M430" s="39" t="e">
        <f>M429+(1000*$C$2*(B430-B429))/(BerechnungenCLT!$W$47*2*'Berechnung freier Bereich'!G430)</f>
        <v>#DIV/0!</v>
      </c>
      <c r="N430" s="17" t="e">
        <f t="shared" si="331"/>
        <v>#DIV/0!</v>
      </c>
      <c r="O430" s="173">
        <f t="shared" si="332"/>
        <v>1347.2771260956317</v>
      </c>
      <c r="P430" s="173"/>
      <c r="Q430" s="173"/>
      <c r="R430" s="37" t="e">
        <f t="shared" si="314"/>
        <v>#DIV/0!</v>
      </c>
      <c r="S430" s="37" t="e">
        <f t="shared" si="315"/>
        <v>#DIV/0!</v>
      </c>
      <c r="T430" s="37" t="e">
        <f t="shared" si="316"/>
        <v>#DIV/0!</v>
      </c>
      <c r="U430" s="39" t="e">
        <f t="shared" si="317"/>
        <v>#DIV/0!</v>
      </c>
      <c r="V430" s="39" t="e">
        <f t="shared" si="333"/>
        <v>#DIV/0!</v>
      </c>
      <c r="W430" s="9" t="e">
        <f t="shared" si="334"/>
        <v>#DIV/0!</v>
      </c>
      <c r="AB430" s="129">
        <v>144.80140915528946</v>
      </c>
      <c r="AC430" s="9">
        <v>6</v>
      </c>
      <c r="AD430" s="129">
        <f t="shared" si="335"/>
        <v>150.82856244527264</v>
      </c>
      <c r="AE430" s="36">
        <f t="shared" si="367"/>
        <v>9.5161108611184105E-3</v>
      </c>
      <c r="AF430" s="37">
        <f t="shared" si="336"/>
        <v>61178381.689915679</v>
      </c>
      <c r="AG430" s="36">
        <f t="shared" si="318"/>
        <v>1.9983384369097432</v>
      </c>
      <c r="AH430" s="37">
        <f t="shared" si="337"/>
        <v>-1.2869024042841176E-4</v>
      </c>
      <c r="AI430" s="37">
        <f t="shared" si="338"/>
        <v>-6.2135972678267822E-2</v>
      </c>
      <c r="AJ430" s="37">
        <f t="shared" si="339"/>
        <v>-13.014750530084857</v>
      </c>
      <c r="AK430" s="39">
        <f t="shared" si="340"/>
        <v>1.9410163964553851E-2</v>
      </c>
      <c r="AL430" s="39">
        <f>AL429+(1000*$C$2*($B430-$B429))/(BerechnungenCLT!$W$47*2*AF430)</f>
        <v>1.7905292216780121E-2</v>
      </c>
      <c r="AM430" s="37">
        <f t="shared" si="319"/>
        <v>2.46538986941092E-6</v>
      </c>
      <c r="AN430" s="173">
        <f t="shared" si="341"/>
        <v>1230.7422239465041</v>
      </c>
      <c r="AO430" s="173">
        <v>-258.15588690492808</v>
      </c>
      <c r="AV430" s="129">
        <v>144.96247156863123</v>
      </c>
      <c r="AW430" s="9">
        <v>6</v>
      </c>
      <c r="AX430" s="129">
        <f t="shared" si="342"/>
        <v>150.98236204285243</v>
      </c>
      <c r="AY430" s="36">
        <f t="shared" si="368"/>
        <v>9.5147667588651279E-3</v>
      </c>
      <c r="AZ430" s="37">
        <f t="shared" si="343"/>
        <v>61299992.770470366</v>
      </c>
      <c r="BA430" s="36">
        <f t="shared" si="320"/>
        <v>1.9983459594004045</v>
      </c>
      <c r="BB430" s="37">
        <f t="shared" si="344"/>
        <v>-1.2843493600686083E-4</v>
      </c>
      <c r="BC430" s="37">
        <f t="shared" si="345"/>
        <v>-5.8658056781711029E-2</v>
      </c>
      <c r="BD430" s="37">
        <f t="shared" si="346"/>
        <v>-12.054544156149467</v>
      </c>
      <c r="BE430" s="39">
        <f t="shared" si="347"/>
        <v>1.9391410007138444E-2</v>
      </c>
      <c r="BF430" s="39">
        <f>BF429+(1000*$C$2*($B430-$B429))/(BerechnungenCLT!$W$47*2*AZ430)</f>
        <v>1.6899815063442725E-2</v>
      </c>
      <c r="BG430" s="37">
        <f t="shared" si="321"/>
        <v>2.4630078278832056E-6</v>
      </c>
      <c r="BH430" s="173">
        <f t="shared" si="348"/>
        <v>1228.1247913348375</v>
      </c>
      <c r="BI430">
        <v>-258.15588690492808</v>
      </c>
      <c r="BP430" s="129">
        <v>144.77044884447753</v>
      </c>
      <c r="BQ430" s="9">
        <v>6.0625</v>
      </c>
      <c r="BR430" s="129">
        <f t="shared" si="349"/>
        <v>150.86268101259537</v>
      </c>
      <c r="BS430" s="36">
        <f t="shared" si="369"/>
        <v>9.6189649179868105E-3</v>
      </c>
      <c r="BT430" s="37">
        <f t="shared" si="350"/>
        <v>61841501.490691811</v>
      </c>
      <c r="BU430" s="36">
        <f t="shared" si="322"/>
        <v>1.9983024205721738</v>
      </c>
      <c r="BV430" s="37">
        <f t="shared" si="351"/>
        <v>-1.2731030875570544E-4</v>
      </c>
      <c r="BW430" s="37">
        <f t="shared" si="352"/>
        <v>-6.4906492372007921E-2</v>
      </c>
      <c r="BX430" s="37">
        <f t="shared" si="353"/>
        <v>-13.587552051216388</v>
      </c>
      <c r="BY430" s="39">
        <f t="shared" si="354"/>
        <v>1.9206374499427019E-2</v>
      </c>
      <c r="BZ430" s="39">
        <f>BZ429+(1000*$C$2*($B430-$B429))/(BerechnungenCLT!$W$47*2*BT430)</f>
        <v>1.870625917790163E-2</v>
      </c>
      <c r="CA430" s="37">
        <f t="shared" si="323"/>
        <v>2.4395054676235951E-6</v>
      </c>
      <c r="CB430" s="173">
        <f t="shared" si="355"/>
        <v>1230.7159279837929</v>
      </c>
      <c r="CC430" s="9">
        <v>-257.64776469394013</v>
      </c>
      <c r="CJ430" s="9">
        <f t="shared" si="371"/>
        <v>379</v>
      </c>
      <c r="CK430" s="129">
        <v>145.86210307965339</v>
      </c>
      <c r="CL430" s="9">
        <v>3.7890625</v>
      </c>
      <c r="CM430" s="129">
        <f t="shared" si="356"/>
        <v>149.65137005041544</v>
      </c>
      <c r="CN430" s="36">
        <f t="shared" si="370"/>
        <v>5.9804144827932289E-3</v>
      </c>
      <c r="CO430" s="173">
        <f t="shared" si="357"/>
        <v>1231.7127911898267</v>
      </c>
      <c r="CP430" s="9">
        <v>-630.29776889949972</v>
      </c>
      <c r="CQ430" s="129"/>
      <c r="CR430" s="36">
        <f t="shared" si="358"/>
        <v>0.61437608529842846</v>
      </c>
      <c r="CS430" s="17">
        <f t="shared" si="324"/>
        <v>0.44166330701499118</v>
      </c>
      <c r="CT430" s="9">
        <f t="shared" si="325"/>
        <v>5.1474448157470185</v>
      </c>
      <c r="CU430" s="9">
        <f t="shared" si="359"/>
        <v>151.00982566911466</v>
      </c>
      <c r="CV430" s="9">
        <v>7.2</v>
      </c>
      <c r="CW430" s="9">
        <f t="shared" si="360"/>
        <v>153.06249161626022</v>
      </c>
      <c r="CX430">
        <f t="shared" si="361"/>
        <v>12</v>
      </c>
      <c r="CY430" s="9">
        <f t="shared" si="326"/>
        <v>366.63936725585285</v>
      </c>
      <c r="CZ430" s="17">
        <f t="shared" si="362"/>
        <v>0.34523480909214016</v>
      </c>
      <c r="DA430">
        <v>45</v>
      </c>
      <c r="DB430" s="9">
        <f t="shared" si="363"/>
        <v>5.9166542013227277</v>
      </c>
      <c r="DC430" s="9">
        <f t="shared" si="364"/>
        <v>6.5310302897922936</v>
      </c>
    </row>
    <row r="431" spans="2:107" x14ac:dyDescent="0.25">
      <c r="B431" s="9">
        <f t="shared" si="365"/>
        <v>380</v>
      </c>
      <c r="C431" s="9">
        <v>141.29665986730504</v>
      </c>
      <c r="D431" s="9"/>
      <c r="E431" s="9">
        <f t="shared" si="327"/>
        <v>141.29665986730504</v>
      </c>
      <c r="F431" s="36">
        <f t="shared" si="366"/>
        <v>0</v>
      </c>
      <c r="G431" s="37">
        <f t="shared" si="373"/>
        <v>0</v>
      </c>
      <c r="H431" s="36" t="e">
        <f t="shared" si="312"/>
        <v>#DIV/0!</v>
      </c>
      <c r="I431" s="37" t="e">
        <f t="shared" si="328"/>
        <v>#DIV/0!</v>
      </c>
      <c r="J431" s="37" t="e">
        <f t="shared" si="329"/>
        <v>#DIV/0!</v>
      </c>
      <c r="K431" s="37" t="e">
        <f t="shared" si="330"/>
        <v>#DIV/0!</v>
      </c>
      <c r="L431" s="39" t="e">
        <f t="shared" si="313"/>
        <v>#DIV/0!</v>
      </c>
      <c r="M431" s="39" t="e">
        <f>M430+(1000*$C$2*(B431-B430))/(BerechnungenCLT!$W$47*2*'Berechnung freier Bereich'!G431)</f>
        <v>#DIV/0!</v>
      </c>
      <c r="N431" s="17" t="e">
        <f t="shared" si="331"/>
        <v>#DIV/0!</v>
      </c>
      <c r="O431" s="173">
        <f t="shared" si="332"/>
        <v>1346.9151605558322</v>
      </c>
      <c r="P431" s="173"/>
      <c r="Q431" s="173"/>
      <c r="R431" s="37" t="e">
        <f t="shared" si="314"/>
        <v>#DIV/0!</v>
      </c>
      <c r="S431" s="37" t="e">
        <f t="shared" si="315"/>
        <v>#DIV/0!</v>
      </c>
      <c r="T431" s="37" t="e">
        <f t="shared" si="316"/>
        <v>#DIV/0!</v>
      </c>
      <c r="U431" s="39" t="e">
        <f t="shared" si="317"/>
        <v>#DIV/0!</v>
      </c>
      <c r="V431" s="39" t="e">
        <f t="shared" si="333"/>
        <v>#DIV/0!</v>
      </c>
      <c r="W431" s="9" t="e">
        <f t="shared" si="334"/>
        <v>#DIV/0!</v>
      </c>
      <c r="AB431" s="129">
        <v>144.89665398322646</v>
      </c>
      <c r="AC431" s="9">
        <v>6</v>
      </c>
      <c r="AD431" s="129">
        <f t="shared" si="335"/>
        <v>150.92412036121482</v>
      </c>
      <c r="AE431" s="36">
        <f t="shared" si="367"/>
        <v>9.5227473061000843E-3</v>
      </c>
      <c r="AF431" s="37">
        <f t="shared" si="336"/>
        <v>61300067.646966718</v>
      </c>
      <c r="AG431" s="36">
        <f t="shared" si="318"/>
        <v>1.9983404059841068</v>
      </c>
      <c r="AH431" s="37">
        <f t="shared" si="337"/>
        <v>-1.2843477912680528E-4</v>
      </c>
      <c r="AI431" s="37">
        <f t="shared" si="338"/>
        <v>-6.226440745739463E-2</v>
      </c>
      <c r="AJ431" s="37">
        <f t="shared" si="339"/>
        <v>-13.076950720152688</v>
      </c>
      <c r="AK431" s="39">
        <f t="shared" si="340"/>
        <v>1.93839060635E-2</v>
      </c>
      <c r="AL431" s="39">
        <f>AL430+(1000*$C$2*($B431-$B430))/(BerechnungenCLT!$W$47*2*AF431)</f>
        <v>1.7942423161986062E-2</v>
      </c>
      <c r="AM431" s="37">
        <f t="shared" si="319"/>
        <v>2.4620547114303701E-6</v>
      </c>
      <c r="AN431" s="173">
        <f t="shared" si="341"/>
        <v>1229.1550922640592</v>
      </c>
      <c r="AO431" s="173">
        <v>-258.01300258631136</v>
      </c>
      <c r="AV431" s="129">
        <v>145.0439648065271</v>
      </c>
      <c r="AW431" s="9">
        <v>6</v>
      </c>
      <c r="AX431" s="129">
        <f t="shared" si="342"/>
        <v>151.06405530259053</v>
      </c>
      <c r="AY431" s="36">
        <f t="shared" si="368"/>
        <v>9.5203296019660873E-3</v>
      </c>
      <c r="AZ431" s="37">
        <f t="shared" si="343"/>
        <v>61403466.584378049</v>
      </c>
      <c r="BA431" s="36">
        <f t="shared" si="320"/>
        <v>1.9983476711377015</v>
      </c>
      <c r="BB431" s="37">
        <f t="shared" si="344"/>
        <v>-1.2821850437185928E-4</v>
      </c>
      <c r="BC431" s="37">
        <f t="shared" si="345"/>
        <v>-5.8786275286082885E-2</v>
      </c>
      <c r="BD431" s="37">
        <f t="shared" si="346"/>
        <v>-12.113266322183364</v>
      </c>
      <c r="BE431" s="39">
        <f t="shared" si="347"/>
        <v>1.9369207235245996E-2</v>
      </c>
      <c r="BF431" s="39">
        <f>BF430+(1000*$C$2*($B431-$B430))/(BerechnungenCLT!$W$47*2*AZ431)</f>
        <v>1.6936883482858298E-2</v>
      </c>
      <c r="BG431" s="37">
        <f t="shared" si="321"/>
        <v>2.4601877337821748E-6</v>
      </c>
      <c r="BH431" s="173">
        <f t="shared" si="348"/>
        <v>1226.7715138456904</v>
      </c>
      <c r="BI431">
        <v>-258.01300258631136</v>
      </c>
      <c r="BP431" s="129">
        <v>144.86960832320599</v>
      </c>
      <c r="BQ431" s="9">
        <v>6.0625</v>
      </c>
      <c r="BR431" s="129">
        <f t="shared" si="349"/>
        <v>150.96197371004021</v>
      </c>
      <c r="BS431" s="36">
        <f t="shared" si="369"/>
        <v>9.6256324016304132E-3</v>
      </c>
      <c r="BT431" s="37">
        <f t="shared" si="350"/>
        <v>61967444.609614551</v>
      </c>
      <c r="BU431" s="36">
        <f t="shared" si="322"/>
        <v>1.9983046218329661</v>
      </c>
      <c r="BV431" s="37">
        <f t="shared" si="351"/>
        <v>-1.2705156228880299E-4</v>
      </c>
      <c r="BW431" s="37">
        <f t="shared" si="352"/>
        <v>-6.5033543934296723E-2</v>
      </c>
      <c r="BX431" s="37">
        <f t="shared" si="353"/>
        <v>-13.652522069369541</v>
      </c>
      <c r="BY431" s="39">
        <f t="shared" si="354"/>
        <v>1.9179954606061814E-2</v>
      </c>
      <c r="BZ431" s="39">
        <f>BZ430+(1000*$C$2*($B431-$B430))/(BerechnungenCLT!$W$47*2*BT431)</f>
        <v>1.8742990230267258E-2</v>
      </c>
      <c r="CA431" s="37">
        <f t="shared" si="323"/>
        <v>2.4361497341237423E-6</v>
      </c>
      <c r="CB431" s="173">
        <f t="shared" si="355"/>
        <v>1229.065283846857</v>
      </c>
      <c r="CC431" s="9">
        <v>-257.30220585089876</v>
      </c>
      <c r="CJ431" s="9">
        <f t="shared" si="371"/>
        <v>380</v>
      </c>
      <c r="CK431" s="129">
        <v>145.87249200391338</v>
      </c>
      <c r="CL431" s="9">
        <v>3.7890625</v>
      </c>
      <c r="CM431" s="129">
        <f t="shared" si="356"/>
        <v>149.66177929371133</v>
      </c>
      <c r="CN431" s="36">
        <f t="shared" si="370"/>
        <v>5.9808674537303475E-3</v>
      </c>
      <c r="CO431" s="173">
        <f t="shared" si="357"/>
        <v>1231.5394341880099</v>
      </c>
      <c r="CP431" s="9">
        <v>-630.20905785237096</v>
      </c>
      <c r="CQ431" s="129"/>
      <c r="CR431" s="36">
        <f t="shared" si="358"/>
        <v>0.6143433448652208</v>
      </c>
      <c r="CS431" s="17">
        <f t="shared" si="324"/>
        <v>0.44163977053896353</v>
      </c>
      <c r="CT431" s="9">
        <f t="shared" si="325"/>
        <v>5.1477191404786016</v>
      </c>
      <c r="CU431" s="9">
        <f t="shared" si="359"/>
        <v>151.02051653780936</v>
      </c>
      <c r="CV431" s="9">
        <v>7.2</v>
      </c>
      <c r="CW431" s="9">
        <f t="shared" si="360"/>
        <v>153.07291915087788</v>
      </c>
      <c r="CX431">
        <f t="shared" si="361"/>
        <v>12</v>
      </c>
      <c r="CY431" s="9">
        <f t="shared" si="326"/>
        <v>366.61325548820679</v>
      </c>
      <c r="CZ431" s="17">
        <f t="shared" si="362"/>
        <v>0.34521022174030774</v>
      </c>
      <c r="DA431">
        <v>45</v>
      </c>
      <c r="DB431" s="9">
        <f t="shared" si="363"/>
        <v>5.9162328218595697</v>
      </c>
      <c r="DC431" s="9">
        <f t="shared" si="364"/>
        <v>6.5305761702087644</v>
      </c>
    </row>
    <row r="432" spans="2:107" x14ac:dyDescent="0.25">
      <c r="B432" s="9">
        <f t="shared" si="365"/>
        <v>381</v>
      </c>
      <c r="C432" s="9">
        <v>141.31583421557292</v>
      </c>
      <c r="D432" s="9"/>
      <c r="E432" s="9">
        <f t="shared" si="327"/>
        <v>141.31583421557292</v>
      </c>
      <c r="F432" s="36">
        <f t="shared" si="366"/>
        <v>0</v>
      </c>
      <c r="G432" s="37">
        <f t="shared" si="373"/>
        <v>0</v>
      </c>
      <c r="H432" s="36" t="e">
        <f t="shared" si="312"/>
        <v>#DIV/0!</v>
      </c>
      <c r="I432" s="37" t="e">
        <f t="shared" si="328"/>
        <v>#DIV/0!</v>
      </c>
      <c r="J432" s="37" t="e">
        <f t="shared" si="329"/>
        <v>#DIV/0!</v>
      </c>
      <c r="K432" s="37" t="e">
        <f t="shared" si="330"/>
        <v>#DIV/0!</v>
      </c>
      <c r="L432" s="39" t="e">
        <f t="shared" si="313"/>
        <v>#DIV/0!</v>
      </c>
      <c r="M432" s="39" t="e">
        <f>M431+(1000*$C$2*(B432-B431))/(BerechnungenCLT!$W$47*2*'Berechnung freier Bereich'!G432)</f>
        <v>#DIV/0!</v>
      </c>
      <c r="N432" s="17" t="e">
        <f t="shared" si="331"/>
        <v>#DIV/0!</v>
      </c>
      <c r="O432" s="173">
        <f t="shared" si="332"/>
        <v>1346.5496747146728</v>
      </c>
      <c r="P432" s="173"/>
      <c r="Q432" s="173"/>
      <c r="R432" s="37" t="e">
        <f t="shared" si="314"/>
        <v>#DIV/0!</v>
      </c>
      <c r="S432" s="37" t="e">
        <f t="shared" si="315"/>
        <v>#DIV/0!</v>
      </c>
      <c r="T432" s="37" t="e">
        <f t="shared" si="316"/>
        <v>#DIV/0!</v>
      </c>
      <c r="U432" s="39" t="e">
        <f t="shared" si="317"/>
        <v>#DIV/0!</v>
      </c>
      <c r="V432" s="39" t="e">
        <f t="shared" si="333"/>
        <v>#DIV/0!</v>
      </c>
      <c r="W432" s="9" t="e">
        <f t="shared" si="334"/>
        <v>#DIV/0!</v>
      </c>
      <c r="AB432" s="129">
        <v>144.99244758916308</v>
      </c>
      <c r="AC432" s="9">
        <v>6</v>
      </c>
      <c r="AD432" s="129">
        <f t="shared" si="335"/>
        <v>151.02019818945871</v>
      </c>
      <c r="AE432" s="36">
        <f t="shared" si="367"/>
        <v>9.5293731588242409E-3</v>
      </c>
      <c r="AF432" s="37">
        <f t="shared" si="336"/>
        <v>61422289.565064117</v>
      </c>
      <c r="AG432" s="36">
        <f t="shared" si="318"/>
        <v>1.9983423991845868</v>
      </c>
      <c r="AH432" s="37">
        <f t="shared" si="337"/>
        <v>-1.2817921156059358E-4</v>
      </c>
      <c r="AI432" s="37">
        <f t="shared" si="338"/>
        <v>-6.2392586668955224E-2</v>
      </c>
      <c r="AJ432" s="37">
        <f t="shared" si="339"/>
        <v>-13.139279217215863</v>
      </c>
      <c r="AK432" s="39">
        <f t="shared" si="340"/>
        <v>1.9357649933649398E-2</v>
      </c>
      <c r="AL432" s="39">
        <f>AL431+(1000*$C$2*($B432-$B431))/(BerechnungenCLT!$W$47*2*AF432)</f>
        <v>1.7979480221712058E-2</v>
      </c>
      <c r="AM432" s="37">
        <f t="shared" si="319"/>
        <v>2.4587197784199215E-6</v>
      </c>
      <c r="AN432" s="173">
        <f t="shared" si="341"/>
        <v>1227.5621649370637</v>
      </c>
      <c r="AO432" s="173">
        <v>-257.87023686045802</v>
      </c>
      <c r="AV432" s="129">
        <v>145.12586745551309</v>
      </c>
      <c r="AW432" s="9">
        <v>6</v>
      </c>
      <c r="AX432" s="129">
        <f t="shared" si="342"/>
        <v>151.14613940918667</v>
      </c>
      <c r="AY432" s="36">
        <f t="shared" si="368"/>
        <v>9.5258891498760014E-3</v>
      </c>
      <c r="AZ432" s="37">
        <f t="shared" si="343"/>
        <v>61507367.446024053</v>
      </c>
      <c r="BA432" s="36">
        <f t="shared" si="320"/>
        <v>1.9983493991910537</v>
      </c>
      <c r="BB432" s="37">
        <f t="shared" si="344"/>
        <v>-1.2800191221979087E-4</v>
      </c>
      <c r="BC432" s="37">
        <f t="shared" si="345"/>
        <v>-5.8914277198302674E-2</v>
      </c>
      <c r="BD432" s="37">
        <f t="shared" si="346"/>
        <v>-12.172116598425557</v>
      </c>
      <c r="BE432" s="39">
        <f t="shared" si="347"/>
        <v>1.9346994869014988E-2</v>
      </c>
      <c r="BF432" s="39">
        <f>BF431+(1000*$C$2*($B432-$B431))/(BerechnungenCLT!$W$47*2*AZ432)</f>
        <v>1.6973889284722887E-2</v>
      </c>
      <c r="BG432" s="37">
        <f t="shared" si="321"/>
        <v>2.4573664210523293E-6</v>
      </c>
      <c r="BH432" s="173">
        <f t="shared" si="348"/>
        <v>1225.4138519627845</v>
      </c>
      <c r="BI432">
        <v>-257.87023686045802</v>
      </c>
      <c r="BP432" s="129">
        <v>144.96899024652376</v>
      </c>
      <c r="BQ432" s="9">
        <v>6.03125</v>
      </c>
      <c r="BR432" s="129">
        <f t="shared" si="349"/>
        <v>151.03007160552974</v>
      </c>
      <c r="BS432" s="36">
        <f t="shared" si="369"/>
        <v>9.5816266025933253E-3</v>
      </c>
      <c r="BT432" s="37">
        <f t="shared" si="350"/>
        <v>61753711.202537552</v>
      </c>
      <c r="BU432" s="36">
        <f t="shared" si="322"/>
        <v>1.9983238747441594</v>
      </c>
      <c r="BV432" s="37">
        <f t="shared" si="351"/>
        <v>-1.274912955899058E-4</v>
      </c>
      <c r="BW432" s="37">
        <f t="shared" si="352"/>
        <v>-6.516103522988663E-2</v>
      </c>
      <c r="BX432" s="37">
        <f t="shared" si="353"/>
        <v>-13.717619358951632</v>
      </c>
      <c r="BY432" s="39">
        <f t="shared" si="354"/>
        <v>1.9255019502025232E-2</v>
      </c>
      <c r="BZ432" s="39">
        <f>BZ431+(1000*$C$2*($B432-$B431))/(BerechnungenCLT!$W$47*2*BT432)</f>
        <v>1.8779848411072858E-2</v>
      </c>
      <c r="CA432" s="37">
        <f t="shared" si="323"/>
        <v>2.4456841324108743E-6</v>
      </c>
      <c r="CB432" s="173">
        <f t="shared" si="355"/>
        <v>1227.6748375707373</v>
      </c>
      <c r="CC432" s="9">
        <v>-258.34278270557144</v>
      </c>
      <c r="CJ432" s="9">
        <f t="shared" si="371"/>
        <v>381</v>
      </c>
      <c r="CK432" s="129">
        <v>145.88338491234762</v>
      </c>
      <c r="CL432" s="9">
        <v>3.7890625</v>
      </c>
      <c r="CM432" s="129">
        <f t="shared" si="356"/>
        <v>149.67269137511218</v>
      </c>
      <c r="CN432" s="36">
        <f t="shared" si="370"/>
        <v>5.9813389957856034E-3</v>
      </c>
      <c r="CO432" s="173">
        <f t="shared" si="357"/>
        <v>1231.3577244116468</v>
      </c>
      <c r="CP432" s="9">
        <v>-630.11607248480152</v>
      </c>
      <c r="CQ432" s="129"/>
      <c r="CR432" s="36">
        <f t="shared" si="358"/>
        <v>0.61430902624117034</v>
      </c>
      <c r="CS432" s="17">
        <f t="shared" si="324"/>
        <v>0.44161509953149269</v>
      </c>
      <c r="CT432" s="9">
        <f t="shared" si="325"/>
        <v>5.1480067199058155</v>
      </c>
      <c r="CU432" s="9">
        <f t="shared" si="359"/>
        <v>151.03172309206738</v>
      </c>
      <c r="CV432" s="9">
        <v>7.2</v>
      </c>
      <c r="CW432" s="9">
        <f t="shared" si="360"/>
        <v>153.08384849190185</v>
      </c>
      <c r="CX432">
        <f t="shared" si="361"/>
        <v>12</v>
      </c>
      <c r="CY432" s="9">
        <f t="shared" si="326"/>
        <v>366.58588098887498</v>
      </c>
      <c r="CZ432" s="17">
        <f t="shared" si="362"/>
        <v>0.34518444537558846</v>
      </c>
      <c r="DA432">
        <v>45</v>
      </c>
      <c r="DB432" s="9">
        <f t="shared" si="363"/>
        <v>5.9157910650245276</v>
      </c>
      <c r="DC432" s="9">
        <f t="shared" si="364"/>
        <v>6.5301000950443138</v>
      </c>
    </row>
    <row r="433" spans="1:114" x14ac:dyDescent="0.25">
      <c r="B433" s="9">
        <f t="shared" si="365"/>
        <v>382</v>
      </c>
      <c r="C433" s="9">
        <v>141.33518226144935</v>
      </c>
      <c r="D433" s="9"/>
      <c r="E433" s="9">
        <f t="shared" si="327"/>
        <v>141.33518226144935</v>
      </c>
      <c r="F433" s="36">
        <f t="shared" si="366"/>
        <v>0</v>
      </c>
      <c r="G433" s="37">
        <f t="shared" si="373"/>
        <v>0</v>
      </c>
      <c r="H433" s="36" t="e">
        <f t="shared" si="312"/>
        <v>#DIV/0!</v>
      </c>
      <c r="I433" s="37" t="e">
        <f t="shared" si="328"/>
        <v>#DIV/0!</v>
      </c>
      <c r="J433" s="37" t="e">
        <f t="shared" si="329"/>
        <v>#DIV/0!</v>
      </c>
      <c r="K433" s="37" t="e">
        <f t="shared" si="330"/>
        <v>#DIV/0!</v>
      </c>
      <c r="L433" s="39" t="e">
        <f t="shared" si="313"/>
        <v>#DIV/0!</v>
      </c>
      <c r="M433" s="39" t="e">
        <f>M432+(1000*$C$2*(B433-B432))/(BerechnungenCLT!$W$47*2*'Berechnung freier Bereich'!G433)</f>
        <v>#DIV/0!</v>
      </c>
      <c r="N433" s="17" t="e">
        <f t="shared" si="331"/>
        <v>#DIV/0!</v>
      </c>
      <c r="O433" s="173">
        <f t="shared" si="332"/>
        <v>1346.18102875975</v>
      </c>
      <c r="P433" s="173"/>
      <c r="Q433" s="173"/>
      <c r="R433" s="37" t="e">
        <f t="shared" si="314"/>
        <v>#DIV/0!</v>
      </c>
      <c r="S433" s="37" t="e">
        <f t="shared" si="315"/>
        <v>#DIV/0!</v>
      </c>
      <c r="T433" s="37" t="e">
        <f t="shared" si="316"/>
        <v>#DIV/0!</v>
      </c>
      <c r="U433" s="39" t="e">
        <f t="shared" si="317"/>
        <v>#DIV/0!</v>
      </c>
      <c r="V433" s="39" t="e">
        <f t="shared" si="333"/>
        <v>#DIV/0!</v>
      </c>
      <c r="W433" s="9" t="e">
        <f t="shared" si="334"/>
        <v>#DIV/0!</v>
      </c>
      <c r="AB433" s="129">
        <v>145.08873669368174</v>
      </c>
      <c r="AC433" s="9">
        <v>6</v>
      </c>
      <c r="AD433" s="129">
        <f t="shared" si="335"/>
        <v>151.11674218167991</v>
      </c>
      <c r="AE433" s="36">
        <f t="shared" si="367"/>
        <v>9.5359841480017575E-3</v>
      </c>
      <c r="AF433" s="37">
        <f t="shared" si="336"/>
        <v>61544977.043765172</v>
      </c>
      <c r="AG433" s="36">
        <f t="shared" si="318"/>
        <v>1.9983444154567152</v>
      </c>
      <c r="AH433" s="37">
        <f t="shared" si="337"/>
        <v>-1.2792369136961073E-4</v>
      </c>
      <c r="AI433" s="37">
        <f t="shared" si="338"/>
        <v>-6.2520510360324841E-2</v>
      </c>
      <c r="AJ433" s="37">
        <f t="shared" si="339"/>
        <v>-13.201735765730504</v>
      </c>
      <c r="AK433" s="39">
        <f t="shared" si="340"/>
        <v>1.9331411487630255E-2</v>
      </c>
      <c r="AL433" s="39">
        <f>AL432+(1000*$C$2*($B433-$B432))/(BerechnungenCLT!$W$47*2*AF433)</f>
        <v>1.8016463409654453E-2</v>
      </c>
      <c r="AM433" s="37">
        <f t="shared" si="319"/>
        <v>2.4553870915285169E-6</v>
      </c>
      <c r="AN433" s="173">
        <f t="shared" si="341"/>
        <v>1225.9643716574344</v>
      </c>
      <c r="AO433" s="173">
        <v>-257.72758959616323</v>
      </c>
      <c r="AV433" s="129">
        <v>145.20813976693961</v>
      </c>
      <c r="AW433" s="9">
        <v>6</v>
      </c>
      <c r="AX433" s="129">
        <f t="shared" si="342"/>
        <v>151.22857435208317</v>
      </c>
      <c r="AY433" s="36">
        <f t="shared" si="368"/>
        <v>9.5314423769691566E-3</v>
      </c>
      <c r="AZ433" s="37">
        <f t="shared" si="343"/>
        <v>61611643.782427043</v>
      </c>
      <c r="BA433" s="36">
        <f t="shared" si="320"/>
        <v>1.9983511427476388</v>
      </c>
      <c r="BB433" s="37">
        <f t="shared" si="344"/>
        <v>-1.2778527183106837E-4</v>
      </c>
      <c r="BC433" s="37">
        <f t="shared" si="345"/>
        <v>-5.9042062470133744E-2</v>
      </c>
      <c r="BD433" s="37">
        <f t="shared" si="346"/>
        <v>-12.231094768259775</v>
      </c>
      <c r="BE433" s="39">
        <f t="shared" si="347"/>
        <v>1.932478448220588E-2</v>
      </c>
      <c r="BF433" s="39">
        <f>BF432+(1000*$C$2*($B433-$B432))/(BerechnungenCLT!$W$47*2*AZ433)</f>
        <v>1.70108324550911E-2</v>
      </c>
      <c r="BG433" s="37">
        <f t="shared" si="321"/>
        <v>2.4545453597395625E-6</v>
      </c>
      <c r="BH433" s="173">
        <f t="shared" si="348"/>
        <v>1224.0524923920639</v>
      </c>
      <c r="BI433">
        <v>-257.72758959616323</v>
      </c>
      <c r="BP433" s="129">
        <v>145.0685730178686</v>
      </c>
      <c r="BQ433" s="9">
        <v>6.03125</v>
      </c>
      <c r="BR433" s="129">
        <f t="shared" si="349"/>
        <v>151.12976160243468</v>
      </c>
      <c r="BS433" s="36">
        <f t="shared" si="369"/>
        <v>9.5882467753561525E-3</v>
      </c>
      <c r="BT433" s="37">
        <f t="shared" si="350"/>
        <v>61879577.576206915</v>
      </c>
      <c r="BU433" s="36">
        <f t="shared" si="322"/>
        <v>1.998326068669384</v>
      </c>
      <c r="BV433" s="37">
        <f t="shared" si="351"/>
        <v>-1.2723197146910766E-4</v>
      </c>
      <c r="BW433" s="37">
        <f t="shared" si="352"/>
        <v>-6.5288267201355735E-2</v>
      </c>
      <c r="BX433" s="37">
        <f t="shared" si="353"/>
        <v>-13.782844010167253</v>
      </c>
      <c r="BY433" s="39">
        <f t="shared" si="354"/>
        <v>1.9228537516334011E-2</v>
      </c>
      <c r="BZ433" s="39">
        <f>BZ432+(1000*$C$2*($B433-$B432))/(BerechnungenCLT!$W$47*2*BT433)</f>
        <v>1.8816631620365405E-2</v>
      </c>
      <c r="CA433" s="37">
        <f t="shared" si="323"/>
        <v>2.4423205122289816E-6</v>
      </c>
      <c r="CB433" s="173">
        <f t="shared" si="355"/>
        <v>1226.0235124882081</v>
      </c>
      <c r="CC433" s="9">
        <v>-257.99529010906582</v>
      </c>
      <c r="CJ433" s="9">
        <f t="shared" si="371"/>
        <v>382</v>
      </c>
      <c r="CK433" s="129">
        <v>145.89473287445378</v>
      </c>
      <c r="CL433" s="9">
        <v>3.7890625</v>
      </c>
      <c r="CM433" s="129">
        <f t="shared" si="356"/>
        <v>149.68405711104867</v>
      </c>
      <c r="CN433" s="36">
        <f t="shared" si="370"/>
        <v>5.9818267237759437E-3</v>
      </c>
      <c r="CO433" s="173">
        <f t="shared" si="357"/>
        <v>1231.1684847648385</v>
      </c>
      <c r="CP433" s="9">
        <v>-630.01923389708543</v>
      </c>
      <c r="CQ433" s="129"/>
      <c r="CR433" s="36">
        <f t="shared" si="358"/>
        <v>0.61427328456527786</v>
      </c>
      <c r="CS433" s="17">
        <f t="shared" si="324"/>
        <v>0.44158940551906167</v>
      </c>
      <c r="CT433" s="9">
        <f t="shared" si="325"/>
        <v>5.1483062582258095</v>
      </c>
      <c r="CU433" s="9">
        <f t="shared" si="359"/>
        <v>151.04339476158501</v>
      </c>
      <c r="CV433" s="9">
        <v>7.2</v>
      </c>
      <c r="CW433" s="9">
        <f t="shared" si="360"/>
        <v>153.09523022795037</v>
      </c>
      <c r="CX433">
        <f t="shared" si="361"/>
        <v>12</v>
      </c>
      <c r="CY433" s="9">
        <f t="shared" si="326"/>
        <v>366.55736726117448</v>
      </c>
      <c r="CZ433" s="17">
        <f t="shared" si="362"/>
        <v>0.34515759629112475</v>
      </c>
      <c r="DA433">
        <v>45</v>
      </c>
      <c r="DB433" s="9">
        <f t="shared" si="363"/>
        <v>5.9153309238562262</v>
      </c>
      <c r="DC433" s="9">
        <f t="shared" si="364"/>
        <v>6.5296042088794444</v>
      </c>
    </row>
    <row r="434" spans="1:114" x14ac:dyDescent="0.25">
      <c r="B434" s="9">
        <f t="shared" si="365"/>
        <v>383</v>
      </c>
      <c r="C434" s="9">
        <v>141.35468532777213</v>
      </c>
      <c r="D434" s="9"/>
      <c r="E434" s="9">
        <f t="shared" si="327"/>
        <v>141.35468532777213</v>
      </c>
      <c r="F434" s="36">
        <f t="shared" si="366"/>
        <v>0</v>
      </c>
      <c r="G434" s="37">
        <f t="shared" si="373"/>
        <v>0</v>
      </c>
      <c r="H434" s="36" t="e">
        <f t="shared" si="312"/>
        <v>#DIV/0!</v>
      </c>
      <c r="I434" s="37" t="e">
        <f t="shared" si="328"/>
        <v>#DIV/0!</v>
      </c>
      <c r="J434" s="37" t="e">
        <f t="shared" si="329"/>
        <v>#DIV/0!</v>
      </c>
      <c r="K434" s="37" t="e">
        <f t="shared" si="330"/>
        <v>#DIV/0!</v>
      </c>
      <c r="L434" s="39" t="e">
        <f t="shared" si="313"/>
        <v>#DIV/0!</v>
      </c>
      <c r="M434" s="39" t="e">
        <f>M433+(1000*$C$2*(B434-B433))/(BerechnungenCLT!$W$47*2*'Berechnung freier Bereich'!G434)</f>
        <v>#DIV/0!</v>
      </c>
      <c r="N434" s="17" t="e">
        <f t="shared" si="331"/>
        <v>#DIV/0!</v>
      </c>
      <c r="O434" s="173">
        <f t="shared" si="332"/>
        <v>1345.8095823288877</v>
      </c>
      <c r="P434" s="173"/>
      <c r="Q434" s="173"/>
      <c r="R434" s="37" t="e">
        <f t="shared" si="314"/>
        <v>#DIV/0!</v>
      </c>
      <c r="S434" s="37" t="e">
        <f t="shared" si="315"/>
        <v>#DIV/0!</v>
      </c>
      <c r="T434" s="37" t="e">
        <f t="shared" si="316"/>
        <v>#DIV/0!</v>
      </c>
      <c r="U434" s="39" t="e">
        <f t="shared" si="317"/>
        <v>#DIV/0!</v>
      </c>
      <c r="V434" s="39" t="e">
        <f t="shared" si="333"/>
        <v>#DIV/0!</v>
      </c>
      <c r="W434" s="9" t="e">
        <f t="shared" si="334"/>
        <v>#DIV/0!</v>
      </c>
      <c r="AB434" s="129">
        <v>145.1854680173652</v>
      </c>
      <c r="AC434" s="9">
        <v>6</v>
      </c>
      <c r="AD434" s="129">
        <f t="shared" si="335"/>
        <v>151.21369864006687</v>
      </c>
      <c r="AE434" s="36">
        <f t="shared" si="367"/>
        <v>9.5425760804835856E-3</v>
      </c>
      <c r="AF434" s="37">
        <f t="shared" si="336"/>
        <v>61668059.829109609</v>
      </c>
      <c r="AG434" s="36">
        <f t="shared" si="318"/>
        <v>1.998346453725842</v>
      </c>
      <c r="AH434" s="37">
        <f t="shared" si="337"/>
        <v>-1.2766836950138679E-4</v>
      </c>
      <c r="AI434" s="37">
        <f t="shared" si="338"/>
        <v>-6.2648178729826226E-2</v>
      </c>
      <c r="AJ434" s="37">
        <f t="shared" si="339"/>
        <v>-13.26432011027558</v>
      </c>
      <c r="AK434" s="39">
        <f t="shared" si="340"/>
        <v>1.9305206351651404E-2</v>
      </c>
      <c r="AL434" s="39">
        <f>AL433+(1000*$C$2*($B434-$B433))/(BerechnungenCLT!$W$47*2*AF434)</f>
        <v>1.8053372783149054E-2</v>
      </c>
      <c r="AM434" s="37">
        <f t="shared" si="319"/>
        <v>2.4520586355254262E-6</v>
      </c>
      <c r="AN434" s="173">
        <f t="shared" si="341"/>
        <v>1224.362634795918</v>
      </c>
      <c r="AO434" s="173">
        <v>-257.58506066240341</v>
      </c>
      <c r="AV434" s="129">
        <v>145.29074199215725</v>
      </c>
      <c r="AW434" s="9">
        <v>6</v>
      </c>
      <c r="AX434" s="129">
        <f t="shared" si="342"/>
        <v>151.31132014891764</v>
      </c>
      <c r="AY434" s="36">
        <f t="shared" si="368"/>
        <v>9.5369863015422954E-3</v>
      </c>
      <c r="AZ434" s="37">
        <f t="shared" si="343"/>
        <v>61716244.08148516</v>
      </c>
      <c r="BA434" s="36">
        <f t="shared" si="320"/>
        <v>1.9983529009842742</v>
      </c>
      <c r="BB434" s="37">
        <f t="shared" si="344"/>
        <v>-1.2756869388068137E-4</v>
      </c>
      <c r="BC434" s="37">
        <f t="shared" si="345"/>
        <v>-5.9169631164014427E-2</v>
      </c>
      <c r="BD434" s="37">
        <f t="shared" si="346"/>
        <v>-12.290200615076849</v>
      </c>
      <c r="BE434" s="39">
        <f t="shared" si="347"/>
        <v>1.930258748075905E-2</v>
      </c>
      <c r="BF434" s="39">
        <f>BF433+(1000*$C$2*($B434-$B433))/(BerechnungenCLT!$W$47*2*AZ434)</f>
        <v>1.7047713012014083E-2</v>
      </c>
      <c r="BG434" s="37">
        <f t="shared" si="321"/>
        <v>2.4517259985740281E-6</v>
      </c>
      <c r="BH434" s="173">
        <f t="shared" si="348"/>
        <v>1222.6881172280089</v>
      </c>
      <c r="BI434">
        <v>-257.58506066240341</v>
      </c>
      <c r="BP434" s="129">
        <v>145.16833504067867</v>
      </c>
      <c r="BQ434" s="9">
        <v>6.03125</v>
      </c>
      <c r="BR434" s="129">
        <f t="shared" si="349"/>
        <v>151.22961808987591</v>
      </c>
      <c r="BS434" s="36">
        <f t="shared" si="369"/>
        <v>9.5948581683461664E-3</v>
      </c>
      <c r="BT434" s="37">
        <f t="shared" si="350"/>
        <v>62005702.618737057</v>
      </c>
      <c r="BU434" s="36">
        <f t="shared" si="322"/>
        <v>1.9983282691457016</v>
      </c>
      <c r="BV434" s="37">
        <f t="shared" si="351"/>
        <v>-1.2697317046960274E-4</v>
      </c>
      <c r="BW434" s="37">
        <f t="shared" si="352"/>
        <v>-6.5415240371825334E-2</v>
      </c>
      <c r="BX434" s="37">
        <f t="shared" si="353"/>
        <v>-13.848195763953843</v>
      </c>
      <c r="BY434" s="39">
        <f t="shared" si="354"/>
        <v>1.9202104077778732E-2</v>
      </c>
      <c r="BZ434" s="39">
        <f>BZ433+(1000*$C$2*($B434-$B433))/(BerechnungenCLT!$W$47*2*BT434)</f>
        <v>1.8853340009381096E-2</v>
      </c>
      <c r="CA434" s="37">
        <f t="shared" si="323"/>
        <v>2.4389630582813029E-6</v>
      </c>
      <c r="CB434" s="173">
        <f t="shared" si="355"/>
        <v>1224.3726605062238</v>
      </c>
      <c r="CC434" s="9">
        <v>-257.64789706832806</v>
      </c>
      <c r="CJ434" s="9">
        <f t="shared" si="371"/>
        <v>383</v>
      </c>
      <c r="CK434" s="129">
        <v>145.90648695972948</v>
      </c>
      <c r="CL434" s="9">
        <v>3.78125</v>
      </c>
      <c r="CM434" s="129">
        <f t="shared" si="356"/>
        <v>149.68801427220845</v>
      </c>
      <c r="CN434" s="36">
        <f t="shared" si="370"/>
        <v>5.9698358052535936E-3</v>
      </c>
      <c r="CO434" s="173">
        <f t="shared" si="357"/>
        <v>1231.0376117118642</v>
      </c>
      <c r="CP434" s="9">
        <v>-631.25381719509835</v>
      </c>
      <c r="CQ434" s="129"/>
      <c r="CR434" s="36">
        <f t="shared" si="358"/>
        <v>0.61426084141940307</v>
      </c>
      <c r="CS434" s="17">
        <f t="shared" si="324"/>
        <v>0.44158046037766013</v>
      </c>
      <c r="CT434" s="9">
        <f t="shared" si="325"/>
        <v>5.1377952685217529</v>
      </c>
      <c r="CU434" s="9">
        <f t="shared" si="359"/>
        <v>151.04465902818308</v>
      </c>
      <c r="CV434" s="9">
        <v>7.2</v>
      </c>
      <c r="CW434" s="9">
        <f t="shared" si="360"/>
        <v>153.10701499935885</v>
      </c>
      <c r="CX434">
        <f t="shared" si="361"/>
        <v>12</v>
      </c>
      <c r="CY434" s="9">
        <f t="shared" si="326"/>
        <v>366.52783775468714</v>
      </c>
      <c r="CZ434" s="17">
        <f t="shared" si="362"/>
        <v>0.34512979072946054</v>
      </c>
      <c r="DA434">
        <v>45</v>
      </c>
      <c r="DB434" s="9">
        <f t="shared" si="363"/>
        <v>5.9148543905261342</v>
      </c>
      <c r="DC434" s="9">
        <f t="shared" si="364"/>
        <v>6.5291152362443308</v>
      </c>
    </row>
    <row r="435" spans="1:114" x14ac:dyDescent="0.25">
      <c r="B435" s="9">
        <f t="shared" si="365"/>
        <v>384</v>
      </c>
      <c r="C435" s="9">
        <v>141.37432473737906</v>
      </c>
      <c r="D435" s="9"/>
      <c r="E435" s="9">
        <f t="shared" si="327"/>
        <v>141.37432473737906</v>
      </c>
      <c r="F435" s="36">
        <f t="shared" si="366"/>
        <v>0</v>
      </c>
      <c r="G435" s="37">
        <f t="shared" si="373"/>
        <v>0</v>
      </c>
      <c r="H435" s="36" t="e">
        <f t="shared" ref="H435:H441" si="374">((E435^2-C435^2)*(E435+C435)^5*(E435-C435))/(2*(E435^4-C435^4)^2)</f>
        <v>#DIV/0!</v>
      </c>
      <c r="I435" s="37" t="e">
        <f t="shared" si="328"/>
        <v>#DIV/0!</v>
      </c>
      <c r="J435" s="37" t="e">
        <f t="shared" si="329"/>
        <v>#DIV/0!</v>
      </c>
      <c r="K435" s="37" t="e">
        <f t="shared" si="330"/>
        <v>#DIV/0!</v>
      </c>
      <c r="L435" s="39" t="e">
        <f t="shared" ref="L435:L441" si="375">-I435*E435</f>
        <v>#DIV/0!</v>
      </c>
      <c r="M435" s="39" t="e">
        <f>M434+(1000*$C$2*(B435-B434))/(BerechnungenCLT!$W$47*2*'Berechnung freier Bereich'!G435)</f>
        <v>#DIV/0!</v>
      </c>
      <c r="N435" s="17" t="e">
        <f t="shared" si="331"/>
        <v>#DIV/0!</v>
      </c>
      <c r="O435" s="173">
        <f t="shared" si="332"/>
        <v>1345.4356944984374</v>
      </c>
      <c r="P435" s="173"/>
      <c r="Q435" s="173"/>
      <c r="R435" s="37" t="e">
        <f t="shared" ref="R435:R441" si="376">-$C$11*($C$34)/($C$14*$C$18*G435)</f>
        <v>#DIV/0!</v>
      </c>
      <c r="S435" s="37" t="e">
        <f t="shared" ref="S435:S441" si="377">(-$C$11*($C$34)/($C$14*$C$18*G435))*$B$52+S434</f>
        <v>#DIV/0!</v>
      </c>
      <c r="T435" s="37" t="e">
        <f t="shared" ref="T435:T441" si="378">(-$C$11*($C$34)/(2*$C$14*$C$18*G435))*$B$52^2+S434*$B$52+T434</f>
        <v>#DIV/0!</v>
      </c>
      <c r="U435" s="39" t="e">
        <f t="shared" ref="U435:U441" si="379">-R435*E435</f>
        <v>#DIV/0!</v>
      </c>
      <c r="V435" s="39" t="e">
        <f t="shared" si="333"/>
        <v>#DIV/0!</v>
      </c>
      <c r="W435" s="9" t="e">
        <f t="shared" si="334"/>
        <v>#DIV/0!</v>
      </c>
      <c r="AB435" s="129">
        <v>145.28258828079586</v>
      </c>
      <c r="AC435" s="9">
        <v>6</v>
      </c>
      <c r="AD435" s="129">
        <f t="shared" si="335"/>
        <v>151.3110139172897</v>
      </c>
      <c r="AE435" s="36">
        <f t="shared" si="367"/>
        <v>9.5491448416202794E-3</v>
      </c>
      <c r="AF435" s="37">
        <f t="shared" si="336"/>
        <v>61791467.816494554</v>
      </c>
      <c r="AG435" s="36">
        <f t="shared" ref="AG435:AG441" si="380">((AD435^2-AB435^2)*(AD435+AB435)^5*(AD435-AB435))/(2*(AD435^4-AB435^4)^2)</f>
        <v>1.9983485128974581</v>
      </c>
      <c r="AH435" s="37">
        <f t="shared" si="337"/>
        <v>-1.2741339422584109E-4</v>
      </c>
      <c r="AI435" s="37">
        <f t="shared" si="338"/>
        <v>-6.2775592124052065E-2</v>
      </c>
      <c r="AJ435" s="37">
        <f t="shared" si="339"/>
        <v>-13.327031995702519</v>
      </c>
      <c r="AK435" s="39">
        <f t="shared" si="340"/>
        <v>1.9279049866955361E-2</v>
      </c>
      <c r="AL435" s="39">
        <f>AL434+(1000*$C$2*($B435-$B434))/(BerechnungenCLT!$W$47*2*AF435)</f>
        <v>1.8090208442397018E-2</v>
      </c>
      <c r="AM435" s="37">
        <f t="shared" ref="AM435:AM441" si="381">AD435/AF435</f>
        <v>2.4487363589848062E-6</v>
      </c>
      <c r="AN435" s="173">
        <f t="shared" si="341"/>
        <v>1222.7578693683886</v>
      </c>
      <c r="AO435" s="173">
        <v>-257.44264992833592</v>
      </c>
      <c r="AV435" s="129">
        <v>145.3736343825164</v>
      </c>
      <c r="AW435" s="9">
        <v>6</v>
      </c>
      <c r="AX435" s="129">
        <f t="shared" si="342"/>
        <v>151.39433684551179</v>
      </c>
      <c r="AY435" s="36">
        <f t="shared" si="368"/>
        <v>9.5425179859931104E-3</v>
      </c>
      <c r="AZ435" s="37">
        <f t="shared" si="343"/>
        <v>61821116.893066049</v>
      </c>
      <c r="BA435" s="36">
        <f t="shared" ref="BA435:BA441" si="382">((AX435^2-AV435^2)*(AX435+AV435)^5*(AX435-AV435))/(2*(AX435^4-AV435^4)^2)</f>
        <v>1.9983546730676536</v>
      </c>
      <c r="BB435" s="37">
        <f t="shared" si="344"/>
        <v>-1.2735228744434812E-4</v>
      </c>
      <c r="BC435" s="37">
        <f t="shared" si="345"/>
        <v>-5.9296983451458778E-2</v>
      </c>
      <c r="BD435" s="37">
        <f t="shared" si="346"/>
        <v>-12.349433922384586</v>
      </c>
      <c r="BE435" s="39">
        <f t="shared" si="347"/>
        <v>1.9280415103396082E-2</v>
      </c>
      <c r="BF435" s="39">
        <f>BF434+(1000*$C$2*($B435-$B434))/(BerechnungenCLT!$W$47*2*AZ435)</f>
        <v>1.7084531005077151E-2</v>
      </c>
      <c r="BG435" s="37">
        <f t="shared" ref="BG435:BG441" si="383">AX435/AZ435</f>
        <v>2.4489097650465192E-6</v>
      </c>
      <c r="BH435" s="173">
        <f t="shared" si="348"/>
        <v>1221.3214039339161</v>
      </c>
      <c r="BI435">
        <v>-257.44264992833592</v>
      </c>
      <c r="BP435" s="129">
        <v>145.26825471839177</v>
      </c>
      <c r="BQ435" s="9">
        <v>6.03125</v>
      </c>
      <c r="BR435" s="129">
        <f t="shared" si="349"/>
        <v>151.32961941058829</v>
      </c>
      <c r="BS435" s="36">
        <f t="shared" si="369"/>
        <v>9.6014592449052936E-3</v>
      </c>
      <c r="BT435" s="37">
        <f t="shared" si="350"/>
        <v>62132058.749200277</v>
      </c>
      <c r="BU435" s="36">
        <f t="shared" ref="BU435:BU441" si="384">((BR435^2-BP435^2)*(BR435+BP435)^5*(BR435-BP435))/(2*(BR435^4-BP435^4)^2)</f>
        <v>1.9983304756803499</v>
      </c>
      <c r="BV435" s="37">
        <f t="shared" si="351"/>
        <v>-1.2671494888776287E-4</v>
      </c>
      <c r="BW435" s="37">
        <f t="shared" si="352"/>
        <v>-6.5541955320713094E-2</v>
      </c>
      <c r="BX435" s="37">
        <f t="shared" si="353"/>
        <v>-13.913674361800112</v>
      </c>
      <c r="BY435" s="39">
        <f t="shared" si="354"/>
        <v>1.9175724988817304E-2</v>
      </c>
      <c r="BZ435" s="39">
        <f>BZ434+(1000*$C$2*($B435-$B434))/(BerechnungenCLT!$W$47*2*BT435)</f>
        <v>1.8889973745631616E-2</v>
      </c>
      <c r="CA435" s="37">
        <f t="shared" ref="CA435:CA441" si="385">BR435/BT435</f>
        <v>2.4356125075693893E-6</v>
      </c>
      <c r="CB435" s="173">
        <f t="shared" si="355"/>
        <v>1222.7226465973802</v>
      </c>
      <c r="CC435" s="9">
        <v>-257.30068038548313</v>
      </c>
      <c r="CJ435" s="9">
        <f t="shared" si="371"/>
        <v>384</v>
      </c>
      <c r="CK435" s="129">
        <v>145.91859823767234</v>
      </c>
      <c r="CL435" s="9">
        <v>3.78125</v>
      </c>
      <c r="CM435" s="129">
        <f t="shared" si="356"/>
        <v>149.70013984583667</v>
      </c>
      <c r="CN435" s="36">
        <f t="shared" si="370"/>
        <v>5.9703478636840227E-3</v>
      </c>
      <c r="CO435" s="173">
        <f t="shared" si="357"/>
        <v>1230.8357621743992</v>
      </c>
      <c r="CP435" s="9">
        <v>-631.15031240384633</v>
      </c>
      <c r="CQ435" s="129"/>
      <c r="CR435" s="36">
        <f t="shared" si="358"/>
        <v>0.61422271585154764</v>
      </c>
      <c r="CS435" s="17">
        <f t="shared" ref="CS435:CS441" si="386">$CJ$7*CR435/$CR$51</f>
        <v>0.44155305263054273</v>
      </c>
      <c r="CT435" s="9">
        <f t="shared" ref="CT435:CT441" si="387">CL435*$CJ$7/CS435</f>
        <v>5.1381141778637263</v>
      </c>
      <c r="CU435" s="9">
        <f t="shared" si="359"/>
        <v>151.05710866440708</v>
      </c>
      <c r="CV435" s="9">
        <v>7.2</v>
      </c>
      <c r="CW435" s="9">
        <f t="shared" si="360"/>
        <v>153.11915349817698</v>
      </c>
      <c r="CX435">
        <f t="shared" si="361"/>
        <v>12</v>
      </c>
      <c r="CY435" s="9">
        <f t="shared" ref="CY435:CY441" si="388">$CJ$4*$CJ$6/(PI()*CK435*2*COS($CJ$3*PI()/180))</f>
        <v>366.49741585802383</v>
      </c>
      <c r="CZ435" s="17">
        <f t="shared" si="362"/>
        <v>0.34510114487572863</v>
      </c>
      <c r="DA435">
        <v>45</v>
      </c>
      <c r="DB435" s="9">
        <f t="shared" si="363"/>
        <v>5.9143634562217997</v>
      </c>
      <c r="DC435" s="9">
        <f t="shared" si="364"/>
        <v>6.5285861765906388</v>
      </c>
    </row>
    <row r="436" spans="1:114" x14ac:dyDescent="0.25">
      <c r="B436" s="9">
        <f t="shared" si="365"/>
        <v>385</v>
      </c>
      <c r="C436" s="9">
        <v>141.39408181310787</v>
      </c>
      <c r="D436" s="9"/>
      <c r="E436" s="9">
        <f t="shared" ref="E436:E440" si="389">$C436+D436*SQRT((C437-C436)^2/(B437-B436)^2+1)</f>
        <v>141.39408181310787</v>
      </c>
      <c r="F436" s="36">
        <f t="shared" si="366"/>
        <v>0</v>
      </c>
      <c r="G436" s="37">
        <f t="shared" si="373"/>
        <v>0</v>
      </c>
      <c r="H436" s="36" t="e">
        <f t="shared" si="374"/>
        <v>#DIV/0!</v>
      </c>
      <c r="I436" s="37" t="e">
        <f t="shared" ref="I436:I441" si="390">-($C$11*($C$34))/($C$9*$C$18*G436)</f>
        <v>#DIV/0!</v>
      </c>
      <c r="J436" s="37" t="e">
        <f t="shared" ref="J436:J441" si="391">(-($C$11*($C$34))/($C$9*$C$18*G436))*$B$52+J435</f>
        <v>#DIV/0!</v>
      </c>
      <c r="K436" s="37" t="e">
        <f t="shared" ref="K436:K441" si="392">(-$C$11*($C$34)/(2*$C$9*$C$18*G436))*$B$52^2+J435*$B$52+K435</f>
        <v>#DIV/0!</v>
      </c>
      <c r="L436" s="39" t="e">
        <f t="shared" si="375"/>
        <v>#DIV/0!</v>
      </c>
      <c r="M436" s="39" t="e">
        <f>M435+(1000*$C$2*(B436-B435))/(BerechnungenCLT!$W$47*2*'Berechnung freier Bereich'!G436)</f>
        <v>#DIV/0!</v>
      </c>
      <c r="N436" s="17" t="e">
        <f t="shared" ref="N436:N441" si="393">-($C$11*($C$34))/G436*E436*D436</f>
        <v>#DIV/0!</v>
      </c>
      <c r="O436" s="173">
        <f t="shared" ref="O436:O441" si="394">$C$2*1000/(2*PI()*((C436+E436)/2)^2)</f>
        <v>1345.0597237730244</v>
      </c>
      <c r="P436" s="173"/>
      <c r="Q436" s="173"/>
      <c r="R436" s="37" t="e">
        <f t="shared" si="376"/>
        <v>#DIV/0!</v>
      </c>
      <c r="S436" s="37" t="e">
        <f t="shared" si="377"/>
        <v>#DIV/0!</v>
      </c>
      <c r="T436" s="37" t="e">
        <f t="shared" si="378"/>
        <v>#DIV/0!</v>
      </c>
      <c r="U436" s="39" t="e">
        <f t="shared" si="379"/>
        <v>#DIV/0!</v>
      </c>
      <c r="V436" s="39" t="e">
        <f t="shared" ref="V436:V441" si="395">(1000*$C$2*($B436-B435))/($C$16*2*$G436)+V435</f>
        <v>#DIV/0!</v>
      </c>
      <c r="W436" s="9" t="e">
        <f t="shared" ref="W436:W441" si="396">$C$14*U436</f>
        <v>#DIV/0!</v>
      </c>
      <c r="AB436" s="129">
        <v>145.38004420455633</v>
      </c>
      <c r="AC436" s="9">
        <v>6</v>
      </c>
      <c r="AD436" s="129">
        <f t="shared" ref="AD436:AD441" si="397">$AB436+AC436*SQRT((AB437-AB436)^2/($B437-$B436)^2+1)</f>
        <v>151.40863441647255</v>
      </c>
      <c r="AE436" s="36">
        <f t="shared" si="367"/>
        <v>9.5556863956328311E-3</v>
      </c>
      <c r="AF436" s="37">
        <f t="shared" ref="AF436:AF441" si="398">(PI()/4)*(AD436^4-AB436^4)</f>
        <v>61915131.054232493</v>
      </c>
      <c r="AG436" s="36">
        <f t="shared" si="380"/>
        <v>1.9983505918575515</v>
      </c>
      <c r="AH436" s="37">
        <f t="shared" ref="AH436:AH441" si="399">-($C$11*($C$34))/($C$9*$C$18*AF436)</f>
        <v>-1.2715891115210994E-4</v>
      </c>
      <c r="AI436" s="37">
        <f t="shared" ref="AI436:AI441" si="400">(-($C$11*($C$34))/($C$9*$C$18*AF436))*$B$52+AI435</f>
        <v>-6.290275103520418E-2</v>
      </c>
      <c r="AJ436" s="37">
        <f t="shared" ref="AJ436:AJ441" si="401">(-$C$11*($C$34)/(2*$C$9*$C$18*AF436))*$B$52^2+AI435*$B$52+AJ435</f>
        <v>-13.389871167282147</v>
      </c>
      <c r="AK436" s="39">
        <f t="shared" ref="AK436:AK441" si="402">-AH436*AD436</f>
        <v>1.9252957091426527E-2</v>
      </c>
      <c r="AL436" s="39">
        <f>AL435+(1000*$C$2*($B436-$B435))/(BerechnungenCLT!$W$47*2*AF436)</f>
        <v>1.8126970529695616E-2</v>
      </c>
      <c r="AM436" s="37">
        <f t="shared" si="381"/>
        <v>2.4454221744899676E-6</v>
      </c>
      <c r="AN436" s="173">
        <f t="shared" ref="AN436:AN441" si="403">$C$2*1000/(2*PI()*((AB436+AD436)/2)^2)</f>
        <v>1221.1509830126402</v>
      </c>
      <c r="AO436" s="173">
        <v>-257.30035726329896</v>
      </c>
      <c r="AV436" s="129">
        <v>145.4567771893675</v>
      </c>
      <c r="AW436" s="9">
        <v>6</v>
      </c>
      <c r="AX436" s="129">
        <f t="shared" ref="AX436:AX441" si="404">AV436+AW436*SQRT((AV437-AV436)^2/($B437-$B436)^2+1)</f>
        <v>151.47758451586171</v>
      </c>
      <c r="AY436" s="36">
        <f t="shared" si="368"/>
        <v>9.5480345370039486E-3</v>
      </c>
      <c r="AZ436" s="37">
        <f t="shared" ref="AZ436:AZ441" si="405">(PI()/4)*(AX436^4-AV436^4)</f>
        <v>61926210.830451839</v>
      </c>
      <c r="BA436" s="36">
        <f t="shared" si="382"/>
        <v>1.9983564581544253</v>
      </c>
      <c r="BB436" s="37">
        <f t="shared" ref="BB436:BB441" si="406">-($C$11*($C$34))/($C$9*$C$18*AZ436)</f>
        <v>-1.2713616000585107E-4</v>
      </c>
      <c r="BC436" s="37">
        <f t="shared" ref="BC436:BC441" si="407">(-($C$11*($C$34))/($C$9*$C$18*AZ436))*$B$52+BC435</f>
        <v>-5.9424119611464626E-2</v>
      </c>
      <c r="BD436" s="37">
        <f t="shared" ref="BD436:BD441" si="408">(-$C$11*($C$34)/(2*$C$9*$C$18*AZ436))*$B$52^2+BC435*$B$52+BD435</f>
        <v>-12.408794473916048</v>
      </c>
      <c r="BE436" s="39">
        <f t="shared" ref="BE436:BE441" si="409">-BB436*AX436</f>
        <v>1.9258278422308421E-2</v>
      </c>
      <c r="BF436" s="39">
        <f>BF435+(1000*$C$2*($B436-$B435))/(BerechnungenCLT!$W$47*2*AZ436)</f>
        <v>1.7121286514939552E-2</v>
      </c>
      <c r="BG436" s="37">
        <f t="shared" si="383"/>
        <v>2.4460980654959359E-6</v>
      </c>
      <c r="BH436" s="173">
        <f t="shared" ref="BH436:BH441" si="410">$C$2*1000/(2*PI()*((AV436+AX436)/2)^2)</f>
        <v>1219.9530253279192</v>
      </c>
      <c r="BI436">
        <v>-257.30035726329896</v>
      </c>
      <c r="BP436" s="129">
        <v>145.36831045444586</v>
      </c>
      <c r="BQ436" s="9">
        <v>6</v>
      </c>
      <c r="BR436" s="129">
        <f t="shared" ref="BR436:BR441" si="411">BP436+BQ436*SQRT((BP437-BP436)^2/($B437-$B436)^2+1)</f>
        <v>151.39833752463556</v>
      </c>
      <c r="BS436" s="36">
        <f t="shared" si="369"/>
        <v>9.5572544161481379E-3</v>
      </c>
      <c r="BT436" s="37">
        <f t="shared" ref="BT436:BT441" si="412">(PI()/4)*(BR436^4-BP436^4)</f>
        <v>61916113.761568353</v>
      </c>
      <c r="BU436" s="36">
        <f t="shared" si="384"/>
        <v>1.9983495611447946</v>
      </c>
      <c r="BV436" s="37">
        <f t="shared" ref="BV436:BV441" si="413">-($C$11*($C$34))/($C$9*$C$18*BT436)</f>
        <v>-1.2715689293767081E-4</v>
      </c>
      <c r="BW436" s="37">
        <f t="shared" ref="BW436:BW441" si="414">(-($C$11*($C$34))/($C$9*$C$18*BT436))*$B$52+BW435</f>
        <v>-6.5669112213650765E-2</v>
      </c>
      <c r="BX436" s="37">
        <f t="shared" ref="BX436:BX441" si="415">(-$C$11*($C$34)/(2*$C$9*$C$18*BT436))*$B$52^2+BW435*$B$52+BX435</f>
        <v>-13.979279895567293</v>
      </c>
      <c r="BY436" s="39">
        <f t="shared" ref="BY436:BY441" si="416">-BV436*BR436</f>
        <v>1.9251342195561433E-2</v>
      </c>
      <c r="BZ436" s="39">
        <f>BZ435+(1000*$C$2*($B436-$B435))/(BerechnungenCLT!$W$47*2*BT436)</f>
        <v>1.892673524945734E-2</v>
      </c>
      <c r="CA436" s="37">
        <f t="shared" si="385"/>
        <v>2.4452170578349393E-6</v>
      </c>
      <c r="CB436" s="173">
        <f t="shared" ref="CB436:CB441" si="417">$C$2*1000/(2*PI()*((BP436+BR436)/2)^2)</f>
        <v>1221.3322954264434</v>
      </c>
      <c r="CC436" s="9">
        <v>-258.34668908360601</v>
      </c>
      <c r="CJ436" s="9">
        <f t="shared" si="371"/>
        <v>385</v>
      </c>
      <c r="CK436" s="129">
        <v>145.93101777778008</v>
      </c>
      <c r="CL436" s="9">
        <v>3.78125</v>
      </c>
      <c r="CM436" s="129">
        <f t="shared" ref="CM436:CM441" si="418">CK436+CL436*SQRT((CK437-CK436)^2/($B437-$B436)^2+1)</f>
        <v>149.7125716906998</v>
      </c>
      <c r="CN436" s="36">
        <f t="shared" si="370"/>
        <v>5.9708691934741891E-3</v>
      </c>
      <c r="CO436" s="173">
        <f t="shared" ref="CO436:CO441" si="419">$C$2*1000/(2*PI()*((CK436+CM436)/2)^2)</f>
        <v>1230.6288462197822</v>
      </c>
      <c r="CP436" s="9">
        <v>-631.04420964553242</v>
      </c>
      <c r="CQ436" s="129"/>
      <c r="CR436" s="36">
        <f t="shared" ref="CR436:CR441" si="420">(($CJ$5*$CJ$4)/(PI()*CM436*2*COS($CJ$3*PI()/180)))-(($CJ$5*$CJ$4)/(2*PI()*CM436*2*COS($CJ$3*PI()/180)))^2</f>
        <v>0.61418363175329194</v>
      </c>
      <c r="CS436" s="17">
        <f t="shared" si="386"/>
        <v>0.44152495581411322</v>
      </c>
      <c r="CT436" s="9">
        <f t="shared" si="387"/>
        <v>5.1384411461334656</v>
      </c>
      <c r="CU436" s="9">
        <f t="shared" ref="CU436:CU441" si="421">CK436+CT436*SQRT((CK437-CK436)^2/($B437-$B436)^2+1)</f>
        <v>151.06987191925941</v>
      </c>
      <c r="CV436" s="9">
        <v>7.2</v>
      </c>
      <c r="CW436" s="9">
        <f t="shared" ref="CW436:CW441" si="422">CK436+CV436*SQRT((CK437-CK436)^2/($B437-$B436)^2+1)</f>
        <v>153.13159646816607</v>
      </c>
      <c r="CX436">
        <f t="shared" ref="CX436:CX441" si="423">CV436/$CJ$8</f>
        <v>12</v>
      </c>
      <c r="CY436" s="9">
        <f t="shared" si="388"/>
        <v>366.46622489242276</v>
      </c>
      <c r="CZ436" s="17">
        <f t="shared" ref="CZ436:CZ441" si="424">CX436*CY436/(CV436/1000)/($CJ$9*10^6)</f>
        <v>0.34507177485162216</v>
      </c>
      <c r="DA436">
        <v>45</v>
      </c>
      <c r="DB436" s="9">
        <f t="shared" ref="DB436:DB441" si="425">$CL$51*$CK$51/CK436*COS($DA$51)/COS(DA436)</f>
        <v>5.9138601110435447</v>
      </c>
      <c r="DC436" s="9">
        <f t="shared" ref="DC436:DC441" si="426">CR436+DB436*SQRT((CR437-CR436)^2/($B437-$B436)^2+1)</f>
        <v>6.528043747501477</v>
      </c>
    </row>
    <row r="437" spans="1:114" x14ac:dyDescent="0.25">
      <c r="B437" s="9">
        <f t="shared" ref="B437:B442" si="427">IF(ROW()=ROW($B$51)+$B$47,$C$34,ROUND((C$34/$B$47)*(ROW()-ROW($B$51)),0))</f>
        <v>386</v>
      </c>
      <c r="C437" s="9">
        <v>141.41393787779643</v>
      </c>
      <c r="D437" s="9"/>
      <c r="E437" s="9">
        <f t="shared" si="389"/>
        <v>141.41393787779643</v>
      </c>
      <c r="F437" s="36">
        <f t="shared" ref="F437:F440" si="428">($B437-$B436)*PI()*(E437^2-C437^2)*$C$10/1000/1000</f>
        <v>0</v>
      </c>
      <c r="G437" s="37">
        <f t="shared" si="373"/>
        <v>0</v>
      </c>
      <c r="H437" s="36" t="e">
        <f t="shared" si="374"/>
        <v>#DIV/0!</v>
      </c>
      <c r="I437" s="37" t="e">
        <f t="shared" si="390"/>
        <v>#DIV/0!</v>
      </c>
      <c r="J437" s="37" t="e">
        <f t="shared" si="391"/>
        <v>#DIV/0!</v>
      </c>
      <c r="K437" s="37" t="e">
        <f t="shared" si="392"/>
        <v>#DIV/0!</v>
      </c>
      <c r="L437" s="39" t="e">
        <f t="shared" si="375"/>
        <v>#DIV/0!</v>
      </c>
      <c r="M437" s="39" t="e">
        <f>M436+(1000*$C$2*(B437-B436))/(BerechnungenCLT!$W$47*2*'Berechnung freier Bereich'!G437)</f>
        <v>#DIV/0!</v>
      </c>
      <c r="N437" s="17" t="e">
        <f t="shared" si="393"/>
        <v>#DIV/0!</v>
      </c>
      <c r="O437" s="173">
        <f t="shared" si="394"/>
        <v>1344.6820280767331</v>
      </c>
      <c r="P437" s="173"/>
      <c r="Q437" s="173"/>
      <c r="R437" s="37" t="e">
        <f t="shared" si="376"/>
        <v>#DIV/0!</v>
      </c>
      <c r="S437" s="37" t="e">
        <f t="shared" si="377"/>
        <v>#DIV/0!</v>
      </c>
      <c r="T437" s="37" t="e">
        <f t="shared" si="378"/>
        <v>#DIV/0!</v>
      </c>
      <c r="U437" s="39" t="e">
        <f t="shared" si="379"/>
        <v>#DIV/0!</v>
      </c>
      <c r="V437" s="39" t="e">
        <f t="shared" si="395"/>
        <v>#DIV/0!</v>
      </c>
      <c r="W437" s="9" t="e">
        <f t="shared" si="396"/>
        <v>#DIV/0!</v>
      </c>
      <c r="AB437" s="129">
        <v>145.47778250922926</v>
      </c>
      <c r="AC437" s="9">
        <v>5.96875</v>
      </c>
      <c r="AD437" s="129">
        <f t="shared" si="397"/>
        <v>151.47510698657598</v>
      </c>
      <c r="AE437" s="36">
        <f t="shared" ref="AE437:AE441" si="429">($B437-$B436)*PI()*(AD437^2-AB437^2)*$C$10/1000/1000</f>
        <v>9.511387949786591E-3</v>
      </c>
      <c r="AF437" s="37">
        <f t="shared" si="398"/>
        <v>61696028.101464383</v>
      </c>
      <c r="AG437" s="36">
        <f t="shared" si="380"/>
        <v>1.998369449245986</v>
      </c>
      <c r="AH437" s="37">
        <f t="shared" si="399"/>
        <v>-1.2761049440246743E-4</v>
      </c>
      <c r="AI437" s="37">
        <f t="shared" si="400"/>
        <v>-6.3030361529606643E-2</v>
      </c>
      <c r="AJ437" s="37">
        <f t="shared" si="401"/>
        <v>-13.452837723564553</v>
      </c>
      <c r="AK437" s="39">
        <f t="shared" si="402"/>
        <v>1.9329813292223611E-2</v>
      </c>
      <c r="AL437" s="39">
        <f>AL436+(1000*$C$2*($B437-$B436))/(BerechnungenCLT!$W$47*2*AF437)</f>
        <v>1.8163863171296087E-2</v>
      </c>
      <c r="AM437" s="37">
        <f t="shared" si="381"/>
        <v>2.4551840960890097E-6</v>
      </c>
      <c r="AN437" s="173">
        <f t="shared" si="403"/>
        <v>1219.800796945374</v>
      </c>
      <c r="AO437" s="173">
        <v>-258.55893138884909</v>
      </c>
      <c r="AV437" s="129">
        <v>145.54013066406117</v>
      </c>
      <c r="AW437" s="9">
        <v>5.96875</v>
      </c>
      <c r="AX437" s="129">
        <f t="shared" si="404"/>
        <v>151.52966444651406</v>
      </c>
      <c r="AY437" s="36">
        <f t="shared" ref="AY437:AY441" si="430">($B437-$B436)*PI()*(AX437^2-AV437^2)*$C$10/1000/1000</f>
        <v>9.5027720040949011E-3</v>
      </c>
      <c r="AZ437" s="37">
        <f t="shared" si="405"/>
        <v>61688598.387374699</v>
      </c>
      <c r="BA437" s="36">
        <f t="shared" si="382"/>
        <v>1.998374959152319</v>
      </c>
      <c r="BB437" s="37">
        <f t="shared" si="406"/>
        <v>-1.276258636848476E-4</v>
      </c>
      <c r="BC437" s="37">
        <f t="shared" si="407"/>
        <v>-5.9551745475149472E-2</v>
      </c>
      <c r="BD437" s="37">
        <f t="shared" si="408"/>
        <v>-12.468282406459355</v>
      </c>
      <c r="BE437" s="39">
        <f t="shared" si="409"/>
        <v>1.9339104298861501E-2</v>
      </c>
      <c r="BF437" s="39">
        <f>BF436+(1000*$C$2*($B437-$B436))/(BerechnungenCLT!$W$47*2*AZ437)</f>
        <v>1.7158183599853476E-2</v>
      </c>
      <c r="BG437" s="37">
        <f t="shared" si="383"/>
        <v>2.4563641970754583E-6</v>
      </c>
      <c r="BH437" s="173">
        <f t="shared" si="410"/>
        <v>1218.8409315839217</v>
      </c>
      <c r="BI437">
        <v>-258.55893138884909</v>
      </c>
      <c r="BP437" s="129">
        <v>145.46848065227888</v>
      </c>
      <c r="BQ437" s="9">
        <v>6</v>
      </c>
      <c r="BR437" s="129">
        <f t="shared" si="411"/>
        <v>151.49856328398778</v>
      </c>
      <c r="BS437" s="36">
        <f t="shared" ref="BS437:BS441" si="431">($B437-$B436)*PI()*(BR437^2-BP437^2)*$C$10/1000/1000</f>
        <v>9.5637962113224555E-3</v>
      </c>
      <c r="BT437" s="37">
        <f t="shared" si="412"/>
        <v>62042165.310602859</v>
      </c>
      <c r="BU437" s="36">
        <f t="shared" si="384"/>
        <v>1.9983517561227964</v>
      </c>
      <c r="BV437" s="37">
        <f t="shared" si="413"/>
        <v>-1.2689854729088421E-4</v>
      </c>
      <c r="BW437" s="37">
        <f t="shared" si="414"/>
        <v>-6.5796010760941645E-2</v>
      </c>
      <c r="BX437" s="37">
        <f t="shared" si="415"/>
        <v>-14.04501245705459</v>
      </c>
      <c r="BY437" s="39">
        <f t="shared" si="416"/>
        <v>1.9224947597394137E-2</v>
      </c>
      <c r="BZ437" s="39">
        <f>BZ436+(1000*$C$2*($B437-$B436))/(BerechnungenCLT!$W$47*2*BT437)</f>
        <v>1.8963422064650279E-2</v>
      </c>
      <c r="CA437" s="37">
        <f t="shared" si="385"/>
        <v>2.4418645372149357E-6</v>
      </c>
      <c r="CB437" s="173">
        <f t="shared" si="417"/>
        <v>1219.6845201622111</v>
      </c>
      <c r="CC437" s="9">
        <v>-257.99813751785911</v>
      </c>
      <c r="CJ437" s="9">
        <f t="shared" si="371"/>
        <v>386</v>
      </c>
      <c r="CK437" s="129">
        <v>145.94369664955028</v>
      </c>
      <c r="CL437" s="9">
        <v>3.78125</v>
      </c>
      <c r="CM437" s="129">
        <f t="shared" si="418"/>
        <v>149.72526073238336</v>
      </c>
      <c r="CN437" s="36">
        <f t="shared" ref="CN437:CN441" si="432">($B437-$B436)*PI()*(CM437^2-CK437^2)*$C$10/1000/1000</f>
        <v>5.9713975873740078E-3</v>
      </c>
      <c r="CO437" s="173">
        <f t="shared" si="419"/>
        <v>1230.4176833902886</v>
      </c>
      <c r="CP437" s="9">
        <v>-630.93592916661021</v>
      </c>
      <c r="CQ437" s="129"/>
      <c r="CR437" s="36">
        <f t="shared" si="420"/>
        <v>0.61414374371387948</v>
      </c>
      <c r="CS437" s="17">
        <f t="shared" si="386"/>
        <v>0.44149628105964467</v>
      </c>
      <c r="CT437" s="9">
        <f t="shared" si="387"/>
        <v>5.1387748828930659</v>
      </c>
      <c r="CU437" s="9">
        <f t="shared" si="421"/>
        <v>151.08289837567608</v>
      </c>
      <c r="CV437" s="9">
        <v>7.2</v>
      </c>
      <c r="CW437" s="9">
        <f t="shared" si="422"/>
        <v>153.1442947047961</v>
      </c>
      <c r="CX437">
        <f t="shared" si="423"/>
        <v>12</v>
      </c>
      <c r="CY437" s="9">
        <f t="shared" si="388"/>
        <v>366.4343881061813</v>
      </c>
      <c r="CZ437" s="17">
        <f t="shared" si="424"/>
        <v>0.34504179671015189</v>
      </c>
      <c r="DA437">
        <v>45</v>
      </c>
      <c r="DB437" s="9">
        <f t="shared" si="425"/>
        <v>5.9133463439146032</v>
      </c>
      <c r="DC437" s="9">
        <f t="shared" si="426"/>
        <v>6.5274900924871604</v>
      </c>
    </row>
    <row r="438" spans="1:114" x14ac:dyDescent="0.25">
      <c r="B438" s="9">
        <f t="shared" si="427"/>
        <v>387</v>
      </c>
      <c r="C438" s="9">
        <v>141.43387425428247</v>
      </c>
      <c r="D438" s="9"/>
      <c r="E438" s="9">
        <f t="shared" si="389"/>
        <v>141.43387425428247</v>
      </c>
      <c r="F438" s="36">
        <f t="shared" si="428"/>
        <v>0</v>
      </c>
      <c r="G438" s="37">
        <f t="shared" si="373"/>
        <v>0</v>
      </c>
      <c r="H438" s="36" t="e">
        <f t="shared" si="374"/>
        <v>#DIV/0!</v>
      </c>
      <c r="I438" s="37" t="e">
        <f t="shared" si="390"/>
        <v>#DIV/0!</v>
      </c>
      <c r="J438" s="37" t="e">
        <f t="shared" si="391"/>
        <v>#DIV/0!</v>
      </c>
      <c r="K438" s="37" t="e">
        <f t="shared" si="392"/>
        <v>#DIV/0!</v>
      </c>
      <c r="L438" s="39" t="e">
        <f t="shared" si="375"/>
        <v>#DIV/0!</v>
      </c>
      <c r="M438" s="39" t="e">
        <f>M437+(1000*$C$2*(B438-B437))/(BerechnungenCLT!$W$47*2*'Berechnung freier Bereich'!G438)</f>
        <v>#DIV/0!</v>
      </c>
      <c r="N438" s="17" t="e">
        <f t="shared" si="393"/>
        <v>#DIV/0!</v>
      </c>
      <c r="O438" s="173">
        <f t="shared" si="394"/>
        <v>1344.302964745737</v>
      </c>
      <c r="P438" s="173"/>
      <c r="Q438" s="173"/>
      <c r="R438" s="37" t="e">
        <f t="shared" si="376"/>
        <v>#DIV/0!</v>
      </c>
      <c r="S438" s="37" t="e">
        <f t="shared" si="377"/>
        <v>#DIV/0!</v>
      </c>
      <c r="T438" s="37" t="e">
        <f t="shared" si="378"/>
        <v>#DIV/0!</v>
      </c>
      <c r="U438" s="39" t="e">
        <f t="shared" si="379"/>
        <v>#DIV/0!</v>
      </c>
      <c r="V438" s="39" t="e">
        <f t="shared" si="395"/>
        <v>#DIV/0!</v>
      </c>
      <c r="W438" s="9" t="e">
        <f t="shared" si="396"/>
        <v>#DIV/0!</v>
      </c>
      <c r="AB438" s="129">
        <v>145.5757499153971</v>
      </c>
      <c r="AC438" s="9">
        <v>5.96875</v>
      </c>
      <c r="AD438" s="129">
        <f t="shared" si="397"/>
        <v>151.57317680456276</v>
      </c>
      <c r="AE438" s="36">
        <f t="shared" si="429"/>
        <v>9.5178295394998096E-3</v>
      </c>
      <c r="AF438" s="37">
        <f t="shared" si="398"/>
        <v>61819320.27311904</v>
      </c>
      <c r="AG438" s="36">
        <f t="shared" si="380"/>
        <v>1.9983715430796061</v>
      </c>
      <c r="AH438" s="37">
        <f t="shared" si="399"/>
        <v>-1.2735598861186192E-4</v>
      </c>
      <c r="AI438" s="37">
        <f t="shared" si="400"/>
        <v>-6.3157717518218512E-2</v>
      </c>
      <c r="AJ438" s="37">
        <f t="shared" si="401"/>
        <v>-13.515931763088465</v>
      </c>
      <c r="AK438" s="39">
        <f t="shared" si="402"/>
        <v>1.9303751778985627E-2</v>
      </c>
      <c r="AL438" s="39">
        <f>AL437+(1000*$C$2*($B438-$B437))/(BerechnungenCLT!$W$47*2*AF438)</f>
        <v>1.8200682234379668E-2</v>
      </c>
      <c r="AM438" s="37">
        <f t="shared" si="381"/>
        <v>2.4518738823867575E-6</v>
      </c>
      <c r="AN438" s="173">
        <f t="shared" si="403"/>
        <v>1218.1918563658958</v>
      </c>
      <c r="AO438" s="173">
        <v>-258.41608566834316</v>
      </c>
      <c r="AV438" s="129">
        <v>145.6236550579477</v>
      </c>
      <c r="AW438" s="9">
        <v>5.96875</v>
      </c>
      <c r="AX438" s="129">
        <f t="shared" si="404"/>
        <v>151.61325405756764</v>
      </c>
      <c r="AY438" s="36">
        <f t="shared" si="430"/>
        <v>9.5082212343941576E-3</v>
      </c>
      <c r="AZ438" s="37">
        <f t="shared" si="405"/>
        <v>61793409.252888225</v>
      </c>
      <c r="BA438" s="36">
        <f t="shared" si="382"/>
        <v>1.998376749476042</v>
      </c>
      <c r="BB438" s="37">
        <f t="shared" si="406"/>
        <v>-1.2740939112901279E-4</v>
      </c>
      <c r="BC438" s="37">
        <f t="shared" si="407"/>
        <v>-5.9679154866278485E-2</v>
      </c>
      <c r="BD438" s="37">
        <f t="shared" si="408"/>
        <v>-12.527897856630069</v>
      </c>
      <c r="BE438" s="39">
        <f t="shared" si="409"/>
        <v>1.9316952386563023E-2</v>
      </c>
      <c r="BF438" s="39">
        <f>BF437+(1000*$C$2*($B438-$B437))/(BerechnungenCLT!$W$47*2*AZ438)</f>
        <v>1.7195018101792105E-2</v>
      </c>
      <c r="BG438" s="37">
        <f t="shared" si="383"/>
        <v>2.4535505629264378E-6</v>
      </c>
      <c r="BH438" s="173">
        <f t="shared" si="410"/>
        <v>1217.4707913038037</v>
      </c>
      <c r="BI438">
        <v>-258.41608566834316</v>
      </c>
      <c r="BP438" s="129">
        <v>145.56874371532876</v>
      </c>
      <c r="BQ438" s="9">
        <v>6</v>
      </c>
      <c r="BR438" s="129">
        <f t="shared" si="411"/>
        <v>151.5988690218436</v>
      </c>
      <c r="BS438" s="36">
        <f t="shared" si="431"/>
        <v>9.5703232395810706E-3</v>
      </c>
      <c r="BT438" s="37">
        <f t="shared" si="412"/>
        <v>62168364.098093167</v>
      </c>
      <c r="BU438" s="36">
        <f t="shared" si="384"/>
        <v>1.998353955630173</v>
      </c>
      <c r="BV438" s="37">
        <f t="shared" si="413"/>
        <v>-1.2664094934641967E-4</v>
      </c>
      <c r="BW438" s="37">
        <f t="shared" si="414"/>
        <v>-6.5922651710288063E-2</v>
      </c>
      <c r="BX438" s="37">
        <f t="shared" si="415"/>
        <v>-14.110871788290204</v>
      </c>
      <c r="BY438" s="39">
        <f t="shared" si="416"/>
        <v>1.9198624692769804E-2</v>
      </c>
      <c r="BZ438" s="39">
        <f>BZ437+(1000*$C$2*($B438-$B437))/(BerechnungenCLT!$W$47*2*BT438)</f>
        <v>1.9000034407373797E-2</v>
      </c>
      <c r="CA438" s="37">
        <f t="shared" si="385"/>
        <v>2.4385211227794467E-6</v>
      </c>
      <c r="CB438" s="173">
        <f t="shared" si="417"/>
        <v>1218.0386604095231</v>
      </c>
      <c r="CC438" s="9">
        <v>-257.64999113755351</v>
      </c>
      <c r="CJ438" s="9">
        <f t="shared" ref="CJ438:CJ442" si="433">IF(ROW()=ROW($B$51)+$B$47,$C$34,ROUND((CK$34/$B$47)*(ROW()-ROW($B$51)),0))</f>
        <v>387</v>
      </c>
      <c r="CK438" s="129">
        <v>145.9565859224806</v>
      </c>
      <c r="CL438" s="9">
        <v>3.78125</v>
      </c>
      <c r="CM438" s="129">
        <f t="shared" si="418"/>
        <v>149.73815792362791</v>
      </c>
      <c r="CN438" s="36">
        <f t="shared" si="432"/>
        <v>5.9719308814294748E-3</v>
      </c>
      <c r="CO438" s="173">
        <f t="shared" si="419"/>
        <v>1230.2030922369049</v>
      </c>
      <c r="CP438" s="9">
        <v>-630.82589070521715</v>
      </c>
      <c r="CQ438" s="129"/>
      <c r="CR438" s="36">
        <f t="shared" si="420"/>
        <v>0.61410320617102354</v>
      </c>
      <c r="CS438" s="17">
        <f t="shared" si="386"/>
        <v>0.44146713938947812</v>
      </c>
      <c r="CT438" s="9">
        <f t="shared" si="387"/>
        <v>5.1391140983619783</v>
      </c>
      <c r="CU438" s="9">
        <f t="shared" si="421"/>
        <v>151.0961376540686</v>
      </c>
      <c r="CV438" s="9">
        <v>7.2</v>
      </c>
      <c r="CW438" s="9">
        <f t="shared" si="422"/>
        <v>153.15719905524375</v>
      </c>
      <c r="CX438">
        <f t="shared" si="423"/>
        <v>12</v>
      </c>
      <c r="CY438" s="9">
        <f t="shared" si="388"/>
        <v>366.40202866991808</v>
      </c>
      <c r="CZ438" s="17">
        <f t="shared" si="424"/>
        <v>0.34501132643118465</v>
      </c>
      <c r="DA438">
        <v>45</v>
      </c>
      <c r="DB438" s="9">
        <f t="shared" si="425"/>
        <v>5.9128241425046664</v>
      </c>
      <c r="DC438" s="9">
        <f t="shared" si="426"/>
        <v>6.5269273536533632</v>
      </c>
    </row>
    <row r="439" spans="1:114" x14ac:dyDescent="0.25">
      <c r="B439" s="9">
        <f t="shared" si="427"/>
        <v>388</v>
      </c>
      <c r="C439" s="9">
        <v>141.45387226540382</v>
      </c>
      <c r="D439" s="9"/>
      <c r="E439" s="9">
        <f t="shared" si="389"/>
        <v>141.45387226540382</v>
      </c>
      <c r="F439" s="36">
        <f t="shared" si="428"/>
        <v>0</v>
      </c>
      <c r="G439" s="37">
        <f t="shared" si="373"/>
        <v>0</v>
      </c>
      <c r="H439" s="36" t="e">
        <f t="shared" si="374"/>
        <v>#DIV/0!</v>
      </c>
      <c r="I439" s="37" t="e">
        <f t="shared" si="390"/>
        <v>#DIV/0!</v>
      </c>
      <c r="J439" s="37" t="e">
        <f t="shared" si="391"/>
        <v>#DIV/0!</v>
      </c>
      <c r="K439" s="37" t="e">
        <f t="shared" si="392"/>
        <v>#DIV/0!</v>
      </c>
      <c r="L439" s="39" t="e">
        <f t="shared" si="375"/>
        <v>#DIV/0!</v>
      </c>
      <c r="M439" s="39" t="e">
        <f>M438+(1000*$C$2*(B439-B438))/(BerechnungenCLT!$W$47*2*'Berechnung freier Bereich'!G439)</f>
        <v>#DIV/0!</v>
      </c>
      <c r="N439" s="17" t="e">
        <f t="shared" si="393"/>
        <v>#DIV/0!</v>
      </c>
      <c r="O439" s="173">
        <f t="shared" si="394"/>
        <v>1343.9228905223529</v>
      </c>
      <c r="P439" s="173"/>
      <c r="Q439" s="173"/>
      <c r="R439" s="37" t="e">
        <f t="shared" si="376"/>
        <v>#DIV/0!</v>
      </c>
      <c r="S439" s="37" t="e">
        <f t="shared" si="377"/>
        <v>#DIV/0!</v>
      </c>
      <c r="T439" s="37" t="e">
        <f t="shared" si="378"/>
        <v>#DIV/0!</v>
      </c>
      <c r="U439" s="39" t="e">
        <f t="shared" si="379"/>
        <v>#DIV/0!</v>
      </c>
      <c r="V439" s="39" t="e">
        <f t="shared" si="395"/>
        <v>#DIV/0!</v>
      </c>
      <c r="W439" s="9" t="e">
        <f t="shared" si="396"/>
        <v>#DIV/0!</v>
      </c>
      <c r="AB439" s="129">
        <v>145.67389314364249</v>
      </c>
      <c r="AC439" s="9">
        <v>5.96875</v>
      </c>
      <c r="AD439" s="129">
        <f t="shared" si="397"/>
        <v>151.67139151830133</v>
      </c>
      <c r="AE439" s="36">
        <f t="shared" si="429"/>
        <v>9.5242325045246795E-3</v>
      </c>
      <c r="AF439" s="37">
        <f t="shared" si="398"/>
        <v>61942658.706902005</v>
      </c>
      <c r="AG439" s="36">
        <f t="shared" si="380"/>
        <v>1.9983736530809346</v>
      </c>
      <c r="AH439" s="37">
        <f t="shared" si="399"/>
        <v>-1.2710240104400186E-4</v>
      </c>
      <c r="AI439" s="37">
        <f t="shared" si="400"/>
        <v>-6.3284819919262519E-2</v>
      </c>
      <c r="AJ439" s="37">
        <f t="shared" si="401"/>
        <v>-13.579153031807206</v>
      </c>
      <c r="AK439" s="39">
        <f t="shared" si="402"/>
        <v>1.9277798031660957E-2</v>
      </c>
      <c r="AL439" s="39">
        <f>AL438+(1000*$C$2*($B439-$B438))/(BerechnungenCLT!$W$47*2*AF439)</f>
        <v>1.8237427984407771E-2</v>
      </c>
      <c r="AM439" s="37">
        <f t="shared" si="381"/>
        <v>2.4485773566158088E-6</v>
      </c>
      <c r="AN439" s="173">
        <f t="shared" si="403"/>
        <v>1216.5834725953612</v>
      </c>
      <c r="AO439" s="173">
        <v>-258.27335829183312</v>
      </c>
      <c r="AV439" s="129">
        <v>145.70731062237772</v>
      </c>
      <c r="AW439" s="9">
        <v>5.96875</v>
      </c>
      <c r="AX439" s="129">
        <f t="shared" si="404"/>
        <v>151.69695513648648</v>
      </c>
      <c r="AY439" s="36">
        <f t="shared" si="430"/>
        <v>9.5136470481447504E-3</v>
      </c>
      <c r="AZ439" s="37">
        <f t="shared" si="405"/>
        <v>61898287.21919851</v>
      </c>
      <c r="BA439" s="36">
        <f t="shared" si="382"/>
        <v>1.9983785501095339</v>
      </c>
      <c r="BB439" s="37">
        <f t="shared" si="406"/>
        <v>-1.2719351378521611E-4</v>
      </c>
      <c r="BC439" s="37">
        <f t="shared" si="407"/>
        <v>-5.9806348380063698E-2</v>
      </c>
      <c r="BD439" s="37">
        <f t="shared" si="408"/>
        <v>-12.58764060825324</v>
      </c>
      <c r="BE439" s="39">
        <f t="shared" si="409"/>
        <v>1.9294868754328003E-2</v>
      </c>
      <c r="BF439" s="39">
        <f>BF438+(1000*$C$2*($B439-$B438))/(BerechnungenCLT!$W$47*2*AZ439)</f>
        <v>1.7231790192833326E-2</v>
      </c>
      <c r="BG439" s="37">
        <f t="shared" si="383"/>
        <v>2.4507456013974459E-6</v>
      </c>
      <c r="BH439" s="173">
        <f t="shared" si="410"/>
        <v>1216.1009757335783</v>
      </c>
      <c r="BI439">
        <v>-258.27335829183312</v>
      </c>
      <c r="BP439" s="129">
        <v>145.66907804703348</v>
      </c>
      <c r="BQ439" s="9">
        <v>6</v>
      </c>
      <c r="BR439" s="129">
        <f t="shared" si="411"/>
        <v>151.69923311434832</v>
      </c>
      <c r="BS439" s="36">
        <f t="shared" si="431"/>
        <v>9.5768340243588563E-3</v>
      </c>
      <c r="BT439" s="37">
        <f t="shared" si="412"/>
        <v>62294682.440015778</v>
      </c>
      <c r="BU439" s="36">
        <f t="shared" si="384"/>
        <v>1.9983561591763401</v>
      </c>
      <c r="BV439" s="37">
        <f t="shared" si="413"/>
        <v>-1.263841525523057E-4</v>
      </c>
      <c r="BW439" s="37">
        <f t="shared" si="414"/>
        <v>-6.6049035862840375E-2</v>
      </c>
      <c r="BX439" s="37">
        <f t="shared" si="415"/>
        <v>-14.176857632076768</v>
      </c>
      <c r="BY439" s="39">
        <f t="shared" si="416"/>
        <v>1.9172379019991581E-2</v>
      </c>
      <c r="BZ439" s="39">
        <f>BZ438+(1000*$C$2*($B439-$B438))/(BerechnungenCLT!$W$47*2*BT439)</f>
        <v>1.9036572509243274E-2</v>
      </c>
      <c r="CA439" s="37">
        <f t="shared" si="385"/>
        <v>2.4351875179782984E-6</v>
      </c>
      <c r="CB439" s="173">
        <f t="shared" si="417"/>
        <v>1216.3950693729066</v>
      </c>
      <c r="CC439" s="9">
        <v>-257.30232465554258</v>
      </c>
      <c r="CJ439" s="9">
        <f t="shared" si="433"/>
        <v>388</v>
      </c>
      <c r="CK439" s="129">
        <v>145.96963666606871</v>
      </c>
      <c r="CL439" s="9">
        <v>3.78125</v>
      </c>
      <c r="CM439" s="129">
        <f t="shared" si="418"/>
        <v>149.75121424432785</v>
      </c>
      <c r="CN439" s="36">
        <f t="shared" si="432"/>
        <v>5.9724669550078524E-3</v>
      </c>
      <c r="CO439" s="173">
        <f t="shared" si="419"/>
        <v>1229.9858902815567</v>
      </c>
      <c r="CP439" s="9">
        <v>-630.71451347180744</v>
      </c>
      <c r="CQ439" s="129"/>
      <c r="CR439" s="36">
        <f t="shared" si="420"/>
        <v>0.6140621734076519</v>
      </c>
      <c r="CS439" s="17">
        <f t="shared" si="386"/>
        <v>0.44143764171468192</v>
      </c>
      <c r="CT439" s="9">
        <f t="shared" si="387"/>
        <v>5.1394575034142198</v>
      </c>
      <c r="CU439" s="9">
        <f t="shared" si="421"/>
        <v>151.109539412337</v>
      </c>
      <c r="CV439" s="9">
        <v>7.2</v>
      </c>
      <c r="CW439" s="9">
        <f t="shared" si="422"/>
        <v>153.17026041839026</v>
      </c>
      <c r="CX439">
        <f t="shared" si="423"/>
        <v>12</v>
      </c>
      <c r="CY439" s="9">
        <f t="shared" si="388"/>
        <v>366.36926967266669</v>
      </c>
      <c r="CZ439" s="17">
        <f t="shared" si="424"/>
        <v>0.34498047991776531</v>
      </c>
      <c r="DA439">
        <v>45</v>
      </c>
      <c r="DB439" s="9">
        <f t="shared" si="425"/>
        <v>5.9122954931668454</v>
      </c>
      <c r="DC439" s="9">
        <f t="shared" si="426"/>
        <v>6.5263576716349707</v>
      </c>
    </row>
    <row r="440" spans="1:114" x14ac:dyDescent="0.25">
      <c r="B440" s="9">
        <f t="shared" si="427"/>
        <v>389</v>
      </c>
      <c r="C440" s="9">
        <v>141.47391323399825</v>
      </c>
      <c r="D440" s="9"/>
      <c r="E440" s="9">
        <f t="shared" si="389"/>
        <v>141.47391323399825</v>
      </c>
      <c r="F440" s="36">
        <f t="shared" si="428"/>
        <v>0</v>
      </c>
      <c r="G440" s="37">
        <f t="shared" si="373"/>
        <v>0</v>
      </c>
      <c r="H440" s="36" t="e">
        <f t="shared" si="374"/>
        <v>#DIV/0!</v>
      </c>
      <c r="I440" s="37" t="e">
        <f t="shared" si="390"/>
        <v>#DIV/0!</v>
      </c>
      <c r="J440" s="37" t="e">
        <f t="shared" si="391"/>
        <v>#DIV/0!</v>
      </c>
      <c r="K440" s="37" t="e">
        <f t="shared" si="392"/>
        <v>#DIV/0!</v>
      </c>
      <c r="L440" s="39" t="e">
        <f t="shared" si="375"/>
        <v>#DIV/0!</v>
      </c>
      <c r="M440" s="39" t="e">
        <f>M439+(1000*$C$2*(B440-B439))/(BerechnungenCLT!$W$47*2*'Berechnung freier Bereich'!G440)</f>
        <v>#DIV/0!</v>
      </c>
      <c r="N440" s="17" t="e">
        <f t="shared" si="393"/>
        <v>#DIV/0!</v>
      </c>
      <c r="O440" s="173">
        <f t="shared" si="394"/>
        <v>1343.5421615505275</v>
      </c>
      <c r="P440" s="173"/>
      <c r="Q440" s="173"/>
      <c r="R440" s="37" t="e">
        <f t="shared" si="376"/>
        <v>#DIV/0!</v>
      </c>
      <c r="S440" s="37" t="e">
        <f t="shared" si="377"/>
        <v>#DIV/0!</v>
      </c>
      <c r="T440" s="37" t="e">
        <f t="shared" si="378"/>
        <v>#DIV/0!</v>
      </c>
      <c r="U440" s="39" t="e">
        <f t="shared" si="379"/>
        <v>#DIV/0!</v>
      </c>
      <c r="V440" s="39" t="e">
        <f t="shared" si="395"/>
        <v>#DIV/0!</v>
      </c>
      <c r="W440" s="9" t="e">
        <f t="shared" si="396"/>
        <v>#DIV/0!</v>
      </c>
      <c r="AB440" s="129">
        <v>145.77215891454796</v>
      </c>
      <c r="AC440" s="9">
        <v>5.96875</v>
      </c>
      <c r="AD440" s="129">
        <f t="shared" si="397"/>
        <v>151.76970022291005</v>
      </c>
      <c r="AE440" s="36">
        <f t="shared" si="429"/>
        <v>9.5305971841312988E-3</v>
      </c>
      <c r="AF440" s="37">
        <f t="shared" si="398"/>
        <v>62066001.832626849</v>
      </c>
      <c r="AG440" s="36">
        <f t="shared" si="380"/>
        <v>1.9983757767524029</v>
      </c>
      <c r="AH440" s="37">
        <f t="shared" si="399"/>
        <v>-1.2684981175245744E-4</v>
      </c>
      <c r="AI440" s="37">
        <f t="shared" si="400"/>
        <v>-6.3411669731014975E-2</v>
      </c>
      <c r="AJ440" s="37">
        <f t="shared" si="401"/>
        <v>-13.642501276632345</v>
      </c>
      <c r="AK440" s="39">
        <f t="shared" si="402"/>
        <v>1.9251957903003037E-2</v>
      </c>
      <c r="AL440" s="39">
        <f>AL439+(1000*$C$2*($B440-$B439))/(BerechnungenCLT!$W$47*2*AF440)</f>
        <v>1.8274100709985582E-2</v>
      </c>
      <c r="AM440" s="37">
        <f t="shared" si="381"/>
        <v>2.4452952621660215E-6</v>
      </c>
      <c r="AN440" s="173">
        <f t="shared" si="403"/>
        <v>1214.9765036776162</v>
      </c>
      <c r="AO440" s="173">
        <v>-258.13074912862891</v>
      </c>
      <c r="AV440" s="129">
        <v>145.79105760870164</v>
      </c>
      <c r="AW440" s="9">
        <v>5.96875</v>
      </c>
      <c r="AX440" s="129">
        <f t="shared" si="404"/>
        <v>151.78072945519963</v>
      </c>
      <c r="AY440" s="36">
        <f t="shared" si="430"/>
        <v>9.5190493148596591E-3</v>
      </c>
      <c r="AZ440" s="37">
        <f t="shared" si="405"/>
        <v>62003198.862997741</v>
      </c>
      <c r="BA440" s="36">
        <f t="shared" si="382"/>
        <v>1.998380359340397</v>
      </c>
      <c r="BB440" s="37">
        <f t="shared" si="406"/>
        <v>-1.2697829778255E-4</v>
      </c>
      <c r="BC440" s="37">
        <f t="shared" si="407"/>
        <v>-5.9933326677846246E-2</v>
      </c>
      <c r="BD440" s="37">
        <f t="shared" si="408"/>
        <v>-12.647510445782196</v>
      </c>
      <c r="BE440" s="39">
        <f t="shared" si="409"/>
        <v>1.9272858662414998E-2</v>
      </c>
      <c r="BF440" s="39">
        <f>BF439+(1000*$C$2*($B440-$B439))/(BerechnungenCLT!$W$47*2*AZ440)</f>
        <v>1.726850006417318E-2</v>
      </c>
      <c r="BG440" s="37">
        <f t="shared" si="383"/>
        <v>2.4479499806223595E-6</v>
      </c>
      <c r="BH440" s="173">
        <f t="shared" si="410"/>
        <v>1214.7321263509043</v>
      </c>
      <c r="BI440">
        <v>-258.13074912862891</v>
      </c>
      <c r="BP440" s="129">
        <v>145.76946205083095</v>
      </c>
      <c r="BQ440" s="9">
        <v>5.96875</v>
      </c>
      <c r="BR440" s="129">
        <f t="shared" si="411"/>
        <v>151.76822783094437</v>
      </c>
      <c r="BS440" s="36">
        <f t="shared" si="431"/>
        <v>9.5324093994824163E-3</v>
      </c>
      <c r="BT440" s="37">
        <f t="shared" si="412"/>
        <v>62076074.807270728</v>
      </c>
      <c r="BU440" s="36">
        <f t="shared" si="384"/>
        <v>1.9983750683685548</v>
      </c>
      <c r="BV440" s="37">
        <f t="shared" si="413"/>
        <v>-1.2682922805831552E-4</v>
      </c>
      <c r="BW440" s="37">
        <f t="shared" si="414"/>
        <v>-6.6175865090898692E-2</v>
      </c>
      <c r="BX440" s="37">
        <f t="shared" si="415"/>
        <v>-14.242970082553637</v>
      </c>
      <c r="BY440" s="39">
        <f t="shared" si="416"/>
        <v>1.9248647179577232E-2</v>
      </c>
      <c r="BZ440" s="39">
        <f>BZ439+(1000*$C$2*($B440-$B439))/(BerechnungenCLT!$W$47*2*BT440)</f>
        <v>1.90732392840029E-2</v>
      </c>
      <c r="CA440" s="37">
        <f t="shared" si="385"/>
        <v>2.4448747492837343E-6</v>
      </c>
      <c r="CB440" s="173">
        <f t="shared" si="417"/>
        <v>1215.0105537045879</v>
      </c>
      <c r="CC440" s="9">
        <v>-258.3550592860355</v>
      </c>
      <c r="CJ440" s="9">
        <f t="shared" si="433"/>
        <v>389</v>
      </c>
      <c r="CK440" s="129">
        <v>145.9827999498122</v>
      </c>
      <c r="CL440" s="9">
        <v>3.78125</v>
      </c>
      <c r="CM440" s="129">
        <f t="shared" si="418"/>
        <v>149.76438089732</v>
      </c>
      <c r="CN440" s="36">
        <f t="shared" si="432"/>
        <v>5.9730040440287542E-3</v>
      </c>
      <c r="CO440" s="173">
        <f t="shared" si="419"/>
        <v>1229.7668923592803</v>
      </c>
      <c r="CP440" s="9">
        <v>-630.60221529904686</v>
      </c>
      <c r="CQ440" s="129"/>
      <c r="CR440" s="36">
        <f t="shared" si="420"/>
        <v>0.61402079893415396</v>
      </c>
      <c r="CS440" s="17">
        <f t="shared" si="386"/>
        <v>0.44140789839096156</v>
      </c>
      <c r="CT440" s="9">
        <f t="shared" si="387"/>
        <v>5.1398038147258847</v>
      </c>
      <c r="CU440" s="9">
        <f t="shared" si="421"/>
        <v>151.1230536171696</v>
      </c>
      <c r="CV440" s="9">
        <v>7.2</v>
      </c>
      <c r="CW440" s="9">
        <f t="shared" si="422"/>
        <v>153.18343011762866</v>
      </c>
      <c r="CX440">
        <f t="shared" si="423"/>
        <v>12</v>
      </c>
      <c r="CY440" s="9">
        <f t="shared" si="388"/>
        <v>366.33623411879836</v>
      </c>
      <c r="CZ440" s="17">
        <f t="shared" si="424"/>
        <v>0.34494937299321882</v>
      </c>
      <c r="DA440">
        <v>45</v>
      </c>
      <c r="DB440" s="9">
        <f t="shared" si="425"/>
        <v>5.9117623808880113</v>
      </c>
      <c r="DC440" s="9">
        <f t="shared" si="426"/>
        <v>6.525783184735511</v>
      </c>
    </row>
    <row r="441" spans="1:114" x14ac:dyDescent="0.25">
      <c r="B441" s="9">
        <f t="shared" si="427"/>
        <v>390.3</v>
      </c>
      <c r="C441" s="9">
        <v>141.5</v>
      </c>
      <c r="D441" s="9"/>
      <c r="E441" s="9" t="e">
        <f ca="1">$C441+D441*SQRT((C442-C441)^2/(B442-B441)^2+1)</f>
        <v>#NAME?</v>
      </c>
      <c r="F441" s="36" t="e">
        <f ca="1">($B441-$B440)*PI()*(E441^2-C441^2)*$C$10/1000/1000</f>
        <v>#NAME?</v>
      </c>
      <c r="G441" s="37" t="e">
        <f t="shared" ca="1" si="373"/>
        <v>#NAME?</v>
      </c>
      <c r="H441" s="36" t="e">
        <f t="shared" ca="1" si="374"/>
        <v>#NAME?</v>
      </c>
      <c r="I441" s="37" t="e">
        <f t="shared" ca="1" si="390"/>
        <v>#NAME?</v>
      </c>
      <c r="J441" s="37" t="e">
        <f t="shared" ca="1" si="391"/>
        <v>#NAME?</v>
      </c>
      <c r="K441" s="37" t="e">
        <f t="shared" ca="1" si="392"/>
        <v>#NAME?</v>
      </c>
      <c r="L441" s="39" t="e">
        <f t="shared" ca="1" si="375"/>
        <v>#NAME?</v>
      </c>
      <c r="M441" s="39" t="e">
        <f ca="1">M440+(1000*$C$2*(B441-B440))/(BerechnungenCLT!$W$47*2*'Berechnung freier Bereich'!G441)</f>
        <v>#DIV/0!</v>
      </c>
      <c r="N441" s="17" t="e">
        <f t="shared" ca="1" si="393"/>
        <v>#NAME?</v>
      </c>
      <c r="O441" s="173" t="e">
        <f t="shared" ca="1" si="394"/>
        <v>#NAME?</v>
      </c>
      <c r="P441" s="173"/>
      <c r="Q441" s="173"/>
      <c r="R441" s="37" t="e">
        <f t="shared" ca="1" si="376"/>
        <v>#NAME?</v>
      </c>
      <c r="S441" s="37" t="e">
        <f t="shared" ca="1" si="377"/>
        <v>#NAME?</v>
      </c>
      <c r="T441" s="37" t="e">
        <f t="shared" ca="1" si="378"/>
        <v>#NAME?</v>
      </c>
      <c r="U441" s="39" t="e">
        <f t="shared" ca="1" si="379"/>
        <v>#NAME?</v>
      </c>
      <c r="V441" s="39" t="e">
        <f t="shared" ca="1" si="395"/>
        <v>#NAME?</v>
      </c>
      <c r="W441" s="9" t="e">
        <f t="shared" ca="1" si="396"/>
        <v>#NAME?</v>
      </c>
      <c r="AB441" s="129">
        <v>145.9</v>
      </c>
      <c r="AC441" s="9">
        <v>5.96875</v>
      </c>
      <c r="AD441" s="129" t="e">
        <f t="shared" ca="1" si="397"/>
        <v>#NAME?</v>
      </c>
      <c r="AE441" s="36" t="e">
        <f t="shared" ca="1" si="429"/>
        <v>#NAME?</v>
      </c>
      <c r="AF441" s="37" t="e">
        <f t="shared" ca="1" si="398"/>
        <v>#NAME?</v>
      </c>
      <c r="AG441" s="36" t="e">
        <f t="shared" ca="1" si="380"/>
        <v>#NAME?</v>
      </c>
      <c r="AH441" s="37" t="e">
        <f t="shared" ca="1" si="399"/>
        <v>#NAME?</v>
      </c>
      <c r="AI441" s="37" t="e">
        <f t="shared" ca="1" si="400"/>
        <v>#NAME?</v>
      </c>
      <c r="AJ441" s="37" t="e">
        <f t="shared" ca="1" si="401"/>
        <v>#NAME?</v>
      </c>
      <c r="AK441" s="39" t="e">
        <f t="shared" ca="1" si="402"/>
        <v>#NAME?</v>
      </c>
      <c r="AL441" s="39" t="e">
        <f ca="1">AL440+(1000*$C$2*($B441-$B440))/(BerechnungenCLT!$W$47*2*AF441)</f>
        <v>#NAME?</v>
      </c>
      <c r="AM441" s="37" t="e">
        <f t="shared" ca="1" si="381"/>
        <v>#NAME?</v>
      </c>
      <c r="AN441" s="173" t="e">
        <f t="shared" ca="1" si="403"/>
        <v>#NAME?</v>
      </c>
      <c r="AO441" s="173">
        <v>-257.94553373075382</v>
      </c>
      <c r="AV441" s="129">
        <v>145.9</v>
      </c>
      <c r="AW441" s="9">
        <v>5.96875</v>
      </c>
      <c r="AX441" s="129" t="e">
        <f t="shared" ca="1" si="404"/>
        <v>#NAME?</v>
      </c>
      <c r="AY441" s="36" t="e">
        <f t="shared" ca="1" si="430"/>
        <v>#NAME?</v>
      </c>
      <c r="AZ441" s="37" t="e">
        <f t="shared" ca="1" si="405"/>
        <v>#NAME?</v>
      </c>
      <c r="BA441" s="36" t="e">
        <f t="shared" ca="1" si="382"/>
        <v>#NAME?</v>
      </c>
      <c r="BB441" s="37" t="e">
        <f t="shared" ca="1" si="406"/>
        <v>#NAME?</v>
      </c>
      <c r="BC441" s="37" t="e">
        <f t="shared" ca="1" si="407"/>
        <v>#NAME?</v>
      </c>
      <c r="BD441" s="37" t="e">
        <f t="shared" ca="1" si="408"/>
        <v>#NAME?</v>
      </c>
      <c r="BE441" s="39" t="e">
        <f t="shared" ca="1" si="409"/>
        <v>#NAME?</v>
      </c>
      <c r="BF441" s="39" t="e">
        <f ca="1">BF440+(1000*$C$2*($B441-$B440))/(BerechnungenCLT!$W$47*2*AZ441)</f>
        <v>#NAME?</v>
      </c>
      <c r="BG441" s="37" t="e">
        <f t="shared" ca="1" si="383"/>
        <v>#NAME?</v>
      </c>
      <c r="BH441" s="173" t="e">
        <f t="shared" ca="1" si="410"/>
        <v>#NAME?</v>
      </c>
      <c r="BI441">
        <v>-257.94553373075382</v>
      </c>
      <c r="BP441" s="129">
        <v>145.9</v>
      </c>
      <c r="BQ441" s="9">
        <v>5.96875</v>
      </c>
      <c r="BR441" s="129" t="e">
        <f t="shared" ca="1" si="411"/>
        <v>#NAME?</v>
      </c>
      <c r="BS441" s="36" t="e">
        <f t="shared" ca="1" si="431"/>
        <v>#NAME?</v>
      </c>
      <c r="BT441" s="37" t="e">
        <f t="shared" ca="1" si="412"/>
        <v>#NAME?</v>
      </c>
      <c r="BU441" s="36" t="e">
        <f t="shared" ca="1" si="384"/>
        <v>#NAME?</v>
      </c>
      <c r="BV441" s="37" t="e">
        <f t="shared" ca="1" si="413"/>
        <v>#NAME?</v>
      </c>
      <c r="BW441" s="37" t="e">
        <f t="shared" ca="1" si="414"/>
        <v>#NAME?</v>
      </c>
      <c r="BX441" s="37" t="e">
        <f t="shared" ca="1" si="415"/>
        <v>#NAME?</v>
      </c>
      <c r="BY441" s="39" t="e">
        <f t="shared" ca="1" si="416"/>
        <v>#NAME?</v>
      </c>
      <c r="BZ441" s="39" t="e">
        <f ca="1">BZ440+(1000*$C$2*($B441-$B440))/(BerechnungenCLT!$W$47*2*BT441)</f>
        <v>#NAME?</v>
      </c>
      <c r="CA441" s="37" t="e">
        <f t="shared" ca="1" si="385"/>
        <v>#NAME?</v>
      </c>
      <c r="CB441" s="173" t="e">
        <f t="shared" ca="1" si="417"/>
        <v>#NAME?</v>
      </c>
      <c r="CC441" s="9">
        <v>-257.93664185835411</v>
      </c>
      <c r="CJ441" s="9">
        <f t="shared" si="433"/>
        <v>390.3</v>
      </c>
      <c r="CK441" s="129">
        <v>146</v>
      </c>
      <c r="CL441" s="9">
        <v>3.78125</v>
      </c>
      <c r="CM441" s="129">
        <f t="shared" si="418"/>
        <v>149.78125</v>
      </c>
      <c r="CN441" s="36">
        <f t="shared" si="432"/>
        <v>7.7651201211073589E-3</v>
      </c>
      <c r="CO441" s="173">
        <f t="shared" si="419"/>
        <v>1229.4836106886744</v>
      </c>
      <c r="CP441" s="9">
        <v>-630.4569535830683</v>
      </c>
      <c r="CQ441" s="129"/>
      <c r="CR441" s="36">
        <f t="shared" si="420"/>
        <v>0.61396779739017848</v>
      </c>
      <c r="CS441" s="17">
        <f t="shared" si="386"/>
        <v>0.4413697965869538</v>
      </c>
      <c r="CT441" s="9">
        <f t="shared" si="387"/>
        <v>5.1402475147685731</v>
      </c>
      <c r="CU441" s="9">
        <f t="shared" si="421"/>
        <v>151.14024751476856</v>
      </c>
      <c r="CV441" s="9">
        <v>7.2</v>
      </c>
      <c r="CW441" s="9">
        <f t="shared" si="422"/>
        <v>153.19999999999999</v>
      </c>
      <c r="CX441">
        <f t="shared" si="423"/>
        <v>12</v>
      </c>
      <c r="CY441" s="9">
        <f t="shared" si="388"/>
        <v>366.29307657350756</v>
      </c>
      <c r="CZ441" s="17">
        <f t="shared" si="424"/>
        <v>0.34490873500330282</v>
      </c>
      <c r="DA441">
        <v>45</v>
      </c>
      <c r="DB441" s="9">
        <f t="shared" si="425"/>
        <v>5.9110659246575343</v>
      </c>
      <c r="DC441" s="9">
        <f t="shared" si="426"/>
        <v>8.4765718432636934</v>
      </c>
    </row>
    <row r="442" spans="1:114" x14ac:dyDescent="0.25">
      <c r="B442" s="132">
        <f t="shared" si="427"/>
        <v>391</v>
      </c>
      <c r="C442" s="132" t="e" cm="1">
        <f t="array" aca="1" ref="C442" ca="1">_xll.SRS1Splines.Functions25.Bessel_Spline(C$23:C$34,D$23:D$34,B442)</f>
        <v>#NAME?</v>
      </c>
      <c r="AB442" s="180" t="e" cm="1">
        <f t="array" aca="1" ref="AB442" ca="1">_xll.SRS1Splines.Functions25.Bessel_Spline(AB$23:AB$34,AC$23:AC$34,$B442)</f>
        <v>#NAME?</v>
      </c>
      <c r="AC442" s="9"/>
      <c r="AV442" s="180" t="e" cm="1">
        <f t="array" aca="1" ref="AV442" ca="1">_xll.SRS1Splines.Functions25.Bessel_Spline(AV$23:AV$34,AW$23:AW$34,$B442)</f>
        <v>#NAME?</v>
      </c>
      <c r="BP442" s="180" t="e" cm="1">
        <f t="array" aca="1" ref="BP442" ca="1">_xll.SRS1Splines.Functions25.Bessel_Spline(BP$23:BP$34,BQ$23:BQ$34,$B442)</f>
        <v>#NAME?</v>
      </c>
      <c r="CJ442" s="132">
        <f t="shared" si="433"/>
        <v>391</v>
      </c>
      <c r="CK442" s="129">
        <v>146</v>
      </c>
    </row>
    <row r="443" spans="1:114" x14ac:dyDescent="0.25">
      <c r="CK443" s="129"/>
      <c r="CL443" s="9"/>
      <c r="CM443" s="129"/>
      <c r="CR443" s="36"/>
    </row>
    <row r="444" spans="1:114" x14ac:dyDescent="0.25">
      <c r="CK444" s="129"/>
    </row>
    <row r="445" spans="1:114" x14ac:dyDescent="0.25">
      <c r="A445" t="s">
        <v>394</v>
      </c>
      <c r="BP445" t="s">
        <v>395</v>
      </c>
      <c r="CK445" t="s">
        <v>449</v>
      </c>
      <c r="CR445" s="251" t="s">
        <v>475</v>
      </c>
      <c r="CS445" s="251"/>
    </row>
    <row r="446" spans="1:114" x14ac:dyDescent="0.25">
      <c r="B446" t="s">
        <v>259</v>
      </c>
      <c r="C446" t="s">
        <v>390</v>
      </c>
      <c r="D446" t="s">
        <v>391</v>
      </c>
      <c r="E446" t="s">
        <v>392</v>
      </c>
      <c r="F446" t="s">
        <v>393</v>
      </c>
      <c r="BQ446" t="s">
        <v>259</v>
      </c>
      <c r="BR446" t="s">
        <v>390</v>
      </c>
      <c r="BS446" t="s">
        <v>391</v>
      </c>
      <c r="BT446" t="s">
        <v>392</v>
      </c>
      <c r="BU446" t="s">
        <v>393</v>
      </c>
      <c r="CL446" s="117" t="s">
        <v>259</v>
      </c>
      <c r="CM446" s="117" t="s">
        <v>390</v>
      </c>
      <c r="CN446" s="117" t="s">
        <v>391</v>
      </c>
      <c r="CO446" s="117" t="s">
        <v>392</v>
      </c>
      <c r="CP446" s="117" t="s">
        <v>393</v>
      </c>
      <c r="CQ446" s="117" t="s">
        <v>467</v>
      </c>
      <c r="CR446" s="117" t="s">
        <v>392</v>
      </c>
      <c r="CS446" s="117" t="s">
        <v>393</v>
      </c>
    </row>
    <row r="447" spans="1:114" x14ac:dyDescent="0.25">
      <c r="B447" s="125">
        <v>0</v>
      </c>
      <c r="C447" s="125">
        <f ca="1">OFFSET(C$51,B447,0)</f>
        <v>85.5</v>
      </c>
      <c r="D447" s="125">
        <f ca="1">OFFSET(D$51,$B447,0)</f>
        <v>0</v>
      </c>
      <c r="E447" s="125">
        <f ca="1">F447-C447</f>
        <v>0</v>
      </c>
      <c r="F447" s="125">
        <f ca="1">OFFSET(E$51,B447,0)</f>
        <v>85.5</v>
      </c>
      <c r="BQ447" s="125">
        <v>0</v>
      </c>
      <c r="BR447" s="125">
        <f ca="1">OFFSET(BP$51,BQ447,0)</f>
        <v>85.5</v>
      </c>
      <c r="BS447" s="125">
        <f ca="1">OFFSET(BQ$51,$B447,0)</f>
        <v>15.25</v>
      </c>
      <c r="BT447" s="125">
        <f ca="1">BU447-BR447</f>
        <v>15.250000083194138</v>
      </c>
      <c r="BU447" s="125">
        <f ca="1">OFFSET(BR$51,BQ447,0)</f>
        <v>100.75000008319414</v>
      </c>
      <c r="CL447" s="214">
        <v>0</v>
      </c>
      <c r="CM447" s="214">
        <f ca="1">OFFSET(CK$51,CL447,0)</f>
        <v>85.5</v>
      </c>
      <c r="CN447" s="214">
        <f ca="1">OFFSET(CT$51,$B447,0)</f>
        <v>10.09375</v>
      </c>
      <c r="CO447" s="214">
        <f ca="1">CP447-CM447</f>
        <v>10.093751358015808</v>
      </c>
      <c r="CP447" s="214">
        <f ca="1">OFFSET(CU$51,CL447,0)</f>
        <v>95.593751358015808</v>
      </c>
      <c r="CQ447" s="215">
        <f ca="1">OFFSET(CS$51,CL447,0)</f>
        <v>0.6</v>
      </c>
      <c r="CR447" s="214">
        <f ca="1">CS447-CM447</f>
        <v>13.200001775931511</v>
      </c>
      <c r="CS447" s="214">
        <f ca="1">OFFSET(CW$51,CL447,0)</f>
        <v>98.700001775931511</v>
      </c>
      <c r="CV447" t="s">
        <v>259</v>
      </c>
      <c r="CW447" t="s">
        <v>476</v>
      </c>
      <c r="CX447" t="s">
        <v>469</v>
      </c>
      <c r="CY447" t="s">
        <v>470</v>
      </c>
      <c r="CZ447" t="s">
        <v>471</v>
      </c>
      <c r="DB447" t="s">
        <v>472</v>
      </c>
      <c r="DC447" t="s">
        <v>473</v>
      </c>
      <c r="DI447" t="s">
        <v>259</v>
      </c>
      <c r="DJ447" t="s">
        <v>468</v>
      </c>
    </row>
    <row r="448" spans="1:114" x14ac:dyDescent="0.25">
      <c r="B448" s="9">
        <v>13</v>
      </c>
      <c r="C448" s="9">
        <f t="shared" ref="C448:C477" ca="1" si="434">OFFSET(C$51,B448,0)</f>
        <v>85.496890583656366</v>
      </c>
      <c r="D448" s="9">
        <f t="shared" ref="D448:D477" ca="1" si="435">OFFSET(D$51,$B448,0)</f>
        <v>0</v>
      </c>
      <c r="E448" s="9">
        <f t="shared" ref="E448:E477" ca="1" si="436">F448-C448</f>
        <v>0</v>
      </c>
      <c r="F448" s="9">
        <f t="shared" ref="F448:F477" ca="1" si="437">OFFSET(E$51,B448,0)</f>
        <v>85.496890583656366</v>
      </c>
      <c r="BQ448" s="9">
        <v>13</v>
      </c>
      <c r="BR448" s="9">
        <f t="shared" ref="BR448:BR477" ca="1" si="438">OFFSET(BP$51,BQ448,0)</f>
        <v>85.499660523437228</v>
      </c>
      <c r="BS448" s="9">
        <f t="shared" ref="BS448:BS477" ca="1" si="439">OFFSET(BQ$51,$B448,0)</f>
        <v>15.25</v>
      </c>
      <c r="BT448" s="9">
        <f t="shared" ref="BT448:BT477" ca="1" si="440">BU448-BR448</f>
        <v>15.250000171912887</v>
      </c>
      <c r="BU448" s="9">
        <f t="shared" ref="BU448:BU477" ca="1" si="441">OFFSET(BR$51,BQ448,0)</f>
        <v>100.74966069535012</v>
      </c>
      <c r="CL448" s="216">
        <v>13</v>
      </c>
      <c r="CM448" s="216">
        <f t="shared" ref="CM448:CM456" ca="1" si="442">OFFSET(CK$51,CL448,0)</f>
        <v>85.493860157360587</v>
      </c>
      <c r="CN448" s="216">
        <f t="shared" ref="CN448:CN456" ca="1" si="443">OFFSET(CT$51,$B448,0)</f>
        <v>10.093375122708235</v>
      </c>
      <c r="CO448" s="216">
        <f t="shared" ref="CO448:CO456" ca="1" si="444">CP448-CM448</f>
        <v>10.093375805477692</v>
      </c>
      <c r="CP448" s="216">
        <f t="shared" ref="CP448:CP456" ca="1" si="445">OFFSET(CU$51,CL448,0)</f>
        <v>95.587235962838278</v>
      </c>
      <c r="CQ448" s="217">
        <f t="shared" ref="CQ448:CQ456" ca="1" si="446">OFFSET(CS$51,CL448,0)</f>
        <v>0.60002228455519824</v>
      </c>
      <c r="CR448" s="216">
        <f t="shared" ref="CR448:CR456" ca="1" si="447">CS448-CM448</f>
        <v>13.200000892918055</v>
      </c>
      <c r="CS448" s="216">
        <f t="shared" ref="CS448:CS456" ca="1" si="448">OFFSET(CW$51,CL448,0)</f>
        <v>98.693861050278642</v>
      </c>
      <c r="CV448">
        <v>0</v>
      </c>
      <c r="CX448" s="17"/>
      <c r="DI448">
        <f>CV449</f>
        <v>120</v>
      </c>
      <c r="DJ448">
        <v>0</v>
      </c>
    </row>
    <row r="449" spans="2:114" x14ac:dyDescent="0.25">
      <c r="B449" s="126">
        <v>26</v>
      </c>
      <c r="C449" s="126">
        <f t="shared" ca="1" si="434"/>
        <v>85.531815640393148</v>
      </c>
      <c r="D449" s="126">
        <f t="shared" ca="1" si="435"/>
        <v>0</v>
      </c>
      <c r="E449" s="126">
        <f t="shared" ca="1" si="436"/>
        <v>0</v>
      </c>
      <c r="F449" s="126">
        <f t="shared" ca="1" si="437"/>
        <v>85.531815640393148</v>
      </c>
      <c r="BQ449" s="126">
        <v>26</v>
      </c>
      <c r="BR449" s="126">
        <f t="shared" ca="1" si="438"/>
        <v>85.501744014209834</v>
      </c>
      <c r="BS449" s="126">
        <f t="shared" ca="1" si="439"/>
        <v>15.25</v>
      </c>
      <c r="BT449" s="126">
        <f t="shared" ca="1" si="440"/>
        <v>15.250000414511589</v>
      </c>
      <c r="BU449" s="126">
        <f t="shared" ca="1" si="441"/>
        <v>100.75174442872142</v>
      </c>
      <c r="CL449" s="218">
        <v>26</v>
      </c>
      <c r="CM449" s="218">
        <f t="shared" ca="1" si="442"/>
        <v>85.491363737825893</v>
      </c>
      <c r="CN449" s="218">
        <f t="shared" ca="1" si="443"/>
        <v>10.093222680625868</v>
      </c>
      <c r="CO449" s="218">
        <f t="shared" ca="1" si="444"/>
        <v>10.09322270088262</v>
      </c>
      <c r="CP449" s="218">
        <f t="shared" ca="1" si="445"/>
        <v>95.584586438708513</v>
      </c>
      <c r="CQ449" s="219">
        <f t="shared" ca="1" si="446"/>
        <v>0.60003134693788995</v>
      </c>
      <c r="CR449" s="218">
        <f t="shared" ca="1" si="447"/>
        <v>13.200000026491949</v>
      </c>
      <c r="CS449" s="218">
        <f t="shared" ca="1" si="448"/>
        <v>98.691363764317842</v>
      </c>
      <c r="CU449">
        <v>1</v>
      </c>
      <c r="CV449">
        <v>120</v>
      </c>
      <c r="CW449" s="17">
        <f>AVERAGEIFS($CR$51:$CR$441,$CJ$51:$CJ$441,"&gt;"&amp;CV448,$CJ$51:$CJ$441,"&lt;"&amp;CV449)</f>
        <v>0.83473247141427276</v>
      </c>
      <c r="CX449" s="17">
        <f t="shared" ref="CX449:CX454" si="449">AVERAGEIFS($CS$51:$CS$441,$CJ$51:$CJ$441,"&gt;"&amp;CV448,$CJ$51:$CJ$441,"&lt;"&amp;CV449)</f>
        <v>0.6000733306839986</v>
      </c>
      <c r="CY449" s="17" t="e">
        <f t="shared" ref="CY449:CY454" ca="1" si="450">_xlfn.MINIFS($CS$51:$CS$441,$CJ$51:$CJ$441,"&gt;"&amp;CV448,$CJ$51:$CJ$441,"&lt;"&amp;CV449)</f>
        <v>#NAME?</v>
      </c>
      <c r="CZ449" s="17" t="e">
        <f t="shared" ref="CZ449:CZ454" ca="1" si="451">_xlfn.MAXIFS($CS$51:$CS$441,$CJ$51:$CJ$441,"&gt;"&amp;CV448,$CJ$51:$CJ$441,"&lt;"&amp;CV449)</f>
        <v>#NAME?</v>
      </c>
      <c r="DB449" s="17" t="e">
        <f ca="1">CX449-CY449</f>
        <v>#NAME?</v>
      </c>
      <c r="DC449" s="17" t="e">
        <f ca="1">CZ449-CX449</f>
        <v>#NAME?</v>
      </c>
      <c r="DI449">
        <f>CV449</f>
        <v>120</v>
      </c>
      <c r="DJ449">
        <v>160</v>
      </c>
    </row>
    <row r="450" spans="2:114" x14ac:dyDescent="0.25">
      <c r="B450" s="9">
        <v>39</v>
      </c>
      <c r="C450" s="9">
        <f t="shared" ca="1" si="434"/>
        <v>85.527707843130671</v>
      </c>
      <c r="D450" s="9">
        <f t="shared" ca="1" si="435"/>
        <v>0</v>
      </c>
      <c r="E450" s="9">
        <f t="shared" ca="1" si="436"/>
        <v>0</v>
      </c>
      <c r="F450" s="9">
        <f t="shared" ca="1" si="437"/>
        <v>85.527707843130671</v>
      </c>
      <c r="BQ450" s="9">
        <v>39</v>
      </c>
      <c r="BR450" s="9">
        <f t="shared" ca="1" si="438"/>
        <v>85.493050056742391</v>
      </c>
      <c r="BS450" s="9">
        <f t="shared" ca="1" si="439"/>
        <v>15.25</v>
      </c>
      <c r="BT450" s="9">
        <f t="shared" ca="1" si="440"/>
        <v>15.250000039322231</v>
      </c>
      <c r="BU450" s="9">
        <f t="shared" ca="1" si="441"/>
        <v>100.74305009606462</v>
      </c>
      <c r="CL450" s="216">
        <v>39</v>
      </c>
      <c r="CM450" s="216">
        <f t="shared" ca="1" si="442"/>
        <v>85.496154164500595</v>
      </c>
      <c r="CN450" s="216">
        <f t="shared" ca="1" si="443"/>
        <v>10.093515312890228</v>
      </c>
      <c r="CO450" s="216">
        <f t="shared" ca="1" si="444"/>
        <v>10.093518342481502</v>
      </c>
      <c r="CP450" s="216">
        <f t="shared" ca="1" si="445"/>
        <v>95.589672506982097</v>
      </c>
      <c r="CQ450" s="217">
        <f t="shared" ca="1" si="446"/>
        <v>0.60001395076556563</v>
      </c>
      <c r="CR450" s="216">
        <f t="shared" ca="1" si="447"/>
        <v>13.200003962009632</v>
      </c>
      <c r="CS450" s="216">
        <f t="shared" ca="1" si="448"/>
        <v>98.696158126510227</v>
      </c>
      <c r="CU450">
        <v>2</v>
      </c>
      <c r="CV450">
        <v>156</v>
      </c>
      <c r="CW450" s="17">
        <f t="shared" ref="CW450:CW454" si="452">AVERAGEIFS($CR$51:$CR$441,$CJ$51:$CJ$441,"&gt;"&amp;CV449,$CJ$51:$CJ$441,"&lt;"&amp;CV450)</f>
        <v>0.82496152115219301</v>
      </c>
      <c r="CX450" s="17">
        <f t="shared" si="449"/>
        <v>0.59304917999080742</v>
      </c>
      <c r="CY450" s="17" t="e">
        <f t="shared" ca="1" si="450"/>
        <v>#NAME?</v>
      </c>
      <c r="CZ450" s="17" t="e">
        <f t="shared" ca="1" si="451"/>
        <v>#NAME?</v>
      </c>
      <c r="DB450" s="17" t="e">
        <f t="shared" ref="DB450:DB454" ca="1" si="453">CX450-CY450</f>
        <v>#NAME?</v>
      </c>
      <c r="DC450" s="17" t="e">
        <f t="shared" ref="DC450:DC454" ca="1" si="454">CZ450-CX450</f>
        <v>#NAME?</v>
      </c>
      <c r="DI450">
        <f>CV450</f>
        <v>156</v>
      </c>
      <c r="DJ450">
        <v>0</v>
      </c>
    </row>
    <row r="451" spans="2:114" x14ac:dyDescent="0.25">
      <c r="B451" s="127">
        <v>52</v>
      </c>
      <c r="C451" s="127">
        <f t="shared" ca="1" si="434"/>
        <v>85.412952560576713</v>
      </c>
      <c r="D451" s="127">
        <f t="shared" ca="1" si="435"/>
        <v>0</v>
      </c>
      <c r="E451" s="127">
        <f t="shared" ca="1" si="436"/>
        <v>0</v>
      </c>
      <c r="F451" s="127">
        <f t="shared" ca="1" si="437"/>
        <v>85.412952560576713</v>
      </c>
      <c r="BQ451" s="127">
        <v>52</v>
      </c>
      <c r="BR451" s="127">
        <f t="shared" ca="1" si="438"/>
        <v>85.533367338691193</v>
      </c>
      <c r="BS451" s="127">
        <f t="shared" ca="1" si="439"/>
        <v>15.25</v>
      </c>
      <c r="BT451" s="127">
        <f t="shared" ca="1" si="440"/>
        <v>15.250361128574042</v>
      </c>
      <c r="BU451" s="127">
        <f t="shared" ca="1" si="441"/>
        <v>100.78372846726523</v>
      </c>
      <c r="CL451" s="220">
        <v>52</v>
      </c>
      <c r="CM451" s="220">
        <f t="shared" ca="1" si="442"/>
        <v>85.510795327717631</v>
      </c>
      <c r="CN451" s="220">
        <f t="shared" ca="1" si="443"/>
        <v>10.077831080111912</v>
      </c>
      <c r="CO451" s="220">
        <f t="shared" ca="1" si="444"/>
        <v>10.077840236803169</v>
      </c>
      <c r="CP451" s="220">
        <f t="shared" ca="1" si="445"/>
        <v>95.5886355645208</v>
      </c>
      <c r="CQ451" s="221">
        <f t="shared" ca="1" si="446"/>
        <v>0.60001749899670387</v>
      </c>
      <c r="CR451" s="220">
        <f t="shared" ca="1" si="447"/>
        <v>13.200011993485859</v>
      </c>
      <c r="CS451" s="220">
        <f t="shared" ca="1" si="448"/>
        <v>98.71080732120349</v>
      </c>
      <c r="CU451">
        <v>3</v>
      </c>
      <c r="CV451">
        <v>215</v>
      </c>
      <c r="CW451" s="17">
        <f t="shared" si="452"/>
        <v>0.72620467746265871</v>
      </c>
      <c r="CX451" s="17">
        <f t="shared" si="449"/>
        <v>0.52205475944285307</v>
      </c>
      <c r="CY451" s="17" t="e">
        <f t="shared" ca="1" si="450"/>
        <v>#NAME?</v>
      </c>
      <c r="CZ451" s="17" t="e">
        <f t="shared" ca="1" si="451"/>
        <v>#NAME?</v>
      </c>
      <c r="DB451" s="17" t="e">
        <f t="shared" ca="1" si="453"/>
        <v>#NAME?</v>
      </c>
      <c r="DC451" s="17" t="e">
        <f t="shared" ca="1" si="454"/>
        <v>#NAME?</v>
      </c>
      <c r="DI451">
        <f>CV450</f>
        <v>156</v>
      </c>
      <c r="DJ451">
        <v>160</v>
      </c>
    </row>
    <row r="452" spans="2:114" x14ac:dyDescent="0.25">
      <c r="B452" s="9">
        <v>65</v>
      </c>
      <c r="C452" s="9">
        <f t="shared" ca="1" si="434"/>
        <v>85.768588228504981</v>
      </c>
      <c r="D452" s="9">
        <f t="shared" ca="1" si="435"/>
        <v>0</v>
      </c>
      <c r="E452" s="9">
        <f t="shared" ca="1" si="436"/>
        <v>0</v>
      </c>
      <c r="F452" s="9">
        <f t="shared" ca="1" si="437"/>
        <v>85.768588228504981</v>
      </c>
      <c r="BQ452" s="9">
        <v>65</v>
      </c>
      <c r="BR452" s="9">
        <f t="shared" ca="1" si="438"/>
        <v>85.653605142421668</v>
      </c>
      <c r="BS452" s="9">
        <f t="shared" ca="1" si="439"/>
        <v>15.1875</v>
      </c>
      <c r="BT452" s="9">
        <f t="shared" ca="1" si="440"/>
        <v>15.188486787027088</v>
      </c>
      <c r="BU452" s="9">
        <f t="shared" ca="1" si="441"/>
        <v>100.84209192944876</v>
      </c>
      <c r="CL452" s="216">
        <v>65</v>
      </c>
      <c r="CM452" s="216">
        <f t="shared" ca="1" si="442"/>
        <v>85.525301549338209</v>
      </c>
      <c r="CN452" s="216">
        <f t="shared" ca="1" si="443"/>
        <v>10.078714892217397</v>
      </c>
      <c r="CO452" s="216">
        <f t="shared" ca="1" si="444"/>
        <v>10.078716667165722</v>
      </c>
      <c r="CP452" s="216">
        <f t="shared" ca="1" si="445"/>
        <v>95.604018216503931</v>
      </c>
      <c r="CQ452" s="217">
        <f t="shared" ca="1" si="446"/>
        <v>0.599964882890902</v>
      </c>
      <c r="CR452" s="216">
        <f t="shared" ca="1" si="447"/>
        <v>13.200002324633459</v>
      </c>
      <c r="CS452" s="216">
        <f t="shared" ca="1" si="448"/>
        <v>98.725303873971669</v>
      </c>
      <c r="CU452">
        <v>4</v>
      </c>
      <c r="CV452">
        <v>255</v>
      </c>
      <c r="CW452" s="17">
        <f t="shared" si="452"/>
        <v>0.81749539772236779</v>
      </c>
      <c r="CX452" s="17">
        <f t="shared" si="449"/>
        <v>0.58768192556228083</v>
      </c>
      <c r="CY452" s="17" t="e">
        <f t="shared" ca="1" si="450"/>
        <v>#NAME?</v>
      </c>
      <c r="CZ452" s="17" t="e">
        <f t="shared" ca="1" si="451"/>
        <v>#NAME?</v>
      </c>
      <c r="DB452" s="17" t="e">
        <f t="shared" ca="1" si="453"/>
        <v>#NAME?</v>
      </c>
      <c r="DC452" s="17" t="e">
        <f t="shared" ca="1" si="454"/>
        <v>#NAME?</v>
      </c>
      <c r="DI452">
        <f>CV451</f>
        <v>215</v>
      </c>
      <c r="DJ452">
        <v>0</v>
      </c>
    </row>
    <row r="453" spans="2:114" x14ac:dyDescent="0.25">
      <c r="B453" s="128">
        <v>78</v>
      </c>
      <c r="C453" s="128">
        <f t="shared" ca="1" si="434"/>
        <v>86.963485282946351</v>
      </c>
      <c r="D453" s="128">
        <f t="shared" ca="1" si="435"/>
        <v>0</v>
      </c>
      <c r="E453" s="128">
        <f t="shared" ca="1" si="436"/>
        <v>0</v>
      </c>
      <c r="F453" s="128">
        <f t="shared" ca="1" si="437"/>
        <v>86.963485282946351</v>
      </c>
      <c r="BQ453" s="128">
        <v>78</v>
      </c>
      <c r="BR453" s="128">
        <f t="shared" ca="1" si="438"/>
        <v>85.812146533389637</v>
      </c>
      <c r="BS453" s="128">
        <f t="shared" ca="1" si="439"/>
        <v>15.1875</v>
      </c>
      <c r="BT453" s="128">
        <f t="shared" ca="1" si="440"/>
        <v>15.188688941062154</v>
      </c>
      <c r="BU453" s="128">
        <f t="shared" ca="1" si="441"/>
        <v>101.00083547445179</v>
      </c>
      <c r="CL453" s="222">
        <v>78</v>
      </c>
      <c r="CM453" s="222">
        <f t="shared" ca="1" si="442"/>
        <v>85.521590655435276</v>
      </c>
      <c r="CN453" s="222">
        <f t="shared" ca="1" si="443"/>
        <v>10.078489319423335</v>
      </c>
      <c r="CO453" s="222">
        <f t="shared" ca="1" si="444"/>
        <v>10.078501620570279</v>
      </c>
      <c r="CP453" s="222">
        <f t="shared" ca="1" si="445"/>
        <v>95.600092276005554</v>
      </c>
      <c r="CQ453" s="223">
        <f t="shared" ca="1" si="446"/>
        <v>0.59997831106953903</v>
      </c>
      <c r="CR453" s="222">
        <f t="shared" ca="1" si="447"/>
        <v>13.200016111059355</v>
      </c>
      <c r="CS453" s="222">
        <f t="shared" ca="1" si="448"/>
        <v>98.721606766494631</v>
      </c>
      <c r="CU453">
        <v>5</v>
      </c>
      <c r="CV453">
        <v>290</v>
      </c>
      <c r="CW453" s="17">
        <f t="shared" si="452"/>
        <v>0.69020614034850869</v>
      </c>
      <c r="CX453" s="17">
        <f t="shared" si="449"/>
        <v>0.49617609435481619</v>
      </c>
      <c r="CY453" s="17" t="e">
        <f t="shared" ca="1" si="450"/>
        <v>#NAME?</v>
      </c>
      <c r="CZ453" s="17" t="e">
        <f t="shared" ca="1" si="451"/>
        <v>#NAME?</v>
      </c>
      <c r="DB453" s="17" t="e">
        <f t="shared" ca="1" si="453"/>
        <v>#NAME?</v>
      </c>
      <c r="DC453" s="17" t="e">
        <f t="shared" ca="1" si="454"/>
        <v>#NAME?</v>
      </c>
      <c r="DI453">
        <f>CV451</f>
        <v>215</v>
      </c>
      <c r="DJ453">
        <v>160</v>
      </c>
    </row>
    <row r="454" spans="2:114" x14ac:dyDescent="0.25">
      <c r="B454" s="9">
        <v>91</v>
      </c>
      <c r="C454" s="9">
        <f t="shared" ca="1" si="434"/>
        <v>88.794913391052489</v>
      </c>
      <c r="D454" s="9">
        <f t="shared" ca="1" si="435"/>
        <v>0</v>
      </c>
      <c r="E454" s="9">
        <f t="shared" ca="1" si="436"/>
        <v>0</v>
      </c>
      <c r="F454" s="9">
        <f t="shared" ca="1" si="437"/>
        <v>88.794913391052489</v>
      </c>
      <c r="BQ454" s="9">
        <v>91</v>
      </c>
      <c r="BR454" s="9">
        <f t="shared" ca="1" si="438"/>
        <v>85.964735648838442</v>
      </c>
      <c r="BS454" s="9">
        <f t="shared" ca="1" si="439"/>
        <v>15.125</v>
      </c>
      <c r="BT454" s="9">
        <f t="shared" ca="1" si="440"/>
        <v>15.125790183093869</v>
      </c>
      <c r="BU454" s="9">
        <f t="shared" ca="1" si="441"/>
        <v>101.09052583193231</v>
      </c>
      <c r="CL454" s="216">
        <v>91</v>
      </c>
      <c r="CM454" s="216">
        <f t="shared" ca="1" si="442"/>
        <v>85.481985296871201</v>
      </c>
      <c r="CN454" s="216">
        <f t="shared" ca="1" si="443"/>
        <v>10.076081230161336</v>
      </c>
      <c r="CO454" s="216">
        <f t="shared" ca="1" si="444"/>
        <v>10.07619030653504</v>
      </c>
      <c r="CP454" s="216">
        <f t="shared" ca="1" si="445"/>
        <v>95.558175603406241</v>
      </c>
      <c r="CQ454" s="217">
        <f t="shared" ca="1" si="446"/>
        <v>0.60012170027962142</v>
      </c>
      <c r="CR454" s="216">
        <f t="shared" ca="1" si="447"/>
        <v>13.20014289366074</v>
      </c>
      <c r="CS454" s="216">
        <f t="shared" ca="1" si="448"/>
        <v>98.682128190531941</v>
      </c>
      <c r="CU454">
        <v>6</v>
      </c>
      <c r="CV454">
        <v>390.3</v>
      </c>
      <c r="CW454" s="17">
        <f t="shared" si="452"/>
        <v>0.61477664535826582</v>
      </c>
      <c r="CX454" s="17">
        <f t="shared" si="449"/>
        <v>0.44195126203947721</v>
      </c>
      <c r="CY454" s="17" t="e">
        <f t="shared" ca="1" si="450"/>
        <v>#NAME?</v>
      </c>
      <c r="CZ454" s="17" t="e">
        <f t="shared" ca="1" si="451"/>
        <v>#NAME?</v>
      </c>
      <c r="DB454" s="17" t="e">
        <f t="shared" ca="1" si="453"/>
        <v>#NAME?</v>
      </c>
      <c r="DC454" s="17" t="e">
        <f t="shared" ca="1" si="454"/>
        <v>#NAME?</v>
      </c>
      <c r="DI454">
        <f>CV452</f>
        <v>255</v>
      </c>
      <c r="DJ454">
        <v>0</v>
      </c>
    </row>
    <row r="455" spans="2:114" x14ac:dyDescent="0.25">
      <c r="B455" s="125">
        <v>104</v>
      </c>
      <c r="C455" s="125">
        <f t="shared" ca="1" si="434"/>
        <v>91.019562861245703</v>
      </c>
      <c r="D455" s="125">
        <f t="shared" ca="1" si="435"/>
        <v>0</v>
      </c>
      <c r="E455" s="125">
        <f t="shared" ca="1" si="436"/>
        <v>0</v>
      </c>
      <c r="F455" s="125">
        <f t="shared" ca="1" si="437"/>
        <v>91.019562861245703</v>
      </c>
      <c r="BQ455" s="125">
        <v>104</v>
      </c>
      <c r="BR455" s="125">
        <f t="shared" ca="1" si="438"/>
        <v>86.075078034982994</v>
      </c>
      <c r="BS455" s="125">
        <f t="shared" ca="1" si="439"/>
        <v>15.125</v>
      </c>
      <c r="BT455" s="125">
        <f t="shared" ca="1" si="440"/>
        <v>15.125408266398182</v>
      </c>
      <c r="BU455" s="125">
        <f t="shared" ca="1" si="441"/>
        <v>101.20048630138118</v>
      </c>
      <c r="CL455" s="214">
        <v>104</v>
      </c>
      <c r="CM455" s="214">
        <f t="shared" ca="1" si="442"/>
        <v>85.42119410766125</v>
      </c>
      <c r="CN455" s="214">
        <f t="shared" ca="1" si="443"/>
        <v>10.088944286286578</v>
      </c>
      <c r="CO455" s="214">
        <f t="shared" ca="1" si="444"/>
        <v>10.089015131724736</v>
      </c>
      <c r="CP455" s="214">
        <f t="shared" ca="1" si="445"/>
        <v>95.510209239385986</v>
      </c>
      <c r="CQ455" s="215">
        <f t="shared" ca="1" si="446"/>
        <v>0.60028580078809357</v>
      </c>
      <c r="CR455" s="214">
        <f t="shared" ca="1" si="447"/>
        <v>13.200092691540078</v>
      </c>
      <c r="CS455" s="214">
        <f t="shared" ca="1" si="448"/>
        <v>98.621286799201329</v>
      </c>
      <c r="CU455">
        <v>7</v>
      </c>
      <c r="DI455">
        <f>CV452</f>
        <v>255</v>
      </c>
      <c r="DJ455">
        <v>160</v>
      </c>
    </row>
    <row r="456" spans="2:114" x14ac:dyDescent="0.25">
      <c r="B456" s="9">
        <v>117</v>
      </c>
      <c r="C456" s="9">
        <f t="shared" ca="1" si="434"/>
        <v>93.423667965070351</v>
      </c>
      <c r="D456" s="9">
        <f t="shared" ca="1" si="435"/>
        <v>0</v>
      </c>
      <c r="E456" s="9">
        <f t="shared" ca="1" si="436"/>
        <v>0</v>
      </c>
      <c r="F456" s="9">
        <f t="shared" ca="1" si="437"/>
        <v>93.423667965070351</v>
      </c>
      <c r="BQ456" s="9">
        <v>117</v>
      </c>
      <c r="BR456" s="9">
        <f t="shared" ca="1" si="438"/>
        <v>86.182767017517293</v>
      </c>
      <c r="BS456" s="9">
        <f t="shared" ca="1" si="439"/>
        <v>15.0625</v>
      </c>
      <c r="BT456" s="9">
        <f t="shared" ca="1" si="440"/>
        <v>15.063331805483315</v>
      </c>
      <c r="BU456" s="9">
        <f t="shared" ca="1" si="441"/>
        <v>101.24609882300061</v>
      </c>
      <c r="CL456" s="216">
        <v>117</v>
      </c>
      <c r="CM456" s="216">
        <f t="shared" ca="1" si="442"/>
        <v>85.404123995707735</v>
      </c>
      <c r="CN456" s="216">
        <f t="shared" ca="1" si="443"/>
        <v>10.087900299470542</v>
      </c>
      <c r="CO456" s="216">
        <f t="shared" ca="1" si="444"/>
        <v>10.087931394502263</v>
      </c>
      <c r="CP456" s="216">
        <f t="shared" ca="1" si="445"/>
        <v>95.492055390209998</v>
      </c>
      <c r="CQ456" s="217">
        <f t="shared" ca="1" si="446"/>
        <v>0.60034792377139756</v>
      </c>
      <c r="CR456" s="216">
        <f t="shared" ca="1" si="447"/>
        <v>13.200040687794939</v>
      </c>
      <c r="CS456" s="216">
        <f t="shared" ca="1" si="448"/>
        <v>98.604164683502674</v>
      </c>
      <c r="DI456">
        <f>CV453</f>
        <v>290</v>
      </c>
      <c r="DJ456">
        <v>0</v>
      </c>
    </row>
    <row r="457" spans="2:114" x14ac:dyDescent="0.25">
      <c r="B457" s="126">
        <v>130</v>
      </c>
      <c r="C457" s="126">
        <f t="shared" ca="1" si="434"/>
        <v>95.94243088534499</v>
      </c>
      <c r="D457" s="126">
        <f t="shared" ca="1" si="435"/>
        <v>0</v>
      </c>
      <c r="E457" s="126">
        <f t="shared" ca="1" si="436"/>
        <v>0</v>
      </c>
      <c r="F457" s="126">
        <f t="shared" ca="1" si="437"/>
        <v>95.94243088534499</v>
      </c>
      <c r="BQ457" s="126">
        <v>130</v>
      </c>
      <c r="BR457" s="126">
        <f t="shared" ca="1" si="438"/>
        <v>86.369453138773906</v>
      </c>
      <c r="BS457" s="126">
        <f t="shared" ca="1" si="439"/>
        <v>15</v>
      </c>
      <c r="BT457" s="126">
        <f t="shared" ca="1" si="440"/>
        <v>15.002995722111336</v>
      </c>
      <c r="BU457" s="126">
        <f t="shared" ca="1" si="441"/>
        <v>101.37244886088524</v>
      </c>
      <c r="CL457" s="218">
        <v>130</v>
      </c>
      <c r="CM457" s="218">
        <f t="shared" ref="CM457:CM477" ca="1" si="455">OFFSET(CK$51,CL457,0)</f>
        <v>85.5</v>
      </c>
      <c r="CN457" s="218">
        <f t="shared" ref="CN457:CN477" ca="1" si="456">OFFSET(CT$51,$B457,0)</f>
        <v>10.093815008029996</v>
      </c>
      <c r="CO457" s="218">
        <f t="shared" ref="CO457:CO461" ca="1" si="457">CP457-CM457</f>
        <v>10.094881184567811</v>
      </c>
      <c r="CP457" s="218">
        <f t="shared" ref="CP457:CP477" ca="1" si="458">OFFSET(CU$51,CL457,0)</f>
        <v>95.594881184567811</v>
      </c>
      <c r="CQ457" s="219">
        <f t="shared" ref="CQ457:CQ477" ca="1" si="459">OFFSET(CS$51,CL457,0)</f>
        <v>0.59999613577047262</v>
      </c>
      <c r="CR457" s="218">
        <f t="shared" ref="CR457:CR477" ca="1" si="460">CS457-CM457</f>
        <v>13.20139427265984</v>
      </c>
      <c r="CS457" s="218">
        <f t="shared" ref="CS457:CS477" ca="1" si="461">OFFSET(CW$51,CL457,0)</f>
        <v>98.70139427265984</v>
      </c>
      <c r="CT457" s="14"/>
      <c r="DI457">
        <f>CV453</f>
        <v>290</v>
      </c>
      <c r="DJ457">
        <v>160</v>
      </c>
    </row>
    <row r="458" spans="2:114" x14ac:dyDescent="0.25">
      <c r="B458" s="9">
        <v>143</v>
      </c>
      <c r="C458" s="9">
        <f t="shared" ca="1" si="434"/>
        <v>98.557900135301566</v>
      </c>
      <c r="D458" s="9">
        <f t="shared" ca="1" si="435"/>
        <v>0</v>
      </c>
      <c r="E458" s="9">
        <f t="shared" ca="1" si="436"/>
        <v>0</v>
      </c>
      <c r="F458" s="9">
        <f t="shared" ca="1" si="437"/>
        <v>98.557900135301566</v>
      </c>
      <c r="BQ458" s="9">
        <v>143</v>
      </c>
      <c r="BR458" s="9">
        <f t="shared" ca="1" si="438"/>
        <v>86.717234153525112</v>
      </c>
      <c r="BS458" s="9">
        <f t="shared" ca="1" si="439"/>
        <v>14.9375</v>
      </c>
      <c r="BT458" s="9">
        <f t="shared" ca="1" si="440"/>
        <v>14.947058042500274</v>
      </c>
      <c r="BU458" s="9">
        <f t="shared" ca="1" si="441"/>
        <v>101.66429219602539</v>
      </c>
      <c r="CL458" s="216">
        <v>143</v>
      </c>
      <c r="CM458" s="216">
        <f t="shared" ca="1" si="455"/>
        <v>86.868999855716353</v>
      </c>
      <c r="CN458" s="216">
        <f t="shared" ca="1" si="456"/>
        <v>9.8533323960034931</v>
      </c>
      <c r="CO458" s="216">
        <f t="shared" ca="1" si="457"/>
        <v>10.294399843118839</v>
      </c>
      <c r="CP458" s="216">
        <f t="shared" ca="1" si="458"/>
        <v>97.163399698835192</v>
      </c>
      <c r="CQ458" s="217">
        <f t="shared" ca="1" si="459"/>
        <v>0.59465922436317686</v>
      </c>
      <c r="CR458" s="216">
        <f t="shared" ca="1" si="460"/>
        <v>13.79087525599806</v>
      </c>
      <c r="CS458" s="216">
        <f t="shared" ca="1" si="461"/>
        <v>100.65987511171441</v>
      </c>
      <c r="CT458" s="14"/>
    </row>
    <row r="459" spans="2:114" x14ac:dyDescent="0.25">
      <c r="B459" s="127">
        <v>156</v>
      </c>
      <c r="C459" s="127">
        <f t="shared" ca="1" si="434"/>
        <v>101.25263077180854</v>
      </c>
      <c r="D459" s="127">
        <f t="shared" ca="1" si="435"/>
        <v>0</v>
      </c>
      <c r="E459" s="127">
        <f t="shared" ca="1" si="436"/>
        <v>0</v>
      </c>
      <c r="F459" s="127">
        <f t="shared" ca="1" si="437"/>
        <v>101.25263077180854</v>
      </c>
      <c r="BQ459" s="127">
        <v>156</v>
      </c>
      <c r="BR459" s="127">
        <f t="shared" ca="1" si="438"/>
        <v>87.307851268410289</v>
      </c>
      <c r="BS459" s="127">
        <f t="shared" ca="1" si="439"/>
        <v>14.75</v>
      </c>
      <c r="BT459" s="127">
        <f t="shared" ca="1" si="440"/>
        <v>14.774513687691282</v>
      </c>
      <c r="BU459" s="127">
        <f t="shared" ca="1" si="441"/>
        <v>102.08236495610157</v>
      </c>
      <c r="CL459" s="220">
        <v>156</v>
      </c>
      <c r="CM459" s="220">
        <f t="shared" ca="1" si="455"/>
        <v>94.776444541751104</v>
      </c>
      <c r="CN459" s="220">
        <f t="shared" ca="1" si="456"/>
        <v>8.7206164082058208</v>
      </c>
      <c r="CO459" s="220">
        <f t="shared" ca="1" si="457"/>
        <v>12.012236507227499</v>
      </c>
      <c r="CP459" s="220">
        <f t="shared" ca="1" si="458"/>
        <v>106.7886810489786</v>
      </c>
      <c r="CQ459" s="221">
        <f t="shared" ca="1" si="459"/>
        <v>0.56332027118834105</v>
      </c>
      <c r="CR459" s="220">
        <f t="shared" ca="1" si="460"/>
        <v>18.182375473619246</v>
      </c>
      <c r="CS459" s="220">
        <f t="shared" ca="1" si="461"/>
        <v>112.95882001537035</v>
      </c>
      <c r="CT459" s="14"/>
    </row>
    <row r="460" spans="2:114" x14ac:dyDescent="0.25">
      <c r="B460" s="9">
        <v>169</v>
      </c>
      <c r="C460" s="9">
        <f t="shared" ca="1" si="434"/>
        <v>104.02276225627942</v>
      </c>
      <c r="D460" s="9">
        <f t="shared" ca="1" si="435"/>
        <v>0</v>
      </c>
      <c r="E460" s="9">
        <f t="shared" ca="1" si="436"/>
        <v>0</v>
      </c>
      <c r="F460" s="9">
        <f t="shared" ca="1" si="437"/>
        <v>104.02276225627942</v>
      </c>
      <c r="BQ460" s="9">
        <v>169</v>
      </c>
      <c r="BR460" s="9">
        <f t="shared" ca="1" si="438"/>
        <v>88.213149828697851</v>
      </c>
      <c r="BS460" s="9">
        <f t="shared" ca="1" si="439"/>
        <v>14.5</v>
      </c>
      <c r="BT460" s="9">
        <f t="shared" ca="1" si="440"/>
        <v>14.55158464278972</v>
      </c>
      <c r="BU460" s="9">
        <f t="shared" ca="1" si="441"/>
        <v>102.76473447148757</v>
      </c>
      <c r="CL460" s="216">
        <v>169</v>
      </c>
      <c r="CM460" s="216">
        <f t="shared" ca="1" si="455"/>
        <v>108.39938593442109</v>
      </c>
      <c r="CN460" s="216">
        <f t="shared" ca="1" si="456"/>
        <v>7.3811114208745829</v>
      </c>
      <c r="CO460" s="216">
        <f t="shared" ca="1" si="457"/>
        <v>10.642299749468407</v>
      </c>
      <c r="CP460" s="216">
        <f t="shared" ca="1" si="458"/>
        <v>119.0416856838895</v>
      </c>
      <c r="CQ460" s="217">
        <f t="shared" ca="1" si="459"/>
        <v>0.52583544383619574</v>
      </c>
      <c r="CR460" s="216">
        <f t="shared" ca="1" si="460"/>
        <v>19.032141459847765</v>
      </c>
      <c r="CS460" s="216">
        <f t="shared" ca="1" si="461"/>
        <v>127.43152739426885</v>
      </c>
      <c r="CT460" s="14"/>
    </row>
    <row r="461" spans="2:114" x14ac:dyDescent="0.25">
      <c r="B461" s="128">
        <v>182</v>
      </c>
      <c r="C461" s="128">
        <f t="shared" ca="1" si="434"/>
        <v>106.87945280464379</v>
      </c>
      <c r="D461" s="128">
        <f t="shared" ca="1" si="435"/>
        <v>0</v>
      </c>
      <c r="E461" s="128">
        <f t="shared" ca="1" si="436"/>
        <v>0</v>
      </c>
      <c r="F461" s="128">
        <f t="shared" ca="1" si="437"/>
        <v>106.87945280464379</v>
      </c>
      <c r="BQ461" s="128">
        <v>182</v>
      </c>
      <c r="BR461" s="128">
        <f t="shared" ca="1" si="438"/>
        <v>89.49403443417367</v>
      </c>
      <c r="BS461" s="128">
        <f t="shared" ca="1" si="439"/>
        <v>14.1875</v>
      </c>
      <c r="BT461" s="128">
        <f t="shared" ca="1" si="440"/>
        <v>14.282335008807564</v>
      </c>
      <c r="BU461" s="128">
        <f t="shared" ca="1" si="441"/>
        <v>103.77636944298123</v>
      </c>
      <c r="CL461" s="222">
        <v>182</v>
      </c>
      <c r="CM461" s="222">
        <f t="shared" ca="1" si="455"/>
        <v>118.97761451184076</v>
      </c>
      <c r="CN461" s="222">
        <f t="shared" ca="1" si="456"/>
        <v>6.5985616591419189</v>
      </c>
      <c r="CO461" s="222">
        <f t="shared" ca="1" si="457"/>
        <v>7.1687796185460542</v>
      </c>
      <c r="CP461" s="222">
        <f t="shared" ca="1" si="458"/>
        <v>126.14639413038681</v>
      </c>
      <c r="CQ461" s="223">
        <f t="shared" ca="1" si="459"/>
        <v>0.50437128148815258</v>
      </c>
      <c r="CR461" s="222">
        <f t="shared" ca="1" si="460"/>
        <v>14.340684508677214</v>
      </c>
      <c r="CS461" s="222">
        <f t="shared" ca="1" si="461"/>
        <v>133.31829902051797</v>
      </c>
    </row>
    <row r="462" spans="2:114" x14ac:dyDescent="0.25">
      <c r="B462" s="9">
        <v>195</v>
      </c>
      <c r="C462" s="9">
        <f t="shared" ca="1" si="434"/>
        <v>109.83463785564346</v>
      </c>
      <c r="D462" s="9">
        <f t="shared" ca="1" si="435"/>
        <v>0</v>
      </c>
      <c r="E462" s="9">
        <f t="shared" ca="1" si="436"/>
        <v>0</v>
      </c>
      <c r="F462" s="9">
        <f t="shared" ca="1" si="437"/>
        <v>109.83463785564346</v>
      </c>
      <c r="BQ462" s="9">
        <v>195</v>
      </c>
      <c r="BR462" s="9">
        <f t="shared" ca="1" si="438"/>
        <v>91.210843499394244</v>
      </c>
      <c r="BS462" s="9">
        <f t="shared" ca="1" si="439"/>
        <v>13.75</v>
      </c>
      <c r="BT462" s="9">
        <f t="shared" ca="1" si="440"/>
        <v>13.907620123171625</v>
      </c>
      <c r="BU462" s="9">
        <f t="shared" ca="1" si="441"/>
        <v>105.11846362256587</v>
      </c>
      <c r="CL462" s="216">
        <v>195</v>
      </c>
      <c r="CM462" s="216">
        <f t="shared" ca="1" si="455"/>
        <v>117.54080546561491</v>
      </c>
      <c r="CN462" s="216">
        <f t="shared" ca="1" si="456"/>
        <v>6.6943103742807217</v>
      </c>
      <c r="CO462" s="216">
        <f t="shared" ref="CO462:CO477" ca="1" si="462">CP462-CM462</f>
        <v>8.3632658560192255</v>
      </c>
      <c r="CP462" s="216">
        <f t="shared" ca="1" si="458"/>
        <v>125.90407132163413</v>
      </c>
      <c r="CQ462" s="217">
        <f t="shared" ca="1" si="459"/>
        <v>0.50555991741922157</v>
      </c>
      <c r="CR462" s="216">
        <f t="shared" ca="1" si="460"/>
        <v>16.490886010243486</v>
      </c>
      <c r="CS462" s="216">
        <f t="shared" ca="1" si="461"/>
        <v>134.03169147585839</v>
      </c>
    </row>
    <row r="463" spans="2:114" x14ac:dyDescent="0.25">
      <c r="B463" s="125">
        <v>208</v>
      </c>
      <c r="C463" s="125">
        <f t="shared" ca="1" si="434"/>
        <v>112.89631305031629</v>
      </c>
      <c r="D463" s="125">
        <f t="shared" ca="1" si="435"/>
        <v>0</v>
      </c>
      <c r="E463" s="125">
        <f t="shared" ca="1" si="436"/>
        <v>0</v>
      </c>
      <c r="F463" s="125">
        <f t="shared" ca="1" si="437"/>
        <v>112.89631305031629</v>
      </c>
      <c r="BQ463" s="125">
        <v>208</v>
      </c>
      <c r="BR463" s="125">
        <f t="shared" ca="1" si="438"/>
        <v>93.452971182193949</v>
      </c>
      <c r="BS463" s="125">
        <f t="shared" ca="1" si="439"/>
        <v>13.125</v>
      </c>
      <c r="BT463" s="125">
        <f t="shared" ca="1" si="440"/>
        <v>13.397519944954126</v>
      </c>
      <c r="BU463" s="125">
        <f t="shared" ca="1" si="441"/>
        <v>106.85049112714808</v>
      </c>
      <c r="CL463" s="214">
        <v>208</v>
      </c>
      <c r="CM463" s="214">
        <f t="shared" ca="1" si="455"/>
        <v>103.67709920698373</v>
      </c>
      <c r="CN463" s="214">
        <f t="shared" ca="1" si="456"/>
        <v>7.7679927729883325</v>
      </c>
      <c r="CO463" s="214">
        <f t="shared" ca="1" si="462"/>
        <v>12.565404387505765</v>
      </c>
      <c r="CP463" s="214">
        <f t="shared" ca="1" si="458"/>
        <v>116.24250359448949</v>
      </c>
      <c r="CQ463" s="215">
        <f t="shared" ca="1" si="459"/>
        <v>0.53464583726721215</v>
      </c>
      <c r="CR463" s="214">
        <f t="shared" ca="1" si="460"/>
        <v>21.352148844915675</v>
      </c>
      <c r="CS463" s="214">
        <f t="shared" ca="1" si="461"/>
        <v>125.0292480518994</v>
      </c>
    </row>
    <row r="464" spans="2:114" x14ac:dyDescent="0.25">
      <c r="B464" s="9">
        <v>221</v>
      </c>
      <c r="C464" s="9">
        <f t="shared" ca="1" si="434"/>
        <v>116.0169705905621</v>
      </c>
      <c r="D464" s="9">
        <f t="shared" ca="1" si="435"/>
        <v>0</v>
      </c>
      <c r="E464" s="9">
        <f t="shared" ca="1" si="436"/>
        <v>0</v>
      </c>
      <c r="F464" s="9">
        <f t="shared" ca="1" si="437"/>
        <v>116.0169705905621</v>
      </c>
      <c r="BQ464" s="9">
        <v>221</v>
      </c>
      <c r="BR464" s="9">
        <f t="shared" ca="1" si="438"/>
        <v>96.719145773733587</v>
      </c>
      <c r="BS464" s="9">
        <f t="shared" ca="1" si="439"/>
        <v>12.375</v>
      </c>
      <c r="BT464" s="9">
        <f t="shared" ca="1" si="440"/>
        <v>12.980205145963211</v>
      </c>
      <c r="BU464" s="9">
        <f t="shared" ca="1" si="441"/>
        <v>109.6993509196968</v>
      </c>
      <c r="CL464" s="216">
        <v>221</v>
      </c>
      <c r="CM464" s="216">
        <f t="shared" ca="1" si="455"/>
        <v>88.552319873599487</v>
      </c>
      <c r="CN464" s="216">
        <f t="shared" ca="1" si="456"/>
        <v>9.5125979060704395</v>
      </c>
      <c r="CO464" s="216">
        <f t="shared" ca="1" si="462"/>
        <v>12.620808262427758</v>
      </c>
      <c r="CP464" s="216">
        <f t="shared" ca="1" si="458"/>
        <v>101.17312813602724</v>
      </c>
      <c r="CQ464" s="217">
        <f t="shared" ca="1" si="459"/>
        <v>0.58146576304568143</v>
      </c>
      <c r="CR464" s="216">
        <f t="shared" ca="1" si="460"/>
        <v>17.513056970245145</v>
      </c>
      <c r="CS464" s="216">
        <f t="shared" ca="1" si="461"/>
        <v>106.06537684384463</v>
      </c>
      <c r="CT464" s="14"/>
    </row>
    <row r="465" spans="2:98" x14ac:dyDescent="0.25">
      <c r="B465" s="126">
        <v>234</v>
      </c>
      <c r="C465" s="126">
        <f t="shared" ca="1" si="434"/>
        <v>119.10807337875437</v>
      </c>
      <c r="D465" s="126">
        <f t="shared" ca="1" si="435"/>
        <v>0</v>
      </c>
      <c r="E465" s="126">
        <f t="shared" ca="1" si="436"/>
        <v>0</v>
      </c>
      <c r="F465" s="126">
        <f t="shared" ca="1" si="437"/>
        <v>119.10807337875437</v>
      </c>
      <c r="BQ465" s="126">
        <v>234</v>
      </c>
      <c r="BR465" s="126">
        <f t="shared" ca="1" si="438"/>
        <v>101.81068389165364</v>
      </c>
      <c r="BS465" s="126">
        <f t="shared" ca="1" si="439"/>
        <v>11.3125</v>
      </c>
      <c r="BT465" s="126">
        <f t="shared" ca="1" si="440"/>
        <v>12.59979115153422</v>
      </c>
      <c r="BU465" s="126">
        <f t="shared" ca="1" si="441"/>
        <v>114.41047504318786</v>
      </c>
      <c r="CL465" s="218">
        <v>234</v>
      </c>
      <c r="CM465" s="218">
        <f t="shared" ca="1" si="455"/>
        <v>83.269550246236903</v>
      </c>
      <c r="CN465" s="218">
        <f t="shared" ca="1" si="456"/>
        <v>10.422548287862741</v>
      </c>
      <c r="CO465" s="218">
        <f t="shared" ca="1" si="462"/>
        <v>10.498438072222939</v>
      </c>
      <c r="CP465" s="218">
        <f t="shared" ca="1" si="458"/>
        <v>93.767988318459842</v>
      </c>
      <c r="CQ465" s="219">
        <f t="shared" ca="1" si="459"/>
        <v>0.60625768530699031</v>
      </c>
      <c r="CR465" s="218">
        <f t="shared" ca="1" si="460"/>
        <v>13.296113265766422</v>
      </c>
      <c r="CS465" s="218">
        <f t="shared" ca="1" si="461"/>
        <v>96.565663512003326</v>
      </c>
      <c r="CT465" s="14"/>
    </row>
    <row r="466" spans="2:98" x14ac:dyDescent="0.25">
      <c r="B466" s="9">
        <v>247</v>
      </c>
      <c r="C466" s="9">
        <f t="shared" ca="1" si="434"/>
        <v>122.11290696551563</v>
      </c>
      <c r="D466" s="9">
        <f t="shared" ca="1" si="435"/>
        <v>0</v>
      </c>
      <c r="E466" s="9">
        <f t="shared" ca="1" si="436"/>
        <v>0</v>
      </c>
      <c r="F466" s="9">
        <f t="shared" ca="1" si="437"/>
        <v>122.11290696551563</v>
      </c>
      <c r="BQ466" s="9">
        <v>247</v>
      </c>
      <c r="BR466" s="9">
        <f t="shared" ca="1" si="438"/>
        <v>109.46175802639694</v>
      </c>
      <c r="BS466" s="9">
        <f t="shared" ca="1" si="439"/>
        <v>9.9375</v>
      </c>
      <c r="BT466" s="9">
        <f t="shared" ca="1" si="440"/>
        <v>12.073267519741862</v>
      </c>
      <c r="BU466" s="9">
        <f t="shared" ca="1" si="441"/>
        <v>121.5350255461388</v>
      </c>
      <c r="CL466" s="216">
        <v>247</v>
      </c>
      <c r="CM466" s="216">
        <f t="shared" ca="1" si="455"/>
        <v>89.54996111485508</v>
      </c>
      <c r="CN466" s="216">
        <f t="shared" ca="1" si="456"/>
        <v>9.3888471953553552</v>
      </c>
      <c r="CO466" s="216">
        <f t="shared" ca="1" si="462"/>
        <v>12.324517646958725</v>
      </c>
      <c r="CP466" s="216">
        <f t="shared" ca="1" si="458"/>
        <v>101.8744787618138</v>
      </c>
      <c r="CQ466" s="217">
        <f t="shared" ca="1" si="459"/>
        <v>0.57914458365984711</v>
      </c>
      <c r="CR466" s="216">
        <f t="shared" ca="1" si="460"/>
        <v>17.327327791673326</v>
      </c>
      <c r="CS466" s="216">
        <f t="shared" ca="1" si="461"/>
        <v>106.87728890652841</v>
      </c>
      <c r="CT466" s="14"/>
    </row>
    <row r="467" spans="2:98" x14ac:dyDescent="0.25">
      <c r="B467" s="127">
        <v>260</v>
      </c>
      <c r="C467" s="127">
        <f t="shared" ca="1" si="434"/>
        <v>125.6082722124102</v>
      </c>
      <c r="D467" s="127">
        <f t="shared" ca="1" si="435"/>
        <v>0</v>
      </c>
      <c r="E467" s="127">
        <f t="shared" ca="1" si="436"/>
        <v>0</v>
      </c>
      <c r="F467" s="127">
        <f t="shared" ca="1" si="437"/>
        <v>125.6082722124102</v>
      </c>
      <c r="BQ467" s="127">
        <v>260</v>
      </c>
      <c r="BR467" s="127">
        <f t="shared" ca="1" si="438"/>
        <v>118.97199771025234</v>
      </c>
      <c r="BS467" s="127">
        <f t="shared" ca="1" si="439"/>
        <v>8.5625</v>
      </c>
      <c r="BT467" s="127">
        <f t="shared" ca="1" si="440"/>
        <v>10.712732587263162</v>
      </c>
      <c r="BU467" s="127">
        <f t="shared" ca="1" si="441"/>
        <v>129.6847302975155</v>
      </c>
      <c r="CL467" s="220">
        <v>260</v>
      </c>
      <c r="CM467" s="220">
        <f t="shared" ca="1" si="455"/>
        <v>103.46397777779029</v>
      </c>
      <c r="CN467" s="220">
        <f t="shared" ca="1" si="456"/>
        <v>7.7770053161733088</v>
      </c>
      <c r="CO467" s="220">
        <f t="shared" ca="1" si="462"/>
        <v>12.580799234711634</v>
      </c>
      <c r="CP467" s="220">
        <f t="shared" ca="1" si="458"/>
        <v>116.04477701250192</v>
      </c>
      <c r="CQ467" s="221">
        <f t="shared" ca="1" si="459"/>
        <v>0.53523172876628122</v>
      </c>
      <c r="CR467" s="220">
        <f t="shared" ca="1" si="460"/>
        <v>16.500458335445856</v>
      </c>
      <c r="CS467" s="220">
        <f t="shared" ca="1" si="461"/>
        <v>119.96443611323615</v>
      </c>
    </row>
    <row r="468" spans="2:98" x14ac:dyDescent="0.25">
      <c r="B468" s="9">
        <v>273</v>
      </c>
      <c r="C468" s="9">
        <f t="shared" ca="1" si="434"/>
        <v>130.70403762740736</v>
      </c>
      <c r="D468" s="9">
        <f t="shared" ca="1" si="435"/>
        <v>0</v>
      </c>
      <c r="E468" s="9">
        <f t="shared" ca="1" si="436"/>
        <v>0</v>
      </c>
      <c r="F468" s="9">
        <f t="shared" ca="1" si="437"/>
        <v>130.70403762740736</v>
      </c>
      <c r="BQ468" s="9">
        <v>273</v>
      </c>
      <c r="BR468" s="9">
        <f t="shared" ca="1" si="438"/>
        <v>128.34349399721472</v>
      </c>
      <c r="BS468" s="9">
        <f t="shared" ca="1" si="439"/>
        <v>7.5</v>
      </c>
      <c r="BT468" s="9">
        <f t="shared" ca="1" si="440"/>
        <v>8.971831329652673</v>
      </c>
      <c r="BU468" s="9">
        <f t="shared" ca="1" si="441"/>
        <v>137.3153253268674</v>
      </c>
      <c r="CL468" s="216">
        <v>273</v>
      </c>
      <c r="CM468" s="216">
        <f t="shared" ca="1" si="455"/>
        <v>120.89854868201331</v>
      </c>
      <c r="CN468" s="216">
        <f t="shared" ca="1" si="456"/>
        <v>6.4310356564231936</v>
      </c>
      <c r="CO468" s="216">
        <f t="shared" ca="1" si="462"/>
        <v>10.751212043441768</v>
      </c>
      <c r="CP468" s="216">
        <f t="shared" ca="1" si="458"/>
        <v>131.64976072545508</v>
      </c>
      <c r="CQ468" s="217">
        <f t="shared" ca="1" si="459"/>
        <v>0.49127001758176808</v>
      </c>
      <c r="CR468" s="216">
        <f t="shared" ca="1" si="460"/>
        <v>17.05205330864203</v>
      </c>
      <c r="CS468" s="216">
        <f t="shared" ca="1" si="461"/>
        <v>137.95060199065534</v>
      </c>
    </row>
    <row r="469" spans="2:98" x14ac:dyDescent="0.25">
      <c r="B469" s="128">
        <v>286</v>
      </c>
      <c r="C469" s="128">
        <f t="shared" ca="1" si="434"/>
        <v>136.82684616560559</v>
      </c>
      <c r="D469" s="128">
        <f t="shared" ca="1" si="435"/>
        <v>0</v>
      </c>
      <c r="E469" s="128">
        <f t="shared" ca="1" si="436"/>
        <v>0</v>
      </c>
      <c r="F469" s="128">
        <f t="shared" ca="1" si="437"/>
        <v>136.82684616560559</v>
      </c>
      <c r="BQ469" s="128">
        <v>286</v>
      </c>
      <c r="BR469" s="128">
        <f t="shared" ca="1" si="438"/>
        <v>135.58672951214845</v>
      </c>
      <c r="BS469" s="128">
        <f t="shared" ca="1" si="439"/>
        <v>6.8125</v>
      </c>
      <c r="BT469" s="128">
        <f t="shared" ca="1" si="440"/>
        <v>7.3858842099054982</v>
      </c>
      <c r="BU469" s="128">
        <f t="shared" ca="1" si="441"/>
        <v>142.97261372205395</v>
      </c>
      <c r="CL469" s="222">
        <v>286</v>
      </c>
      <c r="CM469" s="222">
        <f t="shared" ca="1" si="455"/>
        <v>136.24984094636454</v>
      </c>
      <c r="CN469" s="222">
        <f t="shared" ca="1" si="456"/>
        <v>5.5686210012130761</v>
      </c>
      <c r="CO469" s="222">
        <f t="shared" ca="1" si="462"/>
        <v>7.5015621363782827</v>
      </c>
      <c r="CP469" s="222">
        <f t="shared" ca="1" si="458"/>
        <v>143.75140308274283</v>
      </c>
      <c r="CQ469" s="223">
        <f t="shared" ca="1" si="459"/>
        <v>0.45960660627513744</v>
      </c>
      <c r="CR469" s="222">
        <f t="shared" ca="1" si="460"/>
        <v>13.740553320901171</v>
      </c>
      <c r="CS469" s="222">
        <f t="shared" ca="1" si="461"/>
        <v>149.99039426726571</v>
      </c>
    </row>
    <row r="470" spans="2:98" x14ac:dyDescent="0.25">
      <c r="B470" s="9">
        <v>299</v>
      </c>
      <c r="C470" s="9">
        <f t="shared" ca="1" si="434"/>
        <v>141.09838524574087</v>
      </c>
      <c r="D470" s="9">
        <f t="shared" ca="1" si="435"/>
        <v>0</v>
      </c>
      <c r="E470" s="9">
        <f t="shared" ca="1" si="436"/>
        <v>0</v>
      </c>
      <c r="F470" s="9">
        <f t="shared" ca="1" si="437"/>
        <v>141.09838524574087</v>
      </c>
      <c r="BQ470" s="9">
        <v>299</v>
      </c>
      <c r="BR470" s="9">
        <f t="shared" ca="1" si="438"/>
        <v>139.07958094016453</v>
      </c>
      <c r="BS470" s="9">
        <f t="shared" ca="1" si="439"/>
        <v>6.53125</v>
      </c>
      <c r="BT470" s="9">
        <f t="shared" ca="1" si="440"/>
        <v>6.5697447579377126</v>
      </c>
      <c r="BU470" s="9">
        <f t="shared" ca="1" si="441"/>
        <v>145.64932569810225</v>
      </c>
      <c r="CL470" s="216">
        <v>299</v>
      </c>
      <c r="CM470" s="216">
        <f t="shared" ca="1" si="455"/>
        <v>143.99807059904305</v>
      </c>
      <c r="CN470" s="216">
        <f t="shared" ca="1" si="456"/>
        <v>5.2209393527458312</v>
      </c>
      <c r="CO470" s="216">
        <f t="shared" ca="1" si="462"/>
        <v>5.4530325760813412</v>
      </c>
      <c r="CP470" s="216">
        <f t="shared" ca="1" si="458"/>
        <v>149.45110317512439</v>
      </c>
      <c r="CQ470" s="217">
        <f t="shared" ca="1" si="459"/>
        <v>0.44532216195486363</v>
      </c>
      <c r="CR470" s="216">
        <f t="shared" ca="1" si="460"/>
        <v>7.520070986294229</v>
      </c>
      <c r="CS470" s="216">
        <f t="shared" ca="1" si="461"/>
        <v>151.51814158533728</v>
      </c>
      <c r="CT470" s="14"/>
    </row>
    <row r="471" spans="2:98" x14ac:dyDescent="0.25">
      <c r="B471" s="125">
        <v>312</v>
      </c>
      <c r="C471" s="125">
        <f t="shared" ca="1" si="434"/>
        <v>141.42268663411878</v>
      </c>
      <c r="D471" s="125">
        <f t="shared" ca="1" si="435"/>
        <v>0</v>
      </c>
      <c r="E471" s="125">
        <f t="shared" ca="1" si="436"/>
        <v>0</v>
      </c>
      <c r="F471" s="125">
        <f t="shared" ca="1" si="437"/>
        <v>141.42268663411878</v>
      </c>
      <c r="BQ471" s="125">
        <v>312</v>
      </c>
      <c r="BR471" s="125">
        <f t="shared" ca="1" si="438"/>
        <v>139.7650228167449</v>
      </c>
      <c r="BS471" s="125">
        <f t="shared" ca="1" si="439"/>
        <v>6.46875</v>
      </c>
      <c r="BT471" s="125">
        <f t="shared" ca="1" si="440"/>
        <v>6.4727241949429413</v>
      </c>
      <c r="BU471" s="125">
        <f t="shared" ca="1" si="441"/>
        <v>146.23774701168784</v>
      </c>
      <c r="CL471" s="214">
        <v>312</v>
      </c>
      <c r="CM471" s="214">
        <f t="shared" ca="1" si="455"/>
        <v>146.16932797410936</v>
      </c>
      <c r="CN471" s="214">
        <f t="shared" ca="1" si="456"/>
        <v>5.1341335547468576</v>
      </c>
      <c r="CO471" s="214">
        <f t="shared" ca="1" si="462"/>
        <v>5.1479475677342066</v>
      </c>
      <c r="CP471" s="214">
        <f t="shared" ca="1" si="458"/>
        <v>151.31727554184357</v>
      </c>
      <c r="CQ471" s="215">
        <f t="shared" ca="1" si="459"/>
        <v>0.44098239281421098</v>
      </c>
      <c r="CR471" s="214">
        <f t="shared" ca="1" si="460"/>
        <v>7.2193724788123177</v>
      </c>
      <c r="CS471" s="214">
        <f t="shared" ca="1" si="461"/>
        <v>153.38870045292168</v>
      </c>
      <c r="CT471" s="14"/>
    </row>
    <row r="472" spans="2:98" x14ac:dyDescent="0.25">
      <c r="B472" s="9">
        <v>325</v>
      </c>
      <c r="C472" s="9">
        <f t="shared" ca="1" si="434"/>
        <v>141.05605879600139</v>
      </c>
      <c r="D472" s="9">
        <f t="shared" ca="1" si="435"/>
        <v>0</v>
      </c>
      <c r="E472" s="9">
        <f t="shared" ca="1" si="436"/>
        <v>0</v>
      </c>
      <c r="F472" s="9">
        <f t="shared" ca="1" si="437"/>
        <v>141.05605879600139</v>
      </c>
      <c r="BQ472" s="9">
        <v>325</v>
      </c>
      <c r="BR472" s="9">
        <f t="shared" ca="1" si="438"/>
        <v>140.34482390858227</v>
      </c>
      <c r="BS472" s="9">
        <f t="shared" ca="1" si="439"/>
        <v>6.40625</v>
      </c>
      <c r="BT472" s="9">
        <f t="shared" ca="1" si="440"/>
        <v>6.4159590956806198</v>
      </c>
      <c r="BU472" s="9">
        <f t="shared" ca="1" si="441"/>
        <v>146.76078300426289</v>
      </c>
      <c r="CL472" s="216">
        <v>325</v>
      </c>
      <c r="CM472" s="216">
        <f t="shared" ca="1" si="455"/>
        <v>146.63462804213862</v>
      </c>
      <c r="CN472" s="216">
        <f t="shared" ca="1" si="456"/>
        <v>5.1135099720278721</v>
      </c>
      <c r="CO472" s="216">
        <f t="shared" ca="1" si="462"/>
        <v>5.1135108664036864</v>
      </c>
      <c r="CP472" s="216">
        <f t="shared" ca="1" si="458"/>
        <v>151.7481389085423</v>
      </c>
      <c r="CQ472" s="217">
        <f t="shared" ca="1" si="459"/>
        <v>0.44001087556454188</v>
      </c>
      <c r="CR472" s="216">
        <f t="shared" ca="1" si="460"/>
        <v>7.2000012593122733</v>
      </c>
      <c r="CS472" s="216">
        <f t="shared" ca="1" si="461"/>
        <v>153.83462930145089</v>
      </c>
      <c r="CT472" s="14"/>
    </row>
    <row r="473" spans="2:98" x14ac:dyDescent="0.25">
      <c r="B473" s="126">
        <v>338</v>
      </c>
      <c r="C473" s="126">
        <f t="shared" ca="1" si="434"/>
        <v>140.89554651688337</v>
      </c>
      <c r="D473" s="126">
        <f t="shared" ca="1" si="435"/>
        <v>0</v>
      </c>
      <c r="E473" s="126">
        <f t="shared" ca="1" si="436"/>
        <v>0</v>
      </c>
      <c r="F473" s="126">
        <f t="shared" ca="1" si="437"/>
        <v>140.89554651688337</v>
      </c>
      <c r="BQ473" s="126">
        <v>338</v>
      </c>
      <c r="BR473" s="126">
        <f t="shared" ca="1" si="438"/>
        <v>141.16295818038361</v>
      </c>
      <c r="BS473" s="126">
        <f t="shared" ca="1" si="439"/>
        <v>6.34375</v>
      </c>
      <c r="BT473" s="126">
        <f t="shared" ca="1" si="440"/>
        <v>6.3599196966814304</v>
      </c>
      <c r="BU473" s="126">
        <f t="shared" ca="1" si="441"/>
        <v>147.52287787706504</v>
      </c>
      <c r="CL473" s="218">
        <v>338</v>
      </c>
      <c r="CM473" s="218">
        <f t="shared" ca="1" si="455"/>
        <v>146.38864556597625</v>
      </c>
      <c r="CN473" s="218">
        <f t="shared" ca="1" si="456"/>
        <v>5.1179874277081696</v>
      </c>
      <c r="CO473" s="218">
        <f t="shared" ca="1" si="462"/>
        <v>5.1207410715622075</v>
      </c>
      <c r="CP473" s="218">
        <f t="shared" ca="1" si="458"/>
        <v>151.50938663753846</v>
      </c>
      <c r="CQ473" s="219">
        <f t="shared" ca="1" si="459"/>
        <v>0.44054182075426607</v>
      </c>
      <c r="CR473" s="218">
        <f t="shared" ca="1" si="460"/>
        <v>7.2038738343985926</v>
      </c>
      <c r="CS473" s="218">
        <f t="shared" ca="1" si="461"/>
        <v>153.59251940037484</v>
      </c>
      <c r="CT473" s="14"/>
    </row>
    <row r="474" spans="2:98" x14ac:dyDescent="0.25">
      <c r="B474" s="9">
        <v>351</v>
      </c>
      <c r="C474" s="9">
        <f t="shared" ca="1" si="434"/>
        <v>140.90011607138962</v>
      </c>
      <c r="D474" s="9">
        <f t="shared" ca="1" si="435"/>
        <v>0</v>
      </c>
      <c r="E474" s="9">
        <f t="shared" ca="1" si="436"/>
        <v>0</v>
      </c>
      <c r="F474" s="9">
        <f t="shared" ca="1" si="437"/>
        <v>140.90011607138962</v>
      </c>
      <c r="BQ474" s="9">
        <v>351</v>
      </c>
      <c r="BR474" s="9">
        <f t="shared" ca="1" si="438"/>
        <v>142.17197798529543</v>
      </c>
      <c r="BS474" s="9">
        <f t="shared" ca="1" si="439"/>
        <v>6.28125</v>
      </c>
      <c r="BT474" s="9">
        <f t="shared" ca="1" si="440"/>
        <v>6.3034569886014822</v>
      </c>
      <c r="BU474" s="9">
        <f t="shared" ca="1" si="441"/>
        <v>148.47543497389691</v>
      </c>
      <c r="CL474" s="216">
        <v>351</v>
      </c>
      <c r="CM474" s="216">
        <f t="shared" ca="1" si="455"/>
        <v>145.97448861468217</v>
      </c>
      <c r="CN474" s="216">
        <f t="shared" ca="1" si="456"/>
        <v>5.1396041687658309</v>
      </c>
      <c r="CO474" s="216">
        <f t="shared" ca="1" si="462"/>
        <v>5.1410338422273014</v>
      </c>
      <c r="CP474" s="216">
        <f t="shared" ca="1" si="458"/>
        <v>151.11552245690947</v>
      </c>
      <c r="CQ474" s="217">
        <f t="shared" ca="1" si="459"/>
        <v>0.44142504471210925</v>
      </c>
      <c r="CR474" s="216">
        <f t="shared" ca="1" si="460"/>
        <v>7.2020028096686985</v>
      </c>
      <c r="CS474" s="216">
        <f t="shared" ca="1" si="461"/>
        <v>153.17649142435087</v>
      </c>
      <c r="CT474" s="14"/>
    </row>
    <row r="475" spans="2:98" x14ac:dyDescent="0.25">
      <c r="B475" s="127">
        <v>364</v>
      </c>
      <c r="C475" s="127">
        <f t="shared" ca="1" si="434"/>
        <v>141.02873373414513</v>
      </c>
      <c r="D475" s="127">
        <f t="shared" ca="1" si="435"/>
        <v>0</v>
      </c>
      <c r="E475" s="127">
        <f t="shared" ca="1" si="436"/>
        <v>0</v>
      </c>
      <c r="F475" s="127">
        <f t="shared" ca="1" si="437"/>
        <v>141.02873373414513</v>
      </c>
      <c r="BQ475" s="127">
        <v>364</v>
      </c>
      <c r="BR475" s="127">
        <f t="shared" ca="1" si="438"/>
        <v>143.32443567646428</v>
      </c>
      <c r="BS475" s="127">
        <f t="shared" ca="1" si="439"/>
        <v>6.15625</v>
      </c>
      <c r="BT475" s="127">
        <f t="shared" ca="1" si="440"/>
        <v>6.1829473615143513</v>
      </c>
      <c r="BU475" s="127">
        <f t="shared" ca="1" si="441"/>
        <v>149.50738303797863</v>
      </c>
      <c r="CL475" s="220">
        <v>364</v>
      </c>
      <c r="CM475" s="220">
        <f t="shared" ca="1" si="455"/>
        <v>145.80002005826552</v>
      </c>
      <c r="CN475" s="220">
        <f t="shared" ca="1" si="456"/>
        <v>5.1458038130373946</v>
      </c>
      <c r="CO475" s="220">
        <f t="shared" ca="1" si="462"/>
        <v>5.1458276298153862</v>
      </c>
      <c r="CP475" s="220">
        <f t="shared" ca="1" si="458"/>
        <v>150.9458476880809</v>
      </c>
      <c r="CQ475" s="221">
        <f t="shared" ca="1" si="459"/>
        <v>0.44180415394773209</v>
      </c>
      <c r="CR475" s="220">
        <f t="shared" ca="1" si="460"/>
        <v>7.2000333243955197</v>
      </c>
      <c r="CS475" s="220">
        <f t="shared" ca="1" si="461"/>
        <v>153.00005338266104</v>
      </c>
      <c r="CT475" s="14"/>
    </row>
    <row r="476" spans="2:98" x14ac:dyDescent="0.25">
      <c r="B476" s="9">
        <v>377</v>
      </c>
      <c r="C476" s="9">
        <f t="shared" ca="1" si="434"/>
        <v>141.24036577977478</v>
      </c>
      <c r="D476" s="9">
        <f t="shared" ca="1" si="435"/>
        <v>0</v>
      </c>
      <c r="E476" s="9">
        <f t="shared" ca="1" si="436"/>
        <v>0</v>
      </c>
      <c r="F476" s="9">
        <f t="shared" ca="1" si="437"/>
        <v>141.24036577977478</v>
      </c>
      <c r="BQ476" s="9">
        <v>377</v>
      </c>
      <c r="BR476" s="9">
        <f t="shared" ca="1" si="438"/>
        <v>144.57288360703663</v>
      </c>
      <c r="BS476" s="9">
        <f t="shared" ca="1" si="439"/>
        <v>6.0625</v>
      </c>
      <c r="BT476" s="9">
        <f t="shared" ca="1" si="440"/>
        <v>6.0919280437732652</v>
      </c>
      <c r="BU476" s="9">
        <f t="shared" ca="1" si="441"/>
        <v>150.6648116508099</v>
      </c>
      <c r="CL476" s="216">
        <v>377</v>
      </c>
      <c r="CM476" s="216">
        <f t="shared" ca="1" si="455"/>
        <v>145.84303290566561</v>
      </c>
      <c r="CN476" s="216">
        <f t="shared" ca="1" si="456"/>
        <v>5.146941117006234</v>
      </c>
      <c r="CO476" s="216">
        <f t="shared" ca="1" si="462"/>
        <v>5.1471605516284171</v>
      </c>
      <c r="CP476" s="216">
        <f t="shared" ca="1" si="458"/>
        <v>150.99019345729403</v>
      </c>
      <c r="CQ476" s="217">
        <f t="shared" ca="1" si="459"/>
        <v>0.44170652982375014</v>
      </c>
      <c r="CR476" s="216">
        <f t="shared" ca="1" si="460"/>
        <v>7.2003069647085169</v>
      </c>
      <c r="CS476" s="216">
        <f t="shared" ca="1" si="461"/>
        <v>153.04333987037413</v>
      </c>
      <c r="CT476" s="14"/>
    </row>
    <row r="477" spans="2:98" x14ac:dyDescent="0.25">
      <c r="B477" s="128">
        <v>390.3</v>
      </c>
      <c r="C477" s="128">
        <f t="shared" ca="1" si="434"/>
        <v>141.5</v>
      </c>
      <c r="D477" s="128">
        <f t="shared" ca="1" si="435"/>
        <v>0</v>
      </c>
      <c r="E477" s="128" t="e">
        <f t="shared" ca="1" si="436"/>
        <v>#NAME?</v>
      </c>
      <c r="F477" s="128" t="e">
        <f t="shared" ca="1" si="437"/>
        <v>#NAME?</v>
      </c>
      <c r="BQ477" s="128">
        <v>390.3</v>
      </c>
      <c r="BR477" s="128">
        <f t="shared" ca="1" si="438"/>
        <v>145.9</v>
      </c>
      <c r="BS477" s="128">
        <f t="shared" ca="1" si="439"/>
        <v>5.96875</v>
      </c>
      <c r="BT477" s="128" t="e">
        <f t="shared" ca="1" si="440"/>
        <v>#NAME?</v>
      </c>
      <c r="BU477" s="128" t="e">
        <f t="shared" ca="1" si="441"/>
        <v>#NAME?</v>
      </c>
      <c r="CL477" s="222">
        <v>390.3</v>
      </c>
      <c r="CM477" s="222">
        <f t="shared" ca="1" si="455"/>
        <v>146</v>
      </c>
      <c r="CN477" s="222">
        <f t="shared" ca="1" si="456"/>
        <v>5.1402475147685731</v>
      </c>
      <c r="CO477" s="222">
        <f t="shared" ca="1" si="462"/>
        <v>5.1402475147685607</v>
      </c>
      <c r="CP477" s="222">
        <f t="shared" ca="1" si="458"/>
        <v>151.14024751476856</v>
      </c>
      <c r="CQ477" s="223">
        <f t="shared" ca="1" si="459"/>
        <v>0.4413697965869538</v>
      </c>
      <c r="CR477" s="222">
        <f t="shared" ca="1" si="460"/>
        <v>7.1999999999999886</v>
      </c>
      <c r="CS477" s="222">
        <f t="shared" ca="1" si="461"/>
        <v>153.19999999999999</v>
      </c>
      <c r="CT477" s="14"/>
    </row>
    <row r="478" spans="2:98" x14ac:dyDescent="0.25">
      <c r="CL478" s="216"/>
      <c r="CM478" s="216"/>
      <c r="CN478" s="216"/>
      <c r="CO478" s="216"/>
      <c r="CP478" s="216"/>
      <c r="CQ478" s="217"/>
      <c r="CR478" s="216"/>
      <c r="CS478" s="216"/>
      <c r="CT478" s="14"/>
    </row>
  </sheetData>
  <mergeCells count="48">
    <mergeCell ref="DA43:DC43"/>
    <mergeCell ref="CY44:CY45"/>
    <mergeCell ref="CV43:CW43"/>
    <mergeCell ref="CS43:CU43"/>
    <mergeCell ref="CR445:CS445"/>
    <mergeCell ref="CQ43:CR43"/>
    <mergeCell ref="A21:B21"/>
    <mergeCell ref="A9:B9"/>
    <mergeCell ref="A11:B11"/>
    <mergeCell ref="A12:B12"/>
    <mergeCell ref="A14:B14"/>
    <mergeCell ref="A17:B17"/>
    <mergeCell ref="A18:B18"/>
    <mergeCell ref="A10:B10"/>
    <mergeCell ref="CI21:CJ21"/>
    <mergeCell ref="I1:J1"/>
    <mergeCell ref="A1:B1"/>
    <mergeCell ref="A2:B2"/>
    <mergeCell ref="A7:B7"/>
    <mergeCell ref="A6:B6"/>
    <mergeCell ref="A3:B3"/>
    <mergeCell ref="A4:B4"/>
    <mergeCell ref="C1:D1"/>
    <mergeCell ref="I3:J3"/>
    <mergeCell ref="I4:J4"/>
    <mergeCell ref="I5:J5"/>
    <mergeCell ref="I6:J6"/>
    <mergeCell ref="A5:B5"/>
    <mergeCell ref="A8:B8"/>
    <mergeCell ref="A13:B13"/>
    <mergeCell ref="I7:J7"/>
    <mergeCell ref="AA21:AC21"/>
    <mergeCell ref="AU21:AV21"/>
    <mergeCell ref="BO21:BP21"/>
    <mergeCell ref="BV43:BZ43"/>
    <mergeCell ref="AH43:AL43"/>
    <mergeCell ref="BB43:BF43"/>
    <mergeCell ref="I43:M43"/>
    <mergeCell ref="O43:Y43"/>
    <mergeCell ref="AQ3:AQ4"/>
    <mergeCell ref="AQ5:AQ6"/>
    <mergeCell ref="AT3:AT4"/>
    <mergeCell ref="AT5:AT6"/>
    <mergeCell ref="AM3:AM4"/>
    <mergeCell ref="AM5:AM6"/>
    <mergeCell ref="AN3:AN4"/>
    <mergeCell ref="AN5:AN6"/>
    <mergeCell ref="AO3:AO6"/>
  </mergeCells>
  <conditionalFormatting sqref="AV3:AV6">
    <cfRule type="cellIs" dxfId="1" priority="3" operator="lessThan">
      <formula>1</formula>
    </cfRule>
    <cfRule type="cellIs" dxfId="0" priority="4" operator="greaterThan">
      <formula>1</formula>
    </cfRule>
  </conditionalFormatting>
  <conditionalFormatting sqref="K4:K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:L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1">
    <dataValidation type="list" allowBlank="1" showInputMessage="1" showErrorMessage="1" sqref="E7">
      <formula1>"IMS65, AS7, HTS40, T1100G"</formula1>
    </dataValidation>
  </dataValidations>
  <pageMargins left="0.7" right="0.7" top="0.78740157499999996" bottom="0.78740157499999996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21" r:id="rId4" name="Button 825">
              <controlPr defaultSize="0" print="0" autoFill="0" autoPict="0" macro="[0]!Tabelle6.Ber_s11_konisch">
                <anchor moveWithCells="1">
                  <from>
                    <xdr:col>2</xdr:col>
                    <xdr:colOff>171450</xdr:colOff>
                    <xdr:row>36</xdr:row>
                    <xdr:rowOff>190500</xdr:rowOff>
                  </from>
                  <to>
                    <xdr:col>3</xdr:col>
                    <xdr:colOff>447675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" r:id="rId5" name="Button 826">
              <controlPr defaultSize="0" print="0" autoFill="0" autoPict="0" macro="[0]!Tabelle6.Ber_s11_gestuft">
                <anchor moveWithCells="1">
                  <from>
                    <xdr:col>27</xdr:col>
                    <xdr:colOff>247650</xdr:colOff>
                    <xdr:row>36</xdr:row>
                    <xdr:rowOff>123825</xdr:rowOff>
                  </from>
                  <to>
                    <xdr:col>28</xdr:col>
                    <xdr:colOff>457200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" r:id="rId6" name="Button 827">
              <controlPr defaultSize="0" print="0" autoFill="0" autoPict="0" macro="[0]!Tabelle6.Ber_s11_parabelfoermig">
                <anchor moveWithCells="1">
                  <from>
                    <xdr:col>47</xdr:col>
                    <xdr:colOff>266700</xdr:colOff>
                    <xdr:row>36</xdr:row>
                    <xdr:rowOff>142875</xdr:rowOff>
                  </from>
                  <to>
                    <xdr:col>48</xdr:col>
                    <xdr:colOff>476250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" r:id="rId7" name="Button 828">
              <controlPr defaultSize="0" print="0" autoFill="0" autoPict="0" macro="[0]!Tabelle6.Ber_s11_parabelfoermig2">
                <anchor moveWithCells="1">
                  <from>
                    <xdr:col>67</xdr:col>
                    <xdr:colOff>266700</xdr:colOff>
                    <xdr:row>36</xdr:row>
                    <xdr:rowOff>133350</xdr:rowOff>
                  </from>
                  <to>
                    <xdr:col>68</xdr:col>
                    <xdr:colOff>552450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" r:id="rId8" name="Button 829">
              <controlPr defaultSize="0" print="0" autoFill="0" autoPict="0" macro="[0]!Tabelle6.Ber_s11_Balg">
                <anchor moveWithCells="1">
                  <from>
                    <xdr:col>88</xdr:col>
                    <xdr:colOff>228600</xdr:colOff>
                    <xdr:row>37</xdr:row>
                    <xdr:rowOff>47625</xdr:rowOff>
                  </from>
                  <to>
                    <xdr:col>89</xdr:col>
                    <xdr:colOff>514350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" r:id="rId9" name="Button 830">
              <controlPr defaultSize="0" print="0" autoFill="0" autoPict="0" macro="[0]!Tabelle6.SplineBalg">
                <anchor moveWithCells="1">
                  <from>
                    <xdr:col>88</xdr:col>
                    <xdr:colOff>190500</xdr:colOff>
                    <xdr:row>34</xdr:row>
                    <xdr:rowOff>66675</xdr:rowOff>
                  </from>
                  <to>
                    <xdr:col>89</xdr:col>
                    <xdr:colOff>552450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" r:id="rId10" name="Button 831">
              <controlPr defaultSize="0" print="0" autoFill="0" autoPict="0" macro="[0]!Tabelle6.SplineKonisch">
                <anchor moveWithCells="1">
                  <from>
                    <xdr:col>2</xdr:col>
                    <xdr:colOff>152400</xdr:colOff>
                    <xdr:row>34</xdr:row>
                    <xdr:rowOff>85725</xdr:rowOff>
                  </from>
                  <to>
                    <xdr:col>3</xdr:col>
                    <xdr:colOff>485775</xdr:colOff>
                    <xdr:row>36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" r:id="rId11" name="Button 832">
              <controlPr defaultSize="0" print="0" autoFill="0" autoPict="0" macro="[0]!Tabelle6.SplineKonkav">
                <anchor moveWithCells="1">
                  <from>
                    <xdr:col>67</xdr:col>
                    <xdr:colOff>247650</xdr:colOff>
                    <xdr:row>34</xdr:row>
                    <xdr:rowOff>19050</xdr:rowOff>
                  </from>
                  <to>
                    <xdr:col>68</xdr:col>
                    <xdr:colOff>609600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" r:id="rId12" name="Button 833">
              <controlPr defaultSize="0" print="0" autoFill="0" autoPict="0" macro="[0]!Tabelle6.SplineKonvex">
                <anchor moveWithCells="1">
                  <from>
                    <xdr:col>47</xdr:col>
                    <xdr:colOff>257175</xdr:colOff>
                    <xdr:row>34</xdr:row>
                    <xdr:rowOff>47625</xdr:rowOff>
                  </from>
                  <to>
                    <xdr:col>48</xdr:col>
                    <xdr:colOff>552450</xdr:colOff>
                    <xdr:row>36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" r:id="rId13" name="Button 834">
              <controlPr defaultSize="0" print="0" autoFill="0" autoPict="0" macro="[0]!Tabelle6.SplineGestuft">
                <anchor moveWithCells="1">
                  <from>
                    <xdr:col>27</xdr:col>
                    <xdr:colOff>228600</xdr:colOff>
                    <xdr:row>34</xdr:row>
                    <xdr:rowOff>38100</xdr:rowOff>
                  </from>
                  <to>
                    <xdr:col>28</xdr:col>
                    <xdr:colOff>523875</xdr:colOff>
                    <xdr:row>36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G37"/>
  <sheetViews>
    <sheetView workbookViewId="0">
      <selection activeCell="J13" sqref="J13"/>
    </sheetView>
  </sheetViews>
  <sheetFormatPr baseColWidth="10" defaultColWidth="11.42578125" defaultRowHeight="15" x14ac:dyDescent="0.25"/>
  <cols>
    <col min="1" max="1" width="36.28515625" customWidth="1"/>
    <col min="2" max="2" width="25" bestFit="1" customWidth="1"/>
    <col min="4" max="4" width="14.85546875" customWidth="1"/>
    <col min="5" max="5" width="22" customWidth="1"/>
    <col min="6" max="6" width="13" bestFit="1" customWidth="1"/>
  </cols>
  <sheetData>
    <row r="1" spans="1:7" ht="15.75" thickBot="1" x14ac:dyDescent="0.3">
      <c r="A1" s="6" t="s">
        <v>270</v>
      </c>
      <c r="B1" s="6" t="s">
        <v>271</v>
      </c>
      <c r="C1" s="6" t="s">
        <v>272</v>
      </c>
      <c r="D1" s="6" t="s">
        <v>273</v>
      </c>
      <c r="E1" s="6" t="s">
        <v>274</v>
      </c>
      <c r="F1" s="6" t="s">
        <v>275</v>
      </c>
      <c r="G1" s="6" t="s">
        <v>276</v>
      </c>
    </row>
    <row r="2" spans="1:7" x14ac:dyDescent="0.25">
      <c r="A2" s="250"/>
      <c r="D2" s="239" t="s">
        <v>277</v>
      </c>
      <c r="E2" s="239" t="s">
        <v>278</v>
      </c>
      <c r="F2" s="14"/>
    </row>
    <row r="3" spans="1:7" x14ac:dyDescent="0.25">
      <c r="A3" s="251"/>
      <c r="B3" t="s">
        <v>279</v>
      </c>
      <c r="D3" s="239"/>
      <c r="E3" s="239"/>
      <c r="F3" s="14" t="s">
        <v>280</v>
      </c>
    </row>
    <row r="4" spans="1:7" x14ac:dyDescent="0.25">
      <c r="A4" s="253"/>
      <c r="B4" s="12"/>
      <c r="C4" s="12"/>
      <c r="D4" s="240"/>
      <c r="E4" s="240"/>
      <c r="F4" s="15"/>
      <c r="G4" s="12"/>
    </row>
    <row r="5" spans="1:7" ht="15" customHeight="1" x14ac:dyDescent="0.25">
      <c r="A5" s="252"/>
      <c r="D5" s="238" t="s">
        <v>277</v>
      </c>
      <c r="E5" s="238" t="s">
        <v>278</v>
      </c>
      <c r="F5" s="14"/>
    </row>
    <row r="6" spans="1:7" x14ac:dyDescent="0.25">
      <c r="A6" s="251"/>
      <c r="B6" t="s">
        <v>281</v>
      </c>
      <c r="D6" s="239"/>
      <c r="E6" s="239"/>
      <c r="F6" s="14" t="s">
        <v>280</v>
      </c>
    </row>
    <row r="7" spans="1:7" x14ac:dyDescent="0.25">
      <c r="A7" s="253"/>
      <c r="B7" s="12"/>
      <c r="C7" s="12"/>
      <c r="D7" s="240"/>
      <c r="E7" s="240"/>
      <c r="F7" s="15"/>
      <c r="G7" s="12"/>
    </row>
    <row r="8" spans="1:7" ht="15" customHeight="1" x14ac:dyDescent="0.25">
      <c r="A8" s="252"/>
      <c r="D8" s="238" t="s">
        <v>277</v>
      </c>
      <c r="E8" s="238" t="s">
        <v>278</v>
      </c>
      <c r="F8" s="14"/>
    </row>
    <row r="9" spans="1:7" x14ac:dyDescent="0.25">
      <c r="A9" s="251"/>
      <c r="B9" t="s">
        <v>282</v>
      </c>
      <c r="D9" s="239"/>
      <c r="E9" s="239"/>
      <c r="F9" s="14" t="s">
        <v>280</v>
      </c>
    </row>
    <row r="10" spans="1:7" x14ac:dyDescent="0.25">
      <c r="A10" s="253"/>
      <c r="B10" s="12"/>
      <c r="C10" s="12"/>
      <c r="D10" s="240"/>
      <c r="E10" s="240"/>
      <c r="F10" s="15"/>
      <c r="G10" s="12"/>
    </row>
    <row r="11" spans="1:7" x14ac:dyDescent="0.25">
      <c r="A11" s="252"/>
      <c r="D11" s="239"/>
      <c r="E11" s="239" t="s">
        <v>283</v>
      </c>
      <c r="F11" s="14"/>
    </row>
    <row r="12" spans="1:7" x14ac:dyDescent="0.25">
      <c r="A12" s="251"/>
      <c r="B12" t="s">
        <v>284</v>
      </c>
      <c r="D12" s="239"/>
      <c r="E12" s="239"/>
      <c r="F12" s="14"/>
    </row>
    <row r="13" spans="1:7" x14ac:dyDescent="0.25">
      <c r="A13" s="253"/>
      <c r="B13" s="12"/>
      <c r="C13" s="12"/>
      <c r="D13" s="240"/>
      <c r="E13" s="240"/>
      <c r="F13" s="15"/>
      <c r="G13" s="12"/>
    </row>
    <row r="14" spans="1:7" x14ac:dyDescent="0.25">
      <c r="A14" s="252"/>
      <c r="D14" s="239"/>
      <c r="E14" s="239" t="s">
        <v>283</v>
      </c>
      <c r="F14" s="14"/>
    </row>
    <row r="15" spans="1:7" x14ac:dyDescent="0.25">
      <c r="A15" s="251"/>
      <c r="B15" t="s">
        <v>285</v>
      </c>
      <c r="D15" s="239"/>
      <c r="E15" s="239"/>
      <c r="F15" s="14"/>
    </row>
    <row r="16" spans="1:7" x14ac:dyDescent="0.25">
      <c r="A16" s="253"/>
      <c r="B16" s="12"/>
      <c r="C16" s="12"/>
      <c r="D16" s="240"/>
      <c r="E16" s="240"/>
      <c r="F16" s="15"/>
      <c r="G16" s="12"/>
    </row>
    <row r="17" spans="1:7" x14ac:dyDescent="0.25">
      <c r="A17" s="252"/>
      <c r="D17" s="239"/>
      <c r="E17" s="239" t="s">
        <v>283</v>
      </c>
      <c r="F17" s="14"/>
    </row>
    <row r="18" spans="1:7" x14ac:dyDescent="0.25">
      <c r="A18" s="251"/>
      <c r="B18" t="s">
        <v>286</v>
      </c>
      <c r="D18" s="239"/>
      <c r="E18" s="239"/>
      <c r="F18" s="14"/>
    </row>
    <row r="19" spans="1:7" x14ac:dyDescent="0.25">
      <c r="A19" s="253"/>
      <c r="B19" s="12"/>
      <c r="C19" s="12"/>
      <c r="D19" s="240"/>
      <c r="E19" s="240"/>
      <c r="F19" s="15"/>
      <c r="G19" s="12"/>
    </row>
    <row r="20" spans="1:7" x14ac:dyDescent="0.25">
      <c r="A20" s="252"/>
      <c r="D20" s="239"/>
      <c r="E20" s="239" t="s">
        <v>287</v>
      </c>
      <c r="F20" s="14"/>
    </row>
    <row r="21" spans="1:7" x14ac:dyDescent="0.25">
      <c r="A21" s="251"/>
      <c r="B21" t="s">
        <v>288</v>
      </c>
      <c r="D21" s="239"/>
      <c r="E21" s="239"/>
      <c r="F21" s="14"/>
    </row>
    <row r="22" spans="1:7" x14ac:dyDescent="0.25">
      <c r="A22" s="253"/>
      <c r="B22" s="12"/>
      <c r="C22" s="12"/>
      <c r="D22" s="240"/>
      <c r="E22" s="240"/>
      <c r="F22" s="15"/>
      <c r="G22" s="12"/>
    </row>
    <row r="23" spans="1:7" x14ac:dyDescent="0.25">
      <c r="A23" s="252"/>
      <c r="D23" s="239"/>
      <c r="E23" s="239" t="s">
        <v>287</v>
      </c>
      <c r="F23" s="14"/>
    </row>
    <row r="24" spans="1:7" x14ac:dyDescent="0.25">
      <c r="A24" s="251"/>
      <c r="B24" t="s">
        <v>289</v>
      </c>
      <c r="D24" s="239"/>
      <c r="E24" s="239"/>
      <c r="F24" s="14"/>
    </row>
    <row r="25" spans="1:7" x14ac:dyDescent="0.25">
      <c r="A25" s="253"/>
      <c r="B25" s="12"/>
      <c r="C25" s="12"/>
      <c r="D25" s="240"/>
      <c r="E25" s="240"/>
      <c r="F25" s="15"/>
      <c r="G25" s="12"/>
    </row>
    <row r="26" spans="1:7" x14ac:dyDescent="0.25">
      <c r="A26" s="252"/>
      <c r="D26" s="239"/>
      <c r="E26" s="239" t="s">
        <v>287</v>
      </c>
      <c r="F26" s="14"/>
    </row>
    <row r="27" spans="1:7" x14ac:dyDescent="0.25">
      <c r="A27" s="251"/>
      <c r="B27" t="s">
        <v>290</v>
      </c>
      <c r="D27" s="239"/>
      <c r="E27" s="239"/>
      <c r="F27" s="14"/>
    </row>
    <row r="28" spans="1:7" x14ac:dyDescent="0.25">
      <c r="A28" s="253"/>
      <c r="B28" s="12"/>
      <c r="C28" s="12"/>
      <c r="D28" s="240"/>
      <c r="E28" s="240"/>
      <c r="F28" s="15"/>
      <c r="G28" s="12"/>
    </row>
    <row r="29" spans="1:7" x14ac:dyDescent="0.25">
      <c r="A29" s="252"/>
      <c r="D29" s="239"/>
      <c r="E29" s="239" t="s">
        <v>287</v>
      </c>
      <c r="F29" s="14"/>
    </row>
    <row r="30" spans="1:7" x14ac:dyDescent="0.25">
      <c r="A30" s="251"/>
      <c r="B30" t="s">
        <v>291</v>
      </c>
      <c r="D30" s="239"/>
      <c r="E30" s="239"/>
      <c r="F30" s="14"/>
    </row>
    <row r="31" spans="1:7" x14ac:dyDescent="0.25">
      <c r="A31" s="253"/>
      <c r="B31" s="12"/>
      <c r="C31" s="12"/>
      <c r="D31" s="240"/>
      <c r="E31" s="240"/>
      <c r="F31" s="15"/>
      <c r="G31" s="12"/>
    </row>
    <row r="32" spans="1:7" x14ac:dyDescent="0.25">
      <c r="A32" s="252"/>
      <c r="D32" s="239"/>
      <c r="E32" s="239" t="s">
        <v>287</v>
      </c>
      <c r="F32" s="14"/>
    </row>
    <row r="33" spans="1:7" x14ac:dyDescent="0.25">
      <c r="A33" s="251"/>
      <c r="B33" t="s">
        <v>292</v>
      </c>
      <c r="D33" s="239"/>
      <c r="E33" s="239"/>
      <c r="F33" s="14"/>
    </row>
    <row r="34" spans="1:7" x14ac:dyDescent="0.25">
      <c r="A34" s="253"/>
      <c r="B34" s="12"/>
      <c r="C34" s="12"/>
      <c r="D34" s="240"/>
      <c r="E34" s="240"/>
      <c r="F34" s="15"/>
      <c r="G34" s="12"/>
    </row>
    <row r="35" spans="1:7" x14ac:dyDescent="0.25">
      <c r="A35" s="252"/>
      <c r="D35" s="239"/>
      <c r="E35" s="239" t="s">
        <v>287</v>
      </c>
      <c r="F35" s="14"/>
    </row>
    <row r="36" spans="1:7" x14ac:dyDescent="0.25">
      <c r="A36" s="251"/>
      <c r="B36" t="s">
        <v>293</v>
      </c>
      <c r="D36" s="239"/>
      <c r="E36" s="239"/>
      <c r="F36" s="14"/>
    </row>
    <row r="37" spans="1:7" x14ac:dyDescent="0.25">
      <c r="A37" s="253"/>
      <c r="B37" s="12"/>
      <c r="C37" s="12"/>
      <c r="D37" s="240"/>
      <c r="E37" s="240"/>
      <c r="F37" s="15"/>
      <c r="G37" s="12"/>
    </row>
  </sheetData>
  <mergeCells count="36">
    <mergeCell ref="D2:D4"/>
    <mergeCell ref="E2:E4"/>
    <mergeCell ref="D5:D7"/>
    <mergeCell ref="E5:E7"/>
    <mergeCell ref="D11:D13"/>
    <mergeCell ref="E11:E13"/>
    <mergeCell ref="E26:E28"/>
    <mergeCell ref="D29:D31"/>
    <mergeCell ref="E29:E31"/>
    <mergeCell ref="D14:D16"/>
    <mergeCell ref="E14:E16"/>
    <mergeCell ref="D17:D19"/>
    <mergeCell ref="E17:E19"/>
    <mergeCell ref="D20:D22"/>
    <mergeCell ref="E20:E22"/>
    <mergeCell ref="A2:A4"/>
    <mergeCell ref="A5:A7"/>
    <mergeCell ref="A11:A13"/>
    <mergeCell ref="A14:A16"/>
    <mergeCell ref="A17:A19"/>
    <mergeCell ref="A35:A37"/>
    <mergeCell ref="A8:A10"/>
    <mergeCell ref="D8:D10"/>
    <mergeCell ref="E8:E10"/>
    <mergeCell ref="A20:A22"/>
    <mergeCell ref="A23:A25"/>
    <mergeCell ref="A26:A28"/>
    <mergeCell ref="A29:A31"/>
    <mergeCell ref="A32:A34"/>
    <mergeCell ref="D32:D34"/>
    <mergeCell ref="E32:E34"/>
    <mergeCell ref="D35:D37"/>
    <mergeCell ref="E35:E37"/>
    <mergeCell ref="D23:D25"/>
    <mergeCell ref="E23:E25"/>
    <mergeCell ref="D26:D28"/>
  </mergeCells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68EF6366308BD54E9A36350A6853B3F3" ma:contentTypeVersion="0" ma:contentTypeDescription="Ein neues Dokument erstellen." ma:contentTypeScope="" ma:versionID="65970971cd097eda2df840ec1c7fcb2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4f5dc90cf06628c3b90945c8266c24d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57B87A-55A9-4493-84C5-59A993D116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50F73C5-CF20-4569-B742-8A655502D759}">
  <ds:schemaRefs>
    <ds:schemaRef ds:uri="http://schemas.microsoft.com/office/2006/metadata/properties"/>
    <ds:schemaRef ds:uri="http://purl.org/dc/dcmitype/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075704-C1CD-4C8C-97AB-CD68B8A685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Morphologischer Kasten</vt:lpstr>
      <vt:lpstr>Gegebene Werte</vt:lpstr>
      <vt:lpstr>Verbindungsberechnungen</vt:lpstr>
      <vt:lpstr>Massenabschätzung</vt:lpstr>
      <vt:lpstr>Bewertungsmatrix</vt:lpstr>
      <vt:lpstr>Lösungsmatrix</vt:lpstr>
      <vt:lpstr>Hilfsrechnungen</vt:lpstr>
      <vt:lpstr>BerechnungenCLT</vt:lpstr>
      <vt:lpstr>Berechnung freier Bereich</vt:lpstr>
      <vt:lpstr>Beurteilung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linus</dc:creator>
  <cp:keywords/>
  <dc:description/>
  <cp:lastModifiedBy>Alrik Dargel</cp:lastModifiedBy>
  <cp:revision/>
  <dcterms:created xsi:type="dcterms:W3CDTF">2020-11-18T12:18:46Z</dcterms:created>
  <dcterms:modified xsi:type="dcterms:W3CDTF">2022-03-23T12:04:47Z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0x01010068EF6366308BD54E9A36350A6853B3F3</vt:lpwstr>
  </property>
</Properties>
</file>