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0" yWindow="0" windowWidth="19200" windowHeight="7005" tabRatio="786" firstSheet="1" activeTab="3"/>
  </bookViews>
  <sheets>
    <sheet name="Menu" sheetId="115" r:id="rId1"/>
    <sheet name="Data" sheetId="11" r:id="rId2"/>
    <sheet name="Sampul-Thn-1" sheetId="114" r:id="rId3"/>
    <sheet name="Pengawas-Thn-1" sheetId="121" r:id="rId4"/>
    <sheet name="Form1-Pengawas-Thn-1" sheetId="124" r:id="rId5"/>
    <sheet name="Form2-Pengawas-Thn-1" sheetId="112" r:id="rId6"/>
    <sheet name="Rekap-Pengawas-Thn-1" sheetId="27" r:id="rId7"/>
    <sheet name="Sampul-Thn-2" sheetId="116" r:id="rId8"/>
    <sheet name="Pengawas-Thn-2" sheetId="144" r:id="rId9"/>
    <sheet name="Form1-Pengawas-Thn-2" sheetId="143" r:id="rId10"/>
    <sheet name="Form2-Pengawas-Thn-2" sheetId="152" r:id="rId11"/>
    <sheet name="Sampul-Thn-3" sheetId="119" r:id="rId12"/>
    <sheet name="Pengawas-Thn-3" sheetId="145" r:id="rId13"/>
    <sheet name="Form1-Pengawas-Thn-3" sheetId="154" r:id="rId14"/>
    <sheet name="Form2-Pengawas-Thn-3" sheetId="153" r:id="rId15"/>
    <sheet name="Sampul-Thn-4" sheetId="45" r:id="rId16"/>
    <sheet name="Kabid-Thn-4" sheetId="147" r:id="rId17"/>
    <sheet name="Kasi-Thn-4" sheetId="148" r:id="rId18"/>
    <sheet name="Pengawas-Thn-4" sheetId="146" r:id="rId19"/>
    <sheet name="Guru-Thn-4" sheetId="149" r:id="rId20"/>
    <sheet name="Tendik-Thn-4" sheetId="150" r:id="rId21"/>
    <sheet name="Komite-Thn-4" sheetId="151" r:id="rId22"/>
    <sheet name="Rekap-Thn-4" sheetId="44" r:id="rId23"/>
    <sheet name="Rekap_Detil" sheetId="79" r:id="rId24"/>
    <sheet name="Rekap_Detil2" sheetId="129" r:id="rId25"/>
    <sheet name="Rekap" sheetId="130" r:id="rId26"/>
    <sheet name="MASTER" sheetId="12" state="hidden" r:id="rId27"/>
  </sheets>
  <definedNames>
    <definedName name="_xlnm.Print_Area" localSheetId="1">Data!$A$1:$K$35</definedName>
    <definedName name="_xlnm.Print_Area" localSheetId="6">'Rekap-Pengawas-Thn-1'!$A$1:$I$31</definedName>
    <definedName name="_xlnm.Print_Area" localSheetId="22">'Rekap-Thn-4'!$A$1:$N$55</definedName>
    <definedName name="_xlnm.Print_Area" localSheetId="2">'Sampul-Thn-1'!$C$1:$J$34</definedName>
    <definedName name="_xlnm.Print_Area" localSheetId="7">'Sampul-Thn-2'!$C$1:$J$34</definedName>
    <definedName name="_xlnm.Print_Area" localSheetId="11">'Sampul-Thn-3'!$C$1:$J$34</definedName>
    <definedName name="_xlnm.Print_Area" localSheetId="15">'Sampul-Thn-4'!$A$1:$K$48</definedName>
    <definedName name="Tabel_IK">Rekap!$B$6:$O$36</definedName>
  </definedNames>
  <calcPr calcId="124519"/>
</workbook>
</file>

<file path=xl/calcChain.xml><?xml version="1.0" encoding="utf-8"?>
<calcChain xmlns="http://schemas.openxmlformats.org/spreadsheetml/2006/main">
  <c r="E8" i="11"/>
  <c r="F48" i="147" l="1"/>
  <c r="C44" i="45"/>
  <c r="Y11" i="11" l="1"/>
  <c r="X11"/>
  <c r="Z11" s="1"/>
  <c r="AA11" s="1"/>
  <c r="Y10"/>
  <c r="X10"/>
  <c r="Z10" s="1"/>
  <c r="AA10" s="1"/>
  <c r="Y9"/>
  <c r="X9"/>
  <c r="Z9" s="1"/>
  <c r="AA9" s="1"/>
  <c r="Y8"/>
  <c r="X8"/>
  <c r="Z8" s="1"/>
  <c r="AA8" s="1"/>
  <c r="Y7"/>
  <c r="X7"/>
  <c r="Z7" s="1"/>
  <c r="AA7" s="1"/>
  <c r="Y6"/>
  <c r="X6"/>
  <c r="Z6" s="1"/>
  <c r="AA6" s="1"/>
  <c r="Y5"/>
  <c r="X5"/>
  <c r="Z5" s="1"/>
  <c r="AA5" s="1"/>
  <c r="Y4"/>
  <c r="X4"/>
  <c r="Z4" s="1"/>
  <c r="AA4" s="1"/>
  <c r="A1" i="115" l="1"/>
  <c r="E100" i="154"/>
  <c r="E99"/>
  <c r="E94"/>
  <c r="C75"/>
  <c r="C74"/>
  <c r="C73"/>
  <c r="C72"/>
  <c r="I68"/>
  <c r="E34"/>
  <c r="D34"/>
  <c r="E33"/>
  <c r="D33"/>
  <c r="E32"/>
  <c r="D32"/>
  <c r="E31"/>
  <c r="D31"/>
  <c r="E30"/>
  <c r="D30"/>
  <c r="E29"/>
  <c r="D29"/>
  <c r="E28"/>
  <c r="D28"/>
  <c r="E27"/>
  <c r="D27"/>
  <c r="E26"/>
  <c r="D26"/>
  <c r="E25"/>
  <c r="D25"/>
  <c r="E24"/>
  <c r="D24"/>
  <c r="E23"/>
  <c r="D23"/>
  <c r="E22"/>
  <c r="D22"/>
  <c r="E21"/>
  <c r="D21"/>
  <c r="E20"/>
  <c r="D20"/>
  <c r="E19"/>
  <c r="D19"/>
  <c r="E18"/>
  <c r="D18"/>
  <c r="E17"/>
  <c r="D17"/>
  <c r="E16"/>
  <c r="D16"/>
  <c r="E15"/>
  <c r="D15"/>
  <c r="E14"/>
  <c r="D14"/>
  <c r="E13"/>
  <c r="D13"/>
  <c r="E12"/>
  <c r="D12"/>
  <c r="E11"/>
  <c r="D11"/>
  <c r="E10"/>
  <c r="D10"/>
  <c r="E9"/>
  <c r="D9"/>
  <c r="E8"/>
  <c r="D8"/>
  <c r="E7"/>
  <c r="D7"/>
  <c r="E6"/>
  <c r="D6"/>
  <c r="E5"/>
  <c r="D5"/>
  <c r="E4"/>
  <c r="D4"/>
  <c r="B1"/>
  <c r="C1" s="1"/>
  <c r="D1" s="1"/>
  <c r="A1"/>
  <c r="C71" s="1"/>
  <c r="G22" i="153"/>
  <c r="D22"/>
  <c r="G21"/>
  <c r="D21"/>
  <c r="G18"/>
  <c r="C9"/>
  <c r="C8"/>
  <c r="C7"/>
  <c r="C6"/>
  <c r="I2"/>
  <c r="B1"/>
  <c r="C1" s="1"/>
  <c r="D1" s="1"/>
  <c r="A1"/>
  <c r="G22" i="152"/>
  <c r="D22"/>
  <c r="G21"/>
  <c r="D21"/>
  <c r="G18"/>
  <c r="C9"/>
  <c r="C8"/>
  <c r="C7"/>
  <c r="C6"/>
  <c r="I2"/>
  <c r="B1"/>
  <c r="C1" s="1"/>
  <c r="D1" s="1"/>
  <c r="A1"/>
  <c r="B181" i="151"/>
  <c r="B178"/>
  <c r="B177"/>
  <c r="F172"/>
  <c r="F167"/>
  <c r="F163"/>
  <c r="B157"/>
  <c r="B156"/>
  <c r="F151"/>
  <c r="F147"/>
  <c r="F143"/>
  <c r="F138"/>
  <c r="F133"/>
  <c r="B127"/>
  <c r="B126"/>
  <c r="F121"/>
  <c r="F117"/>
  <c r="F112"/>
  <c r="F107"/>
  <c r="F102"/>
  <c r="F97"/>
  <c r="F91"/>
  <c r="F86"/>
  <c r="F82"/>
  <c r="F77"/>
  <c r="F72"/>
  <c r="F67"/>
  <c r="F62"/>
  <c r="F57"/>
  <c r="F53"/>
  <c r="F48"/>
  <c r="B42"/>
  <c r="B41"/>
  <c r="B242" s="1"/>
  <c r="B243" s="1"/>
  <c r="F36"/>
  <c r="F31"/>
  <c r="F27"/>
  <c r="F22"/>
  <c r="F19"/>
  <c r="F14"/>
  <c r="F10"/>
  <c r="I1"/>
  <c r="B1"/>
  <c r="C1" s="1"/>
  <c r="B5" s="1"/>
  <c r="A1"/>
  <c r="B181" i="150"/>
  <c r="B178"/>
  <c r="B177"/>
  <c r="F172"/>
  <c r="F167"/>
  <c r="F163"/>
  <c r="B157"/>
  <c r="B156"/>
  <c r="F151"/>
  <c r="F147"/>
  <c r="F143"/>
  <c r="F138"/>
  <c r="E156" s="1"/>
  <c r="E157" s="1"/>
  <c r="F133"/>
  <c r="B127"/>
  <c r="B126"/>
  <c r="F121"/>
  <c r="F117"/>
  <c r="F112"/>
  <c r="F107"/>
  <c r="F102"/>
  <c r="F97"/>
  <c r="F91"/>
  <c r="F86"/>
  <c r="F82"/>
  <c r="F77"/>
  <c r="F72"/>
  <c r="F67"/>
  <c r="F62"/>
  <c r="F57"/>
  <c r="F53"/>
  <c r="F48"/>
  <c r="B42"/>
  <c r="B41"/>
  <c r="B242" s="1"/>
  <c r="B243" s="1"/>
  <c r="F36"/>
  <c r="F31"/>
  <c r="F27"/>
  <c r="F22"/>
  <c r="F19"/>
  <c r="F14"/>
  <c r="F10"/>
  <c r="E41" s="1"/>
  <c r="E42" s="1"/>
  <c r="I1"/>
  <c r="B1"/>
  <c r="C1" s="1"/>
  <c r="B5" s="1"/>
  <c r="A1"/>
  <c r="B181" i="149"/>
  <c r="B178"/>
  <c r="B177"/>
  <c r="F172"/>
  <c r="F167"/>
  <c r="E177" s="1"/>
  <c r="E178" s="1"/>
  <c r="F163"/>
  <c r="B157"/>
  <c r="B156"/>
  <c r="F151"/>
  <c r="F147"/>
  <c r="F143"/>
  <c r="F138"/>
  <c r="F133"/>
  <c r="B127"/>
  <c r="B126"/>
  <c r="F121"/>
  <c r="F117"/>
  <c r="F112"/>
  <c r="F107"/>
  <c r="F102"/>
  <c r="F97"/>
  <c r="F91"/>
  <c r="F86"/>
  <c r="F82"/>
  <c r="F77"/>
  <c r="F72"/>
  <c r="F67"/>
  <c r="F62"/>
  <c r="F57"/>
  <c r="F53"/>
  <c r="F48"/>
  <c r="B42"/>
  <c r="B41"/>
  <c r="B242" s="1"/>
  <c r="B243" s="1"/>
  <c r="F36"/>
  <c r="F31"/>
  <c r="F27"/>
  <c r="F22"/>
  <c r="F19"/>
  <c r="F14"/>
  <c r="F10"/>
  <c r="I1"/>
  <c r="B1"/>
  <c r="C1" s="1"/>
  <c r="B5" s="1"/>
  <c r="A1"/>
  <c r="B181" i="148"/>
  <c r="B178"/>
  <c r="B177"/>
  <c r="F172"/>
  <c r="F167"/>
  <c r="E177" s="1"/>
  <c r="E178" s="1"/>
  <c r="F163"/>
  <c r="B157"/>
  <c r="B156"/>
  <c r="F151"/>
  <c r="F147"/>
  <c r="F143"/>
  <c r="F138"/>
  <c r="F133"/>
  <c r="B127"/>
  <c r="B126"/>
  <c r="F121"/>
  <c r="F117"/>
  <c r="F112"/>
  <c r="F107"/>
  <c r="F102"/>
  <c r="F97"/>
  <c r="F91"/>
  <c r="F86"/>
  <c r="F82"/>
  <c r="F77"/>
  <c r="F72"/>
  <c r="F67"/>
  <c r="F62"/>
  <c r="F57"/>
  <c r="F53"/>
  <c r="E126" s="1"/>
  <c r="E127" s="1"/>
  <c r="F48"/>
  <c r="B42"/>
  <c r="B41"/>
  <c r="B242" s="1"/>
  <c r="B243" s="1"/>
  <c r="F36"/>
  <c r="F31"/>
  <c r="F27"/>
  <c r="F22"/>
  <c r="F19"/>
  <c r="F14"/>
  <c r="F10"/>
  <c r="I1"/>
  <c r="B1"/>
  <c r="C1" s="1"/>
  <c r="B5" s="1"/>
  <c r="A1"/>
  <c r="B181" i="147"/>
  <c r="B178"/>
  <c r="B177"/>
  <c r="F172"/>
  <c r="F167"/>
  <c r="F163"/>
  <c r="B157"/>
  <c r="B156"/>
  <c r="F151"/>
  <c r="F147"/>
  <c r="F143"/>
  <c r="F138"/>
  <c r="F133"/>
  <c r="B127"/>
  <c r="B126"/>
  <c r="F121"/>
  <c r="F117"/>
  <c r="F112"/>
  <c r="F107"/>
  <c r="F102"/>
  <c r="F97"/>
  <c r="F91"/>
  <c r="F86"/>
  <c r="F82"/>
  <c r="F77"/>
  <c r="F72"/>
  <c r="F67"/>
  <c r="F62"/>
  <c r="F57"/>
  <c r="F53"/>
  <c r="B42"/>
  <c r="B41"/>
  <c r="B242" s="1"/>
  <c r="B243" s="1"/>
  <c r="F36"/>
  <c r="F31"/>
  <c r="F27"/>
  <c r="F22"/>
  <c r="F19"/>
  <c r="F14"/>
  <c r="F10"/>
  <c r="I1"/>
  <c r="B1"/>
  <c r="C1" s="1"/>
  <c r="B5" s="1"/>
  <c r="A1"/>
  <c r="B181" i="146"/>
  <c r="B178"/>
  <c r="B177"/>
  <c r="F172"/>
  <c r="F167"/>
  <c r="E177" s="1"/>
  <c r="E178" s="1"/>
  <c r="F163"/>
  <c r="B157"/>
  <c r="B156"/>
  <c r="F151"/>
  <c r="F147"/>
  <c r="F143"/>
  <c r="F138"/>
  <c r="E156" s="1"/>
  <c r="E157" s="1"/>
  <c r="F133"/>
  <c r="B127"/>
  <c r="B126"/>
  <c r="F121"/>
  <c r="F117"/>
  <c r="F112"/>
  <c r="F107"/>
  <c r="F102"/>
  <c r="F97"/>
  <c r="F91"/>
  <c r="F86"/>
  <c r="F82"/>
  <c r="F77"/>
  <c r="F72"/>
  <c r="F67"/>
  <c r="F62"/>
  <c r="F57"/>
  <c r="F53"/>
  <c r="F48"/>
  <c r="B42"/>
  <c r="B41"/>
  <c r="B242" s="1"/>
  <c r="B243" s="1"/>
  <c r="F36"/>
  <c r="F31"/>
  <c r="F27"/>
  <c r="F22"/>
  <c r="F19"/>
  <c r="F14"/>
  <c r="F10"/>
  <c r="E41" s="1"/>
  <c r="E42" s="1"/>
  <c r="I1"/>
  <c r="B1"/>
  <c r="C1" s="1"/>
  <c r="A1"/>
  <c r="B181" i="145"/>
  <c r="B178"/>
  <c r="B177"/>
  <c r="F172"/>
  <c r="F167"/>
  <c r="F163"/>
  <c r="B157"/>
  <c r="B156"/>
  <c r="F151"/>
  <c r="F147"/>
  <c r="F143"/>
  <c r="F138"/>
  <c r="E156" s="1"/>
  <c r="E157" s="1"/>
  <c r="F133"/>
  <c r="B127"/>
  <c r="B126"/>
  <c r="F121"/>
  <c r="F117"/>
  <c r="F112"/>
  <c r="F107"/>
  <c r="F102"/>
  <c r="F97"/>
  <c r="F91"/>
  <c r="F86"/>
  <c r="F82"/>
  <c r="F77"/>
  <c r="F72"/>
  <c r="F67"/>
  <c r="F62"/>
  <c r="F57"/>
  <c r="F53"/>
  <c r="F48"/>
  <c r="B42"/>
  <c r="B41"/>
  <c r="B242" s="1"/>
  <c r="B243" s="1"/>
  <c r="F36"/>
  <c r="F31"/>
  <c r="F27"/>
  <c r="F22"/>
  <c r="F19"/>
  <c r="F14"/>
  <c r="F10"/>
  <c r="E41" s="1"/>
  <c r="E42" s="1"/>
  <c r="I1"/>
  <c r="B1"/>
  <c r="C1" s="1"/>
  <c r="A1"/>
  <c r="B181" i="144"/>
  <c r="B178"/>
  <c r="B177"/>
  <c r="F172"/>
  <c r="F167"/>
  <c r="E177" s="1"/>
  <c r="E178" s="1"/>
  <c r="F163"/>
  <c r="B157"/>
  <c r="B156"/>
  <c r="F151"/>
  <c r="F147"/>
  <c r="F143"/>
  <c r="F138"/>
  <c r="F133"/>
  <c r="B127"/>
  <c r="B126"/>
  <c r="F121"/>
  <c r="F117"/>
  <c r="F112"/>
  <c r="F107"/>
  <c r="F102"/>
  <c r="F97"/>
  <c r="F91"/>
  <c r="F86"/>
  <c r="F82"/>
  <c r="F77"/>
  <c r="F72"/>
  <c r="F67"/>
  <c r="F62"/>
  <c r="F57"/>
  <c r="F53"/>
  <c r="F48"/>
  <c r="B42"/>
  <c r="B41"/>
  <c r="B242" s="1"/>
  <c r="B243" s="1"/>
  <c r="F36"/>
  <c r="F31"/>
  <c r="F27"/>
  <c r="F22"/>
  <c r="F19"/>
  <c r="F14"/>
  <c r="F10"/>
  <c r="I1"/>
  <c r="B1"/>
  <c r="C1" s="1"/>
  <c r="A1"/>
  <c r="E177" i="151" l="1"/>
  <c r="E178" s="1"/>
  <c r="E156"/>
  <c r="E157" s="1"/>
  <c r="E126"/>
  <c r="E127" s="1"/>
  <c r="E41"/>
  <c r="E42" s="1"/>
  <c r="E177" i="150"/>
  <c r="E178" s="1"/>
  <c r="E126"/>
  <c r="E127" s="1"/>
  <c r="E156" i="149"/>
  <c r="E157" s="1"/>
  <c r="E126"/>
  <c r="E127" s="1"/>
  <c r="E41"/>
  <c r="E42" s="1"/>
  <c r="E126" i="146"/>
  <c r="E127" s="1"/>
  <c r="E156" i="148"/>
  <c r="E157" s="1"/>
  <c r="E41"/>
  <c r="E42" s="1"/>
  <c r="E177" i="147"/>
  <c r="E178" s="1"/>
  <c r="E156"/>
  <c r="E157" s="1"/>
  <c r="E126"/>
  <c r="E127" s="1"/>
  <c r="E41"/>
  <c r="E42" s="1"/>
  <c r="E177" i="145"/>
  <c r="E178" s="1"/>
  <c r="E126"/>
  <c r="E127" s="1"/>
  <c r="E156" i="144"/>
  <c r="E157" s="1"/>
  <c r="E126"/>
  <c r="E127" s="1"/>
  <c r="E41"/>
  <c r="E42" s="1"/>
  <c r="E1" i="154"/>
  <c r="C5" i="153"/>
  <c r="C5" i="152"/>
  <c r="F236" i="151"/>
  <c r="B2"/>
  <c r="F189"/>
  <c r="F200"/>
  <c r="F211"/>
  <c r="F230"/>
  <c r="F228"/>
  <c r="E242"/>
  <c r="E243" s="1"/>
  <c r="F191"/>
  <c r="E193" s="1"/>
  <c r="E194" s="1"/>
  <c r="F202"/>
  <c r="E204" s="1"/>
  <c r="E205" s="1"/>
  <c r="F213"/>
  <c r="F224"/>
  <c r="F232"/>
  <c r="C243"/>
  <c r="F215"/>
  <c r="F226"/>
  <c r="F234"/>
  <c r="F228" i="150"/>
  <c r="F236"/>
  <c r="E242"/>
  <c r="E243" s="1"/>
  <c r="B2"/>
  <c r="F189"/>
  <c r="F200"/>
  <c r="F211"/>
  <c r="F230"/>
  <c r="F191"/>
  <c r="E193" s="1"/>
  <c r="E194" s="1"/>
  <c r="F202"/>
  <c r="E204" s="1"/>
  <c r="E205" s="1"/>
  <c r="F213"/>
  <c r="F224"/>
  <c r="F232"/>
  <c r="C243"/>
  <c r="F215"/>
  <c r="F226"/>
  <c r="F234"/>
  <c r="F228" i="149"/>
  <c r="B2"/>
  <c r="F189"/>
  <c r="F200"/>
  <c r="F211"/>
  <c r="F230"/>
  <c r="F236"/>
  <c r="F191"/>
  <c r="E193" s="1"/>
  <c r="E194" s="1"/>
  <c r="F202"/>
  <c r="E204" s="1"/>
  <c r="E205" s="1"/>
  <c r="F213"/>
  <c r="F224"/>
  <c r="F232"/>
  <c r="C243"/>
  <c r="E242"/>
  <c r="E243" s="1"/>
  <c r="F215"/>
  <c r="F226"/>
  <c r="F234"/>
  <c r="B2" i="148"/>
  <c r="F189"/>
  <c r="F200"/>
  <c r="F211"/>
  <c r="F230"/>
  <c r="F228"/>
  <c r="E242"/>
  <c r="E243" s="1"/>
  <c r="F191"/>
  <c r="E193" s="1"/>
  <c r="E194" s="1"/>
  <c r="F202"/>
  <c r="E204" s="1"/>
  <c r="E205" s="1"/>
  <c r="F213"/>
  <c r="F224"/>
  <c r="F232"/>
  <c r="C243"/>
  <c r="F236"/>
  <c r="F215"/>
  <c r="F226"/>
  <c r="F234"/>
  <c r="B2" i="147"/>
  <c r="F189"/>
  <c r="F200"/>
  <c r="F211"/>
  <c r="F230"/>
  <c r="F228"/>
  <c r="F236"/>
  <c r="E242"/>
  <c r="E243" s="1"/>
  <c r="F191"/>
  <c r="E193" s="1"/>
  <c r="E194" s="1"/>
  <c r="F202"/>
  <c r="E204" s="1"/>
  <c r="E205" s="1"/>
  <c r="F213"/>
  <c r="F224"/>
  <c r="F232"/>
  <c r="C243"/>
  <c r="F215"/>
  <c r="F226"/>
  <c r="F234"/>
  <c r="F228" i="146"/>
  <c r="F236"/>
  <c r="E242"/>
  <c r="E243" s="1"/>
  <c r="B2"/>
  <c r="F191"/>
  <c r="E193" s="1"/>
  <c r="E194" s="1"/>
  <c r="F202"/>
  <c r="E204" s="1"/>
  <c r="E205" s="1"/>
  <c r="F213"/>
  <c r="F224"/>
  <c r="F232"/>
  <c r="C243"/>
  <c r="F189"/>
  <c r="F200"/>
  <c r="F211"/>
  <c r="F230"/>
  <c r="F215"/>
  <c r="F226"/>
  <c r="F234"/>
  <c r="E217" i="145"/>
  <c r="E218" s="1"/>
  <c r="E242"/>
  <c r="E243" s="1"/>
  <c r="F189"/>
  <c r="F200"/>
  <c r="F211"/>
  <c r="F230"/>
  <c r="E238"/>
  <c r="E239" s="1"/>
  <c r="F228"/>
  <c r="F236"/>
  <c r="F191"/>
  <c r="F202"/>
  <c r="F213"/>
  <c r="F224"/>
  <c r="F232"/>
  <c r="C243"/>
  <c r="B2"/>
  <c r="E193"/>
  <c r="E194" s="1"/>
  <c r="E204"/>
  <c r="E205" s="1"/>
  <c r="F215"/>
  <c r="F226"/>
  <c r="F234"/>
  <c r="F189" i="144"/>
  <c r="F200"/>
  <c r="F211"/>
  <c r="F230"/>
  <c r="E238"/>
  <c r="E239" s="1"/>
  <c r="E217"/>
  <c r="E218" s="1"/>
  <c r="F228"/>
  <c r="F236"/>
  <c r="E242"/>
  <c r="E243" s="1"/>
  <c r="F191"/>
  <c r="F202"/>
  <c r="F213"/>
  <c r="F224"/>
  <c r="F232"/>
  <c r="C243"/>
  <c r="B2"/>
  <c r="E193"/>
  <c r="E194" s="1"/>
  <c r="E204"/>
  <c r="E205" s="1"/>
  <c r="F215"/>
  <c r="F226"/>
  <c r="F234"/>
  <c r="E100" i="143"/>
  <c r="E99"/>
  <c r="E94"/>
  <c r="C75"/>
  <c r="C74"/>
  <c r="C73"/>
  <c r="C72"/>
  <c r="I68"/>
  <c r="E34"/>
  <c r="D34"/>
  <c r="E33"/>
  <c r="D33"/>
  <c r="E32"/>
  <c r="D32"/>
  <c r="E31"/>
  <c r="D31"/>
  <c r="E30"/>
  <c r="D30"/>
  <c r="E29"/>
  <c r="D29"/>
  <c r="E28"/>
  <c r="D28"/>
  <c r="E27"/>
  <c r="D27"/>
  <c r="E26"/>
  <c r="D26"/>
  <c r="E25"/>
  <c r="D25"/>
  <c r="E24"/>
  <c r="D24"/>
  <c r="E23"/>
  <c r="D23"/>
  <c r="E22"/>
  <c r="D22"/>
  <c r="E21"/>
  <c r="D21"/>
  <c r="E20"/>
  <c r="D20"/>
  <c r="E19"/>
  <c r="D19"/>
  <c r="E18"/>
  <c r="D18"/>
  <c r="E17"/>
  <c r="D17"/>
  <c r="E16"/>
  <c r="D16"/>
  <c r="E15"/>
  <c r="D15"/>
  <c r="E14"/>
  <c r="D14"/>
  <c r="E13"/>
  <c r="D13"/>
  <c r="E12"/>
  <c r="D12"/>
  <c r="E11"/>
  <c r="D11"/>
  <c r="E10"/>
  <c r="D10"/>
  <c r="E9"/>
  <c r="D9"/>
  <c r="E8"/>
  <c r="D8"/>
  <c r="E7"/>
  <c r="D7"/>
  <c r="E6"/>
  <c r="D6"/>
  <c r="E5"/>
  <c r="D5"/>
  <c r="E4"/>
  <c r="D4"/>
  <c r="B1"/>
  <c r="C1" s="1"/>
  <c r="D1" s="1"/>
  <c r="A1"/>
  <c r="C71" s="1"/>
  <c r="E4" i="115"/>
  <c r="M14"/>
  <c r="G14"/>
  <c r="E14"/>
  <c r="M12"/>
  <c r="G12"/>
  <c r="I12"/>
  <c r="K12"/>
  <c r="E12"/>
  <c r="N1" i="130"/>
  <c r="N1" i="129"/>
  <c r="N1" i="79"/>
  <c r="N1" i="44"/>
  <c r="K1" i="45"/>
  <c r="K1" i="119"/>
  <c r="K1" i="116"/>
  <c r="I2" i="27"/>
  <c r="B4" i="151"/>
  <c r="B3" i="148"/>
  <c r="B3" i="147"/>
  <c r="B4" i="148"/>
  <c r="B4" i="150"/>
  <c r="B3" i="149"/>
  <c r="B3" i="151"/>
  <c r="B3" i="150"/>
  <c r="B4" i="149"/>
  <c r="B4" i="147"/>
  <c r="B4" i="146"/>
  <c r="B3"/>
  <c r="E217" i="151" l="1"/>
  <c r="E218" s="1"/>
  <c r="E238"/>
  <c r="E239" s="1"/>
  <c r="E238" i="150"/>
  <c r="E239" s="1"/>
  <c r="E217"/>
  <c r="E218" s="1"/>
  <c r="E217" i="149"/>
  <c r="E218" s="1"/>
  <c r="E238"/>
  <c r="E239" s="1"/>
  <c r="E217" i="148"/>
  <c r="E218" s="1"/>
  <c r="E238"/>
  <c r="E239" s="1"/>
  <c r="E217" i="147"/>
  <c r="E218" s="1"/>
  <c r="E238"/>
  <c r="E239" s="1"/>
  <c r="E238" i="146"/>
  <c r="E239" s="1"/>
  <c r="E217"/>
  <c r="E218" s="1"/>
  <c r="E1" i="143"/>
  <c r="I1" i="121"/>
  <c r="I2" i="112"/>
  <c r="I68" i="124"/>
  <c r="K1" i="114"/>
  <c r="F163" i="121"/>
  <c r="F172"/>
  <c r="F167"/>
  <c r="F151"/>
  <c r="F147"/>
  <c r="F143"/>
  <c r="F138"/>
  <c r="F133"/>
  <c r="F121"/>
  <c r="F117"/>
  <c r="F112"/>
  <c r="F107"/>
  <c r="F102"/>
  <c r="F97"/>
  <c r="F91"/>
  <c r="F86"/>
  <c r="F82"/>
  <c r="F77"/>
  <c r="F72"/>
  <c r="F67"/>
  <c r="F62"/>
  <c r="F57"/>
  <c r="F53"/>
  <c r="F48"/>
  <c r="F36"/>
  <c r="F31"/>
  <c r="F27"/>
  <c r="F22"/>
  <c r="F19"/>
  <c r="F14"/>
  <c r="F10"/>
  <c r="E34" i="124"/>
  <c r="D34"/>
  <c r="E33"/>
  <c r="D33"/>
  <c r="E32"/>
  <c r="D32"/>
  <c r="E31"/>
  <c r="D31"/>
  <c r="E30"/>
  <c r="D30"/>
  <c r="E29"/>
  <c r="D29"/>
  <c r="E28"/>
  <c r="D28"/>
  <c r="E27"/>
  <c r="D27"/>
  <c r="E26"/>
  <c r="D26"/>
  <c r="E25"/>
  <c r="D25"/>
  <c r="E24"/>
  <c r="D24"/>
  <c r="E23"/>
  <c r="D23"/>
  <c r="E22"/>
  <c r="D22"/>
  <c r="E21"/>
  <c r="D21"/>
  <c r="E20"/>
  <c r="D20"/>
  <c r="E19"/>
  <c r="D19"/>
  <c r="E18"/>
  <c r="D18"/>
  <c r="E17"/>
  <c r="D17"/>
  <c r="E16"/>
  <c r="D16"/>
  <c r="E15"/>
  <c r="D15"/>
  <c r="E14"/>
  <c r="D14"/>
  <c r="E13"/>
  <c r="D13"/>
  <c r="E12"/>
  <c r="D12"/>
  <c r="E11"/>
  <c r="D11"/>
  <c r="E10"/>
  <c r="D10"/>
  <c r="E9"/>
  <c r="D9"/>
  <c r="E8"/>
  <c r="D8"/>
  <c r="E7"/>
  <c r="D7"/>
  <c r="E6"/>
  <c r="D6"/>
  <c r="E5"/>
  <c r="D5"/>
  <c r="E4"/>
  <c r="D4"/>
  <c r="A1"/>
  <c r="P5" i="79"/>
  <c r="E177" i="121" l="1"/>
  <c r="E156"/>
  <c r="E126"/>
  <c r="E41"/>
  <c r="B41"/>
  <c r="E18" i="115" l="1"/>
  <c r="E16"/>
  <c r="E8"/>
  <c r="G8"/>
  <c r="I8"/>
  <c r="K8"/>
  <c r="M8"/>
  <c r="E10"/>
  <c r="G10"/>
  <c r="I10"/>
  <c r="K10"/>
  <c r="M10"/>
  <c r="M6"/>
  <c r="K6"/>
  <c r="I6"/>
  <c r="G6"/>
  <c r="E6"/>
  <c r="E100" i="124"/>
  <c r="E99"/>
  <c r="E94"/>
  <c r="C75"/>
  <c r="C74"/>
  <c r="C73"/>
  <c r="C72"/>
  <c r="B1"/>
  <c r="C1" s="1"/>
  <c r="D1" s="1"/>
  <c r="C71" l="1"/>
  <c r="E1"/>
  <c r="B181" i="121" l="1"/>
  <c r="B178"/>
  <c r="E178"/>
  <c r="B177"/>
  <c r="B157"/>
  <c r="E157"/>
  <c r="B156"/>
  <c r="B127"/>
  <c r="E127"/>
  <c r="B126"/>
  <c r="B42"/>
  <c r="E42"/>
  <c r="B242"/>
  <c r="B243" s="1"/>
  <c r="B1"/>
  <c r="C1" s="1"/>
  <c r="A1"/>
  <c r="C19" i="119"/>
  <c r="E15"/>
  <c r="E14"/>
  <c r="E12"/>
  <c r="E11"/>
  <c r="E10"/>
  <c r="E9"/>
  <c r="E8"/>
  <c r="C6"/>
  <c r="C19" i="116"/>
  <c r="E15"/>
  <c r="E14"/>
  <c r="E12"/>
  <c r="E11"/>
  <c r="E10"/>
  <c r="E9"/>
  <c r="E8"/>
  <c r="C6"/>
  <c r="G18" i="112"/>
  <c r="G21"/>
  <c r="G22"/>
  <c r="D22"/>
  <c r="D21"/>
  <c r="C9"/>
  <c r="C8"/>
  <c r="C7"/>
  <c r="C6"/>
  <c r="G29" i="27"/>
  <c r="G30"/>
  <c r="C29"/>
  <c r="C30"/>
  <c r="E16"/>
  <c r="E14"/>
  <c r="E13"/>
  <c r="E12"/>
  <c r="E9"/>
  <c r="E8"/>
  <c r="E7"/>
  <c r="E6"/>
  <c r="E5"/>
  <c r="C6" i="114"/>
  <c r="E14"/>
  <c r="C19"/>
  <c r="E15"/>
  <c r="E12"/>
  <c r="E11"/>
  <c r="E10"/>
  <c r="E9"/>
  <c r="E8"/>
  <c r="B1" i="112"/>
  <c r="C1" s="1"/>
  <c r="D1" s="1"/>
  <c r="A1"/>
  <c r="C5" l="1"/>
  <c r="E238" i="121"/>
  <c r="E242"/>
  <c r="E243" s="1"/>
  <c r="E204"/>
  <c r="E217"/>
  <c r="F236"/>
  <c r="F232"/>
  <c r="F234"/>
  <c r="F228"/>
  <c r="F230"/>
  <c r="F224"/>
  <c r="F226"/>
  <c r="F213"/>
  <c r="F215"/>
  <c r="F202"/>
  <c r="F211"/>
  <c r="E193"/>
  <c r="F200"/>
  <c r="F191"/>
  <c r="F189"/>
  <c r="B2"/>
  <c r="C243"/>
  <c r="E218" l="1"/>
  <c r="E205"/>
  <c r="E239"/>
  <c r="E194"/>
  <c r="B242" i="79" l="1"/>
  <c r="O221"/>
  <c r="O208"/>
  <c r="O197"/>
  <c r="O186"/>
  <c r="B181"/>
  <c r="A180"/>
  <c r="B178"/>
  <c r="O160"/>
  <c r="B157"/>
  <c r="O130"/>
  <c r="B127"/>
  <c r="O45"/>
  <c r="B42"/>
  <c r="O7"/>
  <c r="B1"/>
  <c r="C1" s="1"/>
  <c r="A1"/>
  <c r="C242" s="1"/>
  <c r="O5" l="1"/>
  <c r="G54" i="44" l="1"/>
  <c r="G53"/>
  <c r="E14" i="45"/>
  <c r="C6"/>
  <c r="M36" i="44"/>
  <c r="B1"/>
  <c r="C1" s="1"/>
  <c r="A1" l="1"/>
  <c r="B1" i="27" l="1"/>
  <c r="C1" s="1"/>
  <c r="A1" l="1"/>
  <c r="C24" l="1"/>
  <c r="L11" i="12" l="1"/>
  <c r="K11"/>
  <c r="M11"/>
  <c r="N11"/>
  <c r="L10"/>
  <c r="K10"/>
  <c r="M10"/>
  <c r="N10"/>
  <c r="L9"/>
  <c r="K9"/>
  <c r="M9"/>
  <c r="N9"/>
  <c r="L8"/>
  <c r="K8"/>
  <c r="M8"/>
  <c r="N8"/>
  <c r="L7"/>
  <c r="K7"/>
  <c r="M7"/>
  <c r="N7"/>
  <c r="L6"/>
  <c r="K6"/>
  <c r="M6"/>
  <c r="N6"/>
  <c r="L5"/>
  <c r="K5"/>
  <c r="M5"/>
  <c r="N5"/>
  <c r="L4"/>
  <c r="K4"/>
  <c r="M4"/>
  <c r="N4"/>
  <c r="F173" i="79"/>
  <c r="K25"/>
  <c r="E108"/>
  <c r="F38"/>
  <c r="K74"/>
  <c r="H103"/>
  <c r="L139"/>
  <c r="J49"/>
  <c r="B3" i="129"/>
  <c r="M227" i="79"/>
  <c r="I115"/>
  <c r="F154"/>
  <c r="H153"/>
  <c r="G35"/>
  <c r="L101"/>
  <c r="E136"/>
  <c r="M171"/>
  <c r="H54"/>
  <c r="F37"/>
  <c r="G235"/>
  <c r="K144"/>
  <c r="L114"/>
  <c r="F64"/>
  <c r="J124"/>
  <c r="F165"/>
  <c r="E114"/>
  <c r="E235"/>
  <c r="M37"/>
  <c r="K235"/>
  <c r="M39"/>
  <c r="M145"/>
  <c r="M83"/>
  <c r="H125"/>
  <c r="J18"/>
  <c r="L17"/>
  <c r="H50"/>
  <c r="L233"/>
  <c r="H115"/>
  <c r="F15"/>
  <c r="L64"/>
  <c r="J104"/>
  <c r="F231"/>
  <c r="J100"/>
  <c r="F192"/>
  <c r="H174"/>
  <c r="J56"/>
  <c r="J190"/>
  <c r="J69"/>
  <c r="J166"/>
  <c r="K237"/>
  <c r="F233"/>
  <c r="F88"/>
  <c r="I119"/>
  <c r="L26"/>
  <c r="L150"/>
  <c r="E148"/>
  <c r="H55"/>
  <c r="M134"/>
  <c r="L56"/>
  <c r="E145"/>
  <c r="F33"/>
  <c r="E116"/>
  <c r="E51"/>
  <c r="M201"/>
  <c r="I59"/>
  <c r="H201"/>
  <c r="K103"/>
  <c r="I89"/>
  <c r="G94"/>
  <c r="G154"/>
  <c r="G148"/>
  <c r="G18"/>
  <c r="E120"/>
  <c r="J37"/>
  <c r="L18"/>
  <c r="K135"/>
  <c r="I203"/>
  <c r="G134"/>
  <c r="M214"/>
  <c r="E83"/>
  <c r="M70"/>
  <c r="L32"/>
  <c r="E135"/>
  <c r="I149"/>
  <c r="I152"/>
  <c r="H81"/>
  <c r="G74"/>
  <c r="I29"/>
  <c r="J39"/>
  <c r="K229"/>
  <c r="E229"/>
  <c r="E37"/>
  <c r="L216"/>
  <c r="L88"/>
  <c r="F66"/>
  <c r="I108"/>
  <c r="L93"/>
  <c r="M99"/>
  <c r="K64"/>
  <c r="F13"/>
  <c r="K30"/>
  <c r="H42" i="44"/>
  <c r="K29"/>
  <c r="K17" i="79"/>
  <c r="E21"/>
  <c r="H60"/>
  <c r="D1" i="148"/>
  <c r="K30" i="44"/>
  <c r="K92" i="79"/>
  <c r="G37"/>
  <c r="F113"/>
  <c r="M56"/>
  <c r="K174"/>
  <c r="G227"/>
  <c r="K104"/>
  <c r="I69"/>
  <c r="M18"/>
  <c r="H113"/>
  <c r="G201"/>
  <c r="L237"/>
  <c r="M203"/>
  <c r="F51"/>
  <c r="G64"/>
  <c r="E74"/>
  <c r="F16"/>
  <c r="K136"/>
  <c r="J25" i="44"/>
  <c r="K175" i="79"/>
  <c r="M34"/>
  <c r="E88"/>
  <c r="L203"/>
  <c r="H49"/>
  <c r="F229"/>
  <c r="I70"/>
  <c r="I30"/>
  <c r="G124"/>
  <c r="J64"/>
  <c r="K101"/>
  <c r="H35"/>
  <c r="G169"/>
  <c r="I175"/>
  <c r="M66"/>
  <c r="G65"/>
  <c r="K79"/>
  <c r="L106"/>
  <c r="J32"/>
  <c r="F89"/>
  <c r="J212"/>
  <c r="J146"/>
  <c r="H13"/>
  <c r="G90"/>
  <c r="H95"/>
  <c r="G119"/>
  <c r="M101"/>
  <c r="H93"/>
  <c r="J137"/>
  <c r="I16"/>
  <c r="L76"/>
  <c r="H78"/>
  <c r="G15"/>
  <c r="H18"/>
  <c r="H169"/>
  <c r="M13"/>
  <c r="M225"/>
  <c r="J174"/>
  <c r="L231"/>
  <c r="J229"/>
  <c r="E18"/>
  <c r="G141"/>
  <c r="K155"/>
  <c r="G73"/>
  <c r="L120"/>
  <c r="L87"/>
  <c r="K18"/>
  <c r="J155"/>
  <c r="J113"/>
  <c r="K84"/>
  <c r="F18"/>
  <c r="E103"/>
  <c r="L16"/>
  <c r="M88"/>
  <c r="J66"/>
  <c r="H30"/>
  <c r="E78"/>
  <c r="J111"/>
  <c r="H231"/>
  <c r="L58"/>
  <c r="K94"/>
  <c r="H175"/>
  <c r="J78"/>
  <c r="M94"/>
  <c r="L175"/>
  <c r="J74"/>
  <c r="K115"/>
  <c r="H146"/>
  <c r="G32"/>
  <c r="L34"/>
  <c r="M98"/>
  <c r="I139"/>
  <c r="E20"/>
  <c r="M49"/>
  <c r="E146"/>
  <c r="H190"/>
  <c r="M153"/>
  <c r="E95"/>
  <c r="K192"/>
  <c r="E166"/>
  <c r="K23"/>
  <c r="E90"/>
  <c r="E149"/>
  <c r="G225"/>
  <c r="L165"/>
  <c r="L145"/>
  <c r="F139"/>
  <c r="L174"/>
  <c r="E100"/>
  <c r="E66"/>
  <c r="J110"/>
  <c r="M136"/>
  <c r="I135"/>
  <c r="D1" i="144"/>
  <c r="L92" i="79"/>
  <c r="H105"/>
  <c r="F104"/>
  <c r="H26"/>
  <c r="K176"/>
  <c r="H75"/>
  <c r="G38"/>
  <c r="F68"/>
  <c r="J76"/>
  <c r="K23" i="44"/>
  <c r="G103" i="79"/>
  <c r="E15"/>
  <c r="K49"/>
  <c r="K56"/>
  <c r="E11" i="44"/>
  <c r="K85" i="79"/>
  <c r="M65"/>
  <c r="L141"/>
  <c r="H173"/>
  <c r="L25" i="44"/>
  <c r="F216" i="79"/>
  <c r="G84"/>
  <c r="E98"/>
  <c r="G80"/>
  <c r="F81"/>
  <c r="J11"/>
  <c r="G66"/>
  <c r="L111"/>
  <c r="E152"/>
  <c r="G70"/>
  <c r="J122"/>
  <c r="M124"/>
  <c r="K154"/>
  <c r="M30" i="44"/>
  <c r="J68" i="79"/>
  <c r="L148"/>
  <c r="G168"/>
  <c r="E63"/>
  <c r="E94"/>
  <c r="H155"/>
  <c r="F125"/>
  <c r="G23"/>
  <c r="E216"/>
  <c r="M110"/>
  <c r="F148"/>
  <c r="M33"/>
  <c r="E54"/>
  <c r="M105"/>
  <c r="F201"/>
  <c r="L212"/>
  <c r="G173"/>
  <c r="J20"/>
  <c r="K173"/>
  <c r="M68"/>
  <c r="G106"/>
  <c r="G39"/>
  <c r="G68"/>
  <c r="H212"/>
  <c r="M12"/>
  <c r="F23"/>
  <c r="I146"/>
  <c r="E80"/>
  <c r="I61"/>
  <c r="L124"/>
  <c r="I75"/>
  <c r="L33"/>
  <c r="I85"/>
  <c r="B4" i="145"/>
  <c r="G42" i="44"/>
  <c r="I148" i="79"/>
  <c r="I136"/>
  <c r="K81"/>
  <c r="G78"/>
  <c r="I114"/>
  <c r="E16"/>
  <c r="G114"/>
  <c r="K89"/>
  <c r="I52"/>
  <c r="M115"/>
  <c r="M40"/>
  <c r="I54"/>
  <c r="H165"/>
  <c r="M146"/>
  <c r="G21"/>
  <c r="L29"/>
  <c r="F175"/>
  <c r="F135"/>
  <c r="J84"/>
  <c r="L235"/>
  <c r="I165"/>
  <c r="J141"/>
  <c r="K134"/>
  <c r="E140"/>
  <c r="I34"/>
  <c r="I92"/>
  <c r="L105"/>
  <c r="J103"/>
  <c r="J168"/>
  <c r="I17"/>
  <c r="M149"/>
  <c r="K90"/>
  <c r="I26"/>
  <c r="F169"/>
  <c r="J119"/>
  <c r="M125"/>
  <c r="I145"/>
  <c r="L225"/>
  <c r="K203"/>
  <c r="M30"/>
  <c r="L89"/>
  <c r="G153"/>
  <c r="E13"/>
  <c r="I11"/>
  <c r="M75"/>
  <c r="K214"/>
  <c r="J231"/>
  <c r="M141"/>
  <c r="F237"/>
  <c r="M20"/>
  <c r="J192"/>
  <c r="I96"/>
  <c r="H69"/>
  <c r="J235"/>
  <c r="I173"/>
  <c r="H101"/>
  <c r="J55"/>
  <c r="L113"/>
  <c r="M50"/>
  <c r="G146"/>
  <c r="H99"/>
  <c r="H135"/>
  <c r="M11"/>
  <c r="H76"/>
  <c r="M96"/>
  <c r="F92"/>
  <c r="J28"/>
  <c r="J106"/>
  <c r="G123"/>
  <c r="F24"/>
  <c r="I30" i="44"/>
  <c r="G231" i="79"/>
  <c r="I29" i="44"/>
  <c r="I95" i="79"/>
  <c r="K78"/>
  <c r="J165"/>
  <c r="M89"/>
  <c r="H96"/>
  <c r="M60"/>
  <c r="M23" i="44"/>
  <c r="H145" i="79"/>
  <c r="I100"/>
  <c r="K33"/>
  <c r="E59"/>
  <c r="H21"/>
  <c r="E55"/>
  <c r="F111"/>
  <c r="I68"/>
  <c r="K123"/>
  <c r="J142"/>
  <c r="I111"/>
  <c r="K27" i="44"/>
  <c r="M61" i="79"/>
  <c r="M55"/>
  <c r="K26"/>
  <c r="M71"/>
  <c r="L79"/>
  <c r="F214"/>
  <c r="E69"/>
  <c r="H111"/>
  <c r="I99"/>
  <c r="K120"/>
  <c r="L109"/>
  <c r="L164"/>
  <c r="F50"/>
  <c r="M166"/>
  <c r="K16"/>
  <c r="K111"/>
  <c r="F55"/>
  <c r="M59"/>
  <c r="H39"/>
  <c r="M190"/>
  <c r="G61"/>
  <c r="H118"/>
  <c r="G137"/>
  <c r="L85"/>
  <c r="K212"/>
  <c r="F59"/>
  <c r="H65"/>
  <c r="G49"/>
  <c r="M148"/>
  <c r="G81"/>
  <c r="I88"/>
  <c r="M170"/>
  <c r="K140"/>
  <c r="H233"/>
  <c r="M114"/>
  <c r="G101"/>
  <c r="M152"/>
  <c r="M87"/>
  <c r="M135"/>
  <c r="K71"/>
  <c r="F145"/>
  <c r="M113"/>
  <c r="L201"/>
  <c r="K225"/>
  <c r="E61"/>
  <c r="M103"/>
  <c r="M192"/>
  <c r="K55"/>
  <c r="L71"/>
  <c r="J101"/>
  <c r="K108"/>
  <c r="G11"/>
  <c r="F142"/>
  <c r="M169"/>
  <c r="H150"/>
  <c r="F61"/>
  <c r="H58"/>
  <c r="L68"/>
  <c r="M54"/>
  <c r="I214"/>
  <c r="J87"/>
  <c r="L96"/>
  <c r="I71"/>
  <c r="J120"/>
  <c r="H110"/>
  <c r="E28"/>
  <c r="F124"/>
  <c r="K68"/>
  <c r="E58"/>
  <c r="M15"/>
  <c r="E25"/>
  <c r="F134"/>
  <c r="K88"/>
  <c r="J89"/>
  <c r="E111"/>
  <c r="G105"/>
  <c r="E81"/>
  <c r="H144"/>
  <c r="I94"/>
  <c r="L38"/>
  <c r="I144"/>
  <c r="E203"/>
  <c r="H32"/>
  <c r="I93"/>
  <c r="M122"/>
  <c r="L190"/>
  <c r="G85"/>
  <c r="F34"/>
  <c r="H74"/>
  <c r="K29"/>
  <c r="L65"/>
  <c r="E124"/>
  <c r="K116"/>
  <c r="K201"/>
  <c r="K59"/>
  <c r="F150"/>
  <c r="L154"/>
  <c r="L176"/>
  <c r="I231"/>
  <c r="J98"/>
  <c r="G98"/>
  <c r="M108"/>
  <c r="H120"/>
  <c r="H37"/>
  <c r="I176"/>
  <c r="F58"/>
  <c r="H203"/>
  <c r="J203"/>
  <c r="E15" i="44"/>
  <c r="K83" i="79"/>
  <c r="L22" i="44"/>
  <c r="K60" i="79"/>
  <c r="J73"/>
  <c r="M150"/>
  <c r="J23" i="44"/>
  <c r="G120" i="79"/>
  <c r="M139"/>
  <c r="E227"/>
  <c r="I233"/>
  <c r="G170"/>
  <c r="L12"/>
  <c r="E60"/>
  <c r="E134"/>
  <c r="G108"/>
  <c r="E214"/>
  <c r="E85"/>
  <c r="F73"/>
  <c r="M24" i="44"/>
  <c r="H227" i="79"/>
  <c r="J114"/>
  <c r="F63"/>
  <c r="F26"/>
  <c r="E113"/>
  <c r="I237"/>
  <c r="H98"/>
  <c r="I56"/>
  <c r="M73"/>
  <c r="E52"/>
  <c r="I123"/>
  <c r="M111"/>
  <c r="L152"/>
  <c r="K105"/>
  <c r="I141"/>
  <c r="I23"/>
  <c r="I60"/>
  <c r="G93"/>
  <c r="E56"/>
  <c r="M25"/>
  <c r="K124"/>
  <c r="K69"/>
  <c r="H66"/>
  <c r="I154"/>
  <c r="K166"/>
  <c r="E32"/>
  <c r="K76"/>
  <c r="J173"/>
  <c r="M24"/>
  <c r="G59"/>
  <c r="F171"/>
  <c r="L84"/>
  <c r="H142"/>
  <c r="J134"/>
  <c r="I28"/>
  <c r="L118"/>
  <c r="L60"/>
  <c r="F20"/>
  <c r="E175"/>
  <c r="E144"/>
  <c r="J59"/>
  <c r="K168"/>
  <c r="K80"/>
  <c r="F140"/>
  <c r="I15"/>
  <c r="F35"/>
  <c r="E171"/>
  <c r="I37"/>
  <c r="K93"/>
  <c r="J135"/>
  <c r="J136"/>
  <c r="I78"/>
  <c r="I101"/>
  <c r="J75"/>
  <c r="B3" i="130"/>
  <c r="F76" i="79"/>
  <c r="K96"/>
  <c r="M29"/>
  <c r="G12"/>
  <c r="F152"/>
  <c r="J108"/>
  <c r="L110"/>
  <c r="I18"/>
  <c r="E141"/>
  <c r="L37"/>
  <c r="L170"/>
  <c r="G111"/>
  <c r="F118"/>
  <c r="F80"/>
  <c r="F120"/>
  <c r="I168"/>
  <c r="K114"/>
  <c r="G34"/>
  <c r="H171"/>
  <c r="G95"/>
  <c r="L24"/>
  <c r="H85"/>
  <c r="M144"/>
  <c r="E71"/>
  <c r="L116"/>
  <c r="G116"/>
  <c r="D1" i="146"/>
  <c r="B4" i="144"/>
  <c r="G104" i="79"/>
  <c r="H38"/>
  <c r="F75"/>
  <c r="E237"/>
  <c r="E122"/>
  <c r="F96"/>
  <c r="E75"/>
  <c r="F71"/>
  <c r="E119"/>
  <c r="G71"/>
  <c r="B3" i="145"/>
  <c r="H116" i="79"/>
  <c r="H40"/>
  <c r="L61"/>
  <c r="F87"/>
  <c r="L81"/>
  <c r="E233"/>
  <c r="J13"/>
  <c r="J88"/>
  <c r="L54"/>
  <c r="F79"/>
  <c r="G145"/>
  <c r="G26"/>
  <c r="I118"/>
  <c r="F40"/>
  <c r="H73"/>
  <c r="H149"/>
  <c r="H33"/>
  <c r="L153"/>
  <c r="H225"/>
  <c r="I125"/>
  <c r="I105"/>
  <c r="E170"/>
  <c r="J92"/>
  <c r="J152"/>
  <c r="M106"/>
  <c r="E139"/>
  <c r="L108"/>
  <c r="K21"/>
  <c r="I113"/>
  <c r="L103"/>
  <c r="F176"/>
  <c r="M231"/>
  <c r="J23"/>
  <c r="F235"/>
  <c r="J79"/>
  <c r="E201"/>
  <c r="M52"/>
  <c r="J216"/>
  <c r="L94"/>
  <c r="J214"/>
  <c r="E84"/>
  <c r="F54"/>
  <c r="K118"/>
  <c r="K109"/>
  <c r="I140"/>
  <c r="J109"/>
  <c r="I235"/>
  <c r="H23"/>
  <c r="J70"/>
  <c r="J12"/>
  <c r="I98"/>
  <c r="E12"/>
  <c r="G115"/>
  <c r="F95"/>
  <c r="H68"/>
  <c r="F116"/>
  <c r="F100"/>
  <c r="K50"/>
  <c r="L137"/>
  <c r="I142"/>
  <c r="I49"/>
  <c r="L59"/>
  <c r="G118"/>
  <c r="I137"/>
  <c r="M155"/>
  <c r="G203"/>
  <c r="H17"/>
  <c r="J96"/>
  <c r="E105"/>
  <c r="F123"/>
  <c r="I124"/>
  <c r="K125"/>
  <c r="E99"/>
  <c r="E104"/>
  <c r="K119"/>
  <c r="L149"/>
  <c r="F101"/>
  <c r="K34"/>
  <c r="E142"/>
  <c r="H80"/>
  <c r="M23"/>
  <c r="L229"/>
  <c r="D1" i="151"/>
  <c r="F136" i="79"/>
  <c r="G113"/>
  <c r="G192"/>
  <c r="M165"/>
  <c r="J58"/>
  <c r="L100"/>
  <c r="I63"/>
  <c r="J140"/>
  <c r="H119"/>
  <c r="F170"/>
  <c r="M63"/>
  <c r="H94"/>
  <c r="J27" i="44"/>
  <c r="G40" i="79"/>
  <c r="I24" i="44"/>
  <c r="M28" i="79"/>
  <c r="J33"/>
  <c r="K145"/>
  <c r="L55"/>
  <c r="M51"/>
  <c r="J30"/>
  <c r="F110"/>
  <c r="E79"/>
  <c r="H63"/>
  <c r="L11"/>
  <c r="J29"/>
  <c r="G79"/>
  <c r="L140"/>
  <c r="L80"/>
  <c r="H83"/>
  <c r="J93"/>
  <c r="H11"/>
  <c r="I28" i="44"/>
  <c r="E190" i="79"/>
  <c r="I155"/>
  <c r="I27" i="44"/>
  <c r="M140" i="79"/>
  <c r="K99"/>
  <c r="J99"/>
  <c r="J154"/>
  <c r="L125"/>
  <c r="K15"/>
  <c r="J50"/>
  <c r="L70"/>
  <c r="L115"/>
  <c r="D1" i="145"/>
  <c r="I20" i="79"/>
  <c r="F164"/>
  <c r="K95"/>
  <c r="F227"/>
  <c r="J153"/>
  <c r="M92"/>
  <c r="G125"/>
  <c r="F52"/>
  <c r="L27" i="44"/>
  <c r="J225" i="79"/>
  <c r="J30" i="44"/>
  <c r="I122" i="79"/>
  <c r="I39"/>
  <c r="F84"/>
  <c r="I80"/>
  <c r="M17"/>
  <c r="I150"/>
  <c r="M100"/>
  <c r="I106"/>
  <c r="I109"/>
  <c r="F78"/>
  <c r="K35"/>
  <c r="L63"/>
  <c r="G229"/>
  <c r="J170"/>
  <c r="K141"/>
  <c r="J21"/>
  <c r="F225"/>
  <c r="I164"/>
  <c r="E123"/>
  <c r="L146"/>
  <c r="I190"/>
  <c r="H148"/>
  <c r="J148"/>
  <c r="E109"/>
  <c r="B3"/>
  <c r="M176"/>
  <c r="L123"/>
  <c r="L30"/>
  <c r="I170"/>
  <c r="G175"/>
  <c r="L25"/>
  <c r="M81"/>
  <c r="I201"/>
  <c r="J61"/>
  <c r="I216"/>
  <c r="K54"/>
  <c r="H84"/>
  <c r="G33"/>
  <c r="F174"/>
  <c r="E165"/>
  <c r="J25"/>
  <c r="K12"/>
  <c r="G75"/>
  <c r="L214"/>
  <c r="F114"/>
  <c r="G109"/>
  <c r="F105"/>
  <c r="L119"/>
  <c r="L73"/>
  <c r="H88"/>
  <c r="L155"/>
  <c r="M38"/>
  <c r="E24"/>
  <c r="K152"/>
  <c r="K24"/>
  <c r="L104"/>
  <c r="I58"/>
  <c r="E125"/>
  <c r="E38"/>
  <c r="F12"/>
  <c r="E93"/>
  <c r="G17"/>
  <c r="G87"/>
  <c r="G100"/>
  <c r="E33"/>
  <c r="I21"/>
  <c r="F90"/>
  <c r="I65"/>
  <c r="D1" i="147"/>
  <c r="F25" i="79"/>
  <c r="L99"/>
  <c r="H192"/>
  <c r="K110"/>
  <c r="G51"/>
  <c r="K98"/>
  <c r="E29"/>
  <c r="I212"/>
  <c r="E96"/>
  <c r="E231"/>
  <c r="F11"/>
  <c r="E155"/>
  <c r="H56"/>
  <c r="G214"/>
  <c r="F60"/>
  <c r="F83"/>
  <c r="M74"/>
  <c r="I153"/>
  <c r="G165"/>
  <c r="E39"/>
  <c r="L136"/>
  <c r="J149"/>
  <c r="H12"/>
  <c r="J176"/>
  <c r="J144"/>
  <c r="G28"/>
  <c r="H152"/>
  <c r="K227"/>
  <c r="I169"/>
  <c r="K171"/>
  <c r="H71"/>
  <c r="F98"/>
  <c r="I81"/>
  <c r="K137"/>
  <c r="F39"/>
  <c r="M175"/>
  <c r="F212"/>
  <c r="L50"/>
  <c r="M118"/>
  <c r="I134"/>
  <c r="G56"/>
  <c r="J116"/>
  <c r="E115"/>
  <c r="H108"/>
  <c r="F109"/>
  <c r="H166"/>
  <c r="L13"/>
  <c r="K13"/>
  <c r="F106"/>
  <c r="K164"/>
  <c r="H64"/>
  <c r="J139"/>
  <c r="J233"/>
  <c r="I76"/>
  <c r="E26"/>
  <c r="K65"/>
  <c r="J54"/>
  <c r="L52"/>
  <c r="L83"/>
  <c r="H25"/>
  <c r="E11"/>
  <c r="H216"/>
  <c r="G140"/>
  <c r="J105"/>
  <c r="F144"/>
  <c r="M116"/>
  <c r="M32"/>
  <c r="L134"/>
  <c r="H134"/>
  <c r="G30"/>
  <c r="G190"/>
  <c r="M137"/>
  <c r="H235"/>
  <c r="G139"/>
  <c r="E192"/>
  <c r="H90"/>
  <c r="E173"/>
  <c r="E168"/>
  <c r="L122"/>
  <c r="H20"/>
  <c r="E169"/>
  <c r="F108"/>
  <c r="H59"/>
  <c r="H92"/>
  <c r="G50"/>
  <c r="I12"/>
  <c r="E76"/>
  <c r="L35"/>
  <c r="J95"/>
  <c r="J164"/>
  <c r="G55"/>
  <c r="G174"/>
  <c r="L28"/>
  <c r="H124"/>
  <c r="K100"/>
  <c r="E64"/>
  <c r="K169"/>
  <c r="I103"/>
  <c r="M119"/>
  <c r="H136"/>
  <c r="G142"/>
  <c r="G135"/>
  <c r="G89"/>
  <c r="L227"/>
  <c r="G96"/>
  <c r="G233"/>
  <c r="I174"/>
  <c r="F94"/>
  <c r="G83"/>
  <c r="L15"/>
  <c r="F56"/>
  <c r="G16"/>
  <c r="M216"/>
  <c r="J83"/>
  <c r="I166"/>
  <c r="F32"/>
  <c r="K20"/>
  <c r="K149"/>
  <c r="E30"/>
  <c r="K142"/>
  <c r="L135"/>
  <c r="L166"/>
  <c r="L142"/>
  <c r="J35"/>
  <c r="H139"/>
  <c r="K139"/>
  <c r="L20"/>
  <c r="J85"/>
  <c r="M80"/>
  <c r="I51"/>
  <c r="M235"/>
  <c r="H141"/>
  <c r="M27" i="44"/>
  <c r="K61" i="79"/>
  <c r="J15"/>
  <c r="I42" i="44"/>
  <c r="L69" i="79"/>
  <c r="J22" i="44"/>
  <c r="J145" i="79"/>
  <c r="H170"/>
  <c r="H28"/>
  <c r="H104"/>
  <c r="K39"/>
  <c r="H106"/>
  <c r="G216"/>
  <c r="L21"/>
  <c r="J40"/>
  <c r="G88"/>
  <c r="I229"/>
  <c r="E110"/>
  <c r="G155"/>
  <c r="M95"/>
  <c r="L169"/>
  <c r="E40"/>
  <c r="G69"/>
  <c r="F17"/>
  <c r="H137"/>
  <c r="E174"/>
  <c r="J201"/>
  <c r="I55"/>
  <c r="E12" i="44"/>
  <c r="J63" i="79"/>
  <c r="E6" i="44"/>
  <c r="H168" i="79"/>
  <c r="I64"/>
  <c r="I32"/>
  <c r="E164"/>
  <c r="E50"/>
  <c r="E65"/>
  <c r="M174"/>
  <c r="G110"/>
  <c r="G76"/>
  <c r="I22" i="44"/>
  <c r="K165" i="79"/>
  <c r="L144"/>
  <c r="F103"/>
  <c r="G122"/>
  <c r="E23"/>
  <c r="E101"/>
  <c r="F166"/>
  <c r="G164"/>
  <c r="J80"/>
  <c r="H114"/>
  <c r="K170"/>
  <c r="I33"/>
  <c r="E17"/>
  <c r="H140"/>
  <c r="J71"/>
  <c r="H176"/>
  <c r="J60"/>
  <c r="H30" i="44"/>
  <c r="I120" i="79"/>
  <c r="F119"/>
  <c r="H87"/>
  <c r="J175"/>
  <c r="J24" i="44"/>
  <c r="L51" i="79"/>
  <c r="F85"/>
  <c r="K22" i="44"/>
  <c r="L74" i="79"/>
  <c r="M21"/>
  <c r="G13"/>
  <c r="D1" i="149"/>
  <c r="G52" i="79"/>
  <c r="K73"/>
  <c r="L173"/>
  <c r="M123"/>
  <c r="G25"/>
  <c r="H229"/>
  <c r="E150"/>
  <c r="I192"/>
  <c r="E89"/>
  <c r="J237"/>
  <c r="J125"/>
  <c r="H24"/>
  <c r="M173"/>
  <c r="H52"/>
  <c r="K106"/>
  <c r="L40"/>
  <c r="D1" i="150"/>
  <c r="L192" i="79"/>
  <c r="H29" i="44"/>
  <c r="H100" i="79"/>
  <c r="C54" i="44"/>
  <c r="M168" i="79"/>
  <c r="H16"/>
  <c r="I35"/>
  <c r="H22" i="44"/>
  <c r="F29" i="79"/>
  <c r="L49"/>
  <c r="F74"/>
  <c r="M85"/>
  <c r="J171"/>
  <c r="C53" i="44"/>
  <c r="F122" i="79"/>
  <c r="M22" i="44"/>
  <c r="K51" i="79"/>
  <c r="E70"/>
  <c r="F155"/>
  <c r="H237"/>
  <c r="M78"/>
  <c r="F30"/>
  <c r="G150"/>
  <c r="I84"/>
  <c r="M76"/>
  <c r="G29"/>
  <c r="K38"/>
  <c r="J150"/>
  <c r="M93"/>
  <c r="J65"/>
  <c r="E92"/>
  <c r="F203"/>
  <c r="F137"/>
  <c r="H89"/>
  <c r="F146"/>
  <c r="K32"/>
  <c r="M90"/>
  <c r="I66"/>
  <c r="J90"/>
  <c r="M120"/>
  <c r="G54"/>
  <c r="H24" i="44"/>
  <c r="I83" i="79"/>
  <c r="I74"/>
  <c r="M164"/>
  <c r="M104"/>
  <c r="H214"/>
  <c r="H154"/>
  <c r="F190"/>
  <c r="B4" i="121"/>
  <c r="M212" i="79"/>
  <c r="E106"/>
  <c r="G152"/>
  <c r="J38"/>
  <c r="G58"/>
  <c r="M28" i="44"/>
  <c r="I110" i="79"/>
  <c r="F115"/>
  <c r="G176"/>
  <c r="I227"/>
  <c r="K150"/>
  <c r="E68"/>
  <c r="K190"/>
  <c r="F93"/>
  <c r="M29" i="44"/>
  <c r="L39" i="79"/>
  <c r="M142"/>
  <c r="I104"/>
  <c r="E73"/>
  <c r="M79"/>
  <c r="E13" i="44"/>
  <c r="K75" i="79"/>
  <c r="M16"/>
  <c r="H123"/>
  <c r="G171"/>
  <c r="K63"/>
  <c r="K52"/>
  <c r="G166"/>
  <c r="G212"/>
  <c r="I225"/>
  <c r="E212"/>
  <c r="I25" i="44"/>
  <c r="J24" i="79"/>
  <c r="F149"/>
  <c r="I25"/>
  <c r="H34"/>
  <c r="L75"/>
  <c r="J115"/>
  <c r="K28" i="44"/>
  <c r="M237" i="79"/>
  <c r="K148"/>
  <c r="K146"/>
  <c r="I38"/>
  <c r="E118"/>
  <c r="L78"/>
  <c r="I90"/>
  <c r="H25" i="44"/>
  <c r="E176" i="79"/>
  <c r="E153"/>
  <c r="J118"/>
  <c r="G237"/>
  <c r="F141"/>
  <c r="F69"/>
  <c r="E154"/>
  <c r="J123"/>
  <c r="M154"/>
  <c r="J52"/>
  <c r="L23"/>
  <c r="J28" i="44"/>
  <c r="H79" i="79"/>
  <c r="L98"/>
  <c r="M64"/>
  <c r="F99"/>
  <c r="F21"/>
  <c r="J227"/>
  <c r="L24" i="44"/>
  <c r="L66" i="79"/>
  <c r="E35"/>
  <c r="I24"/>
  <c r="H61"/>
  <c r="F153"/>
  <c r="K58"/>
  <c r="J51"/>
  <c r="J17"/>
  <c r="F65"/>
  <c r="M84"/>
  <c r="I79"/>
  <c r="M26"/>
  <c r="K113"/>
  <c r="G92"/>
  <c r="K24" i="44"/>
  <c r="L30"/>
  <c r="M25"/>
  <c r="J34" i="79"/>
  <c r="G20"/>
  <c r="H109"/>
  <c r="K66"/>
  <c r="J29" i="44"/>
  <c r="J94" i="79"/>
  <c r="H29"/>
  <c r="G99"/>
  <c r="I40"/>
  <c r="G144"/>
  <c r="H15"/>
  <c r="G24"/>
  <c r="L171"/>
  <c r="M69"/>
  <c r="I73"/>
  <c r="H23" i="44"/>
  <c r="E87" i="79"/>
  <c r="E225"/>
  <c r="L23" i="44"/>
  <c r="I13" i="79"/>
  <c r="H27" i="44"/>
  <c r="M109" i="79"/>
  <c r="M233"/>
  <c r="G63"/>
  <c r="K28"/>
  <c r="G149"/>
  <c r="E34"/>
  <c r="M35"/>
  <c r="K37"/>
  <c r="G136"/>
  <c r="H122"/>
  <c r="E5" i="44"/>
  <c r="B3" i="144"/>
  <c r="I171" i="79"/>
  <c r="I87"/>
  <c r="M229"/>
  <c r="K11"/>
  <c r="D1" i="121"/>
  <c r="K87" i="79"/>
  <c r="F168"/>
  <c r="K153"/>
  <c r="L28" i="44"/>
  <c r="I116" i="79"/>
  <c r="J169"/>
  <c r="K40"/>
  <c r="L95"/>
  <c r="M58"/>
  <c r="E49"/>
  <c r="B3" i="121"/>
  <c r="F70" i="79"/>
  <c r="J26"/>
  <c r="E137"/>
  <c r="K70"/>
  <c r="H51"/>
  <c r="G60"/>
  <c r="K233"/>
  <c r="H164"/>
  <c r="H70"/>
  <c r="L29" i="44"/>
  <c r="K231" i="79"/>
  <c r="H28" i="44"/>
  <c r="J81" i="79"/>
  <c r="L168"/>
  <c r="F28"/>
  <c r="K122"/>
  <c r="J16"/>
  <c r="K216"/>
  <c r="K25" i="44"/>
  <c r="I23"/>
  <c r="I50" i="79"/>
  <c r="L90"/>
  <c r="F49"/>
  <c r="J147"/>
  <c r="K230"/>
  <c r="M133"/>
  <c r="L133"/>
  <c r="K167"/>
  <c r="K211"/>
  <c r="K215"/>
  <c r="K163"/>
  <c r="E224"/>
  <c r="K202"/>
  <c r="J211"/>
  <c r="F86"/>
  <c r="L82"/>
  <c r="H20" i="27"/>
  <c r="M121" i="79"/>
  <c r="I226"/>
  <c r="G172"/>
  <c r="K82"/>
  <c r="G82"/>
  <c r="E82"/>
  <c r="K48" i="129"/>
  <c r="J14" i="79"/>
  <c r="E72"/>
  <c r="G22" i="129"/>
  <c r="I147" i="79"/>
  <c r="L189"/>
  <c r="G230"/>
  <c r="J86"/>
  <c r="M117"/>
  <c r="I112"/>
  <c r="J121"/>
  <c r="H143"/>
  <c r="J102"/>
  <c r="E19"/>
  <c r="F215"/>
  <c r="I121"/>
  <c r="G226"/>
  <c r="I36"/>
  <c r="L22"/>
  <c r="I22"/>
  <c r="I35" i="129"/>
  <c r="L232" i="79"/>
  <c r="H232"/>
  <c r="J35" i="129"/>
  <c r="E211" i="79"/>
  <c r="H14"/>
  <c r="G200"/>
  <c r="M143"/>
  <c r="I19"/>
  <c r="M226"/>
  <c r="J27"/>
  <c r="K189"/>
  <c r="H97"/>
  <c r="G91"/>
  <c r="H211"/>
  <c r="M147"/>
  <c r="M32" i="130"/>
  <c r="L36" i="79"/>
  <c r="L200"/>
  <c r="E97"/>
  <c r="E143"/>
  <c r="E213"/>
  <c r="E226"/>
  <c r="H22"/>
  <c r="J62"/>
  <c r="J213"/>
  <c r="M163"/>
  <c r="G36"/>
  <c r="I82"/>
  <c r="G31"/>
  <c r="H191"/>
  <c r="J48"/>
  <c r="I191"/>
  <c r="F112"/>
  <c r="M32" i="129"/>
  <c r="J234" i="79"/>
  <c r="M36"/>
  <c r="J97"/>
  <c r="L57"/>
  <c r="F236"/>
  <c r="H172"/>
  <c r="L224"/>
  <c r="H10"/>
  <c r="J200"/>
  <c r="J189"/>
  <c r="L29" i="130"/>
  <c r="I67" i="79"/>
  <c r="G86"/>
  <c r="F31"/>
  <c r="G21" i="130"/>
  <c r="H67" i="79"/>
  <c r="K27"/>
  <c r="H234"/>
  <c r="H107"/>
  <c r="G121"/>
  <c r="I27"/>
  <c r="G62"/>
  <c r="I86"/>
  <c r="K38" i="129"/>
  <c r="E117" i="79"/>
  <c r="H19"/>
  <c r="M236"/>
  <c r="E91"/>
  <c r="J228"/>
  <c r="H213"/>
  <c r="K77"/>
  <c r="K62"/>
  <c r="H151"/>
  <c r="J67"/>
  <c r="M224"/>
  <c r="E52" i="129"/>
  <c r="L138" i="79"/>
  <c r="F72"/>
  <c r="M230"/>
  <c r="E163"/>
  <c r="K133"/>
  <c r="I91"/>
  <c r="H22" i="27"/>
  <c r="I14" i="79"/>
  <c r="I172"/>
  <c r="J230"/>
  <c r="J191"/>
  <c r="M14"/>
  <c r="G22"/>
  <c r="E48"/>
  <c r="M151"/>
  <c r="I8" i="130"/>
  <c r="K32" i="129"/>
  <c r="I22" i="130"/>
  <c r="E34"/>
  <c r="H56" i="129"/>
  <c r="I9"/>
  <c r="M35"/>
  <c r="J226" i="79"/>
  <c r="E22"/>
  <c r="J202"/>
  <c r="F226"/>
  <c r="I163"/>
  <c r="G228"/>
  <c r="E189"/>
  <c r="I202"/>
  <c r="L234"/>
  <c r="H189"/>
  <c r="E77"/>
  <c r="F230"/>
  <c r="I133"/>
  <c r="M22"/>
  <c r="L62"/>
  <c r="H86"/>
  <c r="J232"/>
  <c r="K147"/>
  <c r="L107"/>
  <c r="I31"/>
  <c r="M211"/>
  <c r="I57"/>
  <c r="F167"/>
  <c r="I40" i="129"/>
  <c r="I10" i="79"/>
  <c r="L53"/>
  <c r="K228"/>
  <c r="M102"/>
  <c r="K22"/>
  <c r="H200"/>
  <c r="H215"/>
  <c r="M107"/>
  <c r="I102"/>
  <c r="F138"/>
  <c r="J13" i="130"/>
  <c r="J224" i="79"/>
  <c r="J57" i="129"/>
  <c r="H6" i="130"/>
  <c r="E102" i="79"/>
  <c r="K191"/>
  <c r="F189"/>
  <c r="F234"/>
  <c r="I228"/>
  <c r="H31"/>
  <c r="I213"/>
  <c r="J53"/>
  <c r="E10"/>
  <c r="K138"/>
  <c r="K10"/>
  <c r="L97"/>
  <c r="M97"/>
  <c r="F102"/>
  <c r="J8" i="129"/>
  <c r="H62" i="79"/>
  <c r="E57"/>
  <c r="K19"/>
  <c r="L10"/>
  <c r="M138"/>
  <c r="G53"/>
  <c r="K57"/>
  <c r="H163"/>
  <c r="H138"/>
  <c r="G27"/>
  <c r="E27"/>
  <c r="M213"/>
  <c r="I236"/>
  <c r="L91"/>
  <c r="H19" i="27"/>
  <c r="J52" i="129"/>
  <c r="G151" i="79"/>
  <c r="K53"/>
  <c r="I7" i="129"/>
  <c r="G232" i="79"/>
  <c r="E27" i="130"/>
  <c r="J215" i="79"/>
  <c r="K36"/>
  <c r="I17" i="130"/>
  <c r="E22"/>
  <c r="M72" i="79"/>
  <c r="H19" i="129"/>
  <c r="L31" i="79"/>
  <c r="H91"/>
  <c r="F36"/>
  <c r="K16" i="130"/>
  <c r="M27" i="129"/>
  <c r="K151" i="79"/>
  <c r="M130"/>
  <c r="J221"/>
  <c r="G57"/>
  <c r="K14"/>
  <c r="M167"/>
  <c r="J167"/>
  <c r="I107"/>
  <c r="E147"/>
  <c r="M30" i="129"/>
  <c r="M57" i="79"/>
  <c r="I77"/>
  <c r="M19"/>
  <c r="H102"/>
  <c r="L215"/>
  <c r="E24" i="129"/>
  <c r="K91" i="79"/>
  <c r="I72"/>
  <c r="K6" i="130"/>
  <c r="F19" i="79"/>
  <c r="L117"/>
  <c r="G189"/>
  <c r="J54" i="129"/>
  <c r="M29" i="130"/>
  <c r="E67" i="79"/>
  <c r="H22" i="130"/>
  <c r="F35"/>
  <c r="K9" i="129"/>
  <c r="L6" i="130"/>
  <c r="M30"/>
  <c r="E11" i="129"/>
  <c r="J35" i="130"/>
  <c r="I27" i="129"/>
  <c r="M17"/>
  <c r="I20"/>
  <c r="K102" i="79"/>
  <c r="G202"/>
  <c r="F48"/>
  <c r="F13" i="130" s="1"/>
  <c r="J133" i="79"/>
  <c r="F232"/>
  <c r="L77"/>
  <c r="H117"/>
  <c r="G28" i="130"/>
  <c r="L102" i="79"/>
  <c r="K35" i="129"/>
  <c r="J77" i="79"/>
  <c r="L121"/>
  <c r="M29" i="129"/>
  <c r="H112" i="79"/>
  <c r="F77"/>
  <c r="K50" i="129"/>
  <c r="G12"/>
  <c r="E9"/>
  <c r="I38"/>
  <c r="H11" i="130"/>
  <c r="J16" i="129"/>
  <c r="K33"/>
  <c r="M33"/>
  <c r="G14" i="130"/>
  <c r="I25"/>
  <c r="H29" i="129"/>
  <c r="F62" i="79"/>
  <c r="F18" i="129" s="1"/>
  <c r="F163" i="79"/>
  <c r="H236"/>
  <c r="M31"/>
  <c r="M12" i="129" s="1"/>
  <c r="G112" i="79"/>
  <c r="I53"/>
  <c r="L191"/>
  <c r="M234"/>
  <c r="F143"/>
  <c r="F34" i="129" s="1"/>
  <c r="G236" i="79"/>
  <c r="K232"/>
  <c r="K200"/>
  <c r="M82"/>
  <c r="G97"/>
  <c r="L151"/>
  <c r="L36" i="129" s="1"/>
  <c r="I167" i="79"/>
  <c r="K172"/>
  <c r="K160" s="1"/>
  <c r="F27"/>
  <c r="F10" i="130" s="1"/>
  <c r="F14" i="79"/>
  <c r="J163"/>
  <c r="E151"/>
  <c r="J151"/>
  <c r="H228"/>
  <c r="M112"/>
  <c r="L14"/>
  <c r="L236"/>
  <c r="M67"/>
  <c r="M19" i="129" s="1"/>
  <c r="G133" i="79"/>
  <c r="F121"/>
  <c r="F28" i="130" s="1"/>
  <c r="F213" i="79"/>
  <c r="E232"/>
  <c r="K121"/>
  <c r="G215"/>
  <c r="F147"/>
  <c r="K34" i="130"/>
  <c r="H167" i="79"/>
  <c r="H160" s="1"/>
  <c r="J57"/>
  <c r="J38" i="129"/>
  <c r="G163" i="79"/>
  <c r="G34" i="130" s="1"/>
  <c r="F7"/>
  <c r="M86" i="79"/>
  <c r="K224"/>
  <c r="E167"/>
  <c r="G117"/>
  <c r="F151"/>
  <c r="F211"/>
  <c r="E36"/>
  <c r="H21" i="27"/>
  <c r="E31" i="79"/>
  <c r="F202"/>
  <c r="E14"/>
  <c r="E7" s="1"/>
  <c r="E53"/>
  <c r="H53"/>
  <c r="F10"/>
  <c r="I200"/>
  <c r="F107"/>
  <c r="G102"/>
  <c r="J172"/>
  <c r="J36" i="130" s="1"/>
  <c r="L8" i="129"/>
  <c r="F25" i="130"/>
  <c r="K48" i="79"/>
  <c r="I224"/>
  <c r="G213"/>
  <c r="M191"/>
  <c r="J36"/>
  <c r="I62"/>
  <c r="L32" i="129"/>
  <c r="E138" i="79"/>
  <c r="M215"/>
  <c r="F82"/>
  <c r="J72"/>
  <c r="L228"/>
  <c r="L172"/>
  <c r="G72"/>
  <c r="G14"/>
  <c r="K112"/>
  <c r="K143"/>
  <c r="E62"/>
  <c r="H230"/>
  <c r="H27"/>
  <c r="F172"/>
  <c r="M189"/>
  <c r="I189"/>
  <c r="F57"/>
  <c r="J138"/>
  <c r="H72"/>
  <c r="H18" i="130" s="1"/>
  <c r="K72" i="79"/>
  <c r="I215"/>
  <c r="K234"/>
  <c r="F23" i="129"/>
  <c r="F53" i="79"/>
  <c r="E172"/>
  <c r="L167"/>
  <c r="E215"/>
  <c r="E18" i="129"/>
  <c r="F117" i="79"/>
  <c r="F27" i="130" s="1"/>
  <c r="E107" i="79"/>
  <c r="H226"/>
  <c r="F191"/>
  <c r="J82"/>
  <c r="H133"/>
  <c r="H32" i="129" s="1"/>
  <c r="L112" i="79"/>
  <c r="H77"/>
  <c r="H19" i="130" s="1"/>
  <c r="F200" i="79"/>
  <c r="J236"/>
  <c r="E16" i="130"/>
  <c r="H21" i="129"/>
  <c r="L230" i="79"/>
  <c r="H48"/>
  <c r="I211"/>
  <c r="M91"/>
  <c r="M53"/>
  <c r="L213"/>
  <c r="H9" i="129"/>
  <c r="H224" i="79"/>
  <c r="H221" s="1"/>
  <c r="K97"/>
  <c r="K23" i="130" s="1"/>
  <c r="M77" i="79"/>
  <c r="K226"/>
  <c r="K36" i="130"/>
  <c r="L86" i="79"/>
  <c r="E230"/>
  <c r="J20" i="130"/>
  <c r="L163" i="79"/>
  <c r="L34" i="130" s="1"/>
  <c r="L7"/>
  <c r="G19" i="79"/>
  <c r="G77"/>
  <c r="L72"/>
  <c r="M48"/>
  <c r="E133"/>
  <c r="J32" i="130"/>
  <c r="G10" i="79"/>
  <c r="K67"/>
  <c r="L226"/>
  <c r="F22"/>
  <c r="I230"/>
  <c r="M232"/>
  <c r="I48"/>
  <c r="M228"/>
  <c r="J143"/>
  <c r="K22" i="129"/>
  <c r="G8" i="130"/>
  <c r="J55" i="129"/>
  <c r="F27"/>
  <c r="K107" i="79"/>
  <c r="E236"/>
  <c r="E58" i="129" s="1"/>
  <c r="I138" i="79"/>
  <c r="I97"/>
  <c r="I232"/>
  <c r="E228"/>
  <c r="G167"/>
  <c r="J19"/>
  <c r="F224"/>
  <c r="K13" i="130"/>
  <c r="H202" i="79"/>
  <c r="H36"/>
  <c r="H12" i="130" s="1"/>
  <c r="E234" i="79"/>
  <c r="G36" i="130"/>
  <c r="M172" i="79"/>
  <c r="L16" i="130"/>
  <c r="J31" i="79"/>
  <c r="I151"/>
  <c r="J22" i="129"/>
  <c r="E57"/>
  <c r="F91" i="79"/>
  <c r="L18" i="129"/>
  <c r="H147" i="79"/>
  <c r="G107"/>
  <c r="L27"/>
  <c r="G32" i="129"/>
  <c r="E8"/>
  <c r="G138" i="79"/>
  <c r="F133"/>
  <c r="H57"/>
  <c r="H17" i="129" s="1"/>
  <c r="E200" i="79"/>
  <c r="G48"/>
  <c r="I117"/>
  <c r="E9" i="130"/>
  <c r="I143" i="79"/>
  <c r="L147"/>
  <c r="J22"/>
  <c r="I234"/>
  <c r="K25" i="130"/>
  <c r="K213" i="79"/>
  <c r="K236"/>
  <c r="L16" i="129"/>
  <c r="G224" i="79"/>
  <c r="E112"/>
  <c r="K31"/>
  <c r="G147"/>
  <c r="J91"/>
  <c r="J10"/>
  <c r="E22" i="129"/>
  <c r="E27"/>
  <c r="M10" i="79"/>
  <c r="L33" i="130"/>
  <c r="K86" i="79"/>
  <c r="E36" i="130"/>
  <c r="M6"/>
  <c r="G16"/>
  <c r="M36"/>
  <c r="M200" i="79"/>
  <c r="K15" i="129"/>
  <c r="F67" i="79"/>
  <c r="F34" i="130"/>
  <c r="G211" i="79"/>
  <c r="G208" s="1"/>
  <c r="J23" i="129"/>
  <c r="E202" i="79"/>
  <c r="L143"/>
  <c r="F16" i="130"/>
  <c r="K30" i="129"/>
  <c r="L67" i="79"/>
  <c r="H9" i="130"/>
  <c r="M62" i="79"/>
  <c r="K35" i="130"/>
  <c r="J10" i="129"/>
  <c r="E121" i="79"/>
  <c r="J107"/>
  <c r="F97"/>
  <c r="G67"/>
  <c r="F32" i="129"/>
  <c r="M16" i="130"/>
  <c r="L202" i="79"/>
  <c r="L48"/>
  <c r="E191"/>
  <c r="E86"/>
  <c r="G40" i="129"/>
  <c r="J117" i="79"/>
  <c r="K117"/>
  <c r="K27" i="130" s="1"/>
  <c r="L19" i="79"/>
  <c r="L7" s="1"/>
  <c r="G234"/>
  <c r="J112"/>
  <c r="F53" i="129"/>
  <c r="F228" i="79"/>
  <c r="E29" i="129"/>
  <c r="E18" i="130"/>
  <c r="G191" i="79"/>
  <c r="G143"/>
  <c r="L211"/>
  <c r="G7" i="130"/>
  <c r="F11"/>
  <c r="H38" i="129"/>
  <c r="K7"/>
  <c r="K40"/>
  <c r="G29" i="130"/>
  <c r="E8"/>
  <c r="L15" i="129"/>
  <c r="E12" i="130"/>
  <c r="I7" i="79"/>
  <c r="H121"/>
  <c r="M202"/>
  <c r="M27"/>
  <c r="H82"/>
  <c r="L12" i="129"/>
  <c r="F19"/>
  <c r="I12"/>
  <c r="M15"/>
  <c r="K18"/>
  <c r="L160" i="79"/>
  <c r="M53" i="129"/>
  <c r="J24" i="130"/>
  <c r="K52" i="129"/>
  <c r="L20" i="130"/>
  <c r="E21"/>
  <c r="L24" i="129"/>
  <c r="L33"/>
  <c r="G23"/>
  <c r="E49"/>
  <c r="J53"/>
  <c r="G32" i="130"/>
  <c r="H46" i="129"/>
  <c r="H36" i="130"/>
  <c r="L23" i="129"/>
  <c r="G25"/>
  <c r="F7"/>
  <c r="I15" i="130"/>
  <c r="M15"/>
  <c r="G12"/>
  <c r="K22"/>
  <c r="J25" i="129"/>
  <c r="I49"/>
  <c r="I45"/>
  <c r="E19"/>
  <c r="I10"/>
  <c r="M25" i="130"/>
  <c r="H10"/>
  <c r="J15" i="129"/>
  <c r="G47"/>
  <c r="J27" i="130"/>
  <c r="J28" i="129"/>
  <c r="G54"/>
  <c r="H35" i="130"/>
  <c r="F12" i="129"/>
  <c r="J40"/>
  <c r="G221" i="79"/>
  <c r="L221"/>
  <c r="K33" i="130"/>
  <c r="K28" i="129"/>
  <c r="G30"/>
  <c r="I46"/>
  <c r="E17"/>
  <c r="G18" i="130"/>
  <c r="H57" i="129"/>
  <c r="H26" i="130"/>
  <c r="L35"/>
  <c r="F30" i="129"/>
  <c r="G26"/>
  <c r="F9" i="130"/>
  <c r="E33"/>
  <c r="F31"/>
  <c r="E11"/>
  <c r="F22"/>
  <c r="E6" i="129"/>
  <c r="K8"/>
  <c r="G20"/>
  <c r="I48"/>
  <c r="F33" i="130"/>
  <c r="E25" i="129"/>
  <c r="F36"/>
  <c r="G42"/>
  <c r="H12"/>
  <c r="H49"/>
  <c r="I18" i="130"/>
  <c r="E186" i="79"/>
  <c r="J22" i="130"/>
  <c r="I15" i="129"/>
  <c r="K29" i="130"/>
  <c r="L55" i="129"/>
  <c r="E23" i="130"/>
  <c r="E48" i="129"/>
  <c r="E20"/>
  <c r="H30" i="130"/>
  <c r="I186" i="79"/>
  <c r="M197"/>
  <c r="F6" i="130"/>
  <c r="G30"/>
  <c r="H25" i="129"/>
  <c r="H42"/>
  <c r="L52"/>
  <c r="F20" i="130"/>
  <c r="E20"/>
  <c r="H20" i="129"/>
  <c r="L17"/>
  <c r="L21" i="130"/>
  <c r="E36" i="129"/>
  <c r="G13" i="130"/>
  <c r="K208" i="79"/>
  <c r="M34" i="130"/>
  <c r="I208" i="79"/>
  <c r="F38" i="129"/>
  <c r="G10"/>
  <c r="F20"/>
  <c r="M49"/>
  <c r="L13"/>
  <c r="M36"/>
  <c r="F49"/>
  <c r="L6"/>
  <c r="E41"/>
  <c r="F55"/>
  <c r="M12" i="130"/>
  <c r="K15"/>
  <c r="M21"/>
  <c r="F28" i="129"/>
  <c r="H8"/>
  <c r="M22"/>
  <c r="I27" i="130"/>
  <c r="I26" i="129"/>
  <c r="H52"/>
  <c r="F9"/>
  <c r="H43"/>
  <c r="M10" i="130"/>
  <c r="E26" i="129"/>
  <c r="G45" i="79"/>
  <c r="L23" i="130"/>
  <c r="E35"/>
  <c r="F19"/>
  <c r="L24"/>
  <c r="H22" i="129"/>
  <c r="F26" i="130"/>
  <c r="L25" i="129"/>
  <c r="M38"/>
  <c r="J50"/>
  <c r="I24" i="130"/>
  <c r="G33"/>
  <c r="M221" i="79"/>
  <c r="L29" i="129"/>
  <c r="K29"/>
  <c r="K21" i="130"/>
  <c r="H13" i="129"/>
  <c r="G19" i="130"/>
  <c r="H15" i="129"/>
  <c r="H10"/>
  <c r="G197" i="79"/>
  <c r="J28" i="130"/>
  <c r="H24" i="129"/>
  <c r="J36"/>
  <c r="F43"/>
  <c r="G25" i="130"/>
  <c r="H32"/>
  <c r="G56" i="129"/>
  <c r="E7"/>
  <c r="K19"/>
  <c r="K37"/>
  <c r="M8" i="130"/>
  <c r="H24"/>
  <c r="F17"/>
  <c r="I52" i="129"/>
  <c r="I29" i="130"/>
  <c r="J21" i="129"/>
  <c r="L27"/>
  <c r="K57"/>
  <c r="E19" i="130"/>
  <c r="I26"/>
  <c r="E15" i="129"/>
  <c r="F54"/>
  <c r="I20" i="130"/>
  <c r="L19" i="129"/>
  <c r="F57"/>
  <c r="F221" i="79"/>
  <c r="H8" i="130"/>
  <c r="J11" i="129"/>
  <c r="M17" i="130"/>
  <c r="M160" i="79"/>
  <c r="J34" i="129"/>
  <c r="F36" i="130"/>
  <c r="G11" i="129"/>
  <c r="E42"/>
  <c r="F14" i="130"/>
  <c r="E21" i="129"/>
  <c r="M25"/>
  <c r="H53"/>
  <c r="I41"/>
  <c r="I18"/>
  <c r="I30"/>
  <c r="J33" i="130"/>
  <c r="G15" i="129"/>
  <c r="L10" i="130"/>
  <c r="J31"/>
  <c r="M7" i="79"/>
  <c r="G17" i="130"/>
  <c r="M22"/>
  <c r="H48" i="129"/>
  <c r="F58"/>
  <c r="I47"/>
  <c r="G50"/>
  <c r="H197" i="79"/>
  <c r="L19" i="130"/>
  <c r="L20" i="129"/>
  <c r="L21"/>
  <c r="E10" i="130"/>
  <c r="G52" i="129"/>
  <c r="G9" i="130"/>
  <c r="M52" i="129"/>
  <c r="K26" i="130"/>
  <c r="K186" i="79"/>
  <c r="E39" i="129"/>
  <c r="I39"/>
  <c r="E28" i="130"/>
  <c r="F21"/>
  <c r="L39" i="129"/>
  <c r="K39"/>
  <c r="K26"/>
  <c r="M7"/>
  <c r="J39"/>
  <c r="K49"/>
  <c r="I43"/>
  <c r="H50"/>
  <c r="J51"/>
  <c r="L9" i="130"/>
  <c r="G7" i="129"/>
  <c r="H34"/>
  <c r="G24" i="130"/>
  <c r="F10" i="129"/>
  <c r="K19" i="130"/>
  <c r="K53" i="129"/>
  <c r="M24"/>
  <c r="H58"/>
  <c r="L26"/>
  <c r="F46"/>
  <c r="L11"/>
  <c r="F26"/>
  <c r="L186" i="79"/>
  <c r="F15" i="129"/>
  <c r="F56"/>
  <c r="H55"/>
  <c r="G26" i="130"/>
  <c r="K7" i="79"/>
  <c r="J17" i="130"/>
  <c r="J25"/>
  <c r="G43" i="129"/>
  <c r="I32"/>
  <c r="I32" i="130"/>
  <c r="I36"/>
  <c r="H15"/>
  <c r="L9" i="129"/>
  <c r="L22"/>
  <c r="E56"/>
  <c r="J42"/>
  <c r="F8" i="130"/>
  <c r="E43" i="129"/>
  <c r="E34"/>
  <c r="K32" i="130"/>
  <c r="K197" i="79"/>
  <c r="F17" i="129"/>
  <c r="J49"/>
  <c r="H30"/>
  <c r="F18" i="130"/>
  <c r="M56" i="129"/>
  <c r="G38"/>
  <c r="L56"/>
  <c r="K27"/>
  <c r="H21" i="130"/>
  <c r="J56" i="129"/>
  <c r="H14" i="130"/>
  <c r="F24" i="129"/>
  <c r="L18" i="130"/>
  <c r="M16" i="129"/>
  <c r="J18"/>
  <c r="E12"/>
  <c r="H31" i="130"/>
  <c r="L208" i="79"/>
  <c r="I10" i="130"/>
  <c r="I28"/>
  <c r="L27"/>
  <c r="I33"/>
  <c r="L50" i="129"/>
  <c r="L30"/>
  <c r="H40"/>
  <c r="G186" i="79"/>
  <c r="J46" i="129"/>
  <c r="G8"/>
  <c r="L28" i="130"/>
  <c r="F29" i="129"/>
  <c r="F13"/>
  <c r="E13"/>
  <c r="J45"/>
  <c r="I11" i="130"/>
  <c r="G53" i="129"/>
  <c r="L49"/>
  <c r="G23" i="130"/>
  <c r="F21" i="129"/>
  <c r="F35"/>
  <c r="K16"/>
  <c r="K56"/>
  <c r="G55"/>
  <c r="M33" i="130"/>
  <c r="E160" i="79"/>
  <c r="K11" i="129"/>
  <c r="F52"/>
  <c r="J26" i="130"/>
  <c r="I221" i="79"/>
  <c r="E38" i="129"/>
  <c r="I28"/>
  <c r="L37"/>
  <c r="M24" i="130"/>
  <c r="M28" i="129"/>
  <c r="L48"/>
  <c r="H27" i="130"/>
  <c r="K14"/>
  <c r="E24"/>
  <c r="I55" i="129"/>
  <c r="L38"/>
  <c r="F186" i="79"/>
  <c r="G22" i="130"/>
  <c r="F130" i="79"/>
  <c r="F31" i="129" s="1"/>
  <c r="J7" i="130"/>
  <c r="F24"/>
  <c r="L22"/>
  <c r="M186" i="79"/>
  <c r="J48" i="129"/>
  <c r="E31" i="130"/>
  <c r="J30" i="129"/>
  <c r="L54"/>
  <c r="L42"/>
  <c r="E15" i="130"/>
  <c r="E46" i="129"/>
  <c r="M21"/>
  <c r="G28"/>
  <c r="E10"/>
  <c r="F30" i="130"/>
  <c r="E25"/>
  <c r="M20"/>
  <c r="F41" i="129"/>
  <c r="I17"/>
  <c r="K10" i="130"/>
  <c r="L15"/>
  <c r="I36" i="129"/>
  <c r="E33"/>
  <c r="I53"/>
  <c r="E208" i="79"/>
  <c r="E16" i="129"/>
  <c r="G35"/>
  <c r="I16" i="130"/>
  <c r="I9"/>
  <c r="F48" i="129"/>
  <c r="J20"/>
  <c r="J17"/>
  <c r="H7"/>
  <c r="E53"/>
  <c r="F25"/>
  <c r="K45"/>
  <c r="H17" i="130"/>
  <c r="F40" i="129"/>
  <c r="G21"/>
  <c r="F208" i="79"/>
  <c r="E23" i="129"/>
  <c r="M11"/>
  <c r="L58"/>
  <c r="F50"/>
  <c r="I24"/>
  <c r="M19" i="130"/>
  <c r="K42" i="129"/>
  <c r="I14" i="130"/>
  <c r="H39" i="129"/>
  <c r="J9" i="130"/>
  <c r="I19" i="129"/>
  <c r="K12"/>
  <c r="E29" i="130"/>
  <c r="M9"/>
  <c r="I13"/>
  <c r="L14"/>
  <c r="L36"/>
  <c r="J208" i="79"/>
  <c r="G18" i="129"/>
  <c r="J24"/>
  <c r="F39"/>
  <c r="H54"/>
  <c r="E35"/>
  <c r="K8" i="130"/>
  <c r="M48" i="129"/>
  <c r="K17" i="130"/>
  <c r="H33"/>
  <c r="I22" i="129"/>
  <c r="J10" i="130"/>
  <c r="G160" i="79"/>
  <c r="G37" i="129" s="1"/>
  <c r="M7" i="130"/>
  <c r="K20"/>
  <c r="I34"/>
  <c r="H28"/>
  <c r="L11"/>
  <c r="I6" i="129"/>
  <c r="K9" i="130"/>
  <c r="K13" i="129"/>
  <c r="M9"/>
  <c r="J14" i="130"/>
  <c r="I57" i="129"/>
  <c r="M10"/>
  <c r="M11" i="130"/>
  <c r="H7"/>
  <c r="F12"/>
  <c r="H29"/>
  <c r="M26"/>
  <c r="M57" i="129"/>
  <c r="J16" i="130"/>
  <c r="G27" i="129"/>
  <c r="J33"/>
  <c r="M27" i="130"/>
  <c r="H23"/>
  <c r="H33" i="129"/>
  <c r="K30" i="130"/>
  <c r="L45" i="129"/>
  <c r="L35"/>
  <c r="L7"/>
  <c r="M45"/>
  <c r="H18"/>
  <c r="F32" i="130"/>
  <c r="E45" i="129"/>
  <c r="E28"/>
  <c r="M46"/>
  <c r="M39"/>
  <c r="L25" i="130"/>
  <c r="I58" i="129"/>
  <c r="G57"/>
  <c r="L10"/>
  <c r="J43"/>
  <c r="J12"/>
  <c r="H51"/>
  <c r="G31" i="130"/>
  <c r="I21" i="129"/>
  <c r="G24"/>
  <c r="H36"/>
  <c r="K20"/>
  <c r="M31" i="130"/>
  <c r="G130" i="79"/>
  <c r="M18" i="129"/>
  <c r="G46"/>
  <c r="J29" i="130"/>
  <c r="G16" i="129"/>
  <c r="F160" i="79"/>
  <c r="L53" i="129"/>
  <c r="K25"/>
  <c r="G11" i="130"/>
  <c r="H16" i="129"/>
  <c r="I13"/>
  <c r="M28" i="130"/>
  <c r="J15"/>
  <c r="G58" i="129"/>
  <c r="F23" i="130"/>
  <c r="G49" i="129"/>
  <c r="J27"/>
  <c r="M35" i="130"/>
  <c r="F45" i="129"/>
  <c r="E55"/>
  <c r="J186" i="79"/>
  <c r="K43" i="129"/>
  <c r="E7" i="130"/>
  <c r="K46" i="129"/>
  <c r="F8"/>
  <c r="E221" i="79"/>
  <c r="F15" i="130"/>
  <c r="K12"/>
  <c r="J26" i="129"/>
  <c r="H208" i="79"/>
  <c r="F197"/>
  <c r="M40" i="129"/>
  <c r="M34"/>
  <c r="H20" i="130"/>
  <c r="I16" i="129"/>
  <c r="M41"/>
  <c r="K24" i="130"/>
  <c r="M54" i="129"/>
  <c r="H37"/>
  <c r="G34"/>
  <c r="I23"/>
  <c r="I19" i="130"/>
  <c r="M55" i="129"/>
  <c r="K24"/>
  <c r="L43"/>
  <c r="M14" i="130"/>
  <c r="H28" i="129"/>
  <c r="H27"/>
  <c r="L130" i="79"/>
  <c r="I8" i="129"/>
  <c r="M31"/>
  <c r="K54"/>
  <c r="I197" i="79"/>
  <c r="L17" i="130"/>
  <c r="E50" i="129"/>
  <c r="M42"/>
  <c r="J19"/>
  <c r="K36"/>
  <c r="E30" i="130"/>
  <c r="E197" i="79"/>
  <c r="M23" i="129"/>
  <c r="J197" i="79"/>
  <c r="G45" i="129"/>
  <c r="M208" i="79"/>
  <c r="I56" i="129"/>
  <c r="K28" i="130"/>
  <c r="I50" i="129"/>
  <c r="E40"/>
  <c r="J32"/>
  <c r="M13"/>
  <c r="E17" i="130"/>
  <c r="L8"/>
  <c r="H16"/>
  <c r="H23" i="129"/>
  <c r="I12" i="130"/>
  <c r="J19"/>
  <c r="L12"/>
  <c r="G17" i="129"/>
  <c r="M50"/>
  <c r="G48"/>
  <c r="J58"/>
  <c r="M20"/>
  <c r="J23" i="130"/>
  <c r="L30"/>
  <c r="G13" i="129"/>
  <c r="H45"/>
  <c r="E32" i="130"/>
  <c r="G20"/>
  <c r="F11" i="129"/>
  <c r="H186" i="79"/>
  <c r="K55" i="129"/>
  <c r="E54"/>
  <c r="L40"/>
  <c r="L28"/>
  <c r="J21" i="130"/>
  <c r="K21" i="129"/>
  <c r="L31"/>
  <c r="G51"/>
  <c r="E51"/>
  <c r="L41"/>
  <c r="J47"/>
  <c r="M51"/>
  <c r="L51"/>
  <c r="E37"/>
  <c r="F47"/>
  <c r="K44"/>
  <c r="K6"/>
  <c r="M37"/>
  <c r="K47"/>
  <c r="F51"/>
  <c r="J41"/>
  <c r="H41"/>
  <c r="G31"/>
  <c r="G41"/>
  <c r="E44"/>
  <c r="I44"/>
  <c r="G14"/>
  <c r="M44"/>
  <c r="J44"/>
  <c r="E47"/>
  <c r="M47"/>
  <c r="H44"/>
  <c r="I51"/>
  <c r="I160" i="79"/>
  <c r="I37" i="129" s="1"/>
  <c r="I35" i="130"/>
  <c r="J160" i="79"/>
  <c r="J37" i="129" s="1"/>
  <c r="J34" i="130"/>
  <c r="G27"/>
  <c r="G29" i="129"/>
  <c r="E45" i="79"/>
  <c r="E14" i="129" s="1"/>
  <c r="E14" i="130"/>
  <c r="J12"/>
  <c r="J45" i="79"/>
  <c r="J14" i="129" s="1"/>
  <c r="J18" i="130"/>
  <c r="K130" i="79"/>
  <c r="K31" i="129" s="1"/>
  <c r="K34"/>
  <c r="K31" i="130"/>
  <c r="H7" i="79"/>
  <c r="J30" i="130"/>
  <c r="J130" i="79"/>
  <c r="J31" i="129" s="1"/>
  <c r="F45" i="79"/>
  <c r="F14" i="129" s="1"/>
  <c r="H45" i="79"/>
  <c r="H14" i="129" s="1"/>
  <c r="H13" i="130"/>
  <c r="M45" i="79"/>
  <c r="M14" i="129" s="1"/>
  <c r="M13" i="130"/>
  <c r="E130" i="79"/>
  <c r="E31" i="129" s="1"/>
  <c r="E32"/>
  <c r="G6" i="130"/>
  <c r="G7" i="79"/>
  <c r="I130"/>
  <c r="I31" i="129" s="1"/>
  <c r="I33"/>
  <c r="I45" i="79"/>
  <c r="I14" i="129" s="1"/>
  <c r="I23" i="130"/>
  <c r="G39" i="129"/>
  <c r="G35" i="130"/>
  <c r="J9" i="129"/>
  <c r="J8" i="130"/>
  <c r="I31"/>
  <c r="I34" i="129"/>
  <c r="J7" i="79"/>
  <c r="J7" i="129"/>
  <c r="J6" i="130"/>
  <c r="K45" i="79"/>
  <c r="K14" i="129" s="1"/>
  <c r="K23"/>
  <c r="L34"/>
  <c r="L31" i="130"/>
  <c r="L46" i="129"/>
  <c r="L13" i="130"/>
  <c r="L45" i="79"/>
  <c r="L14" i="129" s="1"/>
  <c r="H6"/>
  <c r="G6"/>
  <c r="J6"/>
  <c r="J5" i="79" l="1"/>
  <c r="F33" i="154"/>
  <c r="G5" i="79"/>
  <c r="F4" i="154"/>
  <c r="F12" i="124"/>
  <c r="F25" i="154"/>
  <c r="F18"/>
  <c r="F30" i="124"/>
  <c r="F15"/>
  <c r="F28"/>
  <c r="F13" i="143"/>
  <c r="F5" i="124"/>
  <c r="F21" i="143"/>
  <c r="F9" i="154"/>
  <c r="F29"/>
  <c r="F30" i="143"/>
  <c r="F10"/>
  <c r="F27" i="124"/>
  <c r="F23"/>
  <c r="F28" i="143"/>
  <c r="F13" i="124"/>
  <c r="F29"/>
  <c r="F22" i="143"/>
  <c r="F20" i="154"/>
  <c r="F22" i="124"/>
  <c r="F21" i="154"/>
  <c r="F16" i="143"/>
  <c r="F6"/>
  <c r="F24" i="154"/>
  <c r="F22"/>
  <c r="F19" i="143"/>
  <c r="F26" i="124"/>
  <c r="F7" i="154"/>
  <c r="F8" i="124"/>
  <c r="F15" i="154"/>
  <c r="M5" i="79"/>
  <c r="F12" i="143"/>
  <c r="F34"/>
  <c r="F17" i="124"/>
  <c r="F15" i="143"/>
  <c r="F23" i="154"/>
  <c r="F17"/>
  <c r="F31"/>
  <c r="F24" i="143"/>
  <c r="F17"/>
  <c r="F33" i="124"/>
  <c r="F11" i="154"/>
  <c r="F18" i="124"/>
  <c r="F18" i="143"/>
  <c r="F28" i="154"/>
  <c r="F4" i="143"/>
  <c r="F21" i="124"/>
  <c r="F31" i="143"/>
  <c r="F20"/>
  <c r="F9" i="124"/>
  <c r="F29" i="143"/>
  <c r="F31" i="124"/>
  <c r="F7" i="143"/>
  <c r="F16" i="154"/>
  <c r="F10"/>
  <c r="F30"/>
  <c r="F19" i="124"/>
  <c r="I5" i="79"/>
  <c r="F10" i="124"/>
  <c r="F6"/>
  <c r="F27" i="154"/>
  <c r="F9" i="143"/>
  <c r="F5" i="154"/>
  <c r="F16" i="124"/>
  <c r="F14" i="143"/>
  <c r="F32"/>
  <c r="F14" i="154"/>
  <c r="F34" i="124"/>
  <c r="F7"/>
  <c r="F34" i="154"/>
  <c r="F6"/>
  <c r="F14" i="124"/>
  <c r="F25" i="143"/>
  <c r="F23"/>
  <c r="E5" i="79"/>
  <c r="F5" i="143"/>
  <c r="F32" i="154"/>
  <c r="F26" i="143"/>
  <c r="F8"/>
  <c r="F12" i="154"/>
  <c r="F26"/>
  <c r="F11" i="143"/>
  <c r="F33"/>
  <c r="F20" i="124"/>
  <c r="F25"/>
  <c r="H23" i="27"/>
  <c r="H24" s="1"/>
  <c r="H25" s="1"/>
  <c r="F32" i="124"/>
  <c r="F19" i="154"/>
  <c r="B5" i="121"/>
  <c r="M32" i="44"/>
  <c r="M34" s="1"/>
  <c r="H32"/>
  <c r="K32"/>
  <c r="K34" s="1"/>
  <c r="I32"/>
  <c r="I34" s="1"/>
  <c r="J32"/>
  <c r="J34" s="1"/>
  <c r="B5" i="145"/>
  <c r="B5" i="146"/>
  <c r="L32" i="44"/>
  <c r="L34" s="1"/>
  <c r="B5" i="144"/>
  <c r="M5" i="130"/>
  <c r="M5" i="129"/>
  <c r="I5"/>
  <c r="I5" i="130"/>
  <c r="E5" i="129"/>
  <c r="E5" i="130"/>
  <c r="F44" i="129"/>
  <c r="F37"/>
  <c r="G44"/>
  <c r="J29"/>
  <c r="G19"/>
  <c r="K11" i="130"/>
  <c r="K58" i="129"/>
  <c r="F29" i="130"/>
  <c r="H35" i="129"/>
  <c r="I30" i="130"/>
  <c r="G9" i="129"/>
  <c r="L26" i="130"/>
  <c r="F16" i="129"/>
  <c r="I42"/>
  <c r="F22"/>
  <c r="M43"/>
  <c r="G15" i="130"/>
  <c r="G36" i="129"/>
  <c r="G10" i="130"/>
  <c r="M23"/>
  <c r="F33" i="129"/>
  <c r="I6" i="130"/>
  <c r="I11" i="129"/>
  <c r="J5"/>
  <c r="J5" i="130"/>
  <c r="G5"/>
  <c r="G5" i="129"/>
  <c r="H47"/>
  <c r="L47"/>
  <c r="K41"/>
  <c r="M6"/>
  <c r="L197" i="79"/>
  <c r="E30" i="129"/>
  <c r="E26" i="130"/>
  <c r="L32"/>
  <c r="I29" i="129"/>
  <c r="G33"/>
  <c r="J11" i="130"/>
  <c r="I25" i="129"/>
  <c r="K18" i="130"/>
  <c r="H11" i="129"/>
  <c r="J13"/>
  <c r="F7" i="79"/>
  <c r="K7" i="130"/>
  <c r="M18"/>
  <c r="H130" i="79"/>
  <c r="K17" i="129"/>
  <c r="E6" i="130"/>
  <c r="F42" i="129"/>
  <c r="K10"/>
  <c r="K221" i="79"/>
  <c r="L57" i="129"/>
  <c r="E13" i="130"/>
  <c r="I7"/>
  <c r="I21"/>
  <c r="H25"/>
  <c r="H26" i="129"/>
  <c r="H34" i="130"/>
  <c r="I54" i="129"/>
  <c r="M26"/>
  <c r="M8"/>
  <c r="M58"/>
  <c r="L44"/>
  <c r="F6"/>
  <c r="H31"/>
  <c r="K51"/>
  <c r="F11" i="124" l="1"/>
  <c r="K5" i="79"/>
  <c r="F4" i="124"/>
  <c r="H5" i="79"/>
  <c r="F5"/>
  <c r="F24" i="124"/>
  <c r="L5" i="79"/>
  <c r="F8" i="154"/>
  <c r="F13"/>
  <c r="F27" i="143"/>
  <c r="G27" s="1"/>
  <c r="H34" i="44"/>
  <c r="H33"/>
  <c r="H35" s="1"/>
  <c r="K5" i="130"/>
  <c r="K5" i="129"/>
  <c r="H5" i="130"/>
  <c r="H5" i="129"/>
  <c r="F5" i="130"/>
  <c r="F5" i="129"/>
  <c r="L5"/>
  <c r="L5" i="130"/>
  <c r="G24" i="124" l="1"/>
  <c r="G6" i="154"/>
  <c r="G20"/>
  <c r="G12" i="124"/>
  <c r="G17"/>
  <c r="G30" i="143"/>
  <c r="G15"/>
  <c r="G9"/>
  <c r="G10"/>
  <c r="G33" i="154"/>
  <c r="G15" i="124"/>
  <c r="G28" i="143"/>
  <c r="G26" i="124"/>
  <c r="G31"/>
  <c r="G33" i="143"/>
  <c r="G22" i="124"/>
  <c r="G5" i="143"/>
  <c r="G28" i="154"/>
  <c r="G27"/>
  <c r="G4"/>
  <c r="G18"/>
  <c r="G13" i="143"/>
  <c r="G27" i="124"/>
  <c r="G29"/>
  <c r="G16" i="143"/>
  <c r="G15" i="154"/>
  <c r="G18" i="143"/>
  <c r="G30" i="154"/>
  <c r="G7" i="124"/>
  <c r="G28"/>
  <c r="G13"/>
  <c r="G8"/>
  <c r="G17" i="154"/>
  <c r="G7" i="143"/>
  <c r="G25" i="124"/>
  <c r="G8" i="154"/>
  <c r="G17" i="143"/>
  <c r="G31"/>
  <c r="G14"/>
  <c r="G32" i="154"/>
  <c r="G25"/>
  <c r="G9"/>
  <c r="G24"/>
  <c r="G33" i="124"/>
  <c r="G20" i="143"/>
  <c r="G19" i="124"/>
  <c r="G32" i="143"/>
  <c r="G25"/>
  <c r="G12" i="154"/>
  <c r="G20" i="124"/>
  <c r="E45" i="44"/>
  <c r="J42"/>
  <c r="E46" s="1"/>
  <c r="G21" i="143"/>
  <c r="G21" i="154"/>
  <c r="G22"/>
  <c r="G7"/>
  <c r="G34" i="143"/>
  <c r="G31" i="154"/>
  <c r="G11"/>
  <c r="G4" i="143"/>
  <c r="G9" i="124"/>
  <c r="G16" i="154"/>
  <c r="G6" i="124"/>
  <c r="G16"/>
  <c r="G14" i="154"/>
  <c r="G34"/>
  <c r="G8" i="143"/>
  <c r="G32" i="124"/>
  <c r="G30"/>
  <c r="G5"/>
  <c r="G29" i="154"/>
  <c r="G23" i="124"/>
  <c r="G22" i="143"/>
  <c r="G6"/>
  <c r="G19"/>
  <c r="G12"/>
  <c r="G23" i="154"/>
  <c r="G24" i="143"/>
  <c r="G18" i="124"/>
  <c r="G21"/>
  <c r="G29" i="143"/>
  <c r="G10" i="154"/>
  <c r="G10" i="124"/>
  <c r="G5" i="154"/>
  <c r="G34" i="124"/>
  <c r="G14"/>
  <c r="G23" i="143"/>
  <c r="G26"/>
  <c r="G11"/>
  <c r="G26" i="154"/>
  <c r="G19"/>
  <c r="G13"/>
  <c r="G4" i="124"/>
  <c r="G11"/>
  <c r="F40" i="154"/>
  <c r="C40"/>
  <c r="E40"/>
  <c r="C38"/>
  <c r="F44"/>
  <c r="E37"/>
  <c r="O37" s="1"/>
  <c r="E42"/>
  <c r="C37"/>
  <c r="D42"/>
  <c r="D39"/>
  <c r="F42"/>
  <c r="D50"/>
  <c r="E43"/>
  <c r="C41"/>
  <c r="C42"/>
  <c r="C43"/>
  <c r="F61" l="1"/>
  <c r="D46"/>
  <c r="F46"/>
  <c r="D48"/>
  <c r="D44"/>
  <c r="F47"/>
  <c r="E49"/>
  <c r="D47"/>
  <c r="D51"/>
  <c r="E47"/>
  <c r="C51"/>
  <c r="F50"/>
  <c r="D49"/>
  <c r="F66"/>
  <c r="C53"/>
  <c r="C61"/>
  <c r="D61"/>
  <c r="D58"/>
  <c r="C48"/>
  <c r="E50"/>
  <c r="F51"/>
  <c r="E59"/>
  <c r="D67"/>
  <c r="F65"/>
  <c r="F49"/>
  <c r="E58"/>
  <c r="F63"/>
  <c r="E56"/>
  <c r="D38"/>
  <c r="D62"/>
  <c r="C44"/>
  <c r="D54"/>
  <c r="C49"/>
  <c r="C60"/>
  <c r="D57"/>
  <c r="E65"/>
  <c r="F45"/>
  <c r="F41"/>
  <c r="E39"/>
  <c r="E52"/>
  <c r="F56"/>
  <c r="F37"/>
  <c r="C54"/>
  <c r="D64"/>
  <c r="E54"/>
  <c r="F67"/>
  <c r="D45"/>
  <c r="F43"/>
  <c r="D40"/>
  <c r="G40" s="1"/>
  <c r="C39"/>
  <c r="F38"/>
  <c r="E67"/>
  <c r="C50"/>
  <c r="E44"/>
  <c r="E46"/>
  <c r="F39"/>
  <c r="E51"/>
  <c r="G51" s="1"/>
  <c r="F57"/>
  <c r="C55"/>
  <c r="C45"/>
  <c r="D43"/>
  <c r="D63"/>
  <c r="F59"/>
  <c r="C47"/>
  <c r="E45"/>
  <c r="G45" s="1"/>
  <c r="E41"/>
  <c r="E38"/>
  <c r="C46"/>
  <c r="D66"/>
  <c r="E48"/>
  <c r="G48" s="1"/>
  <c r="D41"/>
  <c r="D37"/>
  <c r="E62"/>
  <c r="F48"/>
  <c r="E53"/>
  <c r="G50"/>
  <c r="C57"/>
  <c r="C66"/>
  <c r="C52"/>
  <c r="F58"/>
  <c r="D56"/>
  <c r="D52"/>
  <c r="C65"/>
  <c r="E66"/>
  <c r="D53"/>
  <c r="D65"/>
  <c r="F54"/>
  <c r="E63"/>
  <c r="F60"/>
  <c r="C64"/>
  <c r="E61"/>
  <c r="C62"/>
  <c r="F53"/>
  <c r="C67"/>
  <c r="F52"/>
  <c r="E60"/>
  <c r="D59"/>
  <c r="C58"/>
  <c r="C63"/>
  <c r="F55"/>
  <c r="D60"/>
  <c r="E57"/>
  <c r="D55"/>
  <c r="E55"/>
  <c r="F64"/>
  <c r="E64"/>
  <c r="G64" s="1"/>
  <c r="F62"/>
  <c r="C56"/>
  <c r="C59"/>
  <c r="G56"/>
  <c r="C41" i="124"/>
  <c r="F40"/>
  <c r="E43"/>
  <c r="E39"/>
  <c r="C43"/>
  <c r="F39"/>
  <c r="E37"/>
  <c r="O37" s="1"/>
  <c r="E42"/>
  <c r="D40"/>
  <c r="C38"/>
  <c r="E63"/>
  <c r="D39"/>
  <c r="G39" s="1"/>
  <c r="F42"/>
  <c r="F41"/>
  <c r="D44"/>
  <c r="E44"/>
  <c r="D45"/>
  <c r="E45"/>
  <c r="E67"/>
  <c r="D67"/>
  <c r="F49"/>
  <c r="C50"/>
  <c r="C54"/>
  <c r="C62"/>
  <c r="C58"/>
  <c r="C63"/>
  <c r="F50"/>
  <c r="D60"/>
  <c r="F47"/>
  <c r="F65"/>
  <c r="D55"/>
  <c r="E61"/>
  <c r="F54"/>
  <c r="F57"/>
  <c r="D64"/>
  <c r="F56"/>
  <c r="D59"/>
  <c r="E60"/>
  <c r="E54"/>
  <c r="C52"/>
  <c r="E49"/>
  <c r="C46"/>
  <c r="C65"/>
  <c r="E48"/>
  <c r="C67"/>
  <c r="E51"/>
  <c r="E55"/>
  <c r="C57"/>
  <c r="E65"/>
  <c r="C49"/>
  <c r="C48"/>
  <c r="D46"/>
  <c r="D63"/>
  <c r="G63" s="1"/>
  <c r="F61"/>
  <c r="F55"/>
  <c r="F37"/>
  <c r="D38"/>
  <c r="E40"/>
  <c r="F38"/>
  <c r="D37"/>
  <c r="E41"/>
  <c r="F43"/>
  <c r="C37"/>
  <c r="D42"/>
  <c r="G42" s="1"/>
  <c r="C39"/>
  <c r="D41"/>
  <c r="E38"/>
  <c r="O38" s="1"/>
  <c r="P38" s="1"/>
  <c r="C40"/>
  <c r="D43"/>
  <c r="G43" s="1"/>
  <c r="C42"/>
  <c r="C44"/>
  <c r="F44"/>
  <c r="C45"/>
  <c r="F45"/>
  <c r="F58"/>
  <c r="E56"/>
  <c r="D56"/>
  <c r="E57"/>
  <c r="D54"/>
  <c r="G54" s="1"/>
  <c r="F62"/>
  <c r="C55"/>
  <c r="C66"/>
  <c r="F51"/>
  <c r="F48"/>
  <c r="D61"/>
  <c r="D50"/>
  <c r="F64"/>
  <c r="D48"/>
  <c r="G48" s="1"/>
  <c r="E50"/>
  <c r="D51"/>
  <c r="G51" s="1"/>
  <c r="D66"/>
  <c r="E62"/>
  <c r="C59"/>
  <c r="E59"/>
  <c r="D58"/>
  <c r="E52"/>
  <c r="D57"/>
  <c r="C56"/>
  <c r="D52"/>
  <c r="E53"/>
  <c r="F53"/>
  <c r="F52"/>
  <c r="F59"/>
  <c r="F46"/>
  <c r="F60"/>
  <c r="F66"/>
  <c r="D49"/>
  <c r="G49" s="1"/>
  <c r="C60"/>
  <c r="D65"/>
  <c r="G65" s="1"/>
  <c r="C61"/>
  <c r="E64"/>
  <c r="D53"/>
  <c r="G53" s="1"/>
  <c r="F67"/>
  <c r="C53"/>
  <c r="E46"/>
  <c r="E66"/>
  <c r="E58"/>
  <c r="C51"/>
  <c r="F63"/>
  <c r="C47"/>
  <c r="D47"/>
  <c r="D62"/>
  <c r="G62" s="1"/>
  <c r="E47"/>
  <c r="C64"/>
  <c r="G41" i="154"/>
  <c r="G37"/>
  <c r="L37" s="1"/>
  <c r="M37" s="1"/>
  <c r="G38"/>
  <c r="D38" i="143"/>
  <c r="E39"/>
  <c r="E43"/>
  <c r="C40"/>
  <c r="F52"/>
  <c r="C49"/>
  <c r="D58"/>
  <c r="F51"/>
  <c r="D45"/>
  <c r="C57"/>
  <c r="D63"/>
  <c r="F57"/>
  <c r="E46"/>
  <c r="D57"/>
  <c r="C55"/>
  <c r="E38"/>
  <c r="C38"/>
  <c r="F43"/>
  <c r="C59"/>
  <c r="E49"/>
  <c r="E48"/>
  <c r="C47"/>
  <c r="F47"/>
  <c r="F50"/>
  <c r="D61"/>
  <c r="E66"/>
  <c r="E45"/>
  <c r="E44"/>
  <c r="E64"/>
  <c r="C45"/>
  <c r="E58"/>
  <c r="E37"/>
  <c r="O37" s="1"/>
  <c r="C42"/>
  <c r="C41"/>
  <c r="F61"/>
  <c r="D56"/>
  <c r="F59"/>
  <c r="F37"/>
  <c r="E41"/>
  <c r="E42"/>
  <c r="D40"/>
  <c r="D48"/>
  <c r="C46"/>
  <c r="F56"/>
  <c r="E61"/>
  <c r="D51"/>
  <c r="D49"/>
  <c r="E52"/>
  <c r="E53"/>
  <c r="E65"/>
  <c r="F64"/>
  <c r="E63"/>
  <c r="F53"/>
  <c r="C52"/>
  <c r="F65"/>
  <c r="C53"/>
  <c r="E47"/>
  <c r="F42"/>
  <c r="E59"/>
  <c r="E55"/>
  <c r="F60"/>
  <c r="D50"/>
  <c r="C37"/>
  <c r="F41"/>
  <c r="F40"/>
  <c r="F58"/>
  <c r="C66"/>
  <c r="C63"/>
  <c r="D65"/>
  <c r="C56"/>
  <c r="C54"/>
  <c r="F55"/>
  <c r="D59"/>
  <c r="G59" s="1"/>
  <c r="D62"/>
  <c r="E60"/>
  <c r="D60"/>
  <c r="E51"/>
  <c r="F38"/>
  <c r="E40"/>
  <c r="D54"/>
  <c r="F44"/>
  <c r="F67"/>
  <c r="F54"/>
  <c r="C58"/>
  <c r="D55"/>
  <c r="E56"/>
  <c r="E62"/>
  <c r="E50"/>
  <c r="D46"/>
  <c r="G46" s="1"/>
  <c r="D44"/>
  <c r="G44" s="1"/>
  <c r="C62"/>
  <c r="E67"/>
  <c r="C39"/>
  <c r="F39"/>
  <c r="D39"/>
  <c r="E57"/>
  <c r="D64"/>
  <c r="G64" s="1"/>
  <c r="F62"/>
  <c r="D37"/>
  <c r="F46"/>
  <c r="C43"/>
  <c r="D43"/>
  <c r="F45"/>
  <c r="F66"/>
  <c r="C51"/>
  <c r="C50"/>
  <c r="F63"/>
  <c r="D52"/>
  <c r="G52" s="1"/>
  <c r="C60"/>
  <c r="E54"/>
  <c r="F49"/>
  <c r="C65"/>
  <c r="C44"/>
  <c r="F48"/>
  <c r="D67"/>
  <c r="D53"/>
  <c r="D66"/>
  <c r="C67"/>
  <c r="D41"/>
  <c r="G41" s="1"/>
  <c r="D42"/>
  <c r="G42" s="1"/>
  <c r="D47"/>
  <c r="G47" s="1"/>
  <c r="C48"/>
  <c r="C64"/>
  <c r="C61"/>
  <c r="E49" i="44"/>
  <c r="F49"/>
  <c r="O52" i="154"/>
  <c r="P52" s="1"/>
  <c r="O54"/>
  <c r="P54" s="1"/>
  <c r="G52"/>
  <c r="O66"/>
  <c r="P66" s="1"/>
  <c r="Q66" s="1"/>
  <c r="O44"/>
  <c r="P44" s="1"/>
  <c r="Q44" s="1"/>
  <c r="O46"/>
  <c r="P46" s="1"/>
  <c r="G65"/>
  <c r="O63"/>
  <c r="P63" s="1"/>
  <c r="Q63" s="1"/>
  <c r="G46"/>
  <c r="O42"/>
  <c r="P42" s="1"/>
  <c r="Q42" s="1"/>
  <c r="P37"/>
  <c r="G63"/>
  <c r="O61"/>
  <c r="P61" s="1"/>
  <c r="Q61" s="1"/>
  <c r="G66"/>
  <c r="O60"/>
  <c r="P60" s="1"/>
  <c r="Q60" s="1"/>
  <c r="O58"/>
  <c r="P58" s="1"/>
  <c r="O56"/>
  <c r="P56" s="1"/>
  <c r="G61"/>
  <c r="O43"/>
  <c r="P43" s="1"/>
  <c r="G58"/>
  <c r="O59"/>
  <c r="P59" s="1"/>
  <c r="Q59" s="1"/>
  <c r="O47"/>
  <c r="P47" s="1"/>
  <c r="G39"/>
  <c r="L39" s="1"/>
  <c r="M39" s="1"/>
  <c r="O53"/>
  <c r="P53" s="1"/>
  <c r="O49"/>
  <c r="P49" s="1"/>
  <c r="O67"/>
  <c r="P67" s="1"/>
  <c r="Q67" s="1"/>
  <c r="G42"/>
  <c r="L42" s="1"/>
  <c r="M42" s="1"/>
  <c r="N42" s="1"/>
  <c r="O51"/>
  <c r="P51" s="1"/>
  <c r="Q51" s="1"/>
  <c r="G44"/>
  <c r="G59"/>
  <c r="G60"/>
  <c r="G43"/>
  <c r="O57"/>
  <c r="P57" s="1"/>
  <c r="G47"/>
  <c r="O55"/>
  <c r="P55" s="1"/>
  <c r="O50"/>
  <c r="P50" s="1"/>
  <c r="Q50" s="1"/>
  <c r="O64"/>
  <c r="P64" s="1"/>
  <c r="O45"/>
  <c r="P45" s="1"/>
  <c r="Q45" s="1"/>
  <c r="O41"/>
  <c r="P41" s="1"/>
  <c r="G49"/>
  <c r="O62"/>
  <c r="P62" s="1"/>
  <c r="O40"/>
  <c r="P40" s="1"/>
  <c r="G62" l="1"/>
  <c r="O48"/>
  <c r="P48" s="1"/>
  <c r="O39"/>
  <c r="O38"/>
  <c r="P38" s="1"/>
  <c r="G67"/>
  <c r="G53"/>
  <c r="P39"/>
  <c r="G57"/>
  <c r="G43" i="143"/>
  <c r="G37" i="124"/>
  <c r="L37" s="1"/>
  <c r="M37" s="1"/>
  <c r="G66" i="143"/>
  <c r="G37"/>
  <c r="L37" s="1"/>
  <c r="M37" s="1"/>
  <c r="G39"/>
  <c r="G54" i="154"/>
  <c r="L44"/>
  <c r="M44" s="1"/>
  <c r="G67" i="143"/>
  <c r="G55"/>
  <c r="O40"/>
  <c r="P40" s="1"/>
  <c r="G65"/>
  <c r="G49"/>
  <c r="O65" i="154"/>
  <c r="P65" s="1"/>
  <c r="Q40" s="1"/>
  <c r="L38"/>
  <c r="M38" s="1"/>
  <c r="O47" i="124"/>
  <c r="P47" s="1"/>
  <c r="O46"/>
  <c r="P46" s="1"/>
  <c r="G61"/>
  <c r="G55" i="154"/>
  <c r="L61" s="1"/>
  <c r="M61" s="1"/>
  <c r="G50" i="124"/>
  <c r="G41"/>
  <c r="O40"/>
  <c r="P40" s="1"/>
  <c r="G67"/>
  <c r="O62" i="143"/>
  <c r="P62" s="1"/>
  <c r="G63"/>
  <c r="G38"/>
  <c r="L49" i="154"/>
  <c r="M49" s="1"/>
  <c r="L47"/>
  <c r="M47" s="1"/>
  <c r="L43"/>
  <c r="M43" s="1"/>
  <c r="O66" i="124"/>
  <c r="P66" s="1"/>
  <c r="Q66" s="1"/>
  <c r="O53"/>
  <c r="P53" s="1"/>
  <c r="O52"/>
  <c r="P52" s="1"/>
  <c r="L50" i="154"/>
  <c r="M50" s="1"/>
  <c r="N50" s="1"/>
  <c r="L51"/>
  <c r="M51" s="1"/>
  <c r="N51" s="1"/>
  <c r="L56"/>
  <c r="M56" s="1"/>
  <c r="L63"/>
  <c r="M63" s="1"/>
  <c r="N63" s="1"/>
  <c r="L53"/>
  <c r="M53" s="1"/>
  <c r="L45"/>
  <c r="M45" s="1"/>
  <c r="L64"/>
  <c r="M64" s="1"/>
  <c r="L62"/>
  <c r="M62" s="1"/>
  <c r="Q55"/>
  <c r="L55"/>
  <c r="M55" s="1"/>
  <c r="L59"/>
  <c r="M59" s="1"/>
  <c r="L67"/>
  <c r="M67" s="1"/>
  <c r="N67" s="1"/>
  <c r="Q56"/>
  <c r="L66"/>
  <c r="M66" s="1"/>
  <c r="N66" s="1"/>
  <c r="L46"/>
  <c r="M46" s="1"/>
  <c r="L65"/>
  <c r="M65" s="1"/>
  <c r="Q46"/>
  <c r="L40"/>
  <c r="M40" s="1"/>
  <c r="Q54"/>
  <c r="L54"/>
  <c r="M54" s="1"/>
  <c r="G53" i="143"/>
  <c r="O54"/>
  <c r="P54" s="1"/>
  <c r="O57"/>
  <c r="P57" s="1"/>
  <c r="O67"/>
  <c r="P67" s="1"/>
  <c r="Q67" s="1"/>
  <c r="O50"/>
  <c r="P50" s="1"/>
  <c r="Q50" s="1"/>
  <c r="O56"/>
  <c r="P56" s="1"/>
  <c r="G54"/>
  <c r="G60"/>
  <c r="G62"/>
  <c r="G50"/>
  <c r="O55"/>
  <c r="P55" s="1"/>
  <c r="O63"/>
  <c r="P63" s="1"/>
  <c r="Q63" s="1"/>
  <c r="O65"/>
  <c r="P65" s="1"/>
  <c r="O52"/>
  <c r="P52" s="1"/>
  <c r="G51"/>
  <c r="G48"/>
  <c r="O42"/>
  <c r="P42" s="1"/>
  <c r="Q42" s="1"/>
  <c r="G56"/>
  <c r="P37"/>
  <c r="O44"/>
  <c r="P44" s="1"/>
  <c r="Q44" s="1"/>
  <c r="O66"/>
  <c r="P66" s="1"/>
  <c r="Q66" s="1"/>
  <c r="O49"/>
  <c r="P49" s="1"/>
  <c r="O38"/>
  <c r="P38" s="1"/>
  <c r="G57"/>
  <c r="O39"/>
  <c r="P39" s="1"/>
  <c r="Q48" i="154"/>
  <c r="G47" i="124"/>
  <c r="O58"/>
  <c r="P58" s="1"/>
  <c r="O64"/>
  <c r="P64" s="1"/>
  <c r="G52"/>
  <c r="G57"/>
  <c r="G58"/>
  <c r="G66"/>
  <c r="O50"/>
  <c r="P50" s="1"/>
  <c r="G56"/>
  <c r="O41"/>
  <c r="P41" s="1"/>
  <c r="G38"/>
  <c r="L38" s="1"/>
  <c r="M38" s="1"/>
  <c r="O65"/>
  <c r="P65" s="1"/>
  <c r="Q65" s="1"/>
  <c r="O55"/>
  <c r="P55" s="1"/>
  <c r="O49"/>
  <c r="P49" s="1"/>
  <c r="O54"/>
  <c r="P54" s="1"/>
  <c r="G59"/>
  <c r="G64"/>
  <c r="G55"/>
  <c r="O67"/>
  <c r="P67" s="1"/>
  <c r="Q67" s="1"/>
  <c r="G45"/>
  <c r="G44"/>
  <c r="O63"/>
  <c r="P63" s="1"/>
  <c r="Q63" s="1"/>
  <c r="G40"/>
  <c r="P37"/>
  <c r="O43"/>
  <c r="P43" s="1"/>
  <c r="L60" i="154"/>
  <c r="M60" s="1"/>
  <c r="L48"/>
  <c r="M48" s="1"/>
  <c r="Q53"/>
  <c r="L58"/>
  <c r="M58" s="1"/>
  <c r="L52"/>
  <c r="M52" s="1"/>
  <c r="L57"/>
  <c r="M57" s="1"/>
  <c r="L39" i="143"/>
  <c r="M39" s="1"/>
  <c r="O51"/>
  <c r="P51" s="1"/>
  <c r="Q51" s="1"/>
  <c r="O60"/>
  <c r="P60" s="1"/>
  <c r="Q60" s="1"/>
  <c r="O59"/>
  <c r="P59" s="1"/>
  <c r="Q59" s="1"/>
  <c r="O47"/>
  <c r="P47" s="1"/>
  <c r="O53"/>
  <c r="P53" s="1"/>
  <c r="O61"/>
  <c r="P61" s="1"/>
  <c r="Q61" s="1"/>
  <c r="G40"/>
  <c r="O41"/>
  <c r="P41" s="1"/>
  <c r="O58"/>
  <c r="P58" s="1"/>
  <c r="O64"/>
  <c r="P64" s="1"/>
  <c r="O45"/>
  <c r="P45" s="1"/>
  <c r="Q45" s="1"/>
  <c r="G61"/>
  <c r="O48"/>
  <c r="P48" s="1"/>
  <c r="O46"/>
  <c r="P46" s="1"/>
  <c r="G45"/>
  <c r="G58"/>
  <c r="O43"/>
  <c r="P43" s="1"/>
  <c r="L38"/>
  <c r="M38" s="1"/>
  <c r="L41" i="154"/>
  <c r="M41" s="1"/>
  <c r="O59" i="124"/>
  <c r="P59" s="1"/>
  <c r="O62"/>
  <c r="P62" s="1"/>
  <c r="Q62" s="1"/>
  <c r="O57"/>
  <c r="P57" s="1"/>
  <c r="O56"/>
  <c r="P56" s="1"/>
  <c r="G46"/>
  <c r="O51"/>
  <c r="P51" s="1"/>
  <c r="O48"/>
  <c r="P48" s="1"/>
  <c r="O60"/>
  <c r="P60" s="1"/>
  <c r="O61"/>
  <c r="P61" s="1"/>
  <c r="Q61" s="1"/>
  <c r="G60"/>
  <c r="O45"/>
  <c r="P45" s="1"/>
  <c r="O44"/>
  <c r="P44" s="1"/>
  <c r="L39"/>
  <c r="M39" s="1"/>
  <c r="O42"/>
  <c r="P42" s="1"/>
  <c r="O39"/>
  <c r="P39" s="1"/>
  <c r="Q60" l="1"/>
  <c r="Q54"/>
  <c r="Q45"/>
  <c r="L42"/>
  <c r="M42" s="1"/>
  <c r="Q65" i="154"/>
  <c r="Q41"/>
  <c r="Q47"/>
  <c r="L40" i="143"/>
  <c r="M40" s="1"/>
  <c r="Q38" i="154"/>
  <c r="Q52"/>
  <c r="Q37"/>
  <c r="Q58"/>
  <c r="Q43"/>
  <c r="Q49"/>
  <c r="Q64"/>
  <c r="Q62"/>
  <c r="Q39"/>
  <c r="Q57"/>
  <c r="Q53" i="124"/>
  <c r="Q59"/>
  <c r="Q46"/>
  <c r="Q42"/>
  <c r="L67"/>
  <c r="M67" s="1"/>
  <c r="N67" s="1"/>
  <c r="L46"/>
  <c r="M46" s="1"/>
  <c r="L41"/>
  <c r="M41" s="1"/>
  <c r="L58" i="143"/>
  <c r="M58" s="1"/>
  <c r="L45" i="124"/>
  <c r="M45" s="1"/>
  <c r="Q52"/>
  <c r="N41" i="154"/>
  <c r="Q48" i="143"/>
  <c r="N49" i="154"/>
  <c r="Q47" i="124"/>
  <c r="Q44"/>
  <c r="Q57"/>
  <c r="L53"/>
  <c r="M53" s="1"/>
  <c r="Q39"/>
  <c r="L60"/>
  <c r="M60" s="1"/>
  <c r="Q51"/>
  <c r="Q40"/>
  <c r="Q56"/>
  <c r="L50"/>
  <c r="M50" s="1"/>
  <c r="L51"/>
  <c r="M51" s="1"/>
  <c r="L62"/>
  <c r="M62" s="1"/>
  <c r="N62" s="1"/>
  <c r="N38" i="154"/>
  <c r="Q43" i="143"/>
  <c r="L45"/>
  <c r="M45" s="1"/>
  <c r="Q46"/>
  <c r="L61"/>
  <c r="M61" s="1"/>
  <c r="Q64"/>
  <c r="Q41"/>
  <c r="Q53"/>
  <c r="L59"/>
  <c r="M59" s="1"/>
  <c r="L55"/>
  <c r="M55" s="1"/>
  <c r="L46"/>
  <c r="M46" s="1"/>
  <c r="L64"/>
  <c r="M64" s="1"/>
  <c r="L67"/>
  <c r="M67" s="1"/>
  <c r="N67" s="1"/>
  <c r="L47"/>
  <c r="M47" s="1"/>
  <c r="N52" i="154"/>
  <c r="N60"/>
  <c r="Q43" i="124"/>
  <c r="L40"/>
  <c r="M40" s="1"/>
  <c r="L44"/>
  <c r="M44" s="1"/>
  <c r="L64"/>
  <c r="M64" s="1"/>
  <c r="Q55"/>
  <c r="L63"/>
  <c r="M63" s="1"/>
  <c r="N63" s="1"/>
  <c r="Q41"/>
  <c r="L43"/>
  <c r="M43" s="1"/>
  <c r="L54"/>
  <c r="M54" s="1"/>
  <c r="Q50"/>
  <c r="L58"/>
  <c r="M58" s="1"/>
  <c r="L52"/>
  <c r="M52" s="1"/>
  <c r="L65"/>
  <c r="M65" s="1"/>
  <c r="N65" s="1"/>
  <c r="Q58"/>
  <c r="N37" i="154"/>
  <c r="Q39" i="143"/>
  <c r="Q38"/>
  <c r="Q37"/>
  <c r="L51"/>
  <c r="M51" s="1"/>
  <c r="N51" s="1"/>
  <c r="Q65"/>
  <c r="Q55"/>
  <c r="L62"/>
  <c r="M62" s="1"/>
  <c r="L54"/>
  <c r="M54" s="1"/>
  <c r="L43"/>
  <c r="M43" s="1"/>
  <c r="Q54"/>
  <c r="L42"/>
  <c r="M42" s="1"/>
  <c r="N42" s="1"/>
  <c r="N46" i="154"/>
  <c r="N43"/>
  <c r="L41" i="143"/>
  <c r="M41" s="1"/>
  <c r="N45" i="154"/>
  <c r="N44"/>
  <c r="Q48" i="124"/>
  <c r="L48"/>
  <c r="M48" s="1"/>
  <c r="L63" i="143"/>
  <c r="M63" s="1"/>
  <c r="N63" s="1"/>
  <c r="Q58"/>
  <c r="L49"/>
  <c r="M49" s="1"/>
  <c r="Q47"/>
  <c r="L65"/>
  <c r="M65" s="1"/>
  <c r="Q40"/>
  <c r="Q62"/>
  <c r="L66"/>
  <c r="M66" s="1"/>
  <c r="N66" s="1"/>
  <c r="N57" i="154"/>
  <c r="N58"/>
  <c r="N48"/>
  <c r="N47"/>
  <c r="Q37" i="124"/>
  <c r="L55"/>
  <c r="M55" s="1"/>
  <c r="L59"/>
  <c r="M59" s="1"/>
  <c r="Q49"/>
  <c r="Q38"/>
  <c r="L56"/>
  <c r="M56" s="1"/>
  <c r="L61"/>
  <c r="M61" s="1"/>
  <c r="N61" s="1"/>
  <c r="L66"/>
  <c r="M66" s="1"/>
  <c r="N66" s="1"/>
  <c r="L57"/>
  <c r="M57" s="1"/>
  <c r="L49"/>
  <c r="M49" s="1"/>
  <c r="Q64"/>
  <c r="L47"/>
  <c r="M47" s="1"/>
  <c r="L57" i="143"/>
  <c r="M57" s="1"/>
  <c r="Q49"/>
  <c r="L56"/>
  <c r="M56" s="1"/>
  <c r="L48"/>
  <c r="M48" s="1"/>
  <c r="Q52"/>
  <c r="L50"/>
  <c r="M50" s="1"/>
  <c r="N50" s="1"/>
  <c r="L60"/>
  <c r="M60" s="1"/>
  <c r="Q56"/>
  <c r="L44"/>
  <c r="M44" s="1"/>
  <c r="Q57"/>
  <c r="L52"/>
  <c r="M52" s="1"/>
  <c r="L53"/>
  <c r="M53" s="1"/>
  <c r="N54" i="154"/>
  <c r="N40"/>
  <c r="N65"/>
  <c r="N39"/>
  <c r="N59"/>
  <c r="N55"/>
  <c r="N62"/>
  <c r="N64"/>
  <c r="N53"/>
  <c r="N56"/>
  <c r="N61"/>
  <c r="N60" i="124" l="1"/>
  <c r="N46"/>
  <c r="N53" i="143"/>
  <c r="N47" i="124"/>
  <c r="N58" i="143"/>
  <c r="N40" i="124"/>
  <c r="N37"/>
  <c r="N52" i="143"/>
  <c r="N44"/>
  <c r="N60"/>
  <c r="N56"/>
  <c r="N57"/>
  <c r="N57" i="124"/>
  <c r="N55"/>
  <c r="N37" i="143"/>
  <c r="N65"/>
  <c r="N49"/>
  <c r="N48" i="124"/>
  <c r="N43" i="143"/>
  <c r="N62"/>
  <c r="N52" i="124"/>
  <c r="N43"/>
  <c r="N64"/>
  <c r="N47" i="143"/>
  <c r="N64"/>
  <c r="N55"/>
  <c r="N50" i="124"/>
  <c r="N42"/>
  <c r="N39"/>
  <c r="N53"/>
  <c r="N48" i="143"/>
  <c r="N49" i="124"/>
  <c r="N56"/>
  <c r="N38"/>
  <c r="N59"/>
  <c r="N45"/>
  <c r="N39" i="143"/>
  <c r="N40"/>
  <c r="N38"/>
  <c r="N41" i="124"/>
  <c r="N41" i="143"/>
  <c r="N54"/>
  <c r="T37" i="154"/>
  <c r="N58" i="124"/>
  <c r="N54"/>
  <c r="N44"/>
  <c r="N46" i="143"/>
  <c r="N59"/>
  <c r="N61"/>
  <c r="N45"/>
  <c r="N51" i="124"/>
  <c r="D89" i="154" l="1"/>
  <c r="D85"/>
  <c r="D91"/>
  <c r="F90"/>
  <c r="F84"/>
  <c r="E85"/>
  <c r="E81"/>
  <c r="F86"/>
  <c r="F92"/>
  <c r="E80"/>
  <c r="D90"/>
  <c r="F88"/>
  <c r="E90"/>
  <c r="D92"/>
  <c r="D88"/>
  <c r="F80"/>
  <c r="F87"/>
  <c r="F89"/>
  <c r="D86"/>
  <c r="D81"/>
  <c r="E88"/>
  <c r="F82"/>
  <c r="E91"/>
  <c r="F85"/>
  <c r="E86"/>
  <c r="E82"/>
  <c r="E78"/>
  <c r="D84"/>
  <c r="F78"/>
  <c r="D83"/>
  <c r="E92"/>
  <c r="D82"/>
  <c r="D79"/>
  <c r="D80"/>
  <c r="D78"/>
  <c r="F81"/>
  <c r="E83"/>
  <c r="E87"/>
  <c r="D87"/>
  <c r="E79"/>
  <c r="E89"/>
  <c r="F83"/>
  <c r="F79"/>
  <c r="E84"/>
  <c r="F91"/>
  <c r="T37" i="143"/>
  <c r="T37" i="124"/>
  <c r="P15" i="153"/>
  <c r="P11"/>
  <c r="P13"/>
  <c r="P5"/>
  <c r="P14"/>
  <c r="P7"/>
  <c r="P10"/>
  <c r="P6"/>
  <c r="P8"/>
  <c r="P4"/>
  <c r="P16"/>
  <c r="O10"/>
  <c r="O5"/>
  <c r="O7"/>
  <c r="O12"/>
  <c r="O4"/>
  <c r="O9"/>
  <c r="P9"/>
  <c r="P17"/>
  <c r="P12"/>
  <c r="P3"/>
  <c r="O6"/>
  <c r="O15"/>
  <c r="O13"/>
  <c r="O16"/>
  <c r="O11"/>
  <c r="O3"/>
  <c r="O17"/>
  <c r="O8"/>
  <c r="O14"/>
  <c r="Q14" l="1"/>
  <c r="R14" s="1"/>
  <c r="Q8"/>
  <c r="R8" s="1"/>
  <c r="Q17"/>
  <c r="R17" s="1"/>
  <c r="Q3"/>
  <c r="R3" s="1"/>
  <c r="Q11"/>
  <c r="R11" s="1"/>
  <c r="Q16"/>
  <c r="R16" s="1"/>
  <c r="Q13"/>
  <c r="R13" s="1"/>
  <c r="Q15"/>
  <c r="R15" s="1"/>
  <c r="Q6"/>
  <c r="R6" s="1"/>
  <c r="Q9"/>
  <c r="R9" s="1"/>
  <c r="S9" s="1"/>
  <c r="Q4"/>
  <c r="R4" s="1"/>
  <c r="Q12"/>
  <c r="R12" s="1"/>
  <c r="Q7"/>
  <c r="R7" s="1"/>
  <c r="Q5"/>
  <c r="R5" s="1"/>
  <c r="Q10"/>
  <c r="R10" s="1"/>
  <c r="S10" s="1"/>
  <c r="E80" i="124"/>
  <c r="E83"/>
  <c r="D92"/>
  <c r="F90"/>
  <c r="E85"/>
  <c r="E88"/>
  <c r="F80"/>
  <c r="E82"/>
  <c r="E91"/>
  <c r="F85"/>
  <c r="D80"/>
  <c r="D79"/>
  <c r="F91"/>
  <c r="D83"/>
  <c r="E87"/>
  <c r="F86"/>
  <c r="D87"/>
  <c r="F83"/>
  <c r="F79"/>
  <c r="E79"/>
  <c r="E81"/>
  <c r="F82"/>
  <c r="E92"/>
  <c r="F81"/>
  <c r="E78"/>
  <c r="E90"/>
  <c r="D78"/>
  <c r="E86"/>
  <c r="F87"/>
  <c r="F88"/>
  <c r="F78"/>
  <c r="D82"/>
  <c r="F89"/>
  <c r="F84"/>
  <c r="D84"/>
  <c r="D81"/>
  <c r="D89"/>
  <c r="D85"/>
  <c r="D86"/>
  <c r="E89"/>
  <c r="D90"/>
  <c r="E84"/>
  <c r="F92"/>
  <c r="D91"/>
  <c r="D88"/>
  <c r="G78" i="154"/>
  <c r="G87"/>
  <c r="G92"/>
  <c r="G84"/>
  <c r="G91"/>
  <c r="G79"/>
  <c r="D92" i="143"/>
  <c r="E79"/>
  <c r="E90"/>
  <c r="E91"/>
  <c r="E83"/>
  <c r="E80"/>
  <c r="D87"/>
  <c r="D89"/>
  <c r="F91"/>
  <c r="D85"/>
  <c r="D84"/>
  <c r="F89"/>
  <c r="E89"/>
  <c r="E85"/>
  <c r="F84"/>
  <c r="F78"/>
  <c r="E84"/>
  <c r="E87"/>
  <c r="D78"/>
  <c r="F92"/>
  <c r="E92"/>
  <c r="F86"/>
  <c r="D80"/>
  <c r="F90"/>
  <c r="F87"/>
  <c r="D79"/>
  <c r="E81"/>
  <c r="E78"/>
  <c r="F88"/>
  <c r="D86"/>
  <c r="E88"/>
  <c r="D82"/>
  <c r="D83"/>
  <c r="F79"/>
  <c r="D91"/>
  <c r="F80"/>
  <c r="E82"/>
  <c r="F82"/>
  <c r="E86"/>
  <c r="F83"/>
  <c r="D81"/>
  <c r="F85"/>
  <c r="D88"/>
  <c r="F81"/>
  <c r="D90"/>
  <c r="G83" i="154"/>
  <c r="G81"/>
  <c r="G85"/>
  <c r="G82"/>
  <c r="G89"/>
  <c r="G80"/>
  <c r="G88"/>
  <c r="G86"/>
  <c r="G90"/>
  <c r="P5" i="112"/>
  <c r="P16"/>
  <c r="P4"/>
  <c r="P12"/>
  <c r="P3"/>
  <c r="P14"/>
  <c r="P17"/>
  <c r="P14" i="152"/>
  <c r="P3"/>
  <c r="P17"/>
  <c r="P11"/>
  <c r="P15"/>
  <c r="P4"/>
  <c r="P5"/>
  <c r="P7"/>
  <c r="P8"/>
  <c r="P10"/>
  <c r="P6"/>
  <c r="O5" i="112"/>
  <c r="O10"/>
  <c r="O16"/>
  <c r="O12"/>
  <c r="O6"/>
  <c r="O17"/>
  <c r="O3"/>
  <c r="O4" i="152"/>
  <c r="O16"/>
  <c r="O5"/>
  <c r="O10"/>
  <c r="O12"/>
  <c r="O3"/>
  <c r="P15" i="112"/>
  <c r="P10"/>
  <c r="P11"/>
  <c r="P8"/>
  <c r="P7"/>
  <c r="P6"/>
  <c r="P13"/>
  <c r="P9"/>
  <c r="P16" i="152"/>
  <c r="P9"/>
  <c r="P12"/>
  <c r="P13"/>
  <c r="O8" i="112"/>
  <c r="O13"/>
  <c r="O7"/>
  <c r="O4"/>
  <c r="O15"/>
  <c r="O11"/>
  <c r="O14"/>
  <c r="O9"/>
  <c r="O15" i="152"/>
  <c r="O8"/>
  <c r="O14"/>
  <c r="O9"/>
  <c r="O17"/>
  <c r="O6"/>
  <c r="O13"/>
  <c r="O7"/>
  <c r="O11"/>
  <c r="Q11" l="1"/>
  <c r="R11" s="1"/>
  <c r="Q7"/>
  <c r="R7" s="1"/>
  <c r="Q13"/>
  <c r="R13" s="1"/>
  <c r="Q6"/>
  <c r="R6" s="1"/>
  <c r="Q17"/>
  <c r="R17" s="1"/>
  <c r="Q9"/>
  <c r="R9" s="1"/>
  <c r="S9" s="1"/>
  <c r="Q14"/>
  <c r="R14" s="1"/>
  <c r="Q8"/>
  <c r="R8" s="1"/>
  <c r="Q15"/>
  <c r="R15" s="1"/>
  <c r="Q9" i="112"/>
  <c r="R9" s="1"/>
  <c r="Q14"/>
  <c r="R14" s="1"/>
  <c r="Q11"/>
  <c r="R11" s="1"/>
  <c r="Q15"/>
  <c r="R15" s="1"/>
  <c r="Q4"/>
  <c r="R4" s="1"/>
  <c r="Q7"/>
  <c r="R7" s="1"/>
  <c r="Q13"/>
  <c r="R13" s="1"/>
  <c r="Q8"/>
  <c r="R8" s="1"/>
  <c r="Q3" i="152"/>
  <c r="R3" s="1"/>
  <c r="Q12"/>
  <c r="R12" s="1"/>
  <c r="Q10"/>
  <c r="R10" s="1"/>
  <c r="S10" s="1"/>
  <c r="Q5"/>
  <c r="R5" s="1"/>
  <c r="Q16"/>
  <c r="R16" s="1"/>
  <c r="Q4"/>
  <c r="R4" s="1"/>
  <c r="Q3" i="112"/>
  <c r="R3" s="1"/>
  <c r="Q17"/>
  <c r="R17" s="1"/>
  <c r="Q6"/>
  <c r="R6" s="1"/>
  <c r="Q12"/>
  <c r="R12" s="1"/>
  <c r="Q16"/>
  <c r="R16" s="1"/>
  <c r="Q10"/>
  <c r="R10" s="1"/>
  <c r="Q5"/>
  <c r="R5" s="1"/>
  <c r="G88" i="143"/>
  <c r="G87"/>
  <c r="G84"/>
  <c r="G91"/>
  <c r="G84" i="124"/>
  <c r="G88"/>
  <c r="G81"/>
  <c r="G82"/>
  <c r="G83"/>
  <c r="G86"/>
  <c r="G85"/>
  <c r="G90"/>
  <c r="S7" i="153"/>
  <c r="S4"/>
  <c r="S6"/>
  <c r="S13"/>
  <c r="S11"/>
  <c r="S17"/>
  <c r="S14"/>
  <c r="G81" i="143"/>
  <c r="G85"/>
  <c r="G83"/>
  <c r="G82"/>
  <c r="G80"/>
  <c r="G79"/>
  <c r="G90"/>
  <c r="G86"/>
  <c r="G92"/>
  <c r="G78"/>
  <c r="G89"/>
  <c r="G92" i="124"/>
  <c r="G89"/>
  <c r="G78"/>
  <c r="G87"/>
  <c r="G79"/>
  <c r="G91"/>
  <c r="G80"/>
  <c r="S5" i="153"/>
  <c r="S12"/>
  <c r="S15"/>
  <c r="S16"/>
  <c r="S3"/>
  <c r="S8"/>
  <c r="S5" i="112" l="1"/>
  <c r="S16" i="152"/>
  <c r="S11" i="112"/>
  <c r="S17"/>
  <c r="V3" i="153"/>
  <c r="S16" i="112"/>
  <c r="S10"/>
  <c r="S12"/>
  <c r="S4" i="152"/>
  <c r="S5"/>
  <c r="S12"/>
  <c r="S8" i="112"/>
  <c r="S7"/>
  <c r="S15"/>
  <c r="S14"/>
  <c r="S15" i="152"/>
  <c r="S14"/>
  <c r="S17"/>
  <c r="S13"/>
  <c r="S11"/>
  <c r="S6" i="112"/>
  <c r="S3"/>
  <c r="S3" i="152"/>
  <c r="S13" i="112"/>
  <c r="S4"/>
  <c r="S9"/>
  <c r="S8" i="152"/>
  <c r="S6"/>
  <c r="S7"/>
  <c r="V3" l="1"/>
  <c r="V3" i="112"/>
</calcChain>
</file>

<file path=xl/sharedStrings.xml><?xml version="1.0" encoding="utf-8"?>
<sst xmlns="http://schemas.openxmlformats.org/spreadsheetml/2006/main" count="6056" uniqueCount="595">
  <si>
    <t>Jumlah Skor</t>
  </si>
  <si>
    <t>4.3.</t>
  </si>
  <si>
    <t>4.2.</t>
  </si>
  <si>
    <t>4.1.</t>
  </si>
  <si>
    <t>PRESTASI KEPALA MADRASAH</t>
  </si>
  <si>
    <t>3.3.</t>
  </si>
  <si>
    <t>3.2.</t>
  </si>
  <si>
    <t>3.1.</t>
  </si>
  <si>
    <t>PRESTASI MADRASAH</t>
  </si>
  <si>
    <t>2.2.</t>
  </si>
  <si>
    <t xml:space="preserve">. </t>
  </si>
  <si>
    <t>2.1.</t>
  </si>
  <si>
    <t>PRESTASI PENDIDIK</t>
  </si>
  <si>
    <t>1.2.</t>
  </si>
  <si>
    <t>1.1.</t>
  </si>
  <si>
    <t>PRESTASI PESERTA DIDIK</t>
  </si>
  <si>
    <t>BUKTI &amp; CATATAN</t>
  </si>
  <si>
    <t>HASIL</t>
  </si>
  <si>
    <t>HASIL KERJA &amp; DISKRIPTOR</t>
  </si>
  <si>
    <t>NO</t>
  </si>
  <si>
    <t>=</t>
  </si>
  <si>
    <t>KOMPETENSI PENILAIAN</t>
  </si>
  <si>
    <t>SKOR</t>
  </si>
  <si>
    <t>Kewirausahaan</t>
  </si>
  <si>
    <t>:</t>
  </si>
  <si>
    <t>NIP/No. Seri Karpeg</t>
  </si>
  <si>
    <t>/</t>
  </si>
  <si>
    <t>Tempat/Tanggal Lahir</t>
  </si>
  <si>
    <t>Pangkat/Jabatan/Golongan</t>
  </si>
  <si>
    <t>-</t>
  </si>
  <si>
    <t>TMT Kepala Sekolah</t>
  </si>
  <si>
    <t>Masa Kerja</t>
  </si>
  <si>
    <t>NUPTK/NRG</t>
  </si>
  <si>
    <t>Jenis Kelamin</t>
  </si>
  <si>
    <t>Pendidikan Terakhir/Spesialisasi</t>
  </si>
  <si>
    <t>Program Keahlian yang diampu</t>
  </si>
  <si>
    <t>Nama Instansi/Sekolah</t>
  </si>
  <si>
    <t>Telp / Fax</t>
  </si>
  <si>
    <t>Desa/Kelurahan</t>
  </si>
  <si>
    <t>Kecamatan</t>
  </si>
  <si>
    <t>Kabupaten/Kota</t>
  </si>
  <si>
    <t>Provinsi</t>
  </si>
  <si>
    <t>KANTOR KEMENTERIAN AGAMA RI</t>
  </si>
  <si>
    <t>GOLONGAN</t>
  </si>
  <si>
    <t>Kurang</t>
  </si>
  <si>
    <t>Sedang</t>
  </si>
  <si>
    <t>Cukup</t>
  </si>
  <si>
    <t>Baik</t>
  </si>
  <si>
    <t>Amat Baik</t>
  </si>
  <si>
    <t>AKK</t>
  </si>
  <si>
    <t>PD</t>
  </si>
  <si>
    <t>PI/KI</t>
  </si>
  <si>
    <t>AKPKB</t>
  </si>
  <si>
    <t>AKP</t>
  </si>
  <si>
    <t>R</t>
  </si>
  <si>
    <t>BAGI 4</t>
  </si>
  <si>
    <t>Score</t>
  </si>
  <si>
    <t>Kriteria</t>
  </si>
  <si>
    <t>%</t>
  </si>
  <si>
    <t>No</t>
  </si>
  <si>
    <t>Non PNS</t>
  </si>
  <si>
    <t>Penata Muda, III/a</t>
  </si>
  <si>
    <t>Penata Muda Tingkat I, III/b</t>
  </si>
  <si>
    <t>Guru Muda  Penata, III/c</t>
  </si>
  <si>
    <t>Penata Tingkat I, III/d</t>
  </si>
  <si>
    <t>Guru Madya  Pembina, IV/a</t>
  </si>
  <si>
    <t>Guru Madya  Pembina, IV/b</t>
  </si>
  <si>
    <t>Guru Madya  Pembina, IV/c</t>
  </si>
  <si>
    <t>Guru Utama  Pembina, IV/d</t>
  </si>
  <si>
    <t>PENILAIAN KINERJA KEPALA MADRASAH 
(PKKM)</t>
  </si>
  <si>
    <t>TUGAS UTAMA &amp; INDIKATOR</t>
  </si>
  <si>
    <t>DATA KINERJA YANG DIHARAPKAN</t>
  </si>
  <si>
    <t>CATATAN</t>
  </si>
  <si>
    <t>Menyusun rencana pengembangan madrasah jangka panjang, menengah, dan pendek dalam rangka mencapai visi, misi, dan tujuan madrasah</t>
  </si>
  <si>
    <t>a.</t>
  </si>
  <si>
    <t>Mampu melibatkan semua unsur di madrasah dalam menyusun Rencana Pengembangan Madrasah (RPM)/ Rencana Kerja Madrasah (RKM), dalam rangka mencapai visi,misi dan tujuan madrasah (contoh: membentuk Tim TPM)</t>
  </si>
  <si>
    <t>Dokumen RPM, RKM, EDM, dan Tim Pengembang Madrasah</t>
  </si>
  <si>
    <t>b.</t>
  </si>
  <si>
    <t xml:space="preserve">Mampu mengidentifikasi peluang dan tantangan sebagai bahan untuk mendiagnosis jenis kebutuhan yang diperlukan dalam perbaikan mutu madrasah </t>
  </si>
  <si>
    <t>Dokumen analisa tantangan peluang dan rekomendasi kebutuhan madrasah</t>
  </si>
  <si>
    <t>c.</t>
  </si>
  <si>
    <t>Mampu memimpin penyusunan rencana pengembangan madrasah dan membekali semua unsur di madrasah dalam pembuatan rencana pengembangan madrasah (contoh: pelatihan TPM)</t>
  </si>
  <si>
    <t>Mengembangkan struktur organisasi madrasah yang efektif dan efisien sesuai dengan kebutuhan.</t>
  </si>
  <si>
    <t xml:space="preserve">Mampu menyusun struktur organisasi madrasah yang efektif dan efisien  sesuai dengan kebutuhan pengembangan </t>
  </si>
  <si>
    <t>Dokumen struktur organisasi madrasah</t>
  </si>
  <si>
    <t>Uraian tugas setiap komponen madrasah</t>
  </si>
  <si>
    <t>Mampu membuat pendelegasian tugas untuk memonitor pelaksanaan tugas setiap komponen dalam struktur organisasi</t>
  </si>
  <si>
    <t>Data kinerja : Surat Tugas dan Jadwal Monitoring</t>
  </si>
  <si>
    <t>d.</t>
  </si>
  <si>
    <t>Mampu mengevaluasi struktur organisasi sesuai dengan kebutuhan pengembangan</t>
  </si>
  <si>
    <t>Dokumen analisa kebutuhan madrasah dan laporan bukti kinerja organisasi yang sesuai dengan program</t>
  </si>
  <si>
    <t>1.3.</t>
  </si>
  <si>
    <t>Melaksanakan pengembangan madrasah sesuai dengan rencana jangka panjang, menengah, dan jangka pendek madrasah menuju tercapainya visi, misi, dan tujuan madrasah.</t>
  </si>
  <si>
    <t>Mampu menyusun Program Madrasah meliputi Rencana Kerja Jangka Menengah (RKJM) &amp; rencana kerja tahunan yang dinyatakan dalam Rencana Kegiatan Anggaran Madrasah (RKAM) dalam rangka mencapai visi, misi dan tujuan madrasah</t>
  </si>
  <si>
    <t>Dokumen anggaran madrasah yang sesuai dengan visi dan misi madrasah</t>
  </si>
  <si>
    <t>Mampu melaksanaan, mengevaluasi, dan rencana tindak lanjut Program Madrasah</t>
  </si>
  <si>
    <t>Dokumen pelaksanaan, evaluasi, dan rencana tindak lanjut program madrasah</t>
  </si>
  <si>
    <t>1.4.</t>
  </si>
  <si>
    <t>Mewujudkan peningkatan kinerja madrasah yang signifikan sesuai dengan visi, misi, tujuan madrasah dan standard nasional pendidikan.</t>
  </si>
  <si>
    <t>Dokumen kinerja madrasah bidang manajerial</t>
  </si>
  <si>
    <t>Dokumen kinerja madrasah bidang akademik</t>
  </si>
  <si>
    <t>Dokumen program inovasi bidang manajerial</t>
  </si>
  <si>
    <t>Dokumen program inovasi bidang akademik</t>
  </si>
  <si>
    <t>1.5.</t>
  </si>
  <si>
    <t>Melakukan monitoring, evaluasi, dan pelaporan pelaksanaan program kegiatan madrasah dengan prosedur yang tepat.</t>
  </si>
  <si>
    <t>Mampu melakukan monitoring dan evalusi pelaksanaan program kegiatan madrasah secara terprogram (contoh: ada program monitoring  yang memuat latar belakang, tujuan ,prosedur, jadwal, penanggung jawab).</t>
  </si>
  <si>
    <t>Dokumen  program monitoring dan evaluasi</t>
  </si>
  <si>
    <t xml:space="preserve">Mampu membuat pelaporan pelaksanaan program kegiatan madrasah </t>
  </si>
  <si>
    <t>Dokumen pelaporan kegiatan madrasah</t>
  </si>
  <si>
    <t>Mampu membuat  sistem monitoring, evaluasi dan pelaporan dengan prosedur yang tepat. (contoh: menggunakan Paket Administrasi madrasah</t>
  </si>
  <si>
    <t>Adanya sistem administrasi madrasah</t>
  </si>
  <si>
    <t>1.6.</t>
  </si>
  <si>
    <t>Merencanakan dan menindaklanjuti hasil monitoring, evaluasi, dan pelaporan.</t>
  </si>
  <si>
    <t>Mampu membuat  program tindak lanjut monitoring,evaluasi dan pelaporan (contoh: program tindak lanjut sesuai dengan hasil monitoring, evaluasi, pelaporan).</t>
  </si>
  <si>
    <t xml:space="preserve">Dokumen program tindak lanjut </t>
  </si>
  <si>
    <t>Dokumen pelaksanaan program tindak lanjut</t>
  </si>
  <si>
    <t>Dokumen evaluasi pelaksanaan program tindak lanjut</t>
  </si>
  <si>
    <t>Mampu membuat sistem  pelaksanaan   program tindak lanjut monitoring, evaluasi dan pelaporan (contoh: siklus penerapan paket administrasi madrasah</t>
  </si>
  <si>
    <t>Adanya sistem pelaksanaan program tindak lanjut</t>
  </si>
  <si>
    <t>1.7.</t>
  </si>
  <si>
    <t>Melaksanakan penelitian tindakan madrasah dalam rangka meningkatkan kinerja madrasah</t>
  </si>
  <si>
    <t>Mampu membuat program penelitian tindakan madrasah/kelas dalam rangka meningkatkan kinerja madrasah (contoh: program mendatangkan nara sumber dalam membimbing workshop pembuatan PTS maupun PTK untuk  kepala madasah dan guru, mempunyai program berkelanjutan PTS/PTK  melalui MGMP)</t>
  </si>
  <si>
    <t>Dokumen program PTK/PTM</t>
  </si>
  <si>
    <t>Mampu melaksanakan  penelitian tindakan madrasah/kelas dalam rangka meningkatkan kinerja madrasah</t>
  </si>
  <si>
    <t>Dokumen PTK/PTM</t>
  </si>
  <si>
    <t>Mampu membuat evaluasi program penelitian tindakan madrasah/kelas dalam rangka meningkatkan kinerja madrasah</t>
  </si>
  <si>
    <t>Dokumen evaluasi PTK/PTM</t>
  </si>
  <si>
    <t>Mampu membuat  program tindak lanjut penelitian tindakan madrasah/kelas dalam rangka meningkatkan kinerja madrasah</t>
  </si>
  <si>
    <t>Dokumen RTL PTK/PTM</t>
  </si>
  <si>
    <t>Pilihan</t>
  </si>
  <si>
    <t xml:space="preserve">Menyusun perencanaan madrasah untuk berbagai tingkatan perencanaan. </t>
  </si>
  <si>
    <t>Mampu mengembangkan RKJM, RKT/RKAM dengan program lainnya berdasarkan data hasil evaluasi dalam pemenuhan 8 SNP</t>
  </si>
  <si>
    <t xml:space="preserve">Dokumen RKJM, RKT/RKAM yang  meliputi 8 SNP, </t>
  </si>
  <si>
    <t>Mampu merumuskan visi-misi sebagai arah pengembangan program RKJM, RKT/RKAM dan program lainnya.</t>
  </si>
  <si>
    <t>Memiliki visi misi hasil rapat dan disosialisasikan</t>
  </si>
  <si>
    <t>Mampu menentukan strategi pencapaian tujuan madrasah, dilengkapi dengan indikator pencapaian yang terukur</t>
  </si>
  <si>
    <t>Dokumen program yang memuat strategi pencapaian tujuan madrasah</t>
  </si>
  <si>
    <t>Dokumen rencana evaluasi keterlaksanaan dan pencapaian program.</t>
  </si>
  <si>
    <t>Mengembangkan madrasah sesuai dengan kebutuhan</t>
  </si>
  <si>
    <t>Mampu mengembangkan struktur organisasi yang sesuai dengan kebutuhan program</t>
  </si>
  <si>
    <t>Dokumen struktur organisasi madrasah dan job deskripsi</t>
  </si>
  <si>
    <t>Mampu menempatkan personalia yang sesuai dengan kebutuhan</t>
  </si>
  <si>
    <t>Dokumen uraian tugas personalia sesuai kebutuhan</t>
  </si>
  <si>
    <t>Dokumen SOP</t>
  </si>
  <si>
    <t>2.3.</t>
  </si>
  <si>
    <t>Memimpin madrasah dalam rangka pendayagunaan sumber daya madrasah/ madrasah secara optimal</t>
  </si>
  <si>
    <t xml:space="preserve">Dokumen daftar hadir semua kegiatan madrasah </t>
  </si>
  <si>
    <t>Mampu melaksanakan peraturan sesuai dengan ketentuan yang berlaku</t>
  </si>
  <si>
    <t>Menjadi contoh dan mengarahkan guru, staf administrasi, dan peserta didik melaksanakan kegiatan sesuai dengan peraturan.</t>
  </si>
  <si>
    <t>Mampu menunjukkan keteladanan dalam memanfaatkan sumber daya secara efektif dan efisien.</t>
  </si>
  <si>
    <t>Memecahkan masalah madrasah secara bersama-sama, merencankan pemanfaatan sumber belajar dan sumber informasi, memantau penggunaan sumber daya, dan menilai pemanfaatan sumber daya</t>
  </si>
  <si>
    <t>Mampu  menunjukkan kedisiplinan sebagai insan pembelajar.</t>
  </si>
  <si>
    <t xml:space="preserve">Rajin membaca dan pendengar yang baik, mengekspresikan pikiran secara tertulis, mengkomunikasikan ilmu pengetahuan baru, dan menyediakan berbagai media untuk mengembangkan gagasan warga madrasah. </t>
  </si>
  <si>
    <t>2.4.</t>
  </si>
  <si>
    <t>Mengelola perubahan dan pengembangan madrasah menuju organisasi pembelajar yang efektif</t>
  </si>
  <si>
    <t>Mampu mengembangkan program baru untuk meningkatkan pencapaian target yang lebih tinggi.</t>
  </si>
  <si>
    <t>Program pengembangan madrasah mengandung target pencapaian pada indikator keunggulan khas satuan pendidikan, kerja sama tim, dan data realisasi target yang meningkat daripada pencapaian sebelumnya.</t>
  </si>
  <si>
    <t>Mampu dan terampil dalam membangun tim kerja yang efektif untuk mendapatkan produk kinerja yang lebih unggul.</t>
  </si>
  <si>
    <t>Dokumen keberhasilan yang dicapai madrasah.</t>
  </si>
  <si>
    <t>Mampu menerapkan berbagai teknik pembaharuan dalam pengelolaan pembelajaran.</t>
  </si>
  <si>
    <t>Terdapat produk media pembelajaran hasil kreatifitas</t>
  </si>
  <si>
    <t>Mampu mengembangkan potensi dan meningkatkan prestasi madrasah</t>
  </si>
  <si>
    <t>Dokumen bukti perkembangan. potensi dan prestasi peserta didik, yang meningkat dari waktu ke waktu.</t>
  </si>
  <si>
    <t>2.5.</t>
  </si>
  <si>
    <t>Menciptakan budaya dan iklim madrasah yang kondusif dan inovatif bagi pembelajaran peserta didik</t>
  </si>
  <si>
    <t>Mampu menjadi contoh dan berbudaya mutu yang kompetitif dalam mendorong peningkatan prestasi akademik dan non akademik peserta didik</t>
  </si>
  <si>
    <t>Dokumen prestasi siswa akademik dan non akademik</t>
  </si>
  <si>
    <t>Mampu melengkapi sarana dan prasarana untuk menciptakan suasana belajar kondusif dan inovatif bagi peserta didik</t>
  </si>
  <si>
    <t xml:space="preserve">Suasana lingkungan madrasah yang asri, bersih, rindang, aman, dan menyenangkan peserta didik </t>
  </si>
  <si>
    <t>Mampu memfasilitasi kegiatan-kegiatan untuk meningkatkan budaya baca dan budaya tulis peserta didik.</t>
  </si>
  <si>
    <t>Data kunjungan perpustakaan, peminjaman buku oleh peserta didik, pembaharuan buku dan bahan bacaan, ketersediaan sumber belajar berbasis TIK, dan sarana publikasi karya tulis, dan mengembangkan kompetisi karya tulis peserta didik tingkat madrasah.</t>
  </si>
  <si>
    <t>Mampu memfasilitasi kegiatan-kegiatan lomba di bidang akademik dan non akademik bagi peserta didik</t>
  </si>
  <si>
    <t>Dokumen penyelenggaran kegiatan kompetisi yang dimulai dari tingkat madrasah, perolehan piagam penghargaan, piala, trofi perlombaan bidang akademik dan non akademik.</t>
  </si>
  <si>
    <t>2.6.</t>
  </si>
  <si>
    <t xml:space="preserve">Mengelola guru dan staf dalam rangka pendayagunaan sumber daya manusia secara optimal. </t>
  </si>
  <si>
    <t>Mampu menyusun perencanaan pengembangan pendidik dan tenaga kependidikan</t>
  </si>
  <si>
    <t>Dokumen program pembinaan pendidik dan tenaga kependidikan di madrasah</t>
  </si>
  <si>
    <t>Mampu melakukan pembinaan berkala untuk meningkatkan mutu SDM madrasah</t>
  </si>
  <si>
    <t>Dokumen pelaksanaan kegiatan pembinaan guru.</t>
  </si>
  <si>
    <t>Memfasilitasi guru dan staf administrasi untuk meningkatkan kegiatan pembinaan kompetensi</t>
  </si>
  <si>
    <t>Dokumen hasil supervisi dan Tindak lanjut</t>
  </si>
  <si>
    <t>2.7.</t>
  </si>
  <si>
    <t>Mengelola sarana dan prasarana madrasah dalam rangka pendayagunaan secara optimal</t>
  </si>
  <si>
    <t>Mampu mengelola fasilitas prasarana, perabot dan sarana madrasah (gedung, bangunan, dan lahan meja, kursi, lemari, peralatan kantor, dan alat kebersihan)</t>
  </si>
  <si>
    <t>Data fasilitas prasarana, perabot, dan sarana marasah dikelola dengan baik</t>
  </si>
  <si>
    <t>Data perpustakaan dikelola dengan baik</t>
  </si>
  <si>
    <t>Data pengelolaan Laboratorium (Administrasi Pengelolaan Lab.</t>
  </si>
  <si>
    <t>Mampu mengelola fasilitas penunjang madrasah lainnya (bengkel, toko, koperasi, kebun dsb)</t>
  </si>
  <si>
    <t>Data fasilitas penunjangterkola dengan baik</t>
  </si>
  <si>
    <t>2.8.</t>
  </si>
  <si>
    <t>Mengelola hubungan antara madrasah dan masyarakat dalam rangka pencarian dukungan ide, sumber belajar, dan pembiayaan.</t>
  </si>
  <si>
    <t>Data kerjasama dengan lembaga pemerintah, swasta, dan masyarakat</t>
  </si>
  <si>
    <t>Dokumen pragram kerjasama dengan pemerintah, swasta, dan masyarakat</t>
  </si>
  <si>
    <t>Memanfaatkan dan memelihara hubungan kerjasama dengan lembaga pemerintah, swasta dan masyarakat</t>
  </si>
  <si>
    <t>Data hasil kerjasama dengan lembega pemerintah, swasta, dan masyarakat</t>
  </si>
  <si>
    <t>2.9.</t>
  </si>
  <si>
    <t>Mengelola peserta didik dalam rangka penerimaan peserta didik baru, dan penempatan dan pengembangan kapasitas peserta didik</t>
  </si>
  <si>
    <t>Menyusun perencanaan penerimaan, pengelolaan dan pengembangan kompetensi peserta didik.</t>
  </si>
  <si>
    <t xml:space="preserve">Dokumen program penerimaan peserta didik baru, kriteria penerimaan peserta didik, data hasil analisis bekal ajar peserta didik awal, </t>
  </si>
  <si>
    <t>Memiliki program pengembangan potensi diri dan prestasi peserta didik.</t>
  </si>
  <si>
    <t>Dokumen program pengembangan potensi diri dan prestasi peserta didik.</t>
  </si>
  <si>
    <t>Memfasilitasi kegiatan-kegiatan untuk meningkatkan pembiasaan melalui penanaman nilai-nilai.</t>
  </si>
  <si>
    <t>Memfasilitasi kegiatan pengembangan diri bagi peserta didik, pendidik, dan tenaga kependidikan lainnya secara optimal</t>
  </si>
  <si>
    <t xml:space="preserve">Data keterlaksanaan program pengembangan diri peserta didik, pendidik, dan tenaga kependidikan </t>
  </si>
  <si>
    <t>2.10.</t>
  </si>
  <si>
    <t>Mengelola pengembangan kurikulum dan kegiatan pembelajaran sesuai dengan arah dan tujuan pendidikan nasional</t>
  </si>
  <si>
    <t>Mampu mengarahkan secara efektif dalam menerapkan prinsip-prinsip pengengembangan KTSP dalam kegiatan IHT, Workshop, Rapat Koordinasi, dan kegiatan MGMP/KKG.</t>
  </si>
  <si>
    <t>Mampu mengendalikan pelaksanaan KTSP berlandaskan kalender pendidikan, menerbitkan surat keputusan pembagian tugas mengajar, dan menerapkan aturan akademik.</t>
  </si>
  <si>
    <t>Pelaksanaan KTSP sesuai dengan kalender pendidikan tingkat madrasah, surat keputusan pembagian tugas mengajar, dan aturan akademik,.</t>
  </si>
  <si>
    <t>Memfasilitasi efektivitas tim kerja guru dalam rangka meningkatkan mutu pembelajaran.</t>
  </si>
  <si>
    <t xml:space="preserve">Bukti pelaksanaan kerja sama guru pada tingkat satuan pendidikan, antar satuan pendidikan dalam meningkatkan mutu perencanaan, proses, pembelajaran </t>
  </si>
  <si>
    <t>Mampu mengembangkan pelayanan belajar yang inovatif melalui pengembangan perangkat dan sumber belajar yang terbarukan.</t>
  </si>
  <si>
    <t>Bukti penggunaan metode hasil pelatihan paling akhir, memanfaatkan teknologi informasi dan komunikasi, penggunaan alat peraga, teknik evaluasi baru yang menghasilkan produk belajar peserta didik yang dipublikasikan di lingkungan madrasah atau media lain</t>
  </si>
  <si>
    <t>e.</t>
  </si>
  <si>
    <t>Memfasilitasi peserta didik dalam mengembangkan kolaborasi dan kompetisi bidang akademik dan non akademik</t>
  </si>
  <si>
    <t xml:space="preserve">Data kegiatan kolaborasi dan kompetisi peserta didik tingkat madrasah, baik akademik dan non akademik. </t>
  </si>
  <si>
    <t>2.11.</t>
  </si>
  <si>
    <t>Mengelola keuangan madrasah sesuai dengan prinsip pengelolaan yang akuntabel, transparan, dan efisien</t>
  </si>
  <si>
    <t>2.12</t>
  </si>
  <si>
    <t>Mengelola ketatausahaan madrasah dalam mendukung pencapaian tujuan madrasah</t>
  </si>
  <si>
    <t>2.13.</t>
  </si>
  <si>
    <t>Mengelola unit layanan khusus madrasah dalam mendukung kegiatan pembelajaran dan kegiatan peserta didik di madrasah.</t>
  </si>
  <si>
    <t>2.14</t>
  </si>
  <si>
    <t>Mengelola sistem informasi madrasah dalam mendukung penyusunan program dan pengambilan keputusan.</t>
  </si>
  <si>
    <t>Memanfaatkan teknologi informasi dan komunikasi dalam manajemen madrasah.</t>
  </si>
  <si>
    <t>Adanya bukti pemanfaatan teknologi indformasi dan komunikasi dalam manajemen madrasah</t>
  </si>
  <si>
    <t>Memanfaatkan teknologi informasi dan komunikasi dalam pembelajaran, baik sebagai sumber belajar maupun sebagai alat/media pembelajaran.</t>
  </si>
  <si>
    <t>Adanya bukti pemanfaatan teknologi indformasi dan komunikasi sebagai sumber belajar dan media pembelajaran</t>
  </si>
  <si>
    <t>Memanfaatkan teknologi teknologi informasi dan komunikasi dalam menjalin kerjasama dengan pihak lain</t>
  </si>
  <si>
    <t>Adanya bukti pemanfaatan teknologi indformasi dan komunikasi dalam menjalin kerjasama dengan pihak lain</t>
  </si>
  <si>
    <t>Memanfaatkan teknologi teknologi informasi dan komunikasi dalam promosi program madrasah dan prestasi yang telah dicapai</t>
  </si>
  <si>
    <t>Adanya bukti pemanfaatan teknologi indformasi dan komunikasi dalam promosi program madrasah dan prestasi yang dicapai</t>
  </si>
  <si>
    <t>2.15.</t>
  </si>
  <si>
    <t>Memanfaatkan kemajuan teknologi informasi bagi peningkatan pembelajaran dan manajemen madrasah</t>
  </si>
  <si>
    <t>Mampu mengembangkan sistem administrasi pengelolaan secara efektif dengan dukungan penerapan teknologi informasi dan komunikasi.</t>
  </si>
  <si>
    <t>Terdapat penerapan TIK (berbasis komputer, CD, jejaring intranet, internet) dalam pengelolaan administrasi administrasi persuratan, sarana prasarana, kepegawaian, kepeserta didikan, dan keuangan.</t>
  </si>
  <si>
    <t>Mengelola adminsistasi pembelajaran secara efektif dengan dukungan penerapan teknologi informasi dan komunikasi.</t>
  </si>
  <si>
    <t>Model penerapan TIK dalam pengelolaan adminsitrasi kurikulum dan pembelajaran, misalnya, pengelolaan kurikulum berbasis komputer, intranet, dan internet.</t>
  </si>
  <si>
    <t xml:space="preserve">Mampu  mengembangkan sistem pengelolaan perpustakaan secara efektif dengan dukungan penerapan teknologi informasi dan komunikasi.  </t>
  </si>
  <si>
    <t>Model pemanfaatan TIK dalam sistem pengelolaan perpustakaan berbasis komputer, intranet, atau internet.</t>
  </si>
  <si>
    <t>2.16.</t>
  </si>
  <si>
    <t>Melakukan monitoring, evaluasi, dan pelaporan pelaksanaan program kegiatan madrasah dengan prosedur yang tepat, serta merencanakan tindak lanjutnya.</t>
  </si>
  <si>
    <t>Dokumen SKP yang terukur</t>
  </si>
  <si>
    <t>Melakukan monitoring dan evaluasi kinerja program pendidikan dengan menggunakan teknik yang sesuai</t>
  </si>
  <si>
    <t>Dokumen pelaksanaan monitoring dan evaluasi  yang sesuai</t>
  </si>
  <si>
    <t>Menyusun laporan sesuai dengan standar pelaporan monitoring dan evaluasi</t>
  </si>
  <si>
    <t xml:space="preserve">Dokumen laporan pelaksanaan monitoring dan evaluasi  </t>
  </si>
  <si>
    <t>Merumuskan program tindak lanjut berdasarkan hasil evaluasi pelaksanaan program sebelumnya</t>
  </si>
  <si>
    <t>Menciptakan inovasi yang bermanfaat dan tepat bagi pengembangan madrasah</t>
  </si>
  <si>
    <t>Memahami dan menghayati arti dan tujuan perubahan (inovasi) madrasah</t>
  </si>
  <si>
    <t xml:space="preserve">Adanya bukti perubahan madrasah yang lebih baik dari tahun ke tahun </t>
  </si>
  <si>
    <t xml:space="preserve">Menggunakan metode, teknik dan proses perubahan madrasah </t>
  </si>
  <si>
    <t>Menumbuhkan iklim yang mendorong kebebasan berfikir untuk menciptakan kreativitas dan inovasi</t>
  </si>
  <si>
    <t>ada bukti review dan dijelaskan  dalam bukti fisik pelaksanaannya berupa produk baik siswa, guru, maupun kepalaMadrasah</t>
  </si>
  <si>
    <t>Mendorong warga madrasah untuk melakukan prakarsa/keberanian moral untuk melakukan hal-hal baru</t>
  </si>
  <si>
    <t>ada bukti peran warga Madrasah dan  masyarakat dalam mengem bangkan Madrasah spt foto, MOU, Produk, laporan kegiatan</t>
  </si>
  <si>
    <t>Bekerja keras untuk mencapai keberhasilan madrasah sebagai organisasi pembelajaran yang efektif</t>
  </si>
  <si>
    <t>Mampu bertindak kratif dan inovatif dalam melaksanakan pekerjaan melalui cara berfikir dan cara bertindak</t>
  </si>
  <si>
    <t>Ada foto dan produk</t>
  </si>
  <si>
    <t>Mampu memberdayakan potensi madrasah secara optimal kedalam berbagai kegiatan-kegiatan produktif yang menguntungkan madrasah</t>
  </si>
  <si>
    <t>melibatkan masyarakat sbg sumber belajar dibuktikan dg foto dan MOU, Undangan, Notulen</t>
  </si>
  <si>
    <t>Mampu membubuhkan jiwa kewirausahaan (kreatif, inovatif dan produktif) di kalangan warga madrasah</t>
  </si>
  <si>
    <t>Memiliki Koperasi Madrasah dan memberikan akses  bg warga Madrasah dan Masyarakat</t>
  </si>
  <si>
    <t>Mampu mencatat ide-ide baru, kemudian mengembangkannya</t>
  </si>
  <si>
    <t>Tercantum dalam Dok. I, EDM, RKM, RKTM</t>
  </si>
  <si>
    <t>Memiliki motivasi yang kuat untuk sukses dalam melaksanakan tugas pokok dan fungsinya sebagai pemimpin madrasah</t>
  </si>
  <si>
    <t>Bersedia belajar dari orang lain</t>
  </si>
  <si>
    <t>Ada bukti satuan hasil baik sertifikat, STTPL, Surat Keterangan, Piagam, Ijazah dll</t>
  </si>
  <si>
    <t>Ingin selalu melakukan yang terbaik</t>
  </si>
  <si>
    <t>Ada bukti berupa Penghargaan, prestasi, dll</t>
  </si>
  <si>
    <t>Ada Produk yang terbaru</t>
  </si>
  <si>
    <t>3.4.</t>
  </si>
  <si>
    <t>Pantang menyerah dan selalu mencari solusi terbaik dalam menghadapi kendala yang dihadapi madrasah</t>
  </si>
  <si>
    <t>Mampu melibatkan tokoh agama, masyarakat dan pemerintah dalam memecahkan masalah kelembagaan</t>
  </si>
  <si>
    <t>Ada Undangan, daftar hadir, MOU , foto, program, laporan, dan notulen</t>
  </si>
  <si>
    <t>buku supervisi klinis</t>
  </si>
  <si>
    <t>Pemberian reward pd warga madrasah</t>
  </si>
  <si>
    <t>3.5.</t>
  </si>
  <si>
    <t>Memiliki naluri kewirausahaan dalam mengelola kegiatan produksi/jasa madrasah sebagai sumber pembelajaran peserta didik</t>
  </si>
  <si>
    <t>Mampu merencanakan kegiatan produksi /jasa sesuai dengan potensi madrasah</t>
  </si>
  <si>
    <t>Ada Program, di RKM atau Dokumen yg lain</t>
  </si>
  <si>
    <t>Mampu membina kegiatan produksi /jasa sesuai dengan prinsip-prinsip pengelolaan yang  profesional dan akuntabel</t>
  </si>
  <si>
    <t xml:space="preserve">Ada undangan,daftar hadir Kegiatan, foto, dan lnotulen dan Dokumen yang lain </t>
  </si>
  <si>
    <t>Mampu melaksanakan pengawasan kegiatan produksi/jasa dan menyusun laporan</t>
  </si>
  <si>
    <t>Ada Dokumen pelaksanaan program, instrumen pengawasan, Buku monev, dan RTL</t>
  </si>
  <si>
    <t>Mampu mengembangkan kegiatan produksi/jasa dan pemasarannya</t>
  </si>
  <si>
    <t xml:space="preserve">Ada  dokumen berdasarkan RTL </t>
  </si>
  <si>
    <t>Menyusun program supervisi akademik dalam rangka peningkatan profesionalisme guru</t>
  </si>
  <si>
    <t>Mengidentifikasi masalah yang dihadapi guru dalam pelaksanaan pembelajaran.</t>
  </si>
  <si>
    <t>Terdapat rumusan tujuan supervisi yang dilengkapi dengan target pencapaian yang terukur.</t>
  </si>
  <si>
    <t>Mampu menyusun perencanaan dan mengembangkan instrumen supervisi secara akuntabel dan terukur.</t>
  </si>
  <si>
    <t>Instrumen yang digunakan relevan dengan target indikator pencapaian tujuan madrasah.</t>
  </si>
  <si>
    <t>Melaksanakan supervisi akademik terhadap guru dengan menggunakan pendekatan dan teknik supervisi yang tepat.</t>
  </si>
  <si>
    <t>Mengadakan pertemuan awal untuk menjaring data rencana pembelajaran dan menetapkan fokus kegiatan supervisi.</t>
  </si>
  <si>
    <t xml:space="preserve">Terdapat data hasil pertemuan awal seperti; masalah, tujuan, fokus utama supervisi, dan instrumen yang disepakati </t>
  </si>
  <si>
    <t>Melaksanakan kegiatan pemantauan pembelajaran dan membuat catatan yang objektif dan selektif sebagai bahan pemecahan masalah supervisi</t>
  </si>
  <si>
    <t>Dokumen  hasil observasi pembelajaran, lengkap, objektif dan selektif serta relevan dengan masalah yang menjadi fokus supervisi.</t>
  </si>
  <si>
    <t>Melakukan pertemuan refleksi, menganalisis catatan hasil observasi, dan menyimpulkan hasil observasi</t>
  </si>
  <si>
    <t>Data tindak lanjut pelaksanaan supervisi penilaian, bukti analisis butir soal, kegiatan remedial dan pengayaan.</t>
  </si>
  <si>
    <t>Menilai dan menindaklanjuti kegiatan supervisi akademik dalam rangka peningkatan profesionalisme guru.</t>
  </si>
  <si>
    <t>Memfasilitasi guru dalam merencanakan tindak lanjut perbaikan sistem penilaian hasil belajar.</t>
  </si>
  <si>
    <t xml:space="preserve">Terdapat bukti tindak lanjut perbaikan sistem penilaian hasil belajar </t>
  </si>
  <si>
    <t>Mengecek ulang keterlaksanaan rekomendasi oleh guru</t>
  </si>
  <si>
    <t>dokumen rekomendasi perbaikan sistem penilaian hasil belajar secara berkala.</t>
  </si>
  <si>
    <t>Melaksanakan pembinaan dan pengembangan guru sebagai tindaklanjut kegiatan supervisi.</t>
  </si>
  <si>
    <t>Terdapat bukti, berupa laporan tindak lanjut hasil supervisi sebagai dasar pelaksanaan pembinaan guru.</t>
  </si>
  <si>
    <t>Menggunakan data hasil supervisi untuk pemetaan ketercapaian program sebagai dasar perbaikan siklus berikutnya..</t>
  </si>
  <si>
    <t>Hasil supervisi keterlaksanaan dan ketercapaian program sebagai bahan penilaian kinerja dan pemetaan profil madrasah sebagai dasar perencanaan siklus berikutnya.</t>
  </si>
  <si>
    <t>Terdapat  rumusan masalah yang Kepala Madrasah peroleh dari pemantauan perencanaan, pelaksanaan, dan penilaian pembelajaran.</t>
  </si>
  <si>
    <t xml:space="preserve">TAHUN </t>
  </si>
  <si>
    <r>
      <t xml:space="preserve">Mampu meningkatkan kinerja madrasah secara signifikan sesuai dengan visi, misi, tujuan madrasah yang berkaitan dengan bidang </t>
    </r>
    <r>
      <rPr>
        <b/>
        <sz val="10"/>
        <rFont val="Arial"/>
        <family val="2"/>
      </rPr>
      <t>manajerial</t>
    </r>
    <r>
      <rPr>
        <sz val="10"/>
        <rFont val="Arial"/>
        <family val="2"/>
      </rPr>
      <t xml:space="preserve"> (contoh: peningkatan kinerja madrasah secara efektif dan efisien dibidang sarana prasarana, pengelolaan, pendidik dan tenaga kependidikan serta pembiayaan)</t>
    </r>
  </si>
  <si>
    <r>
      <t xml:space="preserve">Mampu meningkatkan kinerja madrasah secara signifikan sesuai dengan visi, misi, tujuan madrasah yang berkaitan dengan bidang </t>
    </r>
    <r>
      <rPr>
        <b/>
        <sz val="10"/>
        <rFont val="Arial"/>
        <family val="2"/>
      </rPr>
      <t>akademik</t>
    </r>
    <r>
      <rPr>
        <sz val="10"/>
        <rFont val="Arial"/>
        <family val="2"/>
      </rPr>
      <t xml:space="preserve"> (contoh:  peningkatan kinerja madrasah  secara efektif dan efisien dibidang standar isi, SKL, standar proses, standar penilaian).</t>
    </r>
  </si>
  <si>
    <r>
      <t xml:space="preserve">Mampu membuat inovasi dalam rangka meningkatkan kinerja madrasah secara signifikan sesuai dengan visi, misi, tujuan madrasah yang berkaitan dengan bidang </t>
    </r>
    <r>
      <rPr>
        <b/>
        <sz val="10"/>
        <rFont val="Arial"/>
        <family val="2"/>
      </rPr>
      <t>manajerial</t>
    </r>
    <r>
      <rPr>
        <sz val="10"/>
        <rFont val="Arial"/>
        <family val="2"/>
      </rPr>
      <t>.</t>
    </r>
  </si>
  <si>
    <r>
      <t xml:space="preserve">Mampu membuat inovasi dalam rangka meningkatkan kinerja madrasah secara signifikan sesuai dengan visi, misi, tujuan madrasah yang berkaitan dengan bidang </t>
    </r>
    <r>
      <rPr>
        <b/>
        <sz val="10"/>
        <rFont val="Arial"/>
        <family val="2"/>
      </rPr>
      <t>akademik</t>
    </r>
    <r>
      <rPr>
        <sz val="10"/>
        <rFont val="Arial"/>
        <family val="2"/>
      </rPr>
      <t>.</t>
    </r>
  </si>
  <si>
    <t>Mampu meberi contoh berdisiplin (hadir tepat waktu, efektif dan efisien menggunakan waktu, dan pulang tepat waktu)</t>
  </si>
  <si>
    <t>Merencanakan kerjasama dengan lembaga pemerintah, swasta dan masyarakat</t>
  </si>
  <si>
    <t>Melakukan pendekatan-pendekatan dalam rangka mendapatkan dukungan dari lembaga pemerintah, swasta dan masyarakat</t>
  </si>
  <si>
    <t xml:space="preserve">Mampu merumuskan tujuan yang dilengkapi dengan target pencapaian yang terukur.             
</t>
  </si>
  <si>
    <t>Bersama guru menyusun laporan supervisi dan rekomendasi tindaklanjut perbaikan dalam bentuk kegiatan analisis butir soal, remedial, dan pengayaan.</t>
  </si>
  <si>
    <t>Dokumen TPM dalam menyusun RPM dan RKM</t>
  </si>
  <si>
    <t>Program dan anggaran peningkatan mutu Kepala Madrasah dalam memfasilitasi staf administrasi untuk meningkatkan mutu profesi.</t>
  </si>
  <si>
    <t>Data program kegiatan akademik dan nonakademik melalui penanaman Nilai Penguatan Pendidikan Karakter (PPK)</t>
  </si>
  <si>
    <t xml:space="preserve">Dokumen hasil pengembangan kurikulum yang disusun melalui rapat kerja, IHT, Workshop, Rakor, atau kegiatan MGMP/KKG </t>
  </si>
  <si>
    <t xml:space="preserve">Dokumen program tindak lanjut berdasarkan hasil  monitoring dan evaluasi </t>
  </si>
  <si>
    <t xml:space="preserve">Adanya bukti strategi dalam perubahan madrasah yang lebih baik </t>
  </si>
  <si>
    <t>Dokumen catatan pelaksanaan kegiatan, melaksanakan refleksi, himpunan data hasil supervisi, analisis data, penafsiran, penilaian  keunggulan dan kelemahan, serta rekomendasi perbaikan.</t>
  </si>
  <si>
    <t>A. Identitas Kepala Madrasah</t>
  </si>
  <si>
    <t>B. Institusi Madrasah</t>
  </si>
  <si>
    <t>C. Identitas Penilai</t>
  </si>
  <si>
    <t>Nama Penilai</t>
  </si>
  <si>
    <t>NIP</t>
  </si>
  <si>
    <t>Tgl. SK</t>
  </si>
  <si>
    <t>Berlaku sampai dengan tgl.</t>
  </si>
  <si>
    <t>Alamat</t>
  </si>
  <si>
    <t>Nama Kepala Madrasah</t>
  </si>
  <si>
    <t>Yang bertanda tangan di bawah ini:</t>
  </si>
  <si>
    <t>Jabatan</t>
  </si>
  <si>
    <t>Unit Kerja</t>
  </si>
  <si>
    <t>Menyatakan Bahwa:</t>
  </si>
  <si>
    <t>Pangkat / Golongan</t>
  </si>
  <si>
    <t>Nama</t>
  </si>
  <si>
    <t>Pangkat/Golongan</t>
  </si>
  <si>
    <t>TOTAL SKOR</t>
  </si>
  <si>
    <t>USAHA PENGEMBANGAN MADRASAH</t>
  </si>
  <si>
    <t>MANAJERIAL</t>
  </si>
  <si>
    <t>KEWIRAUSAHAAN</t>
  </si>
  <si>
    <t>SUPERVISI</t>
  </si>
  <si>
    <t>Kepala Madrasah</t>
  </si>
  <si>
    <t>REKAPITULASI HASIL PENILAIAN KINERJA TAHUNAN  
KEPALA MADRASAH</t>
  </si>
  <si>
    <t>Kepala Madrasah
Yang Dinilai</t>
  </si>
  <si>
    <t>Penilai</t>
  </si>
  <si>
    <t>Prestasi akademik peserta didik</t>
  </si>
  <si>
    <t>1.1</t>
  </si>
  <si>
    <t xml:space="preserve">Prestasi non akademik peserta didik </t>
  </si>
  <si>
    <t xml:space="preserve">(1) Minimal memiliki satu jenis kejuaraan tingkat kecamatan
(2) Memiliki satu atau dua jenis kejuaraan tingkat kabupaten
(3) Minimal memiliki dua jenis kejuaraan tingkat provinsi
(4) Minimal memiliki tiga jenis kejuaraan tingkat provinsi atau satu tingkat nasional
</t>
  </si>
  <si>
    <t>1.2</t>
  </si>
  <si>
    <t>2.1</t>
  </si>
  <si>
    <t>Prestasi akademik pendidik</t>
  </si>
  <si>
    <t>Prestasi non akademik pendidik</t>
  </si>
  <si>
    <t>(1) Minimal memiliki satu jenis kejuaraan tingkat kecamatan
(2) Memiliki satu atau dua jenis kejuaraan tingkat kabupaten
(3) Minimal memiliki dua jenis kejuaraan tingkat provinsi
(4) Minimal memiliki tiga jenis kejuaraan tingkat provinsi atau satu tingkat nasional</t>
  </si>
  <si>
    <t>2.2</t>
  </si>
  <si>
    <t>Kelebihan prestasi akademik peserta didik dari madrasah lain</t>
  </si>
  <si>
    <t>(1) Peringkat 5 (lima) tingkat kecamatan
(2) Peringkat 5 (lima) tingkat kabupaten
(3) Peringkat 5 (lima) tingkat provinsi
(4) Peringkat 5 (lima) tingkat Nasional</t>
  </si>
  <si>
    <t>3.1</t>
  </si>
  <si>
    <t>3.2</t>
  </si>
  <si>
    <t xml:space="preserve">(1) Peringkat 5 (lima) tingkat kecamatan
(2) Peringkat 5 (lima) tingkat kabupaten
(3) Peringkat 5 (lima) tingkat provinsi
(4) Peringkat 5 (lima) tingkat Nasional
</t>
  </si>
  <si>
    <t xml:space="preserve">Penghargaan non akademik peserta didik yang diterima di madrasah </t>
  </si>
  <si>
    <t>Prestasi akademik dan non akademik pendidik dan tenaga kependidikan</t>
  </si>
  <si>
    <t xml:space="preserve">Ijasah yang dimiliki oleh kepala madrasah </t>
  </si>
  <si>
    <t>(1) sampai dengan S1 non kependidikan
(2) Sampai dengan S1 kependidikan
(3) Sampai dengan S2 non kependidikan
(4) Sampai dengan S2 kependidikan</t>
  </si>
  <si>
    <t xml:space="preserve">Pendidikan dan pelatihan yang pernah diikuti oleh kepala madrasah </t>
  </si>
  <si>
    <t>4.1</t>
  </si>
  <si>
    <t>4.2</t>
  </si>
  <si>
    <t xml:space="preserve">(1) Minimal 3 buah STTPL tingkat provinsi
(2) Lebih dari 3 buah STPPL tingkat provinsi
(3) Minimal 3 buah STTPL tingkat provinsi
(4) Lebih dari 3 buah STPPL tingkat provinsi
</t>
  </si>
  <si>
    <t xml:space="preserve">(1) Mengusai minimal satu dari program microsoft
(2) Mengusai minimal dua dari program microsoft
(3) Mengusai semua program microsoft
(4) Mengusai semua program Microsoft dan internet
</t>
  </si>
  <si>
    <t>Penguasaan ICT kepala madrasah</t>
  </si>
  <si>
    <t>4.3</t>
  </si>
  <si>
    <t>4.4</t>
  </si>
  <si>
    <t>4.5</t>
  </si>
  <si>
    <t xml:space="preserve">(1) Meraih kejuaraan 10 besar tingkat kabupaten
(2) Meraih kejuaraan 5 besar tingkat kabupaten
(3) Meraih kejuaraan 10 besar tingkat provinsi
(4) Meraih kejuaraan 10 besar tingkat nasional
</t>
  </si>
  <si>
    <t xml:space="preserve">Prestasi yang diraih oleh kepala madrasah </t>
  </si>
  <si>
    <t xml:space="preserve">(1) Minimal telah melakukan 1 kali penelitian
(2) Minimal telah melakukan 2 kali penelitian
(3) Minimal telah melakukan 3 kali penelitian
(4) Minimal telah melakukan 4 kali penelitian
</t>
  </si>
  <si>
    <t>Kegiatan penelitian kependidikan yang telah dilakukan oleh kepala madrasah</t>
  </si>
  <si>
    <t xml:space="preserve">Menyusun standar kinerja program pendidikan yang dapat diukur dan dinilai
</t>
  </si>
  <si>
    <t xml:space="preserve">Mampu bersikap obyektif/tidak memihak dalam mengatasi konflik internal madrasah 
</t>
  </si>
  <si>
    <t xml:space="preserve">Mampu bersikap simpatik/tenggang rasa terhadap orang lain
</t>
  </si>
  <si>
    <t xml:space="preserve">Menciptakan perubahan yang kuat
</t>
  </si>
  <si>
    <t xml:space="preserve">Mampu mengelola perpustakaan madrasah
</t>
  </si>
  <si>
    <t xml:space="preserve">Mampu mengelola laboratorium madrasah
</t>
  </si>
  <si>
    <t xml:space="preserve">Memantau dan menilai penerapan hasil pelatihan dalam pekerjaan di madrasah
</t>
  </si>
  <si>
    <t xml:space="preserve">Mampu mengembangkan pedoman dan prosedur kerja organisasi madrasah
</t>
  </si>
  <si>
    <t xml:space="preserve">Mampu menyusun rencana evaluasi keterlaksanaan dan pencapaian program
</t>
  </si>
  <si>
    <t>Skor</t>
  </si>
  <si>
    <t xml:space="preserve">Mampu menyusun deskripsi  tugas setiap komponen dalam struktur organisasi 
</t>
  </si>
  <si>
    <t xml:space="preserve">Mampu melaksanakan  program tindak lanjut monitoring, evaluasi dan pelaporan.
</t>
  </si>
  <si>
    <t xml:space="preserve">Mampu mengevaluasi pelaksanaan program tindak lanjut monitoring, evaluasi dan pelaporan
</t>
  </si>
  <si>
    <t>Nama Pengawas Penilai</t>
  </si>
  <si>
    <t>NKET Prestasi Pendidik (Nilai Kinerja 4 Tahunan )</t>
  </si>
  <si>
    <t>NKET Prestasi Peserta Didik (Nilai Kinerja 4 Tahunan)</t>
  </si>
  <si>
    <t>NKET Prestasi Madrasah (Nilai Kinerja 4 Tahunan)</t>
  </si>
  <si>
    <t>NKET Prestasi Kepala Madrasah (Nilai Kinerja 4 Tahunan)</t>
  </si>
  <si>
    <t>REKAPITULASI HASIL PENILAIAN KINERJA 4 TAHUNAN  
KEPALA MADRASAH</t>
  </si>
  <si>
    <t>Kabid</t>
  </si>
  <si>
    <t>Kasi</t>
  </si>
  <si>
    <t>Pengawas</t>
  </si>
  <si>
    <t>Guru</t>
  </si>
  <si>
    <t>Tendik</t>
  </si>
  <si>
    <t>Komite</t>
  </si>
  <si>
    <t>A1</t>
  </si>
  <si>
    <t>A2</t>
  </si>
  <si>
    <t>A3</t>
  </si>
  <si>
    <t>A4</t>
  </si>
  <si>
    <t>A1. USAHA PENGEMBANGAN MADRASAH</t>
  </si>
  <si>
    <t>A2. MANAJERIAL</t>
  </si>
  <si>
    <t>A3. KEWIRAUSAHAAN</t>
  </si>
  <si>
    <t>A4. SUPERVISI</t>
  </si>
  <si>
    <t>B1. PRESTASI PESERTA DIDIK</t>
  </si>
  <si>
    <t>B2. PRESTASI PENDIDIK</t>
  </si>
  <si>
    <t>B3. PRESTASI MADRASAH</t>
  </si>
  <si>
    <t>B4. PRESTASI KEPALA MADRASAH</t>
  </si>
  <si>
    <t>A1.</t>
  </si>
  <si>
    <t>A2.</t>
  </si>
  <si>
    <t>A3.</t>
  </si>
  <si>
    <t>A4.</t>
  </si>
  <si>
    <t>B1</t>
  </si>
  <si>
    <t>B2</t>
  </si>
  <si>
    <t>B3</t>
  </si>
  <si>
    <t>B4</t>
  </si>
  <si>
    <t>SKB</t>
  </si>
  <si>
    <t>SKS</t>
  </si>
  <si>
    <t>SPM</t>
  </si>
  <si>
    <t>SG</t>
  </si>
  <si>
    <t>STK</t>
  </si>
  <si>
    <t>SKM</t>
  </si>
  <si>
    <t>NKET</t>
  </si>
  <si>
    <t>NILAI INDIKATOR NKET</t>
  </si>
  <si>
    <t>Total Jumlah Skor</t>
  </si>
  <si>
    <t>E193</t>
  </si>
  <si>
    <t>E217</t>
  </si>
  <si>
    <t>Sebagai</t>
  </si>
  <si>
    <t>Ketua Tim Penilaian Kinerja Kepala Madrasah</t>
  </si>
  <si>
    <t>Ketua Tim Penilai</t>
  </si>
  <si>
    <r>
      <t xml:space="preserve">NKET </t>
    </r>
    <r>
      <rPr>
        <sz val="10"/>
        <color indexed="8"/>
        <rFont val="Arial"/>
        <family val="2"/>
      </rPr>
      <t>(Nilai Kinerja Empat Tahunan)</t>
    </r>
  </si>
  <si>
    <t>((NKT1+NKT2+NKT3) / 3  +  2 x NKET) / 3</t>
  </si>
  <si>
    <t>NAG</t>
  </si>
  <si>
    <t>NKT (Nilai Kinerja Tahunan)</t>
  </si>
  <si>
    <t>Tahun Ke</t>
  </si>
  <si>
    <t>A. NKET (Nilai Kinerja Empat Tahunan)</t>
  </si>
  <si>
    <t>B. NAG (Nilai Akhir Gabungan)</t>
  </si>
  <si>
    <t>Data NKT Tahun Sebelumnya &amp; NKET</t>
  </si>
  <si>
    <t>C. Identitas Tim Penilai</t>
  </si>
  <si>
    <t>Kepala Bidang Pendma / Pendis</t>
  </si>
  <si>
    <t>No. SK Penugasan Tim</t>
  </si>
  <si>
    <t>Tgl. SK Tim</t>
  </si>
  <si>
    <t>Kasi Pendma / Pendis</t>
  </si>
  <si>
    <t>Pengawas Madrasah</t>
  </si>
  <si>
    <t>Tenaga Pendidik</t>
  </si>
  <si>
    <t>Komite Madrasah</t>
  </si>
  <si>
    <t>Tabel</t>
  </si>
  <si>
    <t>Sangat Baik</t>
  </si>
  <si>
    <t>Dengan Nilai Persentasi Kinerja Kepala Madrasah (NPKKM)</t>
  </si>
  <si>
    <t>E126</t>
  </si>
  <si>
    <t>E156</t>
  </si>
  <si>
    <t>E177</t>
  </si>
  <si>
    <t>E41</t>
  </si>
  <si>
    <t>E204</t>
  </si>
  <si>
    <r>
      <rPr>
        <sz val="9"/>
        <color indexed="8"/>
        <rFont val="Arial"/>
        <family val="2"/>
      </rPr>
      <t>NKET</t>
    </r>
    <r>
      <rPr>
        <b/>
        <sz val="9"/>
        <color indexed="8"/>
        <rFont val="Arial"/>
        <family val="2"/>
      </rPr>
      <t xml:space="preserve"> </t>
    </r>
    <r>
      <rPr>
        <sz val="9"/>
        <color indexed="8"/>
        <rFont val="Arial"/>
        <family val="2"/>
      </rPr>
      <t>(Nilai Kinerja Empat Tahunan) tiap penilai</t>
    </r>
  </si>
  <si>
    <t>Tahun</t>
  </si>
  <si>
    <t>Rekapitulasi Detil Hasil Tiap Penilai</t>
  </si>
  <si>
    <t>NILAI KINERJA TAHUNAN</t>
  </si>
  <si>
    <t>4.6</t>
  </si>
  <si>
    <t>4.7</t>
  </si>
  <si>
    <t>Kegiatan pelibatan masyarakat (komite madrasah) dalam mendukung program madrasah</t>
  </si>
  <si>
    <t>Kegiatan kemitraan dengan stakeholder pendidikan dalam meningkatkan kompetensi guru madrasah.</t>
  </si>
  <si>
    <t>E238</t>
  </si>
  <si>
    <t>(1) Masyarakat/Komite mendukung kepala madrasah dalam menyusun program madrasah 
(2) Masyarakat/Komite mendukung kepala madrasah dalam menyusun program dan turut dalam mengevaluasi program madrasah 
(3) Masyarakat/Komite mendukung kepala madrasah dalam menyusun program, pelaksanaan, dan mengevaluasi program madrasah 
(4) Masyarakat/Komite mendukung kepala madrasah dalam menyusun program, pelaksanaan, mendanai, dan mengevaluasi program madrasah</t>
  </si>
  <si>
    <t>(1) Mengadakan kerjasama dengan madrasah lain yang sejenisnya dalam peningkatan kompetensi guru
(2) Mengadakan kerjasama dilakukan dengan institusi pemerintah, non pemerintah, dunia industri dan masyarakat dalam meningkatkan kompetensi guru
(3) Mengadakan kerjasama dilakukan dengan institusi pemerintah, non pemerintah, dunia industri dan masyarakat yang ditandai dengan Perjanjian Kerjasama (PKS) dalam meningkatkan kompetensi guru
(4) Mengadakan kerjasama dilakukan dengan institusi pemerintah, non pemerintah, dunia industri dan masyarakat yang ditandai dengan Perjanjian Kerjasama (PKS) dalam meningkatkan kompetensi guru dan sudah dilaksanakan sejak menjabat sebagai kepala madrasah.</t>
  </si>
  <si>
    <t>Mampu mengupayakan sumber-sumber keuangan terutama yang bersumber dari luar madrasah dan dari unit usaha madrasah</t>
  </si>
  <si>
    <t>Mampu merencanakan kebutuhan keuangan sekolah sesuai dengan rencana pengembangan madrasah, baik untuk jangka pendek maupun jangka panjang</t>
  </si>
  <si>
    <t>Mampu mengkoordinasikan pembelanjaan keuangan sesuai dengan peraturan dan perundang-undangan berdasarkan asas prioritas dan efisiensi</t>
  </si>
  <si>
    <t>Mampu membuat laporan dan evaluasi pengelolaan madrasah sesuai dengan prinsip efisien, transparan, dan akuntabel</t>
  </si>
  <si>
    <t>Mampu mengelola administrasi surat masuk dan surat keluar sesuai dengan pedoman persuratan yang berlaku</t>
  </si>
  <si>
    <t>Mampu mengelola administrasi madrasah yang meliputi administrasi akademik, kesiswaan, sarana/ prasarana, keuangan, dan hubungan sekolah masyarakat</t>
  </si>
  <si>
    <t>Mampu mengelola administrasi kearsipan madrasah baik arsip dinamis maupun arsip lainya</t>
  </si>
  <si>
    <t>Mampu mengelola administrasi akreditasi madrasah sesuai dengan prinsip-prinsip tersedianya dokumen pendukung dan bukti-bukti fisik</t>
  </si>
  <si>
    <t>Mampu mengelola laboratorium madrasah agar dapat di manfaatkan secara optimal untuk kepentingan pembelajaran peserta didik</t>
  </si>
  <si>
    <t>Mampu mengelola perpustakaan sekolah dalam menyiapkan sumber belajar yang diperlukan oleh peserta didik</t>
  </si>
  <si>
    <t>Mampu mengelola usaha madrasah untuk pembelajaran peserta didik dan pemasukan dana tambahan bagi madrasah</t>
  </si>
  <si>
    <t>Mampu mengelola koperasi madrasah baik sebagai media praktik maupun sebagai sumber belajar peserta didik</t>
  </si>
  <si>
    <t xml:space="preserve">(1) Masyarakat/Komite mendukung kepala madrasah dalam menyusun program madrasah 
(2) Masyarakat/Komite mendukung kepala madrasah dalam menyusun program dan turut dalam mengevaluasi program madrasah 
(3) Masyarakat/Komite mendukung kepala madrasah dalam menyusun program, pelaksanaan, dan mengevaluasi program madrasah 
(4) Masyarakat/Komite mendukung kepala madrasah dalam menyusun program, pelaksanaan, mendanai, dan mengevaluasi program madrasah
</t>
  </si>
  <si>
    <t>(1) Minimal telah melakukan 1 kali penelitian
(2) Minimal telah melakukan 2 kali penelitian
(3) Minimal telah melakukan 3 kali penelitian
(4) Minimal telah melakukan 4 kali penelitian</t>
  </si>
  <si>
    <t>(1) Meraih kejuaraan 10 besar tingkat kabupaten
(2) Meraih kejuaraan 5 besar tingkat kabupaten
(3) Meraih kejuaraan 10 besar tingkat provinsi
(4) Meraih kejuaraan 10 besar tingkat nasional</t>
  </si>
  <si>
    <t>(1) Mengusai minimal satu dari program microsoft
(2) Mengusai minimal dua dari program microsoft
(3) Mengusai semua program microsoft
(4) Mengusai semua program Microsoft dan internet</t>
  </si>
  <si>
    <t>(1) Minimal 3 buah STTPL tingkat provinsi
(2) Lebih dari 3 buah STPPL tingkat provinsi
(3) Minimal 3 buah STTPL tingkat provinsi
(4) Lebih dari 3 buah STPPL tingkat provinsi</t>
  </si>
  <si>
    <t>Adanya dokumen RKJM/RKM Pendanaan 4 tahun dan RKTM ( 1 tahunan)</t>
  </si>
  <si>
    <t>Adanya dokumen RKM ( Sumber Pendanaan ) 4 Tahun dan Tahunan</t>
  </si>
  <si>
    <t>Adanya Dokumen Pedoman/Juknis pembiayaan dan Laporan Keuangan Madrasah</t>
  </si>
  <si>
    <t>Adanya Dokumen Pedoman Persuratan dan tata kelola Arsip surat</t>
  </si>
  <si>
    <t>Adanya dokumen laporan Adminsitrasi keuangan, Kegiatan kesiswaan, Keg. Hubungan masyaakat dan dan adminitrasi sarana prasarana</t>
  </si>
  <si>
    <t>Adanya dokumen EDM, SK Tim Pengembang Madrasah dan Bukti fisik hasil Akreditasi</t>
  </si>
  <si>
    <t>Adanya Program, Jadwal, Administrasi , dan Laporan  Pemanfaatan Laboratorium</t>
  </si>
  <si>
    <t>Adanya Program, Jadwal, Administrasi , dan Laporan  Pemanfaatan Perpustakaan</t>
  </si>
  <si>
    <t>Adanya dokumen dana dari usaha asli madrasah dan bukti pemnfaatan untuk pembelajaran/kegiatan siswa</t>
  </si>
  <si>
    <t>Adanya bukti fisik /dokumen pemnfaatan Koperasi /kantin madrasah sebagai sumber belajar siswa.</t>
  </si>
  <si>
    <t>PKB KM</t>
  </si>
  <si>
    <t>Pemberdayaan Organisasi Madrasah</t>
  </si>
  <si>
    <t>Perencanaan dan Pengembangan Madrasah</t>
  </si>
  <si>
    <t>Peningkatan Kualitas Pembelajaran</t>
  </si>
  <si>
    <t>Monitoring dan Evaluasi</t>
  </si>
  <si>
    <t>Penelitian Tindakan</t>
  </si>
  <si>
    <t>Kepemimpinan dalam Pengelolaan Sumberdaya Madrasah</t>
  </si>
  <si>
    <t>Pengelolaan Sarana dan Prasarana</t>
  </si>
  <si>
    <t>Madrasah Berwawasan Lingkungan</t>
  </si>
  <si>
    <t>Pengelolaan Pendidikan dan Tenaga Kependidikan</t>
  </si>
  <si>
    <t>Pengelolaan Peserta Didik Baru</t>
  </si>
  <si>
    <t>Pengelolaan Kurikulum</t>
  </si>
  <si>
    <t>Pengelolaan Keuangan</t>
  </si>
  <si>
    <t>Kepemimpinan dalam Pengelolaan Sistem Administrasi</t>
  </si>
  <si>
    <t>Pengelolaan Layanan Khusus</t>
  </si>
  <si>
    <t>Sistem Informasi Manajemen (SIM)</t>
  </si>
  <si>
    <t>Pembelajaran Berbasis TIK</t>
  </si>
  <si>
    <t>Kepemimpinan Madrasah</t>
  </si>
  <si>
    <t>Rank1</t>
  </si>
  <si>
    <t>Rank2</t>
  </si>
  <si>
    <t>Nilai NAG</t>
  </si>
  <si>
    <t>Kategori/Sebutan</t>
  </si>
  <si>
    <t>Item</t>
  </si>
  <si>
    <t>Keterangan</t>
  </si>
  <si>
    <t>Nilai</t>
  </si>
  <si>
    <t>Kategori</t>
  </si>
  <si>
    <t>Nilai2</t>
  </si>
  <si>
    <t>Rank</t>
  </si>
  <si>
    <t>Supervisi Akademik</t>
  </si>
  <si>
    <t>Pengawas Madrasah,</t>
  </si>
  <si>
    <t>Indikator Kompetensi</t>
  </si>
  <si>
    <t>Adj Max</t>
  </si>
  <si>
    <t>FORMAT 1: Hasil Analisis Rekomendasi PKB Kepala Madrasah</t>
  </si>
  <si>
    <t>Kompetensi</t>
  </si>
  <si>
    <t>Kompetensi / Indikator</t>
  </si>
  <si>
    <t>Jml Unik1</t>
  </si>
  <si>
    <t>Jml Unik2</t>
  </si>
  <si>
    <t>Nilai1</t>
  </si>
  <si>
    <t>FORMAT 2: Prioritas PKB setiap Kepala Madrasah</t>
  </si>
  <si>
    <t>Unsur PKB*</t>
  </si>
  <si>
    <t>Indikator</t>
  </si>
  <si>
    <t>Jml Unik3</t>
  </si>
  <si>
    <t>Nilai3</t>
  </si>
  <si>
    <t>Indikator Kompetensi*</t>
  </si>
  <si>
    <t>Jenis PKB*</t>
  </si>
  <si>
    <t>Kepala Madrasah,</t>
  </si>
  <si>
    <t>No. SK Penugasan Penilaian</t>
  </si>
  <si>
    <t>Tanggal Penilaian Kamad</t>
  </si>
  <si>
    <t>Periode Penilaian Kamad</t>
  </si>
  <si>
    <t>s/d</t>
  </si>
  <si>
    <t>FORM1</t>
  </si>
  <si>
    <t>FORM2</t>
  </si>
  <si>
    <t>Rekap_Detil</t>
  </si>
  <si>
    <t xml:space="preserve"> </t>
  </si>
  <si>
    <t>Tabel Hasil Penilaian Indikator Kompetensi</t>
  </si>
  <si>
    <t>Max Rank</t>
  </si>
  <si>
    <t>RKJM dan RKAM</t>
  </si>
  <si>
    <t>1.Pengembangan Diri</t>
  </si>
  <si>
    <t>2.Publikasi Ilmiah</t>
  </si>
  <si>
    <t>3.Karya Inovatif</t>
  </si>
  <si>
    <t>1.1. Diklat</t>
  </si>
  <si>
    <t>1.2. Good Practice</t>
  </si>
  <si>
    <t>1.3. Pengembangan Madrasah</t>
  </si>
  <si>
    <t>1.4. Kegiatan Kolektif</t>
  </si>
  <si>
    <t>1.5. Kajian dan PenelitianTindakan</t>
  </si>
  <si>
    <t>1.6. Pembelajaran Mandiri</t>
  </si>
  <si>
    <t>1.7. Pembimbingan/Mentoring</t>
  </si>
  <si>
    <t>2.1. Karya Ilmiah</t>
  </si>
  <si>
    <t>2.2. Karya Populer</t>
  </si>
  <si>
    <t>2.3. Pemakalah/Narasumber</t>
  </si>
  <si>
    <t>3.1. Buku, Bahan Diklat, dan Pedoman KM</t>
  </si>
  <si>
    <t>3.2. Standar MSDM (buku pedoman/modul)</t>
  </si>
  <si>
    <t>3.3. Metode atau Teknologi  Kepemimpinan/ Manajemen</t>
  </si>
  <si>
    <t>ROW</t>
  </si>
  <si>
    <t>MAIN MENU PKKM</t>
  </si>
  <si>
    <t>`</t>
  </si>
  <si>
    <t>ver:R2018062401</t>
  </si>
  <si>
    <t>Laki-laki</t>
  </si>
  <si>
    <t>Sumenep</t>
  </si>
  <si>
    <t>S1</t>
  </si>
  <si>
    <t>MA Tahfidh Al-Amien Prenduan</t>
  </si>
  <si>
    <t>Pragaan Laok</t>
  </si>
  <si>
    <t>Pragaan</t>
  </si>
  <si>
    <t>Jawa Timur</t>
  </si>
  <si>
    <t>Slamet Riyadi, S.Pd, M.Pd</t>
  </si>
  <si>
    <t>196501112005011002</t>
  </si>
  <si>
    <t>Pengawas Manajemen Sekolah</t>
  </si>
  <si>
    <t>(0328) 821016</t>
  </si>
  <si>
    <t>Tafsier/Ilmu Tafsier</t>
  </si>
  <si>
    <t>SIDIQ MUSTAKIM, Lc</t>
  </si>
  <si>
    <t>Jl. Raya Pamekasan Sumenep</t>
  </si>
</sst>
</file>

<file path=xl/styles.xml><?xml version="1.0" encoding="utf-8"?>
<styleSheet xmlns="http://schemas.openxmlformats.org/spreadsheetml/2006/main">
  <numFmts count="5">
    <numFmt numFmtId="164" formatCode="_-* #,##0_-;\-* #,##0_-;_-* &quot;-&quot;_-;_-@_-"/>
    <numFmt numFmtId="165" formatCode="yyyy"/>
    <numFmt numFmtId="166" formatCode="[$-421]dd\ mmmm\ yyyy;@"/>
    <numFmt numFmtId="167" formatCode="0.0"/>
    <numFmt numFmtId="168" formatCode="_-* #,##0.0_-;\-* #,##0.0_-;_-* &quot;-&quot;_-;_-@_-"/>
  </numFmts>
  <fonts count="92">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Arial"/>
      <family val="2"/>
    </font>
    <font>
      <b/>
      <sz val="11"/>
      <color indexed="8"/>
      <name val="Arial"/>
      <family val="2"/>
    </font>
    <font>
      <sz val="10"/>
      <color indexed="8"/>
      <name val="Arial"/>
      <family val="2"/>
    </font>
    <font>
      <b/>
      <sz val="12"/>
      <color indexed="8"/>
      <name val="Arial"/>
      <family val="2"/>
    </font>
    <font>
      <b/>
      <sz val="10"/>
      <color indexed="8"/>
      <name val="Arial"/>
      <family val="2"/>
    </font>
    <font>
      <b/>
      <sz val="11"/>
      <name val="Arial"/>
      <family val="2"/>
    </font>
    <font>
      <sz val="12"/>
      <color indexed="8"/>
      <name val="Arial"/>
      <family val="2"/>
    </font>
    <font>
      <sz val="11"/>
      <name val="Calibri"/>
      <family val="2"/>
    </font>
    <font>
      <b/>
      <sz val="8"/>
      <color indexed="8"/>
      <name val="Arial"/>
      <family val="2"/>
    </font>
    <font>
      <sz val="8"/>
      <color indexed="8"/>
      <name val="Arial"/>
      <family val="2"/>
    </font>
    <font>
      <sz val="6"/>
      <color indexed="8"/>
      <name val="Arial"/>
      <family val="2"/>
    </font>
    <font>
      <sz val="11"/>
      <color theme="1"/>
      <name val="Calibri"/>
      <family val="2"/>
      <scheme val="minor"/>
    </font>
    <font>
      <b/>
      <sz val="11"/>
      <color theme="0"/>
      <name val="Calibri"/>
      <family val="2"/>
      <scheme val="minor"/>
    </font>
    <font>
      <u/>
      <sz val="11"/>
      <color theme="10"/>
      <name val="Calibri"/>
      <family val="2"/>
      <charset val="1"/>
      <scheme val="minor"/>
    </font>
    <font>
      <b/>
      <sz val="11"/>
      <color theme="1"/>
      <name val="Calibri"/>
      <family val="2"/>
      <scheme val="minor"/>
    </font>
    <font>
      <sz val="14"/>
      <color theme="1"/>
      <name val="Calibri"/>
      <family val="2"/>
      <charset val="1"/>
      <scheme val="minor"/>
    </font>
    <font>
      <sz val="16"/>
      <color theme="1"/>
      <name val="Calibri"/>
      <family val="2"/>
      <charset val="1"/>
      <scheme val="minor"/>
    </font>
    <font>
      <sz val="12"/>
      <color theme="1"/>
      <name val="Calibri"/>
      <family val="2"/>
      <scheme val="minor"/>
    </font>
    <font>
      <b/>
      <sz val="14"/>
      <color theme="1"/>
      <name val="Baskerville Old Face"/>
      <family val="1"/>
    </font>
    <font>
      <b/>
      <sz val="22"/>
      <color theme="1"/>
      <name val="Baskerville Old Face"/>
      <family val="1"/>
    </font>
    <font>
      <sz val="12"/>
      <color indexed="8"/>
      <name val="Calibri"/>
      <family val="2"/>
      <scheme val="minor"/>
    </font>
    <font>
      <b/>
      <sz val="14"/>
      <color theme="1"/>
      <name val="Calibri"/>
      <family val="2"/>
      <scheme val="minor"/>
    </font>
    <font>
      <b/>
      <sz val="22"/>
      <color theme="1"/>
      <name val="Calibri"/>
      <family val="2"/>
      <scheme val="minor"/>
    </font>
    <font>
      <sz val="11"/>
      <name val="Calibri"/>
      <family val="2"/>
      <scheme val="minor"/>
    </font>
    <font>
      <b/>
      <sz val="12"/>
      <color theme="2"/>
      <name val="Arial"/>
      <family val="2"/>
    </font>
    <font>
      <b/>
      <sz val="18"/>
      <color theme="1"/>
      <name val="Calibri"/>
      <family val="2"/>
      <scheme val="minor"/>
    </font>
    <font>
      <b/>
      <sz val="18"/>
      <color theme="1"/>
      <name val="Baskerville Old Face"/>
      <family val="1"/>
    </font>
    <font>
      <sz val="8"/>
      <color rgb="FF000000"/>
      <name val="Segoe UI"/>
      <family val="2"/>
    </font>
    <font>
      <sz val="11"/>
      <name val="Calibri"/>
      <family val="2"/>
      <charset val="1"/>
      <scheme val="minor"/>
    </font>
    <font>
      <sz val="10"/>
      <name val="Arial"/>
      <family val="2"/>
    </font>
    <font>
      <b/>
      <sz val="10"/>
      <name val="Arial"/>
      <family val="2"/>
    </font>
    <font>
      <sz val="11"/>
      <name val="Arial"/>
      <family val="2"/>
    </font>
    <font>
      <b/>
      <u/>
      <sz val="14"/>
      <color theme="1"/>
      <name val="Calibri"/>
      <family val="2"/>
      <scheme val="minor"/>
    </font>
    <font>
      <b/>
      <sz val="14"/>
      <color theme="0"/>
      <name val="Arial"/>
      <family val="2"/>
    </font>
    <font>
      <b/>
      <sz val="18"/>
      <color theme="1"/>
      <name val="Arial"/>
      <family val="2"/>
    </font>
    <font>
      <sz val="12"/>
      <color theme="1"/>
      <name val="Arial"/>
      <family val="2"/>
    </font>
    <font>
      <sz val="11"/>
      <color theme="0"/>
      <name val="Calibri"/>
      <family val="2"/>
      <charset val="1"/>
      <scheme val="minor"/>
    </font>
    <font>
      <b/>
      <sz val="11"/>
      <color theme="0"/>
      <name val="Arial"/>
      <family val="2"/>
    </font>
    <font>
      <u/>
      <sz val="12"/>
      <color theme="1"/>
      <name val="Calibri"/>
      <family val="2"/>
      <charset val="1"/>
      <scheme val="minor"/>
    </font>
    <font>
      <b/>
      <u/>
      <sz val="12"/>
      <color theme="1"/>
      <name val="Arial"/>
      <family val="2"/>
    </font>
    <font>
      <sz val="10"/>
      <color theme="1"/>
      <name val="Calibri"/>
      <family val="2"/>
      <charset val="1"/>
      <scheme val="minor"/>
    </font>
    <font>
      <sz val="9"/>
      <name val="Arial"/>
      <family val="2"/>
    </font>
    <font>
      <sz val="9"/>
      <color indexed="8"/>
      <name val="Arial"/>
      <family val="2"/>
    </font>
    <font>
      <b/>
      <sz val="9"/>
      <name val="Arial"/>
      <family val="2"/>
    </font>
    <font>
      <b/>
      <sz val="9"/>
      <color indexed="8"/>
      <name val="Arial"/>
      <family val="2"/>
    </font>
    <font>
      <b/>
      <sz val="11"/>
      <color theme="1"/>
      <name val="Arial"/>
      <family val="2"/>
    </font>
    <font>
      <b/>
      <sz val="12"/>
      <color theme="0" tint="-4.9989318521683403E-2"/>
      <name val="Arial"/>
      <family val="2"/>
    </font>
    <font>
      <i/>
      <sz val="14"/>
      <color theme="1"/>
      <name val="Calibri"/>
      <family val="2"/>
      <scheme val="minor"/>
    </font>
    <font>
      <b/>
      <sz val="16"/>
      <color theme="1"/>
      <name val="Calibri"/>
      <family val="2"/>
      <scheme val="minor"/>
    </font>
    <font>
      <b/>
      <sz val="12"/>
      <color theme="1"/>
      <name val="Calibri"/>
      <family val="2"/>
      <scheme val="minor"/>
    </font>
    <font>
      <b/>
      <sz val="16"/>
      <color rgb="FFFFFF00"/>
      <name val="Arial"/>
      <family val="2"/>
    </font>
    <font>
      <b/>
      <sz val="12"/>
      <name val="Arial"/>
      <family val="2"/>
    </font>
    <font>
      <sz val="8"/>
      <name val="Arial"/>
      <family val="2"/>
    </font>
    <font>
      <sz val="6"/>
      <name val="Arial"/>
      <family val="2"/>
    </font>
    <font>
      <b/>
      <sz val="8"/>
      <color theme="0" tint="-4.9989318521683403E-2"/>
      <name val="Arial"/>
      <family val="2"/>
    </font>
    <font>
      <sz val="11"/>
      <color theme="1"/>
      <name val="Calibri"/>
      <family val="2"/>
      <charset val="1"/>
      <scheme val="minor"/>
    </font>
    <font>
      <b/>
      <sz val="12"/>
      <color theme="1"/>
      <name val="Arial Narrow"/>
      <family val="2"/>
    </font>
    <font>
      <sz val="12"/>
      <color theme="1"/>
      <name val="Arial Narrow"/>
      <family val="2"/>
    </font>
    <font>
      <sz val="12"/>
      <color theme="1"/>
      <name val="Calibri"/>
      <family val="2"/>
      <charset val="1"/>
      <scheme val="minor"/>
    </font>
    <font>
      <b/>
      <sz val="11"/>
      <color rgb="FFFF0000"/>
      <name val="Calibri"/>
      <family val="2"/>
      <scheme val="minor"/>
    </font>
    <font>
      <i/>
      <u/>
      <sz val="11"/>
      <color theme="1"/>
      <name val="Calibri"/>
      <family val="2"/>
      <scheme val="minor"/>
    </font>
    <font>
      <sz val="12"/>
      <color theme="1"/>
      <name val="Calibri"/>
      <family val="2"/>
    </font>
    <font>
      <sz val="12"/>
      <name val="Calibri"/>
      <family val="2"/>
      <scheme val="minor"/>
    </font>
    <font>
      <b/>
      <sz val="12"/>
      <color rgb="FFFF0000"/>
      <name val="Calibri"/>
      <family val="2"/>
      <scheme val="minor"/>
    </font>
    <font>
      <sz val="12"/>
      <name val="Calibri"/>
      <family val="2"/>
      <charset val="1"/>
      <scheme val="minor"/>
    </font>
    <font>
      <sz val="12"/>
      <color theme="0"/>
      <name val="Calibri"/>
      <family val="2"/>
      <charset val="1"/>
      <scheme val="minor"/>
    </font>
    <font>
      <b/>
      <sz val="12"/>
      <name val="Calibri"/>
      <family val="2"/>
      <scheme val="minor"/>
    </font>
    <font>
      <sz val="18"/>
      <color theme="1"/>
      <name val="Calibri"/>
      <family val="2"/>
      <charset val="1"/>
      <scheme val="minor"/>
    </font>
    <font>
      <sz val="18"/>
      <color theme="1"/>
      <name val="Calibri"/>
      <family val="2"/>
      <scheme val="minor"/>
    </font>
    <font>
      <sz val="18"/>
      <color indexed="8"/>
      <name val="Calibri"/>
      <family val="2"/>
      <scheme val="minor"/>
    </font>
    <font>
      <sz val="22"/>
      <color theme="1"/>
      <name val="Calibri"/>
      <family val="2"/>
      <charset val="1"/>
      <scheme val="minor"/>
    </font>
    <font>
      <sz val="22"/>
      <color theme="1"/>
      <name val="Calibri"/>
      <family val="2"/>
      <scheme val="minor"/>
    </font>
    <font>
      <sz val="22"/>
      <color indexed="8"/>
      <name val="Arial"/>
      <family val="2"/>
    </font>
    <font>
      <sz val="24"/>
      <color theme="1"/>
      <name val="Calibri"/>
      <family val="2"/>
      <charset val="1"/>
      <scheme val="minor"/>
    </font>
    <font>
      <sz val="24"/>
      <color theme="1"/>
      <name val="Calibri"/>
      <family val="2"/>
      <scheme val="minor"/>
    </font>
    <font>
      <b/>
      <sz val="24"/>
      <color theme="1"/>
      <name val="Baskerville Old Face"/>
      <family val="1"/>
    </font>
    <font>
      <u/>
      <sz val="12"/>
      <color theme="1"/>
      <name val="Calibri"/>
      <family val="2"/>
      <scheme val="minor"/>
    </font>
    <font>
      <b/>
      <sz val="10"/>
      <color rgb="FFFFFF00"/>
      <name val="Arial"/>
      <family val="2"/>
    </font>
    <font>
      <sz val="9"/>
      <color theme="0"/>
      <name val="Calibri"/>
      <family val="2"/>
      <charset val="1"/>
      <scheme val="minor"/>
    </font>
    <font>
      <sz val="9"/>
      <color theme="1"/>
      <name val="Calibri"/>
      <family val="2"/>
      <charset val="1"/>
      <scheme val="minor"/>
    </font>
    <font>
      <b/>
      <sz val="9"/>
      <color rgb="FFFFFF00"/>
      <name val="Arial"/>
      <family val="2"/>
    </font>
    <font>
      <b/>
      <sz val="9"/>
      <color theme="0"/>
      <name val="Arial"/>
      <family val="2"/>
    </font>
    <font>
      <b/>
      <sz val="16"/>
      <color theme="1"/>
      <name val="Arial"/>
      <family val="2"/>
    </font>
    <font>
      <sz val="10"/>
      <color rgb="FFFFFF00"/>
      <name val="Arial"/>
      <family val="2"/>
    </font>
    <font>
      <b/>
      <sz val="8"/>
      <color theme="1" tint="4.9989318521683403E-2"/>
      <name val="Arial"/>
      <family val="2"/>
    </font>
    <font>
      <sz val="11"/>
      <color theme="1"/>
      <name val="Arial"/>
      <family val="2"/>
    </font>
    <font>
      <b/>
      <sz val="14"/>
      <color rgb="FFFF0000"/>
      <name val="Calibri"/>
      <family val="2"/>
      <scheme val="minor"/>
    </font>
    <font>
      <b/>
      <u/>
      <sz val="18"/>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6" tint="-0.249977111117893"/>
        <bgColor indexed="64"/>
      </patternFill>
    </fill>
    <fill>
      <patternFill patternType="solid">
        <fgColor theme="1"/>
        <bgColor indexed="64"/>
      </patternFill>
    </fill>
    <fill>
      <patternFill patternType="solid">
        <fgColor rgb="FFEEECE1"/>
        <bgColor indexed="64"/>
      </patternFill>
    </fill>
    <fill>
      <patternFill patternType="solid">
        <fgColor rgb="FFFFCC00"/>
        <bgColor indexed="64"/>
      </patternFill>
    </fill>
    <fill>
      <patternFill patternType="solid">
        <fgColor rgb="FF92D050"/>
        <bgColor indexed="64"/>
      </patternFill>
    </fill>
  </fills>
  <borders count="69">
    <border>
      <left/>
      <right/>
      <top/>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bottom style="thin">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top style="thin">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hair">
        <color indexed="64"/>
      </top>
      <bottom/>
      <diagonal/>
    </border>
    <border>
      <left style="thin">
        <color indexed="64"/>
      </left>
      <right/>
      <top/>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hair">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hair">
        <color indexed="64"/>
      </left>
      <right style="hair">
        <color indexed="64"/>
      </right>
      <top style="hair">
        <color indexed="64"/>
      </top>
      <bottom/>
      <diagonal/>
    </border>
    <border>
      <left style="thin">
        <color indexed="64"/>
      </left>
      <right style="thin">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6">
    <xf numFmtId="0" fontId="0" fillId="0" borderId="0"/>
    <xf numFmtId="0" fontId="17" fillId="0" borderId="0" applyNumberFormat="0" applyFill="0" applyBorder="0" applyAlignment="0" applyProtection="0"/>
    <xf numFmtId="0" fontId="15" fillId="0" borderId="0"/>
    <xf numFmtId="9" fontId="15" fillId="0" borderId="0" applyFont="0" applyFill="0" applyBorder="0" applyAlignment="0" applyProtection="0"/>
    <xf numFmtId="9" fontId="3" fillId="0" borderId="0" applyFont="0" applyFill="0" applyBorder="0" applyAlignment="0" applyProtection="0"/>
    <xf numFmtId="164" fontId="59" fillId="0" borderId="0" applyFont="0" applyFill="0" applyBorder="0" applyAlignment="0" applyProtection="0"/>
  </cellStyleXfs>
  <cellXfs count="477">
    <xf numFmtId="0" fontId="0" fillId="0" borderId="0" xfId="0"/>
    <xf numFmtId="0" fontId="4" fillId="0" borderId="0" xfId="0" applyFont="1" applyProtection="1"/>
    <xf numFmtId="0" fontId="6" fillId="0" borderId="2" xfId="0" applyFont="1" applyBorder="1" applyAlignment="1" applyProtection="1">
      <alignment horizontal="left" vertical="top" wrapText="1"/>
    </xf>
    <xf numFmtId="0" fontId="6" fillId="0" borderId="4" xfId="0" applyFont="1" applyBorder="1" applyAlignment="1" applyProtection="1">
      <alignment horizontal="left" vertical="top" wrapText="1"/>
      <protection locked="0"/>
    </xf>
    <xf numFmtId="0" fontId="5" fillId="0" borderId="9" xfId="0" applyFont="1" applyFill="1" applyBorder="1" applyAlignment="1" applyProtection="1">
      <alignment horizontal="center" vertical="center"/>
    </xf>
    <xf numFmtId="0" fontId="6" fillId="0" borderId="9" xfId="0" applyFont="1" applyBorder="1" applyAlignment="1" applyProtection="1">
      <alignment horizontal="center" vertical="top" wrapText="1"/>
    </xf>
    <xf numFmtId="0" fontId="6" fillId="0" borderId="11" xfId="0" applyFont="1" applyBorder="1" applyAlignment="1" applyProtection="1">
      <alignment horizontal="center" vertical="center" wrapText="1"/>
    </xf>
    <xf numFmtId="0" fontId="6" fillId="2" borderId="4" xfId="0" applyFont="1" applyFill="1" applyBorder="1" applyAlignment="1" applyProtection="1">
      <alignment horizontal="left" vertical="top" wrapText="1"/>
    </xf>
    <xf numFmtId="0" fontId="6" fillId="2" borderId="12" xfId="0" applyFont="1" applyFill="1" applyBorder="1" applyAlignment="1" applyProtection="1">
      <alignment horizontal="center" vertical="center" wrapText="1"/>
    </xf>
    <xf numFmtId="0" fontId="0" fillId="0" borderId="0" xfId="0" applyBorder="1"/>
    <xf numFmtId="0" fontId="4" fillId="0" borderId="18" xfId="0" applyFont="1" applyBorder="1" applyAlignment="1">
      <alignment horizontal="center" vertical="center"/>
    </xf>
    <xf numFmtId="4" fontId="5" fillId="0" borderId="18" xfId="0" applyNumberFormat="1" applyFont="1" applyBorder="1" applyAlignment="1">
      <alignment horizontal="center" vertical="center" wrapText="1"/>
    </xf>
    <xf numFmtId="4" fontId="5" fillId="0" borderId="18" xfId="0" applyNumberFormat="1" applyFont="1" applyBorder="1" applyAlignment="1">
      <alignment horizontal="center" vertical="center"/>
    </xf>
    <xf numFmtId="9" fontId="7" fillId="0" borderId="18" xfId="3" applyFont="1" applyBorder="1" applyAlignment="1">
      <alignment horizontal="center" vertical="center"/>
    </xf>
    <xf numFmtId="0" fontId="19" fillId="0" borderId="0" xfId="0" applyFont="1"/>
    <xf numFmtId="0" fontId="0" fillId="0" borderId="0" xfId="0" applyBorder="1" applyAlignment="1">
      <alignment vertical="center"/>
    </xf>
    <xf numFmtId="0" fontId="22" fillId="0" borderId="0" xfId="0" applyFont="1" applyBorder="1" applyAlignment="1">
      <alignment vertical="center"/>
    </xf>
    <xf numFmtId="0" fontId="10" fillId="0" borderId="0" xfId="0" applyFont="1" applyFill="1" applyBorder="1" applyAlignment="1">
      <alignment vertical="center"/>
    </xf>
    <xf numFmtId="165" fontId="23" fillId="0" borderId="0" xfId="0" applyNumberFormat="1" applyFont="1" applyBorder="1" applyAlignment="1">
      <alignment horizontal="center" vertical="center"/>
    </xf>
    <xf numFmtId="0" fontId="21" fillId="0" borderId="0" xfId="0" applyFont="1" applyBorder="1" applyAlignment="1">
      <alignment vertical="center"/>
    </xf>
    <xf numFmtId="0" fontId="21" fillId="0" borderId="0" xfId="0" quotePrefix="1" applyFont="1" applyBorder="1" applyAlignment="1">
      <alignment vertical="center"/>
    </xf>
    <xf numFmtId="0" fontId="15" fillId="0" borderId="0" xfId="0" applyFont="1" applyBorder="1"/>
    <xf numFmtId="0" fontId="15" fillId="0" borderId="0" xfId="0" applyFont="1" applyBorder="1" applyAlignment="1">
      <alignment vertical="center"/>
    </xf>
    <xf numFmtId="0" fontId="24" fillId="0" borderId="0" xfId="0" applyFont="1" applyFill="1" applyBorder="1" applyAlignment="1">
      <alignment vertical="center"/>
    </xf>
    <xf numFmtId="0" fontId="25" fillId="0" borderId="0" xfId="0" applyFont="1" applyBorder="1" applyAlignment="1">
      <alignment vertical="center"/>
    </xf>
    <xf numFmtId="165" fontId="26" fillId="0" borderId="0" xfId="0" applyNumberFormat="1" applyFont="1" applyBorder="1" applyAlignment="1">
      <alignment horizontal="center" vertical="center"/>
    </xf>
    <xf numFmtId="0" fontId="16" fillId="3" borderId="18" xfId="2" applyFont="1" applyFill="1" applyBorder="1" applyAlignment="1">
      <alignment horizontal="center"/>
    </xf>
    <xf numFmtId="0" fontId="15" fillId="0" borderId="0" xfId="2"/>
    <xf numFmtId="0" fontId="16" fillId="3" borderId="22" xfId="2" applyFont="1" applyFill="1" applyBorder="1" applyAlignment="1">
      <alignment horizontal="center"/>
    </xf>
    <xf numFmtId="0" fontId="27" fillId="0" borderId="18" xfId="2" applyFont="1" applyBorder="1" applyAlignment="1">
      <alignment vertical="center"/>
    </xf>
    <xf numFmtId="0" fontId="15" fillId="0" borderId="18" xfId="2" applyBorder="1"/>
    <xf numFmtId="0" fontId="15" fillId="0" borderId="18" xfId="2" applyBorder="1" applyAlignment="1">
      <alignment horizontal="right"/>
    </xf>
    <xf numFmtId="0" fontId="15" fillId="0" borderId="18" xfId="2" applyBorder="1" applyAlignment="1">
      <alignment horizontal="center"/>
    </xf>
    <xf numFmtId="9" fontId="15" fillId="0" borderId="18" xfId="2" applyNumberFormat="1" applyBorder="1"/>
    <xf numFmtId="0" fontId="11" fillId="0" borderId="18" xfId="2" applyFont="1" applyBorder="1" applyAlignment="1">
      <alignment vertical="center"/>
    </xf>
    <xf numFmtId="0" fontId="15" fillId="0" borderId="18" xfId="2" applyNumberFormat="1" applyFill="1" applyBorder="1" applyAlignment="1">
      <alignment horizontal="right"/>
    </xf>
    <xf numFmtId="0" fontId="15" fillId="0" borderId="18" xfId="2" applyFill="1" applyBorder="1" applyAlignment="1">
      <alignment horizontal="right"/>
    </xf>
    <xf numFmtId="0" fontId="21" fillId="0" borderId="0" xfId="0" applyFont="1" applyBorder="1" applyAlignment="1" applyProtection="1">
      <alignment vertical="center"/>
      <protection locked="0"/>
    </xf>
    <xf numFmtId="0" fontId="8" fillId="2" borderId="12" xfId="0" applyFont="1" applyFill="1" applyBorder="1" applyAlignment="1" applyProtection="1">
      <alignment horizontal="center" vertical="center" wrapText="1"/>
    </xf>
    <xf numFmtId="0" fontId="14" fillId="0" borderId="23" xfId="0" applyFont="1" applyBorder="1" applyAlignment="1" applyProtection="1">
      <alignment horizontal="center" wrapText="1"/>
    </xf>
    <xf numFmtId="0" fontId="13" fillId="0" borderId="9" xfId="0" applyFont="1" applyBorder="1" applyAlignment="1" applyProtection="1">
      <alignment horizontal="center" wrapText="1"/>
    </xf>
    <xf numFmtId="0" fontId="12" fillId="0" borderId="9" xfId="0" applyFont="1" applyFill="1" applyBorder="1" applyAlignment="1" applyProtection="1">
      <alignment horizontal="center" vertical="center"/>
      <protection locked="0"/>
    </xf>
    <xf numFmtId="0" fontId="25" fillId="0" borderId="0" xfId="0" applyFont="1" applyBorder="1" applyAlignment="1">
      <alignment horizontal="center" vertical="center"/>
    </xf>
    <xf numFmtId="0" fontId="32" fillId="0" borderId="0" xfId="0" applyFont="1"/>
    <xf numFmtId="0" fontId="33" fillId="0" borderId="9" xfId="0" applyFont="1" applyBorder="1" applyAlignment="1" applyProtection="1">
      <alignment horizontal="left" vertical="top" wrapText="1"/>
    </xf>
    <xf numFmtId="0" fontId="33" fillId="2" borderId="4" xfId="0" applyFont="1" applyFill="1" applyBorder="1" applyAlignment="1" applyProtection="1">
      <alignment horizontal="left" vertical="top" wrapText="1"/>
    </xf>
    <xf numFmtId="0" fontId="33" fillId="0" borderId="4" xfId="0" applyFont="1" applyBorder="1" applyAlignment="1" applyProtection="1">
      <alignment horizontal="left" vertical="top" wrapText="1"/>
    </xf>
    <xf numFmtId="0" fontId="33" fillId="0" borderId="2" xfId="0" applyFont="1" applyBorder="1" applyAlignment="1" applyProtection="1">
      <alignment horizontal="left" vertical="top" wrapText="1"/>
    </xf>
    <xf numFmtId="0" fontId="35" fillId="4" borderId="6" xfId="0" applyFont="1" applyFill="1" applyBorder="1" applyProtection="1"/>
    <xf numFmtId="0" fontId="4" fillId="4" borderId="6" xfId="0" applyFont="1" applyFill="1" applyBorder="1" applyProtection="1"/>
    <xf numFmtId="0" fontId="38" fillId="0" borderId="0" xfId="0" applyFont="1"/>
    <xf numFmtId="0" fontId="39" fillId="0" borderId="0" xfId="0" applyFont="1"/>
    <xf numFmtId="0" fontId="5" fillId="0" borderId="33" xfId="0" applyFont="1" applyBorder="1" applyAlignment="1">
      <alignment horizontal="center" vertical="center"/>
    </xf>
    <xf numFmtId="0" fontId="5" fillId="0" borderId="33" xfId="0" applyFont="1" applyBorder="1" applyAlignment="1">
      <alignment horizontal="center" vertical="center" wrapText="1"/>
    </xf>
    <xf numFmtId="0" fontId="0" fillId="0" borderId="0" xfId="0" applyAlignment="1">
      <alignment horizontal="center" vertical="center"/>
    </xf>
    <xf numFmtId="0" fontId="40" fillId="0" borderId="0" xfId="0" applyFont="1"/>
    <xf numFmtId="0" fontId="0" fillId="0" borderId="18" xfId="0" applyFill="1" applyBorder="1" applyAlignment="1">
      <alignment horizontal="center" vertical="center"/>
    </xf>
    <xf numFmtId="0" fontId="0" fillId="0" borderId="0" xfId="0" applyAlignment="1">
      <alignment horizontal="left"/>
    </xf>
    <xf numFmtId="0" fontId="41" fillId="0" borderId="0" xfId="0" applyFont="1" applyBorder="1" applyAlignment="1">
      <alignment vertical="center"/>
    </xf>
    <xf numFmtId="1" fontId="21" fillId="0" borderId="0" xfId="0" applyNumberFormat="1" applyFont="1" applyBorder="1" applyAlignment="1" applyProtection="1">
      <alignment horizontal="left" vertical="center" readingOrder="1"/>
      <protection locked="0"/>
    </xf>
    <xf numFmtId="1" fontId="0" fillId="0" borderId="0" xfId="0" applyNumberFormat="1" applyAlignment="1">
      <alignment horizontal="left" vertical="center"/>
    </xf>
    <xf numFmtId="0" fontId="0" fillId="0" borderId="0" xfId="0" applyAlignment="1">
      <alignment horizontal="left" vertical="center"/>
    </xf>
    <xf numFmtId="0" fontId="4" fillId="0" borderId="18" xfId="0" applyFont="1" applyBorder="1" applyAlignment="1">
      <alignment horizontal="left" vertical="center" wrapText="1"/>
    </xf>
    <xf numFmtId="0" fontId="5" fillId="0" borderId="18" xfId="0" applyFont="1" applyBorder="1" applyAlignment="1">
      <alignment horizontal="center" vertical="center" wrapText="1"/>
    </xf>
    <xf numFmtId="0" fontId="6" fillId="0" borderId="8" xfId="0" applyFont="1" applyBorder="1" applyAlignment="1" applyProtection="1">
      <alignment horizontal="left" vertical="top" wrapText="1"/>
    </xf>
    <xf numFmtId="0" fontId="19" fillId="0" borderId="18" xfId="0" applyFont="1" applyBorder="1" applyAlignment="1">
      <alignment horizontal="center" vertical="center"/>
    </xf>
    <xf numFmtId="0" fontId="6" fillId="0" borderId="37" xfId="0" applyFont="1" applyBorder="1" applyAlignment="1" applyProtection="1">
      <alignment horizontal="center" vertical="top" wrapText="1"/>
    </xf>
    <xf numFmtId="0" fontId="33" fillId="0" borderId="37" xfId="0" applyFont="1" applyBorder="1" applyAlignment="1" applyProtection="1">
      <alignment horizontal="left" vertical="top" wrapText="1"/>
    </xf>
    <xf numFmtId="0" fontId="5" fillId="0" borderId="37" xfId="0" applyFont="1" applyFill="1" applyBorder="1" applyAlignment="1" applyProtection="1">
      <alignment horizontal="center" vertical="center"/>
    </xf>
    <xf numFmtId="0" fontId="33" fillId="0" borderId="38" xfId="0" applyFont="1" applyBorder="1" applyAlignment="1" applyProtection="1">
      <alignment horizontal="left" vertical="top" wrapText="1"/>
    </xf>
    <xf numFmtId="0" fontId="6" fillId="0" borderId="38" xfId="0" applyFont="1" applyBorder="1" applyAlignment="1" applyProtection="1">
      <alignment horizontal="left" vertical="top" wrapText="1"/>
      <protection locked="0"/>
    </xf>
    <xf numFmtId="0" fontId="28" fillId="0" borderId="39" xfId="0" applyFont="1" applyBorder="1" applyAlignment="1" applyProtection="1">
      <alignment horizontal="center" vertical="center" wrapText="1"/>
    </xf>
    <xf numFmtId="0" fontId="33" fillId="0" borderId="6" xfId="0" applyFont="1" applyBorder="1" applyAlignment="1" applyProtection="1">
      <alignment horizontal="left" vertical="top" wrapText="1"/>
    </xf>
    <xf numFmtId="0" fontId="6" fillId="0" borderId="6" xfId="0" applyFont="1" applyBorder="1" applyAlignment="1" applyProtection="1">
      <alignment horizontal="left" vertical="top" wrapText="1"/>
    </xf>
    <xf numFmtId="0" fontId="41" fillId="0" borderId="0" xfId="0" applyFont="1" applyFill="1" applyBorder="1" applyAlignment="1">
      <alignment vertical="center"/>
    </xf>
    <xf numFmtId="0" fontId="40" fillId="0" borderId="0" xfId="0" applyFont="1" applyFill="1"/>
    <xf numFmtId="0" fontId="45" fillId="0" borderId="18" xfId="0" applyFont="1" applyBorder="1" applyAlignment="1">
      <alignment horizontal="center" wrapText="1"/>
    </xf>
    <xf numFmtId="0" fontId="45" fillId="0" borderId="33" xfId="0" applyFont="1" applyBorder="1" applyAlignment="1">
      <alignment horizontal="center" wrapText="1"/>
    </xf>
    <xf numFmtId="0" fontId="46" fillId="0" borderId="33" xfId="0" applyFont="1" applyBorder="1" applyAlignment="1">
      <alignment horizontal="center" wrapText="1"/>
    </xf>
    <xf numFmtId="0" fontId="4" fillId="0" borderId="19" xfId="0" applyFont="1" applyBorder="1" applyAlignment="1">
      <alignment horizontal="center" vertical="center"/>
    </xf>
    <xf numFmtId="0" fontId="0" fillId="0" borderId="32" xfId="0" applyFill="1" applyBorder="1" applyAlignment="1">
      <alignment horizontal="center" vertical="center"/>
    </xf>
    <xf numFmtId="4" fontId="5" fillId="0" borderId="20" xfId="0" applyNumberFormat="1" applyFont="1" applyBorder="1" applyAlignment="1">
      <alignment horizontal="center" vertical="center" wrapText="1"/>
    </xf>
    <xf numFmtId="0" fontId="47" fillId="0" borderId="18" xfId="0" applyFont="1" applyBorder="1" applyAlignment="1">
      <alignment horizontal="center" wrapText="1"/>
    </xf>
    <xf numFmtId="0" fontId="47" fillId="0" borderId="33" xfId="0" applyFont="1" applyBorder="1" applyAlignment="1">
      <alignment horizontal="center" wrapText="1"/>
    </xf>
    <xf numFmtId="0" fontId="48" fillId="0" borderId="33" xfId="0" applyFont="1" applyBorder="1" applyAlignment="1">
      <alignment horizontal="center" wrapText="1"/>
    </xf>
    <xf numFmtId="0" fontId="35" fillId="0" borderId="18" xfId="0" applyFont="1" applyBorder="1" applyAlignment="1">
      <alignment horizontal="center" textRotation="90" wrapText="1"/>
    </xf>
    <xf numFmtId="0" fontId="35" fillId="0" borderId="33" xfId="0" applyFont="1" applyBorder="1" applyAlignment="1">
      <alignment horizontal="center" textRotation="90" wrapText="1"/>
    </xf>
    <xf numFmtId="0" fontId="4" fillId="0" borderId="33" xfId="0" applyFont="1" applyBorder="1" applyAlignment="1">
      <alignment horizontal="center" textRotation="90" wrapText="1"/>
    </xf>
    <xf numFmtId="0" fontId="49" fillId="0" borderId="0" xfId="0" applyFont="1" applyFill="1" applyBorder="1" applyAlignment="1">
      <alignment vertical="center"/>
    </xf>
    <xf numFmtId="0" fontId="0" fillId="0" borderId="0" xfId="0" applyFont="1" applyFill="1"/>
    <xf numFmtId="0" fontId="50" fillId="0" borderId="53" xfId="0" applyNumberFormat="1" applyFont="1" applyBorder="1" applyAlignment="1" applyProtection="1">
      <alignment horizontal="center" vertical="center" wrapText="1"/>
    </xf>
    <xf numFmtId="9" fontId="7" fillId="0" borderId="18" xfId="4" applyFont="1" applyBorder="1" applyAlignment="1">
      <alignment horizontal="center"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quotePrefix="1" applyFont="1" applyAlignment="1">
      <alignment horizontal="left" vertical="center"/>
    </xf>
    <xf numFmtId="0" fontId="20" fillId="0" borderId="0" xfId="0" applyFont="1" applyAlignment="1">
      <alignment horizontal="left" vertical="center"/>
    </xf>
    <xf numFmtId="0" fontId="51" fillId="0" borderId="0" xfId="0" applyFont="1"/>
    <xf numFmtId="0" fontId="51" fillId="0" borderId="0" xfId="0" applyFont="1" applyAlignment="1">
      <alignment horizontal="center"/>
    </xf>
    <xf numFmtId="0" fontId="0" fillId="0" borderId="18" xfId="0" applyBorder="1" applyAlignment="1">
      <alignment horizontal="center" vertical="center"/>
    </xf>
    <xf numFmtId="2" fontId="52" fillId="0" borderId="0" xfId="0" applyNumberFormat="1" applyFont="1" applyAlignment="1">
      <alignment horizontal="left" vertical="center"/>
    </xf>
    <xf numFmtId="2" fontId="53" fillId="0" borderId="18" xfId="0" applyNumberFormat="1" applyFont="1" applyBorder="1" applyAlignment="1">
      <alignment horizontal="center" vertical="center"/>
    </xf>
    <xf numFmtId="0" fontId="0" fillId="0" borderId="0" xfId="0" applyBorder="1" applyAlignment="1">
      <alignment horizontal="center" vertical="center"/>
    </xf>
    <xf numFmtId="0" fontId="24" fillId="0" borderId="18" xfId="0" applyFont="1" applyFill="1" applyBorder="1" applyAlignment="1">
      <alignment vertical="center"/>
    </xf>
    <xf numFmtId="49" fontId="21" fillId="0" borderId="0" xfId="0" applyNumberFormat="1" applyFont="1" applyBorder="1" applyAlignment="1" applyProtection="1">
      <alignment horizontal="center" vertical="center" readingOrder="1"/>
      <protection locked="0"/>
    </xf>
    <xf numFmtId="1" fontId="0" fillId="0" borderId="0" xfId="0" applyNumberFormat="1"/>
    <xf numFmtId="1" fontId="0" fillId="0" borderId="0" xfId="0" applyNumberFormat="1" applyAlignment="1">
      <alignment horizontal="left"/>
    </xf>
    <xf numFmtId="2" fontId="52" fillId="0" borderId="9" xfId="0" applyNumberFormat="1" applyFont="1" applyBorder="1" applyAlignment="1">
      <alignment horizontal="center" vertical="center"/>
    </xf>
    <xf numFmtId="2" fontId="13" fillId="0" borderId="18" xfId="0" applyNumberFormat="1" applyFont="1" applyBorder="1" applyAlignment="1">
      <alignment horizontal="center" vertical="center"/>
    </xf>
    <xf numFmtId="0" fontId="0" fillId="0" borderId="0" xfId="0" applyAlignment="1">
      <alignment vertical="center"/>
    </xf>
    <xf numFmtId="0" fontId="37" fillId="4" borderId="5" xfId="0" applyFont="1" applyFill="1" applyBorder="1" applyAlignment="1" applyProtection="1">
      <alignment vertical="center"/>
    </xf>
    <xf numFmtId="0" fontId="37" fillId="4" borderId="14" xfId="0" applyFont="1" applyFill="1" applyBorder="1" applyAlignment="1" applyProtection="1">
      <alignment vertical="center"/>
    </xf>
    <xf numFmtId="0" fontId="6" fillId="0" borderId="56" xfId="0" applyFont="1" applyBorder="1" applyAlignment="1" applyProtection="1">
      <alignment horizontal="center" vertical="center" wrapText="1"/>
    </xf>
    <xf numFmtId="0" fontId="6" fillId="0" borderId="54" xfId="0" applyFont="1" applyBorder="1" applyAlignment="1" applyProtection="1">
      <alignment horizontal="center" vertical="top" wrapText="1"/>
    </xf>
    <xf numFmtId="0" fontId="33" fillId="0" borderId="54" xfId="0" applyFont="1" applyBorder="1" applyAlignment="1" applyProtection="1">
      <alignment horizontal="left" vertical="top" wrapText="1"/>
    </xf>
    <xf numFmtId="0" fontId="18" fillId="0" borderId="18" xfId="0" applyFont="1" applyBorder="1" applyAlignment="1">
      <alignment horizontal="center" textRotation="90"/>
    </xf>
    <xf numFmtId="0" fontId="6" fillId="0" borderId="27" xfId="0" applyFont="1" applyBorder="1" applyAlignment="1" applyProtection="1">
      <alignment horizontal="left" vertical="top" wrapText="1"/>
    </xf>
    <xf numFmtId="0" fontId="52" fillId="0" borderId="18" xfId="0" applyFont="1" applyBorder="1" applyAlignment="1">
      <alignment horizontal="center" vertical="center"/>
    </xf>
    <xf numFmtId="0" fontId="9" fillId="0" borderId="24" xfId="0" applyFont="1" applyBorder="1" applyAlignment="1" applyProtection="1">
      <alignment wrapText="1"/>
    </xf>
    <xf numFmtId="0" fontId="9" fillId="0" borderId="23" xfId="0" applyFont="1" applyBorder="1" applyAlignment="1" applyProtection="1">
      <alignment wrapText="1"/>
    </xf>
    <xf numFmtId="0" fontId="56" fillId="0" borderId="9" xfId="0" applyFont="1" applyBorder="1" applyAlignment="1" applyProtection="1">
      <alignment horizontal="center" wrapText="1"/>
    </xf>
    <xf numFmtId="0" fontId="57" fillId="0" borderId="23" xfId="0" applyFont="1" applyBorder="1" applyAlignment="1" applyProtection="1">
      <alignment horizontal="center" wrapText="1"/>
    </xf>
    <xf numFmtId="0" fontId="9" fillId="0" borderId="9" xfId="0" applyFont="1" applyFill="1" applyBorder="1" applyAlignment="1" applyProtection="1">
      <alignment horizontal="center" vertical="center"/>
    </xf>
    <xf numFmtId="0" fontId="9" fillId="0" borderId="23" xfId="0" applyFont="1" applyFill="1" applyBorder="1" applyAlignment="1" applyProtection="1">
      <alignment horizontal="center" vertical="center"/>
    </xf>
    <xf numFmtId="0" fontId="9" fillId="0" borderId="54" xfId="0" applyFont="1" applyFill="1" applyBorder="1" applyAlignment="1" applyProtection="1">
      <alignment horizontal="center" vertical="center"/>
    </xf>
    <xf numFmtId="0" fontId="9" fillId="0" borderId="55" xfId="0" applyFont="1" applyFill="1" applyBorder="1" applyAlignment="1" applyProtection="1">
      <alignment horizontal="center" vertical="center"/>
    </xf>
    <xf numFmtId="0" fontId="9" fillId="0" borderId="40" xfId="0" applyFont="1" applyBorder="1" applyAlignment="1" applyProtection="1">
      <alignment vertical="center" wrapText="1"/>
    </xf>
    <xf numFmtId="0" fontId="9" fillId="0" borderId="43" xfId="0" applyFont="1" applyBorder="1" applyAlignment="1" applyProtection="1">
      <alignment vertical="center" wrapText="1"/>
    </xf>
    <xf numFmtId="2" fontId="9" fillId="0" borderId="54" xfId="0" applyNumberFormat="1" applyFont="1" applyBorder="1" applyAlignment="1" applyProtection="1">
      <alignment vertical="center" wrapText="1"/>
    </xf>
    <xf numFmtId="2" fontId="9" fillId="0" borderId="55" xfId="0" applyNumberFormat="1" applyFont="1" applyBorder="1" applyAlignment="1" applyProtection="1">
      <alignment vertical="center" wrapText="1"/>
    </xf>
    <xf numFmtId="2" fontId="9" fillId="0" borderId="27" xfId="0" applyNumberFormat="1" applyFont="1" applyBorder="1" applyAlignment="1" applyProtection="1">
      <alignment vertical="center" wrapText="1"/>
    </xf>
    <xf numFmtId="2" fontId="9" fillId="0" borderId="29" xfId="0" applyNumberFormat="1" applyFont="1" applyBorder="1" applyAlignment="1" applyProtection="1">
      <alignment vertical="center" wrapText="1"/>
    </xf>
    <xf numFmtId="0" fontId="9" fillId="0" borderId="8" xfId="0" applyFont="1" applyBorder="1" applyAlignment="1" applyProtection="1">
      <alignment vertical="center" wrapText="1"/>
    </xf>
    <xf numFmtId="0" fontId="9" fillId="0" borderId="30" xfId="0" applyFont="1" applyBorder="1" applyAlignment="1" applyProtection="1">
      <alignment vertical="center" wrapText="1"/>
    </xf>
    <xf numFmtId="0" fontId="9" fillId="0" borderId="40" xfId="0" applyFont="1" applyBorder="1" applyAlignment="1" applyProtection="1">
      <alignment horizontal="center" vertical="center" wrapText="1"/>
    </xf>
    <xf numFmtId="167" fontId="55" fillId="4" borderId="39" xfId="0" applyNumberFormat="1" applyFont="1" applyFill="1" applyBorder="1" applyAlignment="1" applyProtection="1">
      <alignment horizontal="center" vertical="center"/>
    </xf>
    <xf numFmtId="167" fontId="55" fillId="4" borderId="42" xfId="0" applyNumberFormat="1" applyFont="1" applyFill="1" applyBorder="1" applyAlignment="1" applyProtection="1">
      <alignment horizontal="center" vertical="center"/>
    </xf>
    <xf numFmtId="167" fontId="55" fillId="4" borderId="43" xfId="0" applyNumberFormat="1" applyFont="1" applyFill="1" applyBorder="1" applyAlignment="1" applyProtection="1">
      <alignment horizontal="center" vertical="center"/>
    </xf>
    <xf numFmtId="167" fontId="55" fillId="0" borderId="42" xfId="0" applyNumberFormat="1" applyFont="1" applyFill="1" applyBorder="1" applyAlignment="1" applyProtection="1">
      <alignment horizontal="center" vertical="center"/>
    </xf>
    <xf numFmtId="0" fontId="56" fillId="0" borderId="37" xfId="0" applyFont="1" applyBorder="1" applyAlignment="1" applyProtection="1">
      <alignment horizontal="center" wrapText="1"/>
    </xf>
    <xf numFmtId="0" fontId="57" fillId="0" borderId="57" xfId="0" applyFont="1" applyBorder="1" applyAlignment="1" applyProtection="1">
      <alignment horizontal="center" wrapText="1"/>
    </xf>
    <xf numFmtId="167" fontId="34" fillId="0" borderId="9" xfId="0" applyNumberFormat="1" applyFont="1" applyFill="1" applyBorder="1" applyAlignment="1" applyProtection="1">
      <alignment horizontal="center" vertical="center"/>
    </xf>
    <xf numFmtId="0" fontId="6" fillId="0" borderId="58" xfId="0" applyFont="1" applyBorder="1" applyAlignment="1" applyProtection="1">
      <alignment horizontal="center" vertical="top" wrapText="1"/>
    </xf>
    <xf numFmtId="0" fontId="33" fillId="0" borderId="58" xfId="0" applyFont="1" applyBorder="1" applyAlignment="1" applyProtection="1">
      <alignment horizontal="left" vertical="top" wrapText="1"/>
    </xf>
    <xf numFmtId="167" fontId="55" fillId="0" borderId="43" xfId="0" applyNumberFormat="1" applyFont="1" applyFill="1" applyBorder="1" applyAlignment="1" applyProtection="1">
      <alignment horizontal="center" vertical="center"/>
    </xf>
    <xf numFmtId="167" fontId="34" fillId="0" borderId="23" xfId="0" applyNumberFormat="1" applyFont="1" applyFill="1" applyBorder="1" applyAlignment="1" applyProtection="1">
      <alignment horizontal="center" vertical="center"/>
    </xf>
    <xf numFmtId="0" fontId="8" fillId="2" borderId="53" xfId="0" applyFont="1" applyFill="1" applyBorder="1" applyAlignment="1" applyProtection="1">
      <alignment horizontal="center" vertical="center" wrapText="1"/>
    </xf>
    <xf numFmtId="167" fontId="34" fillId="0" borderId="54" xfId="0" applyNumberFormat="1" applyFont="1" applyFill="1" applyBorder="1" applyAlignment="1" applyProtection="1">
      <alignment horizontal="center" vertical="center"/>
    </xf>
    <xf numFmtId="167" fontId="34" fillId="0" borderId="55" xfId="0" applyNumberFormat="1" applyFont="1" applyFill="1" applyBorder="1" applyAlignment="1" applyProtection="1">
      <alignment horizontal="center" vertical="center"/>
    </xf>
    <xf numFmtId="166" fontId="21" fillId="0" borderId="0" xfId="0" applyNumberFormat="1" applyFont="1" applyBorder="1" applyAlignment="1" applyProtection="1">
      <alignment horizontal="center" vertical="center" readingOrder="1"/>
      <protection locked="0"/>
    </xf>
    <xf numFmtId="0" fontId="60" fillId="5" borderId="60" xfId="0" applyFont="1" applyFill="1" applyBorder="1" applyAlignment="1">
      <alignment horizontal="center" vertical="center" wrapText="1"/>
    </xf>
    <xf numFmtId="0" fontId="60" fillId="5" borderId="61" xfId="0" applyFont="1" applyFill="1" applyBorder="1" applyAlignment="1">
      <alignment horizontal="center" vertical="center" wrapText="1"/>
    </xf>
    <xf numFmtId="0" fontId="61" fillId="0" borderId="62" xfId="0" applyFont="1" applyBorder="1" applyAlignment="1">
      <alignment horizontal="center" vertical="center" wrapText="1"/>
    </xf>
    <xf numFmtId="0" fontId="61" fillId="0" borderId="63" xfId="0" applyFont="1" applyBorder="1" applyAlignment="1">
      <alignment horizontal="center" vertical="center" wrapText="1"/>
    </xf>
    <xf numFmtId="0" fontId="62" fillId="0" borderId="0" xfId="0" applyFont="1"/>
    <xf numFmtId="1" fontId="21" fillId="0" borderId="0" xfId="0" applyNumberFormat="1" applyFont="1" applyBorder="1" applyAlignment="1" applyProtection="1">
      <alignment horizontal="left" vertical="center" readingOrder="1"/>
    </xf>
    <xf numFmtId="166" fontId="21" fillId="0" borderId="0" xfId="0" applyNumberFormat="1" applyFont="1" applyBorder="1" applyAlignment="1" applyProtection="1">
      <alignment horizontal="center" vertical="center" readingOrder="1"/>
    </xf>
    <xf numFmtId="0" fontId="2" fillId="0" borderId="0" xfId="0" applyFont="1"/>
    <xf numFmtId="0" fontId="53" fillId="0" borderId="0" xfId="0" applyFont="1"/>
    <xf numFmtId="0" fontId="63" fillId="0" borderId="18" xfId="0" applyFont="1" applyBorder="1" applyAlignment="1">
      <alignment horizontal="center"/>
    </xf>
    <xf numFmtId="0" fontId="64" fillId="0" borderId="0" xfId="0" applyFont="1"/>
    <xf numFmtId="0" fontId="2" fillId="0" borderId="0" xfId="0" applyFont="1" applyAlignment="1">
      <alignment vertical="center"/>
    </xf>
    <xf numFmtId="0" fontId="53" fillId="0" borderId="0" xfId="0" applyFont="1" applyAlignment="1">
      <alignment vertical="center"/>
    </xf>
    <xf numFmtId="0" fontId="66" fillId="0" borderId="0" xfId="0" applyFont="1" applyAlignment="1">
      <alignment vertical="center"/>
    </xf>
    <xf numFmtId="0" fontId="21" fillId="0" borderId="0" xfId="0" applyFont="1" applyAlignment="1">
      <alignment vertical="center"/>
    </xf>
    <xf numFmtId="167" fontId="21" fillId="0" borderId="0" xfId="0" applyNumberFormat="1" applyFont="1" applyAlignment="1">
      <alignment vertical="center"/>
    </xf>
    <xf numFmtId="0" fontId="21" fillId="0" borderId="18" xfId="0" applyFont="1" applyBorder="1" applyAlignment="1">
      <alignment horizontal="center"/>
    </xf>
    <xf numFmtId="0" fontId="67" fillId="0" borderId="18" xfId="0" applyFont="1" applyBorder="1" applyAlignment="1">
      <alignment horizontal="center"/>
    </xf>
    <xf numFmtId="0" fontId="21" fillId="0" borderId="18" xfId="0" applyFont="1" applyBorder="1" applyAlignment="1">
      <alignment horizontal="center" vertical="center"/>
    </xf>
    <xf numFmtId="0" fontId="68" fillId="0" borderId="0" xfId="0" applyFont="1"/>
    <xf numFmtId="0" fontId="69" fillId="0" borderId="0" xfId="0" applyFont="1"/>
    <xf numFmtId="0" fontId="53" fillId="0" borderId="19" xfId="0" applyFont="1" applyBorder="1" applyAlignment="1">
      <alignment horizontal="center" vertical="center"/>
    </xf>
    <xf numFmtId="0" fontId="68" fillId="0" borderId="0" xfId="0" applyFont="1" applyAlignment="1">
      <alignment horizontal="center"/>
    </xf>
    <xf numFmtId="167" fontId="68" fillId="0" borderId="0" xfId="0" applyNumberFormat="1" applyFont="1"/>
    <xf numFmtId="1" fontId="62" fillId="0" borderId="0" xfId="0" applyNumberFormat="1" applyFont="1"/>
    <xf numFmtId="0" fontId="62" fillId="0" borderId="18" xfId="0" applyFont="1" applyBorder="1" applyAlignment="1">
      <alignment horizontal="center"/>
    </xf>
    <xf numFmtId="0" fontId="68" fillId="0" borderId="0" xfId="0" applyNumberFormat="1" applyFont="1"/>
    <xf numFmtId="168" fontId="68" fillId="0" borderId="0" xfId="5" applyNumberFormat="1" applyFont="1"/>
    <xf numFmtId="164" fontId="68" fillId="0" borderId="0" xfId="5" applyFont="1"/>
    <xf numFmtId="0" fontId="21" fillId="0" borderId="0" xfId="0" applyFont="1"/>
    <xf numFmtId="0" fontId="53" fillId="0" borderId="18" xfId="0" applyFont="1" applyBorder="1" applyAlignment="1">
      <alignment horizontal="center" vertical="center"/>
    </xf>
    <xf numFmtId="0" fontId="70" fillId="0" borderId="18" xfId="0" applyFont="1" applyBorder="1" applyAlignment="1">
      <alignment horizontal="center" vertical="center"/>
    </xf>
    <xf numFmtId="0" fontId="62" fillId="0" borderId="18" xfId="0" applyFont="1" applyBorder="1" applyAlignment="1">
      <alignment horizontal="center" vertical="center"/>
    </xf>
    <xf numFmtId="0" fontId="62" fillId="0" borderId="18" xfId="0" applyFont="1" applyBorder="1" applyAlignment="1">
      <alignment horizontal="left" vertical="center" wrapText="1" indent="1"/>
    </xf>
    <xf numFmtId="0" fontId="68" fillId="0" borderId="18" xfId="0" applyFont="1" applyBorder="1" applyAlignment="1">
      <alignment horizontal="left" vertical="center" wrapText="1" indent="1"/>
    </xf>
    <xf numFmtId="167" fontId="62" fillId="0" borderId="18" xfId="0" applyNumberFormat="1" applyFont="1" applyBorder="1" applyAlignment="1">
      <alignment horizontal="center" vertical="center"/>
    </xf>
    <xf numFmtId="0" fontId="62" fillId="0" borderId="0" xfId="0" applyFont="1" applyAlignment="1">
      <alignment horizontal="left" vertical="center" indent="20"/>
    </xf>
    <xf numFmtId="0" fontId="27" fillId="0" borderId="0" xfId="0" applyFont="1"/>
    <xf numFmtId="0" fontId="21" fillId="0" borderId="18" xfId="0" applyFont="1" applyBorder="1" applyAlignment="1" applyProtection="1">
      <alignment vertical="center" wrapText="1"/>
      <protection locked="0"/>
    </xf>
    <xf numFmtId="0" fontId="65" fillId="0" borderId="0" xfId="0" applyFont="1" applyAlignment="1">
      <alignment horizontal="left" vertical="center"/>
    </xf>
    <xf numFmtId="0" fontId="21" fillId="0" borderId="0" xfId="0" applyFont="1" applyAlignment="1">
      <alignment vertical="top"/>
    </xf>
    <xf numFmtId="167" fontId="21" fillId="0" borderId="0" xfId="0" applyNumberFormat="1" applyFont="1" applyAlignment="1">
      <alignment vertical="top"/>
    </xf>
    <xf numFmtId="0" fontId="21" fillId="0" borderId="0" xfId="0" applyFont="1" applyAlignment="1"/>
    <xf numFmtId="167" fontId="21" fillId="0" borderId="0" xfId="0" applyNumberFormat="1" applyFont="1" applyAlignment="1"/>
    <xf numFmtId="0" fontId="62" fillId="0" borderId="0" xfId="0" applyFont="1" applyAlignment="1">
      <alignment horizontal="left" vertical="top" indent="20"/>
    </xf>
    <xf numFmtId="0" fontId="2" fillId="0" borderId="0" xfId="0" applyFont="1" applyBorder="1" applyAlignment="1">
      <alignment vertical="center"/>
    </xf>
    <xf numFmtId="165" fontId="26" fillId="0" borderId="0" xfId="0" applyNumberFormat="1" applyFont="1" applyBorder="1" applyAlignment="1" applyProtection="1">
      <alignment horizontal="center" vertical="center"/>
    </xf>
    <xf numFmtId="165" fontId="23" fillId="0" borderId="0" xfId="0" applyNumberFormat="1" applyFont="1" applyBorder="1" applyAlignment="1" applyProtection="1">
      <alignment horizontal="center" vertical="center"/>
    </xf>
    <xf numFmtId="0" fontId="71" fillId="0" borderId="0" xfId="0" applyFont="1" applyBorder="1" applyAlignment="1" applyProtection="1">
      <alignment vertical="center"/>
    </xf>
    <xf numFmtId="0" fontId="72" fillId="0" borderId="0" xfId="0" applyFont="1" applyBorder="1" applyAlignment="1" applyProtection="1">
      <alignment vertical="center"/>
    </xf>
    <xf numFmtId="1" fontId="72" fillId="0" borderId="0" xfId="0" applyNumberFormat="1" applyFont="1" applyBorder="1" applyAlignment="1" applyProtection="1">
      <alignment horizontal="left" vertical="center" readingOrder="1"/>
    </xf>
    <xf numFmtId="0" fontId="74" fillId="0" borderId="0" xfId="0" applyFont="1" applyBorder="1" applyAlignment="1" applyProtection="1">
      <alignment vertical="center"/>
    </xf>
    <xf numFmtId="0" fontId="75" fillId="0" borderId="0" xfId="0" applyFont="1" applyBorder="1" applyAlignment="1" applyProtection="1">
      <alignment vertical="center"/>
    </xf>
    <xf numFmtId="0" fontId="26" fillId="0" borderId="0" xfId="0" applyFont="1" applyBorder="1" applyAlignment="1" applyProtection="1">
      <alignment horizontal="center" vertical="center"/>
    </xf>
    <xf numFmtId="0" fontId="76" fillId="0" borderId="0" xfId="0" applyFont="1" applyFill="1" applyBorder="1" applyAlignment="1" applyProtection="1">
      <alignment vertical="center"/>
    </xf>
    <xf numFmtId="0" fontId="26" fillId="0" borderId="0" xfId="0" applyFont="1" applyBorder="1" applyAlignment="1" applyProtection="1">
      <alignment vertical="center"/>
    </xf>
    <xf numFmtId="0" fontId="23" fillId="0" borderId="0" xfId="0" applyFont="1" applyBorder="1" applyAlignment="1" applyProtection="1">
      <alignment vertical="center"/>
    </xf>
    <xf numFmtId="0" fontId="75" fillId="0" borderId="0" xfId="0" applyFont="1" applyBorder="1" applyProtection="1"/>
    <xf numFmtId="0" fontId="74" fillId="0" borderId="0" xfId="0" applyFont="1" applyBorder="1" applyProtection="1"/>
    <xf numFmtId="0" fontId="77" fillId="0" borderId="0" xfId="0" applyFont="1" applyBorder="1" applyAlignment="1" applyProtection="1">
      <alignment vertical="center"/>
    </xf>
    <xf numFmtId="0" fontId="78" fillId="0" borderId="0" xfId="0" applyFont="1" applyBorder="1" applyAlignment="1" applyProtection="1">
      <alignment vertical="center"/>
    </xf>
    <xf numFmtId="0" fontId="73" fillId="0" borderId="0" xfId="0" applyFont="1" applyFill="1" applyBorder="1" applyAlignment="1" applyProtection="1">
      <alignment horizontal="left" vertical="center"/>
    </xf>
    <xf numFmtId="0" fontId="72" fillId="0" borderId="0" xfId="0" applyFont="1" applyBorder="1" applyAlignment="1" applyProtection="1">
      <alignment horizontal="left" vertical="center"/>
    </xf>
    <xf numFmtId="1" fontId="72" fillId="0" borderId="0" xfId="0" applyNumberFormat="1" applyFont="1" applyBorder="1" applyAlignment="1" applyProtection="1">
      <alignment vertical="center" readingOrder="1"/>
    </xf>
    <xf numFmtId="1" fontId="80" fillId="0" borderId="0" xfId="0" applyNumberFormat="1" applyFont="1" applyAlignment="1"/>
    <xf numFmtId="0" fontId="21" fillId="0" borderId="0" xfId="0" applyNumberFormat="1" applyFont="1" applyAlignment="1">
      <alignment vertical="top"/>
    </xf>
    <xf numFmtId="0" fontId="80" fillId="0" borderId="0" xfId="0" applyFont="1" applyAlignment="1"/>
    <xf numFmtId="1" fontId="42" fillId="0" borderId="0" xfId="0" applyNumberFormat="1" applyFont="1" applyAlignment="1">
      <alignment horizontal="left" indent="20"/>
    </xf>
    <xf numFmtId="0" fontId="17" fillId="0" borderId="0" xfId="1"/>
    <xf numFmtId="0" fontId="18" fillId="0" borderId="0" xfId="0" applyFont="1" applyAlignment="1">
      <alignment horizontal="center" vertical="center"/>
    </xf>
    <xf numFmtId="0" fontId="53" fillId="0" borderId="0" xfId="0" applyFont="1" applyAlignment="1">
      <alignment horizontal="center" vertical="center"/>
    </xf>
    <xf numFmtId="0" fontId="8" fillId="2" borderId="24" xfId="0" applyFont="1" applyFill="1" applyBorder="1" applyAlignment="1" applyProtection="1">
      <alignment horizontal="left" vertical="top" wrapText="1"/>
    </xf>
    <xf numFmtId="0" fontId="8" fillId="2" borderId="28" xfId="0" applyFont="1" applyFill="1" applyBorder="1" applyAlignment="1" applyProtection="1">
      <alignment horizontal="left" vertical="top" wrapText="1"/>
    </xf>
    <xf numFmtId="0" fontId="0" fillId="0" borderId="0" xfId="0" applyAlignment="1">
      <alignment horizontal="center"/>
    </xf>
    <xf numFmtId="0" fontId="53" fillId="6" borderId="18" xfId="0" applyFont="1" applyFill="1" applyBorder="1" applyAlignment="1">
      <alignment horizontal="center" vertical="center"/>
    </xf>
    <xf numFmtId="0" fontId="53" fillId="7" borderId="18" xfId="0" applyFont="1" applyFill="1" applyBorder="1" applyAlignment="1">
      <alignment horizontal="center" vertical="center"/>
    </xf>
    <xf numFmtId="0" fontId="0" fillId="0" borderId="0" xfId="0" applyAlignment="1">
      <alignment horizontal="center"/>
    </xf>
    <xf numFmtId="167" fontId="55" fillId="4" borderId="41" xfId="0" applyNumberFormat="1" applyFont="1" applyFill="1" applyBorder="1" applyAlignment="1" applyProtection="1">
      <alignment horizontal="center" vertical="center"/>
    </xf>
    <xf numFmtId="0" fontId="8" fillId="2" borderId="11" xfId="0" applyFont="1" applyFill="1" applyBorder="1" applyAlignment="1" applyProtection="1">
      <alignment horizontal="center" vertical="center" wrapText="1"/>
    </xf>
    <xf numFmtId="0" fontId="8" fillId="2" borderId="16" xfId="0" applyFont="1" applyFill="1" applyBorder="1" applyAlignment="1" applyProtection="1">
      <alignment horizontal="left" vertical="top" wrapText="1"/>
    </xf>
    <xf numFmtId="167" fontId="34" fillId="0" borderId="58" xfId="0" applyNumberFormat="1" applyFont="1" applyFill="1" applyBorder="1" applyAlignment="1" applyProtection="1">
      <alignment horizontal="center" vertical="center"/>
    </xf>
    <xf numFmtId="167" fontId="34" fillId="0" borderId="59" xfId="0" applyNumberFormat="1" applyFont="1" applyFill="1" applyBorder="1" applyAlignment="1" applyProtection="1">
      <alignment horizontal="center" vertical="center"/>
    </xf>
    <xf numFmtId="0" fontId="37" fillId="4" borderId="19" xfId="0" applyFont="1" applyFill="1" applyBorder="1" applyAlignment="1" applyProtection="1">
      <alignment vertical="center"/>
    </xf>
    <xf numFmtId="0" fontId="37" fillId="4" borderId="20" xfId="0" applyFont="1" applyFill="1" applyBorder="1" applyAlignment="1" applyProtection="1">
      <alignment vertical="center"/>
    </xf>
    <xf numFmtId="167" fontId="55" fillId="0" borderId="64" xfId="0" applyNumberFormat="1" applyFont="1" applyFill="1" applyBorder="1" applyAlignment="1" applyProtection="1">
      <alignment horizontal="center" vertical="center"/>
    </xf>
    <xf numFmtId="167" fontId="55" fillId="0" borderId="65" xfId="0" applyNumberFormat="1" applyFont="1" applyFill="1" applyBorder="1" applyAlignment="1" applyProtection="1">
      <alignment horizontal="center" vertical="center"/>
    </xf>
    <xf numFmtId="167" fontId="55" fillId="0" borderId="66" xfId="0" applyNumberFormat="1" applyFont="1" applyFill="1" applyBorder="1" applyAlignment="1" applyProtection="1">
      <alignment horizontal="center" vertical="center"/>
    </xf>
    <xf numFmtId="167" fontId="34" fillId="0" borderId="42" xfId="0" applyNumberFormat="1" applyFont="1" applyFill="1" applyBorder="1" applyAlignment="1" applyProtection="1">
      <alignment horizontal="center" vertical="center"/>
    </xf>
    <xf numFmtId="167" fontId="34" fillId="0" borderId="43" xfId="0" applyNumberFormat="1" applyFont="1" applyFill="1" applyBorder="1" applyAlignment="1" applyProtection="1">
      <alignment horizontal="center" vertical="center"/>
    </xf>
    <xf numFmtId="167" fontId="34" fillId="0" borderId="67" xfId="0" applyNumberFormat="1" applyFont="1" applyFill="1" applyBorder="1" applyAlignment="1" applyProtection="1">
      <alignment horizontal="center" vertical="center"/>
    </xf>
    <xf numFmtId="167" fontId="34" fillId="0" borderId="68" xfId="0" applyNumberFormat="1" applyFont="1" applyFill="1" applyBorder="1" applyAlignment="1" applyProtection="1">
      <alignment horizontal="center" vertical="center"/>
    </xf>
    <xf numFmtId="0" fontId="0" fillId="0" borderId="0" xfId="0" applyAlignment="1">
      <alignment horizontal="center"/>
    </xf>
    <xf numFmtId="167" fontId="55" fillId="4" borderId="64" xfId="0" applyNumberFormat="1" applyFont="1" applyFill="1" applyBorder="1" applyAlignment="1" applyProtection="1">
      <alignment horizontal="center" vertical="center"/>
    </xf>
    <xf numFmtId="167" fontId="55" fillId="4" borderId="65" xfId="0" applyNumberFormat="1" applyFont="1" applyFill="1" applyBorder="1" applyAlignment="1" applyProtection="1">
      <alignment horizontal="center" vertical="center"/>
    </xf>
    <xf numFmtId="167" fontId="55" fillId="4" borderId="66" xfId="0" applyNumberFormat="1" applyFont="1" applyFill="1" applyBorder="1" applyAlignment="1" applyProtection="1">
      <alignment horizontal="center" vertical="center"/>
    </xf>
    <xf numFmtId="0" fontId="40" fillId="0" borderId="0" xfId="0" applyFont="1" applyFill="1" applyAlignment="1">
      <alignment horizontal="center"/>
    </xf>
    <xf numFmtId="167" fontId="33" fillId="0" borderId="42" xfId="0" applyNumberFormat="1" applyFont="1" applyFill="1" applyBorder="1" applyAlignment="1" applyProtection="1">
      <alignment horizontal="center" vertical="center"/>
    </xf>
    <xf numFmtId="167" fontId="33" fillId="0" borderId="43" xfId="0" applyNumberFormat="1" applyFont="1" applyFill="1" applyBorder="1" applyAlignment="1" applyProtection="1">
      <alignment horizontal="center" vertical="center"/>
    </xf>
    <xf numFmtId="167" fontId="33" fillId="0" borderId="58" xfId="0" applyNumberFormat="1" applyFont="1" applyFill="1" applyBorder="1" applyAlignment="1" applyProtection="1">
      <alignment horizontal="center" vertical="center"/>
    </xf>
    <xf numFmtId="167" fontId="33" fillId="0" borderId="59" xfId="0" applyNumberFormat="1" applyFont="1" applyFill="1" applyBorder="1" applyAlignment="1" applyProtection="1">
      <alignment horizontal="center" vertical="center"/>
    </xf>
    <xf numFmtId="167" fontId="33" fillId="0" borderId="67" xfId="0" applyNumberFormat="1" applyFont="1" applyFill="1" applyBorder="1" applyAlignment="1" applyProtection="1">
      <alignment horizontal="center" vertical="center"/>
    </xf>
    <xf numFmtId="167" fontId="33" fillId="0" borderId="68" xfId="0" applyNumberFormat="1" applyFont="1" applyFill="1" applyBorder="1" applyAlignment="1" applyProtection="1">
      <alignment horizontal="center" vertical="center"/>
    </xf>
    <xf numFmtId="167" fontId="33" fillId="0" borderId="9" xfId="0" applyNumberFormat="1" applyFont="1" applyFill="1" applyBorder="1" applyAlignment="1" applyProtection="1">
      <alignment horizontal="center" vertical="center"/>
    </xf>
    <xf numFmtId="167" fontId="33" fillId="0" borderId="23" xfId="0" applyNumberFormat="1" applyFont="1" applyFill="1" applyBorder="1" applyAlignment="1" applyProtection="1">
      <alignment horizontal="center" vertical="center"/>
    </xf>
    <xf numFmtId="167" fontId="33" fillId="0" borderId="54" xfId="0" applyNumberFormat="1" applyFont="1" applyFill="1" applyBorder="1" applyAlignment="1" applyProtection="1">
      <alignment horizontal="center" vertical="center"/>
    </xf>
    <xf numFmtId="167" fontId="33" fillId="0" borderId="55" xfId="0" applyNumberFormat="1" applyFont="1" applyFill="1" applyBorder="1" applyAlignment="1" applyProtection="1">
      <alignment horizontal="center" vertical="center"/>
    </xf>
    <xf numFmtId="0" fontId="6" fillId="0" borderId="11" xfId="0" applyFont="1" applyFill="1" applyBorder="1" applyAlignment="1" applyProtection="1">
      <alignment horizontal="center" vertical="center" wrapText="1"/>
    </xf>
    <xf numFmtId="0" fontId="6" fillId="0" borderId="16" xfId="0" applyFont="1" applyFill="1" applyBorder="1" applyAlignment="1" applyProtection="1">
      <alignment horizontal="left" vertical="top" wrapText="1"/>
    </xf>
    <xf numFmtId="0" fontId="6" fillId="0" borderId="12" xfId="0" applyFont="1" applyFill="1" applyBorder="1" applyAlignment="1" applyProtection="1">
      <alignment horizontal="center" vertical="center" wrapText="1"/>
    </xf>
    <xf numFmtId="0" fontId="6" fillId="0" borderId="24" xfId="0" applyFont="1" applyFill="1" applyBorder="1" applyAlignment="1" applyProtection="1">
      <alignment horizontal="left" vertical="top" wrapText="1"/>
    </xf>
    <xf numFmtId="0" fontId="6" fillId="0" borderId="53" xfId="0" applyFont="1" applyFill="1" applyBorder="1" applyAlignment="1" applyProtection="1">
      <alignment horizontal="center" vertical="center" wrapText="1"/>
    </xf>
    <xf numFmtId="0" fontId="6" fillId="0" borderId="28" xfId="0" applyFont="1" applyFill="1" applyBorder="1" applyAlignment="1" applyProtection="1">
      <alignment horizontal="left" vertical="top" wrapText="1"/>
    </xf>
    <xf numFmtId="164" fontId="33" fillId="0" borderId="42" xfId="5" applyFont="1" applyFill="1" applyBorder="1" applyAlignment="1" applyProtection="1">
      <alignment horizontal="center" vertical="center"/>
    </xf>
    <xf numFmtId="164" fontId="33" fillId="0" borderId="58" xfId="5" applyFont="1" applyFill="1" applyBorder="1" applyAlignment="1" applyProtection="1">
      <alignment horizontal="center" vertical="center"/>
    </xf>
    <xf numFmtId="164" fontId="33" fillId="0" borderId="67" xfId="5" applyFont="1" applyFill="1" applyBorder="1" applyAlignment="1" applyProtection="1">
      <alignment horizontal="center" vertical="center"/>
    </xf>
    <xf numFmtId="164" fontId="33" fillId="0" borderId="9" xfId="5" applyFont="1" applyFill="1" applyBorder="1" applyAlignment="1" applyProtection="1">
      <alignment horizontal="center" vertical="center"/>
    </xf>
    <xf numFmtId="164" fontId="33" fillId="0" borderId="54" xfId="5" applyFont="1" applyFill="1" applyBorder="1" applyAlignment="1" applyProtection="1">
      <alignment horizontal="center" vertical="center"/>
    </xf>
    <xf numFmtId="0" fontId="84" fillId="4" borderId="14" xfId="0" applyFont="1" applyFill="1" applyBorder="1" applyAlignment="1" applyProtection="1">
      <alignment horizontal="center" vertical="center"/>
    </xf>
    <xf numFmtId="0" fontId="85" fillId="4" borderId="32" xfId="0" applyFont="1" applyFill="1" applyBorder="1" applyAlignment="1" applyProtection="1">
      <alignment horizontal="center" vertical="center"/>
    </xf>
    <xf numFmtId="0" fontId="82" fillId="0" borderId="0" xfId="0" applyFont="1" applyFill="1" applyAlignment="1">
      <alignment horizontal="center" vertical="center"/>
    </xf>
    <xf numFmtId="0" fontId="83" fillId="0" borderId="0" xfId="0" applyFont="1" applyAlignment="1">
      <alignment horizontal="center" vertical="center"/>
    </xf>
    <xf numFmtId="0" fontId="48" fillId="2" borderId="16" xfId="0" applyFont="1" applyFill="1" applyBorder="1" applyAlignment="1" applyProtection="1">
      <alignment horizontal="center" vertical="center" wrapText="1"/>
    </xf>
    <xf numFmtId="0" fontId="48" fillId="2" borderId="24" xfId="0" applyFont="1" applyFill="1" applyBorder="1" applyAlignment="1" applyProtection="1">
      <alignment horizontal="center" vertical="center" wrapText="1"/>
    </xf>
    <xf numFmtId="0" fontId="48" fillId="2" borderId="28" xfId="0" applyFont="1" applyFill="1" applyBorder="1" applyAlignment="1" applyProtection="1">
      <alignment horizontal="center" vertical="center" wrapText="1"/>
    </xf>
    <xf numFmtId="0" fontId="86" fillId="0" borderId="0" xfId="0" applyFont="1"/>
    <xf numFmtId="0" fontId="54" fillId="4" borderId="26" xfId="0" applyFont="1" applyFill="1" applyBorder="1" applyAlignment="1" applyProtection="1">
      <alignment vertical="center"/>
    </xf>
    <xf numFmtId="0" fontId="87" fillId="4" borderId="5" xfId="0" applyFont="1" applyFill="1" applyBorder="1" applyAlignment="1" applyProtection="1">
      <alignment vertical="center"/>
    </xf>
    <xf numFmtId="167" fontId="33" fillId="0" borderId="43" xfId="0" applyNumberFormat="1" applyFont="1" applyFill="1" applyBorder="1" applyAlignment="1" applyProtection="1">
      <alignment horizontal="left" vertical="center"/>
    </xf>
    <xf numFmtId="167" fontId="33" fillId="0" borderId="59" xfId="0" applyNumberFormat="1" applyFont="1" applyFill="1" applyBorder="1" applyAlignment="1" applyProtection="1">
      <alignment horizontal="left" vertical="center"/>
    </xf>
    <xf numFmtId="167" fontId="33" fillId="0" borderId="68" xfId="0" applyNumberFormat="1" applyFont="1" applyFill="1" applyBorder="1" applyAlignment="1" applyProtection="1">
      <alignment horizontal="left" vertical="center"/>
    </xf>
    <xf numFmtId="167" fontId="33" fillId="0" borderId="23" xfId="0" applyNumberFormat="1" applyFont="1" applyFill="1" applyBorder="1" applyAlignment="1" applyProtection="1">
      <alignment horizontal="left" vertical="center"/>
    </xf>
    <xf numFmtId="167" fontId="33" fillId="0" borderId="55" xfId="0" applyNumberFormat="1" applyFont="1" applyFill="1" applyBorder="1" applyAlignment="1" applyProtection="1">
      <alignment horizontal="left" vertical="center"/>
    </xf>
    <xf numFmtId="0" fontId="54" fillId="4" borderId="5" xfId="0" applyFont="1" applyFill="1" applyBorder="1" applyAlignment="1" applyProtection="1">
      <alignment horizontal="left" vertical="center" indent="2"/>
    </xf>
    <xf numFmtId="0" fontId="81" fillId="4" borderId="5" xfId="0" applyFont="1" applyFill="1" applyBorder="1" applyAlignment="1" applyProtection="1">
      <alignment horizontal="center" vertical="center"/>
    </xf>
    <xf numFmtId="168" fontId="69" fillId="0" borderId="0" xfId="5" applyNumberFormat="1" applyFont="1"/>
    <xf numFmtId="168" fontId="62" fillId="0" borderId="0" xfId="5" applyNumberFormat="1" applyFont="1"/>
    <xf numFmtId="168" fontId="2" fillId="0" borderId="0" xfId="5" applyNumberFormat="1" applyFont="1"/>
    <xf numFmtId="0" fontId="62" fillId="0" borderId="18" xfId="0" applyFont="1" applyBorder="1"/>
    <xf numFmtId="164" fontId="62" fillId="0" borderId="18" xfId="0" applyNumberFormat="1" applyFont="1" applyBorder="1"/>
    <xf numFmtId="0" fontId="88" fillId="2" borderId="23" xfId="0" applyFont="1" applyFill="1" applyBorder="1" applyAlignment="1" applyProtection="1">
      <alignment horizontal="center" vertical="center" wrapText="1"/>
    </xf>
    <xf numFmtId="0" fontId="8" fillId="2" borderId="8" xfId="0" applyFont="1" applyFill="1" applyBorder="1" applyAlignment="1" applyProtection="1">
      <alignment horizontal="center" vertical="center" wrapText="1"/>
    </xf>
    <xf numFmtId="0" fontId="21" fillId="0" borderId="18" xfId="0" applyFont="1" applyBorder="1" applyAlignment="1">
      <alignment vertical="center"/>
    </xf>
    <xf numFmtId="167" fontId="21" fillId="0" borderId="18" xfId="0" applyNumberFormat="1" applyFont="1" applyBorder="1" applyAlignment="1">
      <alignment vertical="center"/>
    </xf>
    <xf numFmtId="0" fontId="2" fillId="0" borderId="18" xfId="0" applyFont="1" applyBorder="1" applyAlignment="1">
      <alignment vertical="center"/>
    </xf>
    <xf numFmtId="167" fontId="2" fillId="0" borderId="18" xfId="0" applyNumberFormat="1" applyFont="1" applyBorder="1"/>
    <xf numFmtId="164" fontId="27" fillId="0" borderId="18" xfId="5" applyFont="1" applyBorder="1"/>
    <xf numFmtId="167" fontId="21" fillId="0" borderId="18" xfId="0" applyNumberFormat="1" applyFont="1" applyBorder="1"/>
    <xf numFmtId="164" fontId="66" fillId="0" borderId="18" xfId="5" applyFont="1" applyBorder="1"/>
    <xf numFmtId="0" fontId="1" fillId="0" borderId="18" xfId="0" applyFont="1" applyBorder="1" applyAlignment="1">
      <alignment vertical="center"/>
    </xf>
    <xf numFmtId="164" fontId="2" fillId="0" borderId="19" xfId="0" applyNumberFormat="1" applyFont="1" applyBorder="1" applyAlignment="1">
      <alignment vertical="center"/>
    </xf>
    <xf numFmtId="0" fontId="21" fillId="0" borderId="0" xfId="0" applyFont="1" applyAlignment="1">
      <alignment horizontal="center" vertical="center"/>
    </xf>
    <xf numFmtId="0" fontId="2" fillId="0" borderId="18" xfId="0" applyFont="1" applyBorder="1" applyAlignment="1">
      <alignment horizontal="center" vertical="center"/>
    </xf>
    <xf numFmtId="0" fontId="21" fillId="0" borderId="0" xfId="0" applyFont="1" applyAlignment="1">
      <alignment horizontal="center"/>
    </xf>
    <xf numFmtId="0" fontId="21" fillId="0" borderId="0" xfId="0" applyFont="1" applyAlignment="1">
      <alignment horizontal="center" vertical="top"/>
    </xf>
    <xf numFmtId="0" fontId="67" fillId="0" borderId="20" xfId="0" applyFont="1" applyBorder="1" applyAlignment="1">
      <alignment horizontal="center" vertical="center"/>
    </xf>
    <xf numFmtId="0" fontId="89" fillId="0" borderId="0" xfId="0" applyFont="1"/>
    <xf numFmtId="0" fontId="53" fillId="0" borderId="0" xfId="0" applyFont="1" applyAlignment="1">
      <alignment horizontal="center"/>
    </xf>
    <xf numFmtId="0" fontId="0" fillId="0" borderId="19" xfId="0" applyBorder="1" applyAlignment="1">
      <alignment horizontal="center" vertical="center"/>
    </xf>
    <xf numFmtId="0" fontId="90" fillId="0" borderId="0" xfId="0" applyFont="1" applyBorder="1" applyAlignment="1" applyProtection="1">
      <alignment horizontal="center" vertical="center"/>
      <protection locked="0"/>
    </xf>
    <xf numFmtId="0" fontId="90" fillId="0" borderId="0" xfId="0" applyFont="1" applyBorder="1" applyAlignment="1" applyProtection="1">
      <alignment horizontal="right" vertical="center"/>
      <protection locked="0"/>
    </xf>
    <xf numFmtId="0" fontId="90" fillId="0" borderId="0" xfId="0" applyFont="1" applyBorder="1" applyAlignment="1" applyProtection="1">
      <alignment horizontal="center" vertical="top"/>
      <protection locked="0"/>
    </xf>
    <xf numFmtId="0" fontId="90" fillId="0" borderId="0" xfId="0" applyFont="1" applyBorder="1" applyAlignment="1" applyProtection="1">
      <alignment horizontal="left" vertical="center"/>
      <protection locked="0"/>
    </xf>
    <xf numFmtId="0" fontId="91" fillId="0" borderId="0" xfId="0" applyFont="1"/>
    <xf numFmtId="0" fontId="44" fillId="0" borderId="0" xfId="0" applyFont="1" applyAlignment="1">
      <alignment vertical="top"/>
    </xf>
    <xf numFmtId="166" fontId="21" fillId="0" borderId="0" xfId="0" applyNumberFormat="1" applyFont="1" applyBorder="1" applyAlignment="1" applyProtection="1">
      <alignment horizontal="center" vertical="center" readingOrder="1"/>
    </xf>
    <xf numFmtId="0" fontId="24" fillId="0" borderId="18" xfId="0" applyFont="1" applyFill="1" applyBorder="1" applyAlignment="1" applyProtection="1">
      <alignment vertical="center"/>
      <protection locked="0"/>
    </xf>
    <xf numFmtId="0" fontId="63" fillId="0" borderId="35" xfId="0" applyFont="1" applyBorder="1" applyAlignment="1">
      <alignment horizontal="center" vertical="center"/>
    </xf>
    <xf numFmtId="0" fontId="63" fillId="0" borderId="48" xfId="0" applyFont="1" applyBorder="1" applyAlignment="1">
      <alignment horizontal="center" vertical="center"/>
    </xf>
    <xf numFmtId="0" fontId="63" fillId="0" borderId="51" xfId="0" applyFont="1" applyBorder="1" applyAlignment="1">
      <alignment horizontal="center" vertical="center"/>
    </xf>
    <xf numFmtId="0" fontId="53" fillId="6" borderId="19" xfId="0" applyFont="1" applyFill="1" applyBorder="1" applyAlignment="1">
      <alignment horizontal="center" vertical="center"/>
    </xf>
    <xf numFmtId="0" fontId="53" fillId="6" borderId="32" xfId="0" applyFont="1" applyFill="1" applyBorder="1" applyAlignment="1">
      <alignment horizontal="center" vertical="center"/>
    </xf>
    <xf numFmtId="0" fontId="53" fillId="6" borderId="20" xfId="0" applyFont="1" applyFill="1" applyBorder="1" applyAlignment="1">
      <alignment horizontal="center" vertical="center"/>
    </xf>
    <xf numFmtId="0" fontId="25" fillId="0" borderId="34" xfId="0" applyFont="1" applyBorder="1" applyAlignment="1">
      <alignment horizontal="center" vertical="center" textRotation="90"/>
    </xf>
    <xf numFmtId="0" fontId="25" fillId="0" borderId="22" xfId="0" applyFont="1" applyBorder="1" applyAlignment="1">
      <alignment horizontal="center" vertical="center" textRotation="90"/>
    </xf>
    <xf numFmtId="0" fontId="25" fillId="0" borderId="50" xfId="0" applyFont="1" applyBorder="1" applyAlignment="1">
      <alignment horizontal="center" vertical="center" textRotation="90"/>
    </xf>
    <xf numFmtId="0" fontId="53" fillId="7" borderId="19" xfId="0" applyFont="1" applyFill="1" applyBorder="1" applyAlignment="1">
      <alignment horizontal="center" vertical="center"/>
    </xf>
    <xf numFmtId="0" fontId="53" fillId="7" borderId="32" xfId="0" applyFont="1" applyFill="1" applyBorder="1" applyAlignment="1">
      <alignment horizontal="center" vertical="center"/>
    </xf>
    <xf numFmtId="0" fontId="53" fillId="7" borderId="20" xfId="0" applyFont="1" applyFill="1" applyBorder="1" applyAlignment="1">
      <alignment horizontal="center" vertical="center"/>
    </xf>
    <xf numFmtId="166" fontId="21" fillId="0" borderId="0" xfId="0" applyNumberFormat="1" applyFont="1" applyBorder="1" applyAlignment="1" applyProtection="1">
      <alignment horizontal="center" vertical="center" readingOrder="1"/>
      <protection locked="0"/>
    </xf>
    <xf numFmtId="1" fontId="21" fillId="0" borderId="0" xfId="0" applyNumberFormat="1" applyFont="1" applyBorder="1" applyAlignment="1" applyProtection="1">
      <alignment horizontal="left" vertical="center" readingOrder="1"/>
      <protection locked="0"/>
    </xf>
    <xf numFmtId="49" fontId="21" fillId="0" borderId="0" xfId="0" applyNumberFormat="1" applyFont="1" applyBorder="1" applyAlignment="1" applyProtection="1">
      <alignment horizontal="left" vertical="center" readingOrder="1"/>
      <protection locked="0"/>
    </xf>
    <xf numFmtId="166" fontId="21" fillId="0" borderId="0" xfId="0" applyNumberFormat="1" applyFont="1" applyBorder="1" applyAlignment="1" applyProtection="1">
      <alignment horizontal="center" vertical="center" readingOrder="1"/>
    </xf>
    <xf numFmtId="0" fontId="21" fillId="0" borderId="0" xfId="0" applyFont="1" applyBorder="1" applyAlignment="1" applyProtection="1">
      <alignment horizontal="left" vertical="center"/>
      <protection locked="0"/>
    </xf>
    <xf numFmtId="0" fontId="36" fillId="0" borderId="0" xfId="0" applyFont="1" applyBorder="1" applyAlignment="1">
      <alignment horizontal="left" vertical="center"/>
    </xf>
    <xf numFmtId="166" fontId="21" fillId="0" borderId="0" xfId="0" applyNumberFormat="1" applyFont="1" applyBorder="1" applyAlignment="1" applyProtection="1">
      <alignment horizontal="left" vertical="center" readingOrder="1"/>
      <protection locked="0"/>
    </xf>
    <xf numFmtId="0" fontId="21" fillId="0" borderId="0" xfId="0" applyFont="1" applyBorder="1" applyAlignment="1" applyProtection="1">
      <alignment horizontal="left" vertical="center"/>
    </xf>
    <xf numFmtId="1" fontId="72" fillId="0" borderId="0" xfId="0" applyNumberFormat="1" applyFont="1" applyBorder="1" applyAlignment="1" applyProtection="1">
      <alignment horizontal="left" vertical="center" readingOrder="1"/>
    </xf>
    <xf numFmtId="166" fontId="72" fillId="0" borderId="0" xfId="0" applyNumberFormat="1" applyFont="1" applyBorder="1" applyAlignment="1" applyProtection="1">
      <alignment horizontal="left" vertical="center" readingOrder="1"/>
    </xf>
    <xf numFmtId="0" fontId="26" fillId="0" borderId="0" xfId="0" applyFont="1" applyBorder="1" applyAlignment="1" applyProtection="1">
      <alignment horizontal="center" vertical="center"/>
      <protection locked="0"/>
    </xf>
    <xf numFmtId="0" fontId="23" fillId="0" borderId="0" xfId="0" applyFont="1" applyBorder="1" applyAlignment="1" applyProtection="1">
      <alignment horizontal="center" vertical="center"/>
    </xf>
    <xf numFmtId="165" fontId="23" fillId="0" borderId="0" xfId="0" applyNumberFormat="1" applyFont="1" applyBorder="1" applyAlignment="1" applyProtection="1">
      <alignment horizontal="center" vertical="center"/>
    </xf>
    <xf numFmtId="49" fontId="72" fillId="0" borderId="0" xfId="0" applyNumberFormat="1" applyFont="1" applyBorder="1" applyAlignment="1" applyProtection="1">
      <alignment horizontal="left" vertical="center" readingOrder="1"/>
    </xf>
    <xf numFmtId="0" fontId="72" fillId="0" borderId="0" xfId="0" applyNumberFormat="1" applyFont="1" applyBorder="1" applyAlignment="1" applyProtection="1">
      <alignment horizontal="left" vertical="center" readingOrder="1"/>
    </xf>
    <xf numFmtId="0" fontId="79" fillId="0" borderId="0" xfId="0" applyFont="1" applyBorder="1" applyAlignment="1" applyProtection="1">
      <alignment horizontal="center" vertical="center" wrapText="1"/>
    </xf>
    <xf numFmtId="0" fontId="79" fillId="0" borderId="0" xfId="0" applyFont="1" applyBorder="1" applyAlignment="1" applyProtection="1">
      <alignment horizontal="center" vertical="center"/>
    </xf>
    <xf numFmtId="0" fontId="26" fillId="0" borderId="0" xfId="0" applyFont="1" applyBorder="1" applyAlignment="1" applyProtection="1">
      <alignment horizontal="center" vertical="center"/>
    </xf>
    <xf numFmtId="0" fontId="72" fillId="0" borderId="0" xfId="0" applyFont="1" applyBorder="1" applyAlignment="1" applyProtection="1">
      <alignment horizontal="left" vertical="center"/>
    </xf>
    <xf numFmtId="0" fontId="7" fillId="0" borderId="1" xfId="0" applyNumberFormat="1" applyFont="1" applyBorder="1" applyAlignment="1" applyProtection="1">
      <alignment horizontal="center" vertical="center" wrapText="1"/>
    </xf>
    <xf numFmtId="0" fontId="7" fillId="0" borderId="27" xfId="0" applyNumberFormat="1" applyFont="1" applyBorder="1" applyAlignment="1" applyProtection="1">
      <alignment horizontal="center" vertical="center" wrapText="1"/>
    </xf>
    <xf numFmtId="2" fontId="5" fillId="0" borderId="28" xfId="0" applyNumberFormat="1" applyFont="1" applyBorder="1" applyAlignment="1" applyProtection="1">
      <alignment horizontal="center" vertical="center" wrapText="1"/>
    </xf>
    <xf numFmtId="2" fontId="5" fillId="0" borderId="29" xfId="0" applyNumberFormat="1" applyFont="1" applyBorder="1" applyAlignment="1" applyProtection="1">
      <alignment horizontal="center" vertical="center" wrapText="1"/>
    </xf>
    <xf numFmtId="0" fontId="7" fillId="0" borderId="40" xfId="0" applyFont="1" applyBorder="1" applyAlignment="1" applyProtection="1">
      <alignment horizontal="center" vertical="center" wrapText="1"/>
    </xf>
    <xf numFmtId="0" fontId="7" fillId="0" borderId="41" xfId="0" applyFont="1" applyBorder="1" applyAlignment="1" applyProtection="1">
      <alignment horizontal="center" vertical="center" wrapText="1"/>
    </xf>
    <xf numFmtId="0" fontId="5" fillId="0" borderId="42"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7" fillId="0" borderId="28" xfId="0" applyNumberFormat="1" applyFont="1" applyBorder="1" applyAlignment="1" applyProtection="1">
      <alignment horizontal="center" vertical="center" wrapText="1"/>
    </xf>
    <xf numFmtId="0" fontId="7" fillId="0" borderId="31" xfId="0" applyNumberFormat="1" applyFont="1" applyBorder="1" applyAlignment="1" applyProtection="1">
      <alignment horizontal="center" vertical="center" wrapText="1"/>
    </xf>
    <xf numFmtId="0" fontId="6" fillId="0" borderId="3" xfId="0" applyFont="1" applyBorder="1" applyAlignment="1" applyProtection="1">
      <alignment horizontal="center" vertical="top" wrapText="1"/>
      <protection locked="0"/>
    </xf>
    <xf numFmtId="0" fontId="6" fillId="0" borderId="30" xfId="0" applyFont="1" applyBorder="1" applyAlignment="1" applyProtection="1">
      <alignment horizontal="center" vertical="top" wrapText="1"/>
      <protection locked="0"/>
    </xf>
    <xf numFmtId="0" fontId="8" fillId="2" borderId="9" xfId="0" applyFont="1" applyFill="1" applyBorder="1" applyAlignment="1" applyProtection="1">
      <alignment horizontal="left" vertical="top" wrapText="1"/>
    </xf>
    <xf numFmtId="0" fontId="6" fillId="2" borderId="3" xfId="0" applyFont="1" applyFill="1" applyBorder="1" applyAlignment="1" applyProtection="1">
      <alignment horizontal="center" vertical="top" wrapText="1"/>
    </xf>
    <xf numFmtId="0" fontId="6" fillId="2" borderId="30" xfId="0" applyFont="1" applyFill="1" applyBorder="1" applyAlignment="1" applyProtection="1">
      <alignment horizontal="center" vertical="top" wrapText="1"/>
    </xf>
    <xf numFmtId="0" fontId="5" fillId="0" borderId="44" xfId="0" applyFont="1" applyBorder="1" applyAlignment="1" applyProtection="1">
      <alignment horizontal="center" vertical="center" wrapText="1"/>
    </xf>
    <xf numFmtId="0" fontId="5" fillId="0" borderId="45" xfId="0" applyFont="1" applyBorder="1" applyAlignment="1" applyProtection="1">
      <alignment horizontal="center" vertical="center" wrapText="1"/>
    </xf>
    <xf numFmtId="0" fontId="5" fillId="0" borderId="46" xfId="0" applyFont="1" applyBorder="1" applyAlignment="1" applyProtection="1">
      <alignment horizontal="center" vertical="center" wrapText="1"/>
    </xf>
    <xf numFmtId="0" fontId="5" fillId="0" borderId="47" xfId="0" applyFont="1" applyBorder="1" applyAlignment="1" applyProtection="1">
      <alignment horizontal="center" vertical="center" wrapText="1"/>
    </xf>
    <xf numFmtId="0" fontId="37" fillId="4" borderId="5" xfId="0" applyFont="1" applyFill="1" applyBorder="1" applyAlignment="1" applyProtection="1">
      <alignment horizontal="left" indent="1"/>
    </xf>
    <xf numFmtId="0" fontId="37" fillId="4" borderId="14" xfId="0" applyFont="1" applyFill="1" applyBorder="1" applyAlignment="1" applyProtection="1">
      <alignment horizontal="left" indent="1"/>
    </xf>
    <xf numFmtId="0" fontId="37" fillId="4" borderId="26" xfId="0" applyFont="1" applyFill="1" applyBorder="1" applyAlignment="1" applyProtection="1">
      <alignment horizontal="left" indent="1"/>
    </xf>
    <xf numFmtId="0" fontId="5" fillId="0" borderId="12" xfId="0" applyFont="1" applyBorder="1" applyAlignment="1" applyProtection="1">
      <alignment horizontal="center" vertical="center"/>
    </xf>
    <xf numFmtId="0" fontId="5" fillId="0" borderId="10" xfId="0" applyFont="1" applyBorder="1" applyAlignment="1" applyProtection="1">
      <alignment horizontal="center" vertical="center"/>
    </xf>
    <xf numFmtId="0" fontId="5" fillId="0" borderId="21" xfId="0" applyFont="1" applyBorder="1" applyAlignment="1" applyProtection="1">
      <alignment horizontal="center" vertical="center" wrapText="1"/>
    </xf>
    <xf numFmtId="0" fontId="5" fillId="0" borderId="15"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7"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30" xfId="0" applyFont="1" applyBorder="1" applyAlignment="1" applyProtection="1">
      <alignment horizontal="center" vertical="center" wrapText="1"/>
    </xf>
    <xf numFmtId="0" fontId="9" fillId="0" borderId="4"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0" fontId="8" fillId="2" borderId="24" xfId="0" applyFont="1" applyFill="1" applyBorder="1" applyAlignment="1" applyProtection="1">
      <alignment horizontal="left" vertical="top" wrapText="1"/>
    </xf>
    <xf numFmtId="0" fontId="8" fillId="2" borderId="8" xfId="0" applyFont="1" applyFill="1" applyBorder="1" applyAlignment="1" applyProtection="1">
      <alignment horizontal="left" vertical="top" wrapText="1"/>
    </xf>
    <xf numFmtId="0" fontId="8" fillId="2" borderId="25" xfId="0" applyFont="1" applyFill="1" applyBorder="1" applyAlignment="1" applyProtection="1">
      <alignment horizontal="left" vertical="top" wrapText="1"/>
    </xf>
    <xf numFmtId="0" fontId="5" fillId="0" borderId="13" xfId="0" applyFont="1" applyBorder="1" applyAlignment="1" applyProtection="1">
      <alignment horizontal="center" vertical="center"/>
    </xf>
    <xf numFmtId="0" fontId="5" fillId="0" borderId="9" xfId="0" applyFont="1" applyBorder="1" applyAlignment="1" applyProtection="1">
      <alignment horizontal="center" vertical="center" wrapText="1"/>
    </xf>
    <xf numFmtId="0" fontId="5" fillId="0" borderId="9" xfId="0" applyFont="1" applyBorder="1" applyAlignment="1" applyProtection="1">
      <alignment horizontal="center" wrapText="1"/>
    </xf>
    <xf numFmtId="0" fontId="5" fillId="0" borderId="23" xfId="0" applyFont="1" applyBorder="1" applyAlignment="1" applyProtection="1">
      <alignment horizontal="center" wrapText="1"/>
    </xf>
    <xf numFmtId="0" fontId="0" fillId="0" borderId="0" xfId="0" applyAlignment="1">
      <alignment horizontal="center" vertical="top" wrapText="1"/>
    </xf>
    <xf numFmtId="0" fontId="0" fillId="0" borderId="0" xfId="0" applyAlignment="1">
      <alignment horizontal="center" vertical="top"/>
    </xf>
    <xf numFmtId="1" fontId="42" fillId="0" borderId="0" xfId="0" applyNumberFormat="1" applyFont="1" applyAlignment="1">
      <alignment horizontal="center" vertical="top" wrapText="1"/>
    </xf>
    <xf numFmtId="0" fontId="42" fillId="0" borderId="0" xfId="0" applyFont="1" applyAlignment="1">
      <alignment horizontal="center" vertical="top"/>
    </xf>
    <xf numFmtId="1" fontId="42" fillId="0" borderId="0" xfId="0" applyNumberFormat="1" applyFont="1" applyAlignment="1">
      <alignment horizontal="center" vertical="top"/>
    </xf>
    <xf numFmtId="49" fontId="44" fillId="0" borderId="0" xfId="0" applyNumberFormat="1" applyFont="1" applyAlignment="1">
      <alignment horizontal="center" vertical="top" wrapText="1"/>
    </xf>
    <xf numFmtId="0" fontId="44" fillId="0" borderId="0" xfId="0" applyFont="1" applyAlignment="1">
      <alignment horizontal="center" vertical="top"/>
    </xf>
    <xf numFmtId="1" fontId="44" fillId="0" borderId="0" xfId="0" applyNumberFormat="1" applyFont="1" applyAlignment="1">
      <alignment horizontal="center" vertical="top"/>
    </xf>
    <xf numFmtId="0" fontId="4" fillId="0" borderId="18" xfId="0" applyFont="1" applyBorder="1" applyAlignment="1">
      <alignment horizontal="left" vertical="center" wrapText="1"/>
    </xf>
    <xf numFmtId="0" fontId="43" fillId="0" borderId="0" xfId="0" applyFont="1" applyAlignment="1">
      <alignment horizontal="center" wrapText="1"/>
    </xf>
    <xf numFmtId="0" fontId="43" fillId="0" borderId="0" xfId="0" applyFont="1" applyAlignment="1">
      <alignment horizontal="center"/>
    </xf>
    <xf numFmtId="1" fontId="0" fillId="0" borderId="0" xfId="0" applyNumberFormat="1" applyAlignment="1">
      <alignment horizontal="left" vertical="center"/>
    </xf>
    <xf numFmtId="0" fontId="0" fillId="0" borderId="0" xfId="0" applyAlignment="1">
      <alignment horizontal="left" vertical="center"/>
    </xf>
    <xf numFmtId="0" fontId="5" fillId="0" borderId="34"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35" xfId="0" applyFont="1" applyBorder="1" applyAlignment="1">
      <alignment horizontal="center" vertical="center" wrapText="1"/>
    </xf>
    <xf numFmtId="0" fontId="4" fillId="0" borderId="18" xfId="0" applyFont="1" applyBorder="1" applyAlignment="1">
      <alignment horizontal="left" vertical="center" wrapText="1" indent="1"/>
    </xf>
    <xf numFmtId="0" fontId="5" fillId="0" borderId="18" xfId="0" applyFont="1" applyBorder="1" applyAlignment="1">
      <alignment horizontal="center" vertical="center"/>
    </xf>
    <xf numFmtId="0" fontId="5" fillId="0" borderId="18" xfId="0" applyFont="1" applyBorder="1" applyAlignment="1">
      <alignment horizontal="center" vertical="center" wrapText="1"/>
    </xf>
    <xf numFmtId="1" fontId="21" fillId="0" borderId="19" xfId="0" applyNumberFormat="1" applyFont="1" applyBorder="1" applyAlignment="1" applyProtection="1">
      <alignment horizontal="left" vertical="center" readingOrder="1"/>
    </xf>
    <xf numFmtId="1" fontId="21" fillId="0" borderId="32" xfId="0" applyNumberFormat="1" applyFont="1" applyBorder="1" applyAlignment="1" applyProtection="1">
      <alignment horizontal="left" vertical="center" readingOrder="1"/>
    </xf>
    <xf numFmtId="1" fontId="21" fillId="0" borderId="20" xfId="0" applyNumberFormat="1" applyFont="1" applyBorder="1" applyAlignment="1" applyProtection="1">
      <alignment horizontal="left" vertical="center" readingOrder="1"/>
    </xf>
    <xf numFmtId="0" fontId="30" fillId="0" borderId="0" xfId="0" applyFont="1" applyBorder="1" applyAlignment="1">
      <alignment horizontal="center" vertical="center"/>
    </xf>
    <xf numFmtId="0" fontId="30" fillId="0" borderId="0" xfId="0" applyFont="1" applyBorder="1" applyAlignment="1" applyProtection="1">
      <alignment horizontal="center" vertical="center"/>
    </xf>
    <xf numFmtId="165" fontId="30" fillId="0" borderId="0" xfId="0" applyNumberFormat="1" applyFont="1" applyBorder="1" applyAlignment="1">
      <alignment horizontal="center" vertical="center"/>
    </xf>
    <xf numFmtId="0" fontId="29" fillId="0" borderId="0" xfId="0" applyFont="1" applyBorder="1" applyAlignment="1" applyProtection="1">
      <alignment horizontal="center" vertical="center"/>
      <protection locked="0"/>
    </xf>
    <xf numFmtId="49" fontId="21" fillId="0" borderId="19" xfId="0" applyNumberFormat="1" applyFont="1" applyBorder="1" applyAlignment="1" applyProtection="1">
      <alignment horizontal="center" vertical="center" readingOrder="1"/>
      <protection locked="0"/>
    </xf>
    <xf numFmtId="49" fontId="21" fillId="0" borderId="32" xfId="0" applyNumberFormat="1" applyFont="1" applyBorder="1" applyAlignment="1" applyProtection="1">
      <alignment horizontal="center" vertical="center" readingOrder="1"/>
      <protection locked="0"/>
    </xf>
    <xf numFmtId="49" fontId="21" fillId="0" borderId="20" xfId="0" applyNumberFormat="1" applyFont="1" applyBorder="1" applyAlignment="1" applyProtection="1">
      <alignment horizontal="center" vertical="center" readingOrder="1"/>
      <protection locked="0"/>
    </xf>
    <xf numFmtId="1" fontId="21" fillId="0" borderId="18" xfId="0" applyNumberFormat="1" applyFont="1" applyBorder="1" applyAlignment="1" applyProtection="1">
      <alignment horizontal="center" vertical="center" readingOrder="1"/>
      <protection locked="0"/>
    </xf>
    <xf numFmtId="1" fontId="21" fillId="0" borderId="19" xfId="0" applyNumberFormat="1" applyFont="1" applyBorder="1" applyAlignment="1" applyProtection="1">
      <alignment horizontal="center" vertical="center" readingOrder="1"/>
      <protection locked="0"/>
    </xf>
    <xf numFmtId="1" fontId="21" fillId="0" borderId="32" xfId="0" applyNumberFormat="1" applyFont="1" applyBorder="1" applyAlignment="1" applyProtection="1">
      <alignment horizontal="center" vertical="center" readingOrder="1"/>
      <protection locked="0"/>
    </xf>
    <xf numFmtId="1" fontId="21" fillId="0" borderId="20" xfId="0" applyNumberFormat="1" applyFont="1" applyBorder="1" applyAlignment="1" applyProtection="1">
      <alignment horizontal="center" vertical="center" readingOrder="1"/>
      <protection locked="0"/>
    </xf>
    <xf numFmtId="0" fontId="30" fillId="0" borderId="0" xfId="0" applyFont="1" applyBorder="1" applyAlignment="1">
      <alignment horizontal="center" vertical="center" wrapText="1"/>
    </xf>
    <xf numFmtId="0" fontId="23" fillId="0" borderId="0" xfId="0" applyFont="1" applyBorder="1" applyAlignment="1">
      <alignment horizontal="center" vertical="center"/>
    </xf>
    <xf numFmtId="0" fontId="25" fillId="0" borderId="0" xfId="0" applyFont="1" applyBorder="1" applyAlignment="1" applyProtection="1">
      <alignment horizontal="center" vertical="center"/>
      <protection locked="0"/>
    </xf>
    <xf numFmtId="0" fontId="0" fillId="0" borderId="0" xfId="0" applyAlignment="1">
      <alignment horizontal="center"/>
    </xf>
    <xf numFmtId="0" fontId="29" fillId="0" borderId="24" xfId="0" applyFont="1" applyBorder="1" applyAlignment="1">
      <alignment horizontal="center" vertical="center"/>
    </xf>
    <xf numFmtId="0" fontId="29" fillId="0" borderId="8" xfId="0" applyFont="1" applyBorder="1" applyAlignment="1">
      <alignment horizontal="center" vertical="center"/>
    </xf>
    <xf numFmtId="0" fontId="29" fillId="0" borderId="25" xfId="0" applyFont="1" applyBorder="1" applyAlignment="1">
      <alignment horizontal="center" vertical="center"/>
    </xf>
    <xf numFmtId="0" fontId="44" fillId="0" borderId="0" xfId="0" applyFont="1" applyAlignment="1">
      <alignment horizontal="center" vertical="top" wrapText="1"/>
    </xf>
    <xf numFmtId="2" fontId="5" fillId="0" borderId="19" xfId="0" applyNumberFormat="1" applyFont="1" applyBorder="1" applyAlignment="1">
      <alignment horizontal="center" vertical="center"/>
    </xf>
    <xf numFmtId="2" fontId="5" fillId="0" borderId="32" xfId="0" applyNumberFormat="1" applyFont="1" applyBorder="1" applyAlignment="1">
      <alignment horizontal="center" vertical="center"/>
    </xf>
    <xf numFmtId="2" fontId="5" fillId="0" borderId="20" xfId="0" applyNumberFormat="1" applyFont="1" applyBorder="1" applyAlignment="1">
      <alignment horizontal="center" vertical="center"/>
    </xf>
    <xf numFmtId="0" fontId="51" fillId="0" borderId="18" xfId="0" applyFont="1" applyBorder="1" applyAlignment="1">
      <alignment horizontal="center" vertical="center"/>
    </xf>
    <xf numFmtId="0" fontId="19" fillId="0" borderId="18" xfId="0" applyFont="1" applyBorder="1" applyAlignment="1">
      <alignment horizontal="center" vertical="center"/>
    </xf>
    <xf numFmtId="0" fontId="19" fillId="0" borderId="34" xfId="0" applyFont="1" applyBorder="1" applyAlignment="1">
      <alignment horizontal="center" vertical="center"/>
    </xf>
    <xf numFmtId="0" fontId="19" fillId="0" borderId="36" xfId="0" applyFont="1" applyBorder="1" applyAlignment="1">
      <alignment horizontal="center" vertical="center"/>
    </xf>
    <xf numFmtId="0" fontId="19" fillId="0" borderId="35" xfId="0" applyFont="1" applyBorder="1" applyAlignment="1">
      <alignment horizontal="center" vertical="center"/>
    </xf>
    <xf numFmtId="0" fontId="19" fillId="0" borderId="50" xfId="0" applyFont="1" applyBorder="1" applyAlignment="1">
      <alignment horizontal="center" vertical="center"/>
    </xf>
    <xf numFmtId="0" fontId="19" fillId="0" borderId="7" xfId="0" applyFont="1" applyBorder="1" applyAlignment="1">
      <alignment horizontal="center" vertical="center"/>
    </xf>
    <xf numFmtId="0" fontId="19" fillId="0" borderId="51" xfId="0" applyFont="1" applyBorder="1" applyAlignment="1">
      <alignment horizontal="center" vertical="center"/>
    </xf>
    <xf numFmtId="0" fontId="19" fillId="0" borderId="33" xfId="0" applyFont="1" applyBorder="1" applyAlignment="1">
      <alignment horizontal="center" vertical="center"/>
    </xf>
    <xf numFmtId="0" fontId="19" fillId="0" borderId="52" xfId="0" applyFont="1" applyBorder="1" applyAlignment="1">
      <alignment horizontal="center" vertical="center"/>
    </xf>
    <xf numFmtId="0" fontId="42" fillId="0" borderId="0" xfId="0" applyFont="1" applyAlignment="1">
      <alignment horizontal="center" vertical="top" wrapText="1"/>
    </xf>
    <xf numFmtId="0" fontId="4" fillId="0" borderId="32" xfId="0" applyFont="1" applyBorder="1" applyAlignment="1">
      <alignment horizontal="left" vertical="center" wrapText="1" indent="1"/>
    </xf>
    <xf numFmtId="0" fontId="58" fillId="0" borderId="18" xfId="0" applyFont="1" applyBorder="1" applyAlignment="1">
      <alignment horizontal="center" vertical="center"/>
    </xf>
    <xf numFmtId="0" fontId="5" fillId="0" borderId="19"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9" xfId="0" applyFont="1" applyBorder="1" applyAlignment="1">
      <alignment horizontal="center" vertical="center"/>
    </xf>
    <xf numFmtId="0" fontId="5" fillId="0" borderId="32" xfId="0" applyFont="1" applyBorder="1" applyAlignment="1">
      <alignment horizontal="center" vertical="center"/>
    </xf>
    <xf numFmtId="0" fontId="5" fillId="0" borderId="20" xfId="0" applyFont="1" applyBorder="1" applyAlignment="1">
      <alignment horizontal="center" vertical="center"/>
    </xf>
    <xf numFmtId="0" fontId="48" fillId="0" borderId="19" xfId="0" applyFont="1" applyBorder="1" applyAlignment="1">
      <alignment horizontal="center" vertical="center"/>
    </xf>
    <xf numFmtId="0" fontId="48" fillId="0" borderId="32" xfId="0" applyFont="1" applyBorder="1" applyAlignment="1">
      <alignment horizontal="center" vertical="center"/>
    </xf>
    <xf numFmtId="0" fontId="48" fillId="0" borderId="20" xfId="0" applyFont="1" applyBorder="1" applyAlignment="1">
      <alignment horizontal="center" vertical="center"/>
    </xf>
    <xf numFmtId="0" fontId="5" fillId="0" borderId="33" xfId="0" applyFont="1" applyBorder="1" applyAlignment="1">
      <alignment horizontal="center" vertical="center"/>
    </xf>
    <xf numFmtId="0" fontId="5" fillId="0" borderId="49" xfId="0" applyFont="1" applyBorder="1" applyAlignment="1">
      <alignment horizontal="center" vertical="center"/>
    </xf>
    <xf numFmtId="0" fontId="5" fillId="0" borderId="52" xfId="0" applyFont="1" applyBorder="1" applyAlignment="1">
      <alignment horizontal="center" vertical="center"/>
    </xf>
    <xf numFmtId="0" fontId="5" fillId="0" borderId="22" xfId="0" applyFont="1" applyBorder="1" applyAlignment="1">
      <alignment horizontal="center" vertical="center" wrapText="1"/>
    </xf>
    <xf numFmtId="0" fontId="5" fillId="0" borderId="0"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1" xfId="0" applyFont="1" applyBorder="1" applyAlignment="1">
      <alignment horizontal="center" vertical="center" wrapText="1"/>
    </xf>
    <xf numFmtId="0" fontId="52" fillId="0" borderId="19" xfId="0" applyFont="1" applyBorder="1" applyAlignment="1">
      <alignment horizontal="center"/>
    </xf>
    <xf numFmtId="0" fontId="52" fillId="0" borderId="32" xfId="0" applyFont="1" applyBorder="1" applyAlignment="1">
      <alignment horizontal="center"/>
    </xf>
    <xf numFmtId="0" fontId="52" fillId="0" borderId="20" xfId="0" applyFont="1" applyBorder="1" applyAlignment="1">
      <alignment horizontal="center"/>
    </xf>
    <xf numFmtId="0" fontId="52" fillId="0" borderId="19" xfId="0" applyFont="1" applyBorder="1" applyAlignment="1">
      <alignment horizontal="center" vertical="center"/>
    </xf>
    <xf numFmtId="0" fontId="52" fillId="0" borderId="32" xfId="0" applyFont="1" applyBorder="1" applyAlignment="1">
      <alignment horizontal="center" vertical="center"/>
    </xf>
    <xf numFmtId="0" fontId="52" fillId="0" borderId="20" xfId="0" applyFont="1" applyBorder="1" applyAlignment="1">
      <alignment horizontal="center" vertical="center"/>
    </xf>
    <xf numFmtId="0" fontId="54" fillId="4" borderId="5" xfId="0" applyFont="1" applyFill="1" applyBorder="1" applyAlignment="1" applyProtection="1">
      <alignment horizontal="center" vertical="center"/>
    </xf>
    <xf numFmtId="0" fontId="54" fillId="4" borderId="14" xfId="0" applyFont="1" applyFill="1" applyBorder="1" applyAlignment="1" applyProtection="1">
      <alignment horizontal="center" vertical="center"/>
    </xf>
    <xf numFmtId="0" fontId="8" fillId="2" borderId="28" xfId="0" applyFont="1" applyFill="1" applyBorder="1" applyAlignment="1" applyProtection="1">
      <alignment horizontal="left" vertical="top" wrapText="1"/>
    </xf>
    <xf numFmtId="0" fontId="8" fillId="2" borderId="27" xfId="0" applyFont="1" applyFill="1" applyBorder="1" applyAlignment="1" applyProtection="1">
      <alignment horizontal="left" vertical="top" wrapText="1"/>
    </xf>
    <xf numFmtId="0" fontId="9" fillId="0" borderId="40" xfId="0" applyFont="1" applyBorder="1" applyAlignment="1" applyProtection="1">
      <alignment horizontal="center" vertical="center" wrapText="1"/>
    </xf>
    <xf numFmtId="0" fontId="9" fillId="0" borderId="43" xfId="0" applyFont="1" applyBorder="1" applyAlignment="1" applyProtection="1">
      <alignment horizontal="center" vertical="center" wrapText="1"/>
    </xf>
    <xf numFmtId="2" fontId="9" fillId="0" borderId="27" xfId="0" applyNumberFormat="1" applyFont="1" applyBorder="1" applyAlignment="1" applyProtection="1">
      <alignment horizontal="center" vertical="center" wrapText="1"/>
    </xf>
    <xf numFmtId="2" fontId="9" fillId="0" borderId="29" xfId="0" applyNumberFormat="1" applyFont="1" applyBorder="1" applyAlignment="1" applyProtection="1">
      <alignment horizontal="center" vertical="center" wrapText="1"/>
    </xf>
    <xf numFmtId="2" fontId="5" fillId="0" borderId="27" xfId="0" applyNumberFormat="1" applyFont="1" applyBorder="1" applyAlignment="1" applyProtection="1">
      <alignment horizontal="center" vertical="center" wrapText="1"/>
    </xf>
    <xf numFmtId="0" fontId="5" fillId="0" borderId="40" xfId="0" applyFont="1" applyBorder="1" applyAlignment="1" applyProtection="1">
      <alignment horizontal="center" vertical="center" wrapText="1"/>
    </xf>
    <xf numFmtId="0" fontId="54" fillId="4" borderId="26" xfId="0" applyFont="1" applyFill="1" applyBorder="1" applyAlignment="1" applyProtection="1">
      <alignment horizontal="center" vertical="center"/>
    </xf>
  </cellXfs>
  <cellStyles count="6">
    <cellStyle name="Comma [0]" xfId="5" builtinId="6"/>
    <cellStyle name="Hyperlink" xfId="1" builtinId="8"/>
    <cellStyle name="Normal" xfId="0" builtinId="0"/>
    <cellStyle name="Normal 2" xfId="2"/>
    <cellStyle name="Percent" xfId="3" builtinId="5"/>
    <cellStyle name="Percent 2" xfId="4"/>
  </cellStyles>
  <dxfs count="572">
    <dxf>
      <fill>
        <patternFill patternType="none">
          <bgColor auto="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none">
          <bgColor auto="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none">
          <bgColor auto="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4.9989318521683403E-2"/>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none">
          <bgColor auto="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patternType="darkUp">
          <bgColor theme="0" tint="-0.14996795556505021"/>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ill>
        <patternFill>
          <bgColor rgb="FF009900"/>
        </patternFill>
      </fill>
    </dxf>
    <dxf>
      <fill>
        <patternFill>
          <bgColor rgb="FF99FF33"/>
        </patternFill>
      </fill>
    </dxf>
    <dxf>
      <fill>
        <patternFill>
          <bgColor rgb="FFFFFF66"/>
        </patternFill>
      </fill>
    </dxf>
    <dxf>
      <fill>
        <patternFill>
          <bgColor rgb="FFFFCC00"/>
        </patternFill>
      </fill>
    </dxf>
    <dxf>
      <fill>
        <patternFill>
          <bgColor rgb="FFFF0000"/>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ill>
        <patternFill>
          <bgColor rgb="FFFFFFCC"/>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ont>
        <color auto="1"/>
      </font>
      <fill>
        <patternFill patternType="lightDown">
          <fgColor auto="1"/>
          <bgColor auto="1"/>
        </patternFill>
      </fill>
    </dxf>
    <dxf>
      <fill>
        <patternFill>
          <bgColor rgb="FFFFFFCC"/>
        </patternFill>
      </fill>
    </dxf>
  </dxfs>
  <tableStyles count="0" defaultTableStyle="TableStyleMedium2" defaultPivotStyle="PivotStyleLight16"/>
  <colors>
    <mruColors>
      <color rgb="FFFFFFCC"/>
      <color rgb="FFFFCC00"/>
      <color rgb="FF009900"/>
      <color rgb="FFFF0000"/>
      <color rgb="FF99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2571748</xdr:colOff>
      <xdr:row>0</xdr:row>
      <xdr:rowOff>154079</xdr:rowOff>
    </xdr:from>
    <xdr:to>
      <xdr:col>7</xdr:col>
      <xdr:colOff>134593</xdr:colOff>
      <xdr:row>2</xdr:row>
      <xdr:rowOff>493058</xdr:rowOff>
    </xdr:to>
    <xdr:pic>
      <xdr:nvPicPr>
        <xdr:cNvPr id="2" name="Picture 3" descr="Logo_Depag BW.jpg">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xmlns=""/>
            </a:ext>
          </a:extLst>
        </a:blip>
        <a:srcRect/>
        <a:stretch>
          <a:fillRect/>
        </a:stretch>
      </xdr:blipFill>
      <xdr:spPr bwMode="auto">
        <a:xfrm>
          <a:off x="2885513" y="154079"/>
          <a:ext cx="1921933" cy="170609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2571748</xdr:colOff>
      <xdr:row>0</xdr:row>
      <xdr:rowOff>154079</xdr:rowOff>
    </xdr:from>
    <xdr:to>
      <xdr:col>7</xdr:col>
      <xdr:colOff>134593</xdr:colOff>
      <xdr:row>2</xdr:row>
      <xdr:rowOff>493058</xdr:rowOff>
    </xdr:to>
    <xdr:pic>
      <xdr:nvPicPr>
        <xdr:cNvPr id="2" name="Picture 3" descr="Logo_Depag BW.jpg">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xmlns=""/>
            </a:ext>
          </a:extLst>
        </a:blip>
        <a:srcRect/>
        <a:stretch>
          <a:fillRect/>
        </a:stretch>
      </xdr:blipFill>
      <xdr:spPr bwMode="auto">
        <a:xfrm>
          <a:off x="2886073" y="154079"/>
          <a:ext cx="1925295" cy="170105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2571748</xdr:colOff>
      <xdr:row>0</xdr:row>
      <xdr:rowOff>154079</xdr:rowOff>
    </xdr:from>
    <xdr:to>
      <xdr:col>7</xdr:col>
      <xdr:colOff>134593</xdr:colOff>
      <xdr:row>2</xdr:row>
      <xdr:rowOff>493058</xdr:rowOff>
    </xdr:to>
    <xdr:pic>
      <xdr:nvPicPr>
        <xdr:cNvPr id="2" name="Picture 3" descr="Logo_Depag BW.jpg">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xmlns=""/>
            </a:ext>
          </a:extLst>
        </a:blip>
        <a:srcRect/>
        <a:stretch>
          <a:fillRect/>
        </a:stretch>
      </xdr:blipFill>
      <xdr:spPr bwMode="auto">
        <a:xfrm>
          <a:off x="2886073" y="154079"/>
          <a:ext cx="1925295" cy="170105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364191</xdr:colOff>
      <xdr:row>0</xdr:row>
      <xdr:rowOff>694764</xdr:rowOff>
    </xdr:from>
    <xdr:to>
      <xdr:col>6</xdr:col>
      <xdr:colOff>332788</xdr:colOff>
      <xdr:row>2</xdr:row>
      <xdr:rowOff>134470</xdr:rowOff>
    </xdr:to>
    <xdr:pic>
      <xdr:nvPicPr>
        <xdr:cNvPr id="2" name="Picture 3" descr="Logo_Depag BW.jpg">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59766" y="266139"/>
          <a:ext cx="1397347" cy="123040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FF0000"/>
  </sheetPr>
  <dimension ref="A1:W21"/>
  <sheetViews>
    <sheetView showGridLines="0" workbookViewId="0"/>
  </sheetViews>
  <sheetFormatPr defaultRowHeight="15"/>
  <cols>
    <col min="1" max="1" width="3.7109375" customWidth="1"/>
    <col min="2" max="2" width="3.5703125" customWidth="1"/>
    <col min="3" max="3" width="4.42578125" style="54" customWidth="1"/>
    <col min="4" max="4" width="1.140625" customWidth="1"/>
    <col min="5" max="5" width="13" customWidth="1"/>
    <col min="6" max="6" width="1.140625" customWidth="1"/>
    <col min="7" max="7" width="13" customWidth="1"/>
    <col min="8" max="8" width="1.42578125" customWidth="1"/>
    <col min="9" max="9" width="13" customWidth="1"/>
    <col min="10" max="10" width="1.42578125" customWidth="1"/>
    <col min="11" max="11" width="13" customWidth="1"/>
    <col min="12" max="12" width="1.28515625" customWidth="1"/>
    <col min="13" max="13" width="13" customWidth="1"/>
    <col min="14" max="14" width="1.5703125" customWidth="1"/>
    <col min="15" max="15" width="13" customWidth="1"/>
    <col min="16" max="16" width="1.42578125" customWidth="1"/>
    <col min="17" max="17" width="13" customWidth="1"/>
    <col min="18" max="18" width="1.42578125" customWidth="1"/>
    <col min="19" max="19" width="13" customWidth="1"/>
    <col min="20" max="20" width="1.28515625" customWidth="1"/>
    <col min="21" max="21" width="13" customWidth="1"/>
    <col min="22" max="22" width="1.5703125" customWidth="1"/>
    <col min="23" max="23" width="13" customWidth="1"/>
  </cols>
  <sheetData>
    <row r="1" spans="1:23" ht="24.75" customHeight="1">
      <c r="A1" s="312" t="str">
        <f>Data!A1</f>
        <v>ver:R2018062401</v>
      </c>
    </row>
    <row r="2" spans="1:23" ht="21.75" customHeight="1">
      <c r="B2" s="311" t="s">
        <v>578</v>
      </c>
    </row>
    <row r="3" spans="1:23">
      <c r="C3" s="218"/>
    </row>
    <row r="4" spans="1:23" ht="15.75">
      <c r="C4" s="218"/>
      <c r="E4" s="324" t="str">
        <f>HYPERLINK("#Data!A1","DATA IDENTITAS")</f>
        <v>DATA IDENTITAS</v>
      </c>
      <c r="F4" s="325"/>
      <c r="G4" s="326"/>
    </row>
    <row r="5" spans="1:23" ht="12.75" customHeight="1">
      <c r="C5" s="218"/>
    </row>
    <row r="6" spans="1:23" ht="15.75" customHeight="1">
      <c r="B6" s="321" t="s">
        <v>467</v>
      </c>
      <c r="C6" s="303">
        <v>1</v>
      </c>
      <c r="D6" s="157"/>
      <c r="E6" s="223" t="str">
        <f>HYPERLINK("#'Sampul-Thn-"&amp;C6&amp;"'!A1","SAMPUL")</f>
        <v>SAMPUL</v>
      </c>
      <c r="F6" s="219"/>
      <c r="G6" s="224" t="str">
        <f>HYPERLINK("#'Pengawas-Thn-"&amp;C6&amp;"'!A1","PENGAWAS")</f>
        <v>PENGAWAS</v>
      </c>
      <c r="H6" s="219"/>
      <c r="I6" s="223" t="str">
        <f>HYPERLINK("#'Form1-Pengawas-Thn-"&amp;C6&amp;"'!A1","FORM1")</f>
        <v>FORM1</v>
      </c>
      <c r="J6" s="219"/>
      <c r="K6" s="224" t="str">
        <f>HYPERLINK("#'Form2-Pengawas-Thn-"&amp;C6&amp;"'!A1","FORM2")</f>
        <v>FORM2</v>
      </c>
      <c r="L6" s="219"/>
      <c r="M6" s="223" t="str">
        <f>HYPERLINK("#'Rekap-Pengawas-Thn-"&amp;C6&amp;"'!A1","REKAP")</f>
        <v>REKAP</v>
      </c>
    </row>
    <row r="7" spans="1:23" ht="16.5" customHeight="1">
      <c r="B7" s="322"/>
      <c r="C7" s="170"/>
      <c r="D7" s="157"/>
      <c r="E7" s="219"/>
      <c r="F7" s="219"/>
      <c r="G7" s="219"/>
      <c r="H7" s="219"/>
      <c r="I7" s="219"/>
      <c r="J7" s="219"/>
      <c r="K7" s="219"/>
      <c r="L7" s="219"/>
      <c r="M7" s="54"/>
    </row>
    <row r="8" spans="1:23" ht="15.75">
      <c r="B8" s="322"/>
      <c r="C8" s="303">
        <v>2</v>
      </c>
      <c r="D8" s="157"/>
      <c r="E8" s="223" t="str">
        <f t="shared" ref="E8:E10" si="0">HYPERLINK("#'Sampul-Thn-"&amp;C8&amp;"'!A1","SAMPUL")</f>
        <v>SAMPUL</v>
      </c>
      <c r="F8" s="219"/>
      <c r="G8" s="224" t="str">
        <f t="shared" ref="G8:G10" si="1">HYPERLINK("#'Pengawas-Thn-"&amp;C8&amp;"'!A1","PENGAWAS")</f>
        <v>PENGAWAS</v>
      </c>
      <c r="H8" s="219"/>
      <c r="I8" s="223" t="str">
        <f t="shared" ref="I8:I10" si="2">HYPERLINK("#'Form1-Pengawas-Thn-"&amp;C8&amp;"'!A1","FORM1")</f>
        <v>FORM1</v>
      </c>
      <c r="J8" s="219"/>
      <c r="K8" s="224" t="str">
        <f t="shared" ref="K8:K10" si="3">HYPERLINK("#'Form2-Pengawas-Thn-"&amp;C8&amp;"'!A1","FORM2")</f>
        <v>FORM2</v>
      </c>
      <c r="L8" s="219"/>
      <c r="M8" s="223" t="str">
        <f t="shared" ref="M8:M10" si="4">HYPERLINK("#'Rekap-Pengawas-Thn-"&amp;C8&amp;"'!A1","REKAP")</f>
        <v>REKAP</v>
      </c>
    </row>
    <row r="9" spans="1:23" ht="15.75" customHeight="1">
      <c r="B9" s="322"/>
      <c r="C9" s="170"/>
      <c r="D9" s="157"/>
      <c r="E9" s="219"/>
      <c r="F9" s="219"/>
      <c r="G9" s="219"/>
      <c r="H9" s="219"/>
      <c r="I9" s="219"/>
      <c r="J9" s="219"/>
      <c r="K9" s="219"/>
      <c r="L9" s="219"/>
      <c r="M9" s="219"/>
    </row>
    <row r="10" spans="1:23" ht="15.75">
      <c r="B10" s="322"/>
      <c r="C10" s="303">
        <v>3</v>
      </c>
      <c r="D10" s="157"/>
      <c r="E10" s="223" t="str">
        <f t="shared" si="0"/>
        <v>SAMPUL</v>
      </c>
      <c r="F10" s="219"/>
      <c r="G10" s="224" t="str">
        <f t="shared" si="1"/>
        <v>PENGAWAS</v>
      </c>
      <c r="H10" s="219"/>
      <c r="I10" s="223" t="str">
        <f t="shared" si="2"/>
        <v>FORM1</v>
      </c>
      <c r="J10" s="219"/>
      <c r="K10" s="224" t="str">
        <f t="shared" si="3"/>
        <v>FORM2</v>
      </c>
      <c r="L10" s="219"/>
      <c r="M10" s="223" t="str">
        <f t="shared" si="4"/>
        <v>REKAP</v>
      </c>
    </row>
    <row r="11" spans="1:23" ht="13.5" customHeight="1">
      <c r="B11" s="322"/>
      <c r="C11" s="306"/>
    </row>
    <row r="12" spans="1:23" ht="15.75">
      <c r="B12" s="322"/>
      <c r="C12" s="315">
        <v>4</v>
      </c>
      <c r="E12" s="223" t="str">
        <f>HYPERLINK("#'Sampul-Thn-4'!A1","SAMPUL")</f>
        <v>SAMPUL</v>
      </c>
      <c r="F12" s="240"/>
      <c r="G12" s="224" t="str">
        <f>HYPERLINK("#'KABID-Thn-"&amp;$C$12&amp;"'!A1","KABID")</f>
        <v>KABID</v>
      </c>
      <c r="H12" s="240"/>
      <c r="I12" s="224" t="str">
        <f>HYPERLINK("#'KASI-Thn-"&amp;$C$12&amp;"'!A1","KASI")</f>
        <v>KASI</v>
      </c>
      <c r="J12" s="240"/>
      <c r="K12" s="224" t="str">
        <f>HYPERLINK("#'Pengawas-Thn-"&amp;$C$12&amp;"'!A1","PENGAWAS")</f>
        <v>PENGAWAS</v>
      </c>
      <c r="L12" s="240"/>
      <c r="M12" s="224" t="str">
        <f>HYPERLINK("#'Guru-Thn-"&amp;$C$12&amp;"'!A1","Guru")</f>
        <v>Guru</v>
      </c>
      <c r="N12" s="240"/>
    </row>
    <row r="13" spans="1:23" ht="5.25" customHeight="1">
      <c r="B13" s="322"/>
      <c r="C13" s="316"/>
      <c r="E13" s="240"/>
      <c r="F13" s="240"/>
      <c r="G13" s="240"/>
      <c r="H13" s="240"/>
      <c r="I13" s="240"/>
      <c r="J13" s="240"/>
      <c r="K13" s="240"/>
      <c r="L13" s="240"/>
      <c r="M13" s="240"/>
      <c r="N13" s="240"/>
    </row>
    <row r="14" spans="1:23" ht="15.75">
      <c r="B14" s="323"/>
      <c r="C14" s="317"/>
      <c r="E14" s="224" t="str">
        <f>HYPERLINK("#'KASI-Thn-"&amp;$C$12&amp;"'!A1","KASI")</f>
        <v>KASI</v>
      </c>
      <c r="F14" s="240"/>
      <c r="G14" s="224" t="str">
        <f>HYPERLINK("#'Komite-Thn-"&amp;$C$12&amp;"'!A1","Komite")</f>
        <v>Komite</v>
      </c>
      <c r="H14" s="240"/>
      <c r="I14" s="223" t="s">
        <v>554</v>
      </c>
      <c r="J14" s="240"/>
      <c r="K14" s="224" t="s">
        <v>555</v>
      </c>
      <c r="L14" s="240"/>
      <c r="M14" s="223" t="str">
        <f>HYPERLINK("#'Rekap-Thn-"&amp;C12&amp;"'!A1","REKAP")</f>
        <v>REKAP</v>
      </c>
      <c r="N14" s="240"/>
      <c r="O14" s="240"/>
      <c r="P14" s="240"/>
      <c r="Q14" s="240"/>
      <c r="R14" s="240"/>
      <c r="S14" s="240"/>
      <c r="T14" s="240"/>
      <c r="U14" s="240"/>
      <c r="V14" s="240"/>
      <c r="W14" s="240"/>
    </row>
    <row r="16" spans="1:23" ht="15.75">
      <c r="E16" s="318" t="str">
        <f>HYPERLINK("#'Rekap_detil'!A1","REKAP DETIL 1")</f>
        <v>REKAP DETIL 1</v>
      </c>
      <c r="F16" s="319"/>
      <c r="G16" s="320"/>
    </row>
    <row r="17" spans="3:7" ht="3.75" customHeight="1">
      <c r="E17" s="305"/>
      <c r="F17" s="305"/>
      <c r="G17" s="305"/>
    </row>
    <row r="18" spans="3:7" ht="15.75">
      <c r="E18" s="318" t="str">
        <f>HYPERLINK("#'Rekap_detil2'!A1","REKAP DETIL 2")</f>
        <v>REKAP DETIL 2</v>
      </c>
      <c r="F18" s="319"/>
      <c r="G18" s="320"/>
    </row>
    <row r="21" spans="3:7" ht="15.75">
      <c r="C21" s="219"/>
      <c r="E21" s="217"/>
      <c r="F21" s="217"/>
    </row>
  </sheetData>
  <sheetProtection sheet="1" objects="1" scenarios="1"/>
  <mergeCells count="5">
    <mergeCell ref="C12:C14"/>
    <mergeCell ref="E16:G16"/>
    <mergeCell ref="E18:G18"/>
    <mergeCell ref="B6:B14"/>
    <mergeCell ref="E4:G4"/>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FC000"/>
    <pageSetUpPr fitToPage="1"/>
  </sheetPr>
  <dimension ref="A1:X101"/>
  <sheetViews>
    <sheetView showGridLines="0" topLeftCell="A80" workbookViewId="0"/>
  </sheetViews>
  <sheetFormatPr defaultColWidth="0" defaultRowHeight="0" customHeight="1" zeroHeight="1"/>
  <cols>
    <col min="1" max="1" width="2.140625" style="153" bestFit="1" customWidth="1"/>
    <col min="2" max="2" width="3" style="153" customWidth="1"/>
    <col min="3" max="3" width="4.85546875" style="153" customWidth="1"/>
    <col min="4" max="4" width="36.5703125" style="168" bestFit="1" customWidth="1"/>
    <col min="5" max="5" width="54.85546875" style="153" customWidth="1"/>
    <col min="6" max="6" width="6.140625" style="153" bestFit="1" customWidth="1"/>
    <col min="7" max="7" width="10.85546875" style="153" customWidth="1"/>
    <col min="8" max="9" width="2.28515625" style="153" customWidth="1"/>
    <col min="10" max="11" width="2.28515625" style="153" hidden="1" customWidth="1"/>
    <col min="12" max="13" width="8.42578125" style="153" hidden="1" customWidth="1"/>
    <col min="14" max="14" width="7" style="153" hidden="1" customWidth="1"/>
    <col min="15" max="15" width="9.5703125" style="153" hidden="1" customWidth="1"/>
    <col min="16" max="16" width="7.85546875" style="284" hidden="1" customWidth="1"/>
    <col min="17" max="17" width="6.7109375" style="153" hidden="1" customWidth="1"/>
    <col min="18" max="18" width="11.5703125" style="153" hidden="1" customWidth="1"/>
    <col min="19" max="19" width="6.42578125" style="153" hidden="1" customWidth="1"/>
    <col min="20" max="20" width="6.28515625" style="153" hidden="1" customWidth="1"/>
    <col min="21" max="16384" width="9.140625" style="153" hidden="1"/>
  </cols>
  <sheetData>
    <row r="1" spans="1:16" s="169" customFormat="1" ht="15.75" hidden="1">
      <c r="A1" s="168" t="str">
        <f ca="1">RIGHT(MID(CELL("filename",A1),FIND("]",CELL("filename",A1))+1,255),1)</f>
        <v>2</v>
      </c>
      <c r="B1" s="168" t="str">
        <f ca="1">MID(CELL("filename",B1),FIND("]",CELL("filename",B1))+1,255)</f>
        <v>Form1-Pengawas-Thn-2</v>
      </c>
      <c r="C1" s="168" t="str">
        <f ca="1">MID(B1,7,LEN(B1)-6)</f>
        <v>Pengawas-Thn-2</v>
      </c>
      <c r="D1" s="168" t="str">
        <f ca="1">LEFT(C1,LEN(C1)-6)</f>
        <v>Pengawas</v>
      </c>
      <c r="E1" s="169" t="str">
        <f ca="1">A1</f>
        <v>2</v>
      </c>
      <c r="F1" s="169">
        <v>2</v>
      </c>
      <c r="G1" s="169">
        <v>3</v>
      </c>
      <c r="H1" s="169">
        <v>4</v>
      </c>
      <c r="I1" s="169">
        <v>4</v>
      </c>
      <c r="J1" s="169">
        <v>4</v>
      </c>
      <c r="K1" s="169">
        <v>4</v>
      </c>
      <c r="N1" s="169">
        <v>4</v>
      </c>
      <c r="O1" s="169">
        <v>4</v>
      </c>
      <c r="P1" s="283"/>
    </row>
    <row r="2" spans="1:16" s="169" customFormat="1" ht="15.75" hidden="1">
      <c r="A2" s="168"/>
      <c r="B2" s="168"/>
      <c r="C2" s="168"/>
      <c r="D2" s="168"/>
      <c r="P2" s="283"/>
    </row>
    <row r="3" spans="1:16" ht="15.75" hidden="1">
      <c r="C3" s="153" t="s">
        <v>59</v>
      </c>
      <c r="D3" s="153" t="s">
        <v>537</v>
      </c>
      <c r="E3" s="153" t="s">
        <v>504</v>
      </c>
      <c r="F3" s="168" t="s">
        <v>528</v>
      </c>
      <c r="G3" s="171" t="s">
        <v>531</v>
      </c>
    </row>
    <row r="4" spans="1:16" ht="15.75" hidden="1">
      <c r="C4" s="153" t="s">
        <v>14</v>
      </c>
      <c r="D4" s="153" t="str">
        <f t="shared" ref="D4:D34" si="0">VLOOKUP($C4,Tabel_IK,13,FALSE)</f>
        <v>USAHA PENGEMBANGAN MADRASAH</v>
      </c>
      <c r="E4" s="153" t="str">
        <f t="shared" ref="E4:E34" si="1">VLOOKUP($C4,Tabel_IK,14,FALSE)</f>
        <v>RKJM dan RKAM</v>
      </c>
      <c r="F4" s="172">
        <f t="shared" ref="F4:F34" ca="1" si="2">VLOOKUP($C4,Tabel_IK,3+INT($A$1),FALSE)</f>
        <v>0</v>
      </c>
      <c r="G4" s="173">
        <f ca="1">RANK(F4,F$4:F$34,1)+COUNTIF(F$4:F4,F4)-1</f>
        <v>1</v>
      </c>
    </row>
    <row r="5" spans="1:16" ht="15.75" hidden="1">
      <c r="C5" s="153" t="s">
        <v>13</v>
      </c>
      <c r="D5" s="153" t="str">
        <f t="shared" si="0"/>
        <v>USAHA PENGEMBANGAN MADRASAH</v>
      </c>
      <c r="E5" s="153" t="str">
        <f t="shared" si="1"/>
        <v>Pemberdayaan Organisasi Madrasah</v>
      </c>
      <c r="F5" s="172">
        <f t="shared" ca="1" si="2"/>
        <v>0</v>
      </c>
      <c r="G5" s="173">
        <f ca="1">RANK(F5,F$4:F$34,1)+COUNTIF(F$4:F5,F5)-1</f>
        <v>2</v>
      </c>
    </row>
    <row r="6" spans="1:16" ht="15.75" hidden="1">
      <c r="C6" s="153" t="s">
        <v>91</v>
      </c>
      <c r="D6" s="153" t="str">
        <f t="shared" si="0"/>
        <v>USAHA PENGEMBANGAN MADRASAH</v>
      </c>
      <c r="E6" s="153" t="str">
        <f t="shared" si="1"/>
        <v>Perencanaan dan Pengembangan Madrasah</v>
      </c>
      <c r="F6" s="172">
        <f t="shared" ca="1" si="2"/>
        <v>0</v>
      </c>
      <c r="G6" s="173">
        <f ca="1">RANK(F6,F$4:F$34,1)+COUNTIF(F$4:F6,F6)-1</f>
        <v>3</v>
      </c>
    </row>
    <row r="7" spans="1:16" ht="15.75" hidden="1">
      <c r="C7" s="153" t="s">
        <v>97</v>
      </c>
      <c r="D7" s="153" t="str">
        <f t="shared" si="0"/>
        <v>USAHA PENGEMBANGAN MADRASAH</v>
      </c>
      <c r="E7" s="153" t="str">
        <f t="shared" si="1"/>
        <v>Peningkatan Kualitas Pembelajaran</v>
      </c>
      <c r="F7" s="172">
        <f t="shared" ca="1" si="2"/>
        <v>0</v>
      </c>
      <c r="G7" s="173">
        <f ca="1">RANK(F7,F$4:F$34,1)+COUNTIF(F$4:F7,F7)-1</f>
        <v>4</v>
      </c>
    </row>
    <row r="8" spans="1:16" ht="15.75" hidden="1">
      <c r="C8" s="153" t="s">
        <v>103</v>
      </c>
      <c r="D8" s="153" t="str">
        <f t="shared" si="0"/>
        <v>USAHA PENGEMBANGAN MADRASAH</v>
      </c>
      <c r="E8" s="153" t="str">
        <f t="shared" si="1"/>
        <v>Monitoring dan Evaluasi</v>
      </c>
      <c r="F8" s="172">
        <f t="shared" ca="1" si="2"/>
        <v>0</v>
      </c>
      <c r="G8" s="173">
        <f ca="1">RANK(F8,F$4:F$34,1)+COUNTIF(F$4:F8,F8)-1</f>
        <v>5</v>
      </c>
    </row>
    <row r="9" spans="1:16" ht="15.75" hidden="1">
      <c r="C9" s="153" t="s">
        <v>111</v>
      </c>
      <c r="D9" s="153" t="str">
        <f t="shared" si="0"/>
        <v>USAHA PENGEMBANGAN MADRASAH</v>
      </c>
      <c r="E9" s="153" t="str">
        <f t="shared" si="1"/>
        <v>Monitoring dan Evaluasi</v>
      </c>
      <c r="F9" s="172">
        <f t="shared" ca="1" si="2"/>
        <v>0</v>
      </c>
      <c r="G9" s="173">
        <f ca="1">RANK(F9,F$4:F$34,1)+COUNTIF(F$4:F9,F9)-1</f>
        <v>6</v>
      </c>
    </row>
    <row r="10" spans="1:16" ht="15.75" hidden="1">
      <c r="C10" s="153" t="s">
        <v>119</v>
      </c>
      <c r="D10" s="153" t="str">
        <f t="shared" si="0"/>
        <v>USAHA PENGEMBANGAN MADRASAH</v>
      </c>
      <c r="E10" s="153" t="str">
        <f t="shared" si="1"/>
        <v>Penelitian Tindakan</v>
      </c>
      <c r="F10" s="172">
        <f t="shared" ca="1" si="2"/>
        <v>0</v>
      </c>
      <c r="G10" s="173">
        <f ca="1">RANK(F10,F$4:F$34,1)+COUNTIF(F$4:F10,F10)-1</f>
        <v>7</v>
      </c>
    </row>
    <row r="11" spans="1:16" ht="15.75" hidden="1">
      <c r="C11" s="153" t="s">
        <v>11</v>
      </c>
      <c r="D11" s="153" t="str">
        <f t="shared" si="0"/>
        <v>MANAJERIAL</v>
      </c>
      <c r="E11" s="153" t="str">
        <f t="shared" si="1"/>
        <v>RKJM dan RKAM</v>
      </c>
      <c r="F11" s="172">
        <f t="shared" ca="1" si="2"/>
        <v>0</v>
      </c>
      <c r="G11" s="173">
        <f ca="1">RANK(F11,F$4:F$34,1)+COUNTIF(F$4:F11,F11)-1</f>
        <v>8</v>
      </c>
    </row>
    <row r="12" spans="1:16" ht="15.75" hidden="1">
      <c r="C12" s="153" t="s">
        <v>9</v>
      </c>
      <c r="D12" s="153" t="str">
        <f t="shared" si="0"/>
        <v>MANAJERIAL</v>
      </c>
      <c r="E12" s="153" t="str">
        <f t="shared" si="1"/>
        <v>Perencanaan dan Pengembangan Madrasah</v>
      </c>
      <c r="F12" s="172">
        <f t="shared" ca="1" si="2"/>
        <v>0</v>
      </c>
      <c r="G12" s="173">
        <f ca="1">RANK(F12,F$4:F$34,1)+COUNTIF(F$4:F12,F12)-1</f>
        <v>9</v>
      </c>
    </row>
    <row r="13" spans="1:16" ht="15.75" hidden="1">
      <c r="C13" s="153" t="s">
        <v>144</v>
      </c>
      <c r="D13" s="153" t="str">
        <f t="shared" si="0"/>
        <v>MANAJERIAL</v>
      </c>
      <c r="E13" s="153" t="str">
        <f t="shared" si="1"/>
        <v>Kepemimpinan dalam Pengelolaan Sumberdaya Madrasah</v>
      </c>
      <c r="F13" s="172">
        <f t="shared" ca="1" si="2"/>
        <v>0</v>
      </c>
      <c r="G13" s="173">
        <f ca="1">RANK(F13,F$4:F$34,1)+COUNTIF(F$4:F13,F13)-1</f>
        <v>10</v>
      </c>
    </row>
    <row r="14" spans="1:16" ht="15.75" hidden="1">
      <c r="C14" s="153" t="s">
        <v>153</v>
      </c>
      <c r="D14" s="153" t="str">
        <f t="shared" si="0"/>
        <v>MANAJERIAL</v>
      </c>
      <c r="E14" s="153" t="str">
        <f t="shared" si="1"/>
        <v>Pengelolaan Sarana dan Prasarana</v>
      </c>
      <c r="F14" s="172">
        <f t="shared" ca="1" si="2"/>
        <v>0</v>
      </c>
      <c r="G14" s="173">
        <f ca="1">RANK(F14,F$4:F$34,1)+COUNTIF(F$4:F14,F14)-1</f>
        <v>11</v>
      </c>
    </row>
    <row r="15" spans="1:16" ht="15.75" hidden="1">
      <c r="C15" s="153" t="s">
        <v>163</v>
      </c>
      <c r="D15" s="153" t="str">
        <f t="shared" si="0"/>
        <v>MANAJERIAL</v>
      </c>
      <c r="E15" s="153" t="str">
        <f t="shared" si="1"/>
        <v>Madrasah Berwawasan Lingkungan</v>
      </c>
      <c r="F15" s="172">
        <f t="shared" ca="1" si="2"/>
        <v>0</v>
      </c>
      <c r="G15" s="173">
        <f ca="1">RANK(F15,F$4:F$34,1)+COUNTIF(F$4:F15,F15)-1</f>
        <v>12</v>
      </c>
    </row>
    <row r="16" spans="1:16" ht="15.75" hidden="1">
      <c r="C16" s="153" t="s">
        <v>173</v>
      </c>
      <c r="D16" s="153" t="str">
        <f t="shared" si="0"/>
        <v>MANAJERIAL</v>
      </c>
      <c r="E16" s="153" t="str">
        <f t="shared" si="1"/>
        <v>Pengelolaan Pendidikan dan Tenaga Kependidikan</v>
      </c>
      <c r="F16" s="172">
        <f t="shared" ca="1" si="2"/>
        <v>0</v>
      </c>
      <c r="G16" s="173">
        <f ca="1">RANK(F16,F$4:F$34,1)+COUNTIF(F$4:F16,F16)-1</f>
        <v>13</v>
      </c>
    </row>
    <row r="17" spans="3:7" ht="15.75" hidden="1">
      <c r="C17" s="153" t="s">
        <v>181</v>
      </c>
      <c r="D17" s="153" t="str">
        <f t="shared" si="0"/>
        <v>MANAJERIAL</v>
      </c>
      <c r="E17" s="153" t="str">
        <f t="shared" si="1"/>
        <v>Pengelolaan Sarana dan Prasarana</v>
      </c>
      <c r="F17" s="172">
        <f t="shared" ca="1" si="2"/>
        <v>0</v>
      </c>
      <c r="G17" s="173">
        <f ca="1">RANK(F17,F$4:F$34,1)+COUNTIF(F$4:F17,F17)-1</f>
        <v>14</v>
      </c>
    </row>
    <row r="18" spans="3:7" ht="15.75" hidden="1">
      <c r="C18" s="153" t="s">
        <v>189</v>
      </c>
      <c r="D18" s="153" t="str">
        <f t="shared" si="0"/>
        <v>MANAJERIAL</v>
      </c>
      <c r="E18" s="153" t="str">
        <f t="shared" si="1"/>
        <v>Kepemimpinan dalam Pengelolaan Sumberdaya Madrasah</v>
      </c>
      <c r="F18" s="172">
        <f t="shared" ca="1" si="2"/>
        <v>0</v>
      </c>
      <c r="G18" s="173">
        <f ca="1">RANK(F18,F$4:F$34,1)+COUNTIF(F$4:F18,F18)-1</f>
        <v>15</v>
      </c>
    </row>
    <row r="19" spans="3:7" ht="15.75" hidden="1">
      <c r="C19" s="153" t="s">
        <v>195</v>
      </c>
      <c r="D19" s="153" t="str">
        <f t="shared" si="0"/>
        <v>MANAJERIAL</v>
      </c>
      <c r="E19" s="153" t="str">
        <f t="shared" si="1"/>
        <v>Pengelolaan Peserta Didik Baru</v>
      </c>
      <c r="F19" s="172">
        <f t="shared" ca="1" si="2"/>
        <v>0</v>
      </c>
      <c r="G19" s="173">
        <f ca="1">RANK(F19,F$4:F$34,1)+COUNTIF(F$4:F19,F19)-1</f>
        <v>16</v>
      </c>
    </row>
    <row r="20" spans="3:7" ht="15.75" hidden="1">
      <c r="C20" s="153" t="s">
        <v>204</v>
      </c>
      <c r="D20" s="153" t="str">
        <f t="shared" si="0"/>
        <v>MANAJERIAL</v>
      </c>
      <c r="E20" s="153" t="str">
        <f t="shared" si="1"/>
        <v>Pengelolaan Kurikulum</v>
      </c>
      <c r="F20" s="172">
        <f t="shared" ca="1" si="2"/>
        <v>0</v>
      </c>
      <c r="G20" s="173">
        <f ca="1">RANK(F20,F$4:F$34,1)+COUNTIF(F$4:F20,F20)-1</f>
        <v>17</v>
      </c>
    </row>
    <row r="21" spans="3:7" ht="15.75" hidden="1">
      <c r="C21" s="153" t="s">
        <v>216</v>
      </c>
      <c r="D21" s="153" t="str">
        <f t="shared" si="0"/>
        <v>MANAJERIAL</v>
      </c>
      <c r="E21" s="153" t="str">
        <f t="shared" si="1"/>
        <v>Pengelolaan Keuangan</v>
      </c>
      <c r="F21" s="172">
        <f t="shared" ca="1" si="2"/>
        <v>0</v>
      </c>
      <c r="G21" s="173">
        <f ca="1">RANK(F21,F$4:F$34,1)+COUNTIF(F$4:F21,F21)-1</f>
        <v>18</v>
      </c>
    </row>
    <row r="22" spans="3:7" ht="15.75" hidden="1">
      <c r="C22" s="153" t="s">
        <v>218</v>
      </c>
      <c r="D22" s="153" t="str">
        <f t="shared" si="0"/>
        <v>MANAJERIAL</v>
      </c>
      <c r="E22" s="153" t="str">
        <f t="shared" si="1"/>
        <v>Kepemimpinan dalam Pengelolaan Sistem Administrasi</v>
      </c>
      <c r="F22" s="172">
        <f t="shared" ca="1" si="2"/>
        <v>0</v>
      </c>
      <c r="G22" s="173">
        <f ca="1">RANK(F22,F$4:F$34,1)+COUNTIF(F$4:F22,F22)-1</f>
        <v>19</v>
      </c>
    </row>
    <row r="23" spans="3:7" ht="15.75" hidden="1">
      <c r="C23" s="153" t="s">
        <v>220</v>
      </c>
      <c r="D23" s="153" t="str">
        <f t="shared" si="0"/>
        <v>MANAJERIAL</v>
      </c>
      <c r="E23" s="153" t="str">
        <f t="shared" si="1"/>
        <v>Pengelolaan Layanan Khusus</v>
      </c>
      <c r="F23" s="172">
        <f t="shared" ca="1" si="2"/>
        <v>0</v>
      </c>
      <c r="G23" s="173">
        <f ca="1">RANK(F23,F$4:F$34,1)+COUNTIF(F$4:F23,F23)-1</f>
        <v>20</v>
      </c>
    </row>
    <row r="24" spans="3:7" ht="15.75" hidden="1">
      <c r="C24" s="153" t="s">
        <v>222</v>
      </c>
      <c r="D24" s="153" t="str">
        <f t="shared" si="0"/>
        <v>MANAJERIAL</v>
      </c>
      <c r="E24" s="153" t="str">
        <f t="shared" si="1"/>
        <v>Sistem Informasi Manajemen (SIM)</v>
      </c>
      <c r="F24" s="172">
        <f t="shared" ca="1" si="2"/>
        <v>0</v>
      </c>
      <c r="G24" s="173">
        <f ca="1">RANK(F24,F$4:F$34,1)+COUNTIF(F$4:F24,F24)-1</f>
        <v>21</v>
      </c>
    </row>
    <row r="25" spans="3:7" ht="15.75" hidden="1">
      <c r="C25" s="153" t="s">
        <v>232</v>
      </c>
      <c r="D25" s="153" t="str">
        <f t="shared" si="0"/>
        <v>MANAJERIAL</v>
      </c>
      <c r="E25" s="153" t="str">
        <f t="shared" si="1"/>
        <v>Pembelajaran Berbasis TIK</v>
      </c>
      <c r="F25" s="172">
        <f t="shared" ca="1" si="2"/>
        <v>0</v>
      </c>
      <c r="G25" s="173">
        <f ca="1">RANK(F25,F$4:F$34,1)+COUNTIF(F$4:F25,F25)-1</f>
        <v>22</v>
      </c>
    </row>
    <row r="26" spans="3:7" ht="15.75" hidden="1">
      <c r="C26" s="153" t="s">
        <v>240</v>
      </c>
      <c r="D26" s="153" t="str">
        <f t="shared" si="0"/>
        <v>MANAJERIAL</v>
      </c>
      <c r="E26" s="153" t="str">
        <f t="shared" si="1"/>
        <v>Monitoring dan Evaluasi</v>
      </c>
      <c r="F26" s="172">
        <f t="shared" ca="1" si="2"/>
        <v>0</v>
      </c>
      <c r="G26" s="173">
        <f ca="1">RANK(F26,F$4:F$34,1)+COUNTIF(F$4:F26,F26)-1</f>
        <v>23</v>
      </c>
    </row>
    <row r="27" spans="3:7" ht="15.75" hidden="1">
      <c r="C27" s="153" t="s">
        <v>7</v>
      </c>
      <c r="D27" s="153" t="str">
        <f t="shared" si="0"/>
        <v>KEWIRAUSAHAAN</v>
      </c>
      <c r="E27" s="153" t="str">
        <f t="shared" si="1"/>
        <v>Perencanaan dan Pengembangan Madrasah</v>
      </c>
      <c r="F27" s="172">
        <f t="shared" ca="1" si="2"/>
        <v>0</v>
      </c>
      <c r="G27" s="173">
        <f ca="1">RANK(F27,F$4:F$34,1)+COUNTIF(F$4:F27,F27)-1</f>
        <v>24</v>
      </c>
    </row>
    <row r="28" spans="3:7" ht="15.75" hidden="1">
      <c r="C28" s="153" t="s">
        <v>6</v>
      </c>
      <c r="D28" s="153" t="str">
        <f t="shared" si="0"/>
        <v>KEWIRAUSAHAAN</v>
      </c>
      <c r="E28" s="153" t="str">
        <f t="shared" si="1"/>
        <v>Peningkatan Kualitas Pembelajaran</v>
      </c>
      <c r="F28" s="172">
        <f t="shared" ca="1" si="2"/>
        <v>0</v>
      </c>
      <c r="G28" s="173">
        <f ca="1">RANK(F28,F$4:F$34,1)+COUNTIF(F$4:F28,F28)-1</f>
        <v>25</v>
      </c>
    </row>
    <row r="29" spans="3:7" ht="15.75" hidden="1">
      <c r="C29" s="153" t="s">
        <v>5</v>
      </c>
      <c r="D29" s="153" t="str">
        <f t="shared" si="0"/>
        <v>KEWIRAUSAHAAN</v>
      </c>
      <c r="E29" s="153" t="str">
        <f t="shared" si="1"/>
        <v>Kepemimpinan Madrasah</v>
      </c>
      <c r="F29" s="172">
        <f t="shared" ca="1" si="2"/>
        <v>0</v>
      </c>
      <c r="G29" s="173">
        <f ca="1">RANK(F29,F$4:F$34,1)+COUNTIF(F$4:F29,F29)-1</f>
        <v>26</v>
      </c>
    </row>
    <row r="30" spans="3:7" ht="15.75" hidden="1">
      <c r="C30" s="153" t="s">
        <v>271</v>
      </c>
      <c r="D30" s="153" t="str">
        <f t="shared" si="0"/>
        <v>KEWIRAUSAHAAN</v>
      </c>
      <c r="E30" s="153" t="str">
        <f t="shared" si="1"/>
        <v>Kepemimpinan Madrasah</v>
      </c>
      <c r="F30" s="172">
        <f t="shared" ca="1" si="2"/>
        <v>0</v>
      </c>
      <c r="G30" s="173">
        <f ca="1">RANK(F30,F$4:F$34,1)+COUNTIF(F$4:F30,F30)-1</f>
        <v>27</v>
      </c>
    </row>
    <row r="31" spans="3:7" ht="15.75" hidden="1">
      <c r="C31" s="153" t="s">
        <v>277</v>
      </c>
      <c r="D31" s="153" t="str">
        <f t="shared" si="0"/>
        <v>KEWIRAUSAHAAN</v>
      </c>
      <c r="E31" s="153" t="str">
        <f t="shared" si="1"/>
        <v>Kewirausahaan</v>
      </c>
      <c r="F31" s="172">
        <f t="shared" ca="1" si="2"/>
        <v>0</v>
      </c>
      <c r="G31" s="173">
        <f ca="1">RANK(F31,F$4:F$34,1)+COUNTIF(F$4:F31,F31)-1</f>
        <v>28</v>
      </c>
    </row>
    <row r="32" spans="3:7" ht="15.75" hidden="1">
      <c r="C32" s="153" t="s">
        <v>3</v>
      </c>
      <c r="D32" s="153" t="str">
        <f t="shared" si="0"/>
        <v>SUPERVISI</v>
      </c>
      <c r="E32" s="153" t="str">
        <f t="shared" si="1"/>
        <v>Supervisi Akademik</v>
      </c>
      <c r="F32" s="172">
        <f t="shared" ca="1" si="2"/>
        <v>0</v>
      </c>
      <c r="G32" s="173">
        <f ca="1">RANK(F32,F$4:F$34,1)+COUNTIF(F$4:F32,F32)-1</f>
        <v>29</v>
      </c>
    </row>
    <row r="33" spans="2:24" ht="15.75" hidden="1">
      <c r="C33" s="153" t="s">
        <v>2</v>
      </c>
      <c r="D33" s="153" t="str">
        <f t="shared" si="0"/>
        <v>SUPERVISI</v>
      </c>
      <c r="E33" s="153" t="str">
        <f t="shared" si="1"/>
        <v>Supervisi Akademik</v>
      </c>
      <c r="F33" s="172">
        <f t="shared" ca="1" si="2"/>
        <v>0</v>
      </c>
      <c r="G33" s="173">
        <f ca="1">RANK(F33,F$4:F$34,1)+COUNTIF(F$4:F33,F33)-1</f>
        <v>30</v>
      </c>
    </row>
    <row r="34" spans="2:24" ht="15.75" hidden="1">
      <c r="C34" s="153" t="s">
        <v>1</v>
      </c>
      <c r="D34" s="153" t="str">
        <f t="shared" si="0"/>
        <v>SUPERVISI</v>
      </c>
      <c r="E34" s="153" t="str">
        <f t="shared" si="1"/>
        <v>Supervisi Akademik</v>
      </c>
      <c r="F34" s="172">
        <f t="shared" ca="1" si="2"/>
        <v>0</v>
      </c>
      <c r="G34" s="173">
        <f ca="1">RANK(F34,F$4:F$34,1)+COUNTIF(F$4:F34,F34)-1</f>
        <v>31</v>
      </c>
    </row>
    <row r="35" spans="2:24" ht="15" hidden="1" customHeight="1"/>
    <row r="36" spans="2:24" ht="15" hidden="1" customHeight="1" thickBot="1">
      <c r="B36" s="153" t="s">
        <v>59</v>
      </c>
      <c r="C36" s="153" t="s">
        <v>526</v>
      </c>
      <c r="D36" s="153" t="s">
        <v>537</v>
      </c>
      <c r="E36" s="168" t="s">
        <v>534</v>
      </c>
      <c r="F36" s="153" t="s">
        <v>528</v>
      </c>
      <c r="G36" s="153" t="s">
        <v>538</v>
      </c>
      <c r="L36" s="153" t="s">
        <v>539</v>
      </c>
      <c r="M36" s="153" t="s">
        <v>541</v>
      </c>
      <c r="N36" s="153" t="s">
        <v>522</v>
      </c>
      <c r="O36" s="153" t="s">
        <v>540</v>
      </c>
      <c r="P36" s="284" t="s">
        <v>530</v>
      </c>
      <c r="Q36" s="153" t="s">
        <v>523</v>
      </c>
      <c r="S36" s="174" t="s">
        <v>535</v>
      </c>
      <c r="T36" s="286" t="s">
        <v>559</v>
      </c>
    </row>
    <row r="37" spans="2:24" ht="15" hidden="1" customHeight="1" thickBot="1">
      <c r="B37" s="153">
        <v>1</v>
      </c>
      <c r="C37" s="153" t="str">
        <f t="shared" ref="C37:C67" ca="1" si="3">INDEX($C$4:$C$34,MATCH(B37,$G$4:$G$34,0))</f>
        <v>1.1.</v>
      </c>
      <c r="D37" s="153" t="str">
        <f ca="1">INDEX($D$4:$D$34,MATCH(B37,$G$4:$G$34,0))</f>
        <v>USAHA PENGEMBANGAN MADRASAH</v>
      </c>
      <c r="E37" s="168" t="str">
        <f t="shared" ref="E37:E67" ca="1" si="4">INDEX($E$4:$E$34,MATCH(B37,$G$4:$G$34,0))</f>
        <v>RKJM dan RKAM</v>
      </c>
      <c r="F37" s="172">
        <f ca="1">INDEX($F$4:$F$34,MATCH(B37,$G$4:$G$34,0))</f>
        <v>0</v>
      </c>
      <c r="G37" s="172" t="str">
        <f ca="1">PROPER(D37) &amp; " / " &amp;E37</f>
        <v>Usaha Pengembangan Madrasah / RKJM dan RKAM</v>
      </c>
      <c r="H37" s="172"/>
      <c r="I37" s="172"/>
      <c r="J37" s="172"/>
      <c r="K37" s="172"/>
      <c r="L37" s="175">
        <f ca="1">COUNTIF($G$37:G37,G37)</f>
        <v>1</v>
      </c>
      <c r="M37" s="176">
        <f ca="1">IF(L37&gt;1,100,F37)</f>
        <v>0</v>
      </c>
      <c r="N37" s="177">
        <f ca="1">IF(M37&gt;$S$37,0,RANK(M37,$M$37:$M$67,1)+COUNTIF($M$37:M37,M37)-1)</f>
        <v>1</v>
      </c>
      <c r="O37" s="153">
        <f ca="1">COUNTIF($E$37:E37,E37)</f>
        <v>1</v>
      </c>
      <c r="P37" s="284">
        <f t="shared" ref="P37:P67" ca="1" si="5">IF(O37&gt;1,100,F37)</f>
        <v>0</v>
      </c>
      <c r="Q37" s="177">
        <f ca="1">IF(P37&gt;$S$37,0,RANK(P37,$P$37:$P$67,1)+COUNTIF($P$37:P37,P37)-1)</f>
        <v>1</v>
      </c>
      <c r="S37" s="166">
        <v>91</v>
      </c>
      <c r="T37" s="287">
        <f ca="1">MAX(N37:N67)</f>
        <v>25</v>
      </c>
      <c r="W37" s="149" t="s">
        <v>524</v>
      </c>
      <c r="X37" s="150" t="s">
        <v>525</v>
      </c>
    </row>
    <row r="38" spans="2:24" ht="15" hidden="1" customHeight="1" thickBot="1">
      <c r="B38" s="153">
        <v>2</v>
      </c>
      <c r="C38" s="153" t="str">
        <f t="shared" ca="1" si="3"/>
        <v>1.2.</v>
      </c>
      <c r="D38" s="153" t="str">
        <f t="shared" ref="D38:D67" ca="1" si="6">INDEX($D$4:$D$34,MATCH(B38,$G$4:$G$34,0))</f>
        <v>USAHA PENGEMBANGAN MADRASAH</v>
      </c>
      <c r="E38" s="168" t="str">
        <f t="shared" ca="1" si="4"/>
        <v>Pemberdayaan Organisasi Madrasah</v>
      </c>
      <c r="F38" s="172">
        <f t="shared" ref="F38:F67" ca="1" si="7">INDEX($F$4:$F$34,MATCH(B38,$G$4:$G$34,0))</f>
        <v>0</v>
      </c>
      <c r="G38" s="172" t="str">
        <f t="shared" ref="G38:G67" ca="1" si="8">PROPER(D38) &amp; " / " &amp;E38</f>
        <v>Usaha Pengembangan Madrasah / Pemberdayaan Organisasi Madrasah</v>
      </c>
      <c r="H38" s="172"/>
      <c r="I38" s="172"/>
      <c r="J38" s="172"/>
      <c r="K38" s="172"/>
      <c r="L38" s="175">
        <f ca="1">COUNTIF($G$37:G38,G38)</f>
        <v>1</v>
      </c>
      <c r="M38" s="176">
        <f t="shared" ref="M38:M67" ca="1" si="9">IF(L38&gt;1,100,F38)</f>
        <v>0</v>
      </c>
      <c r="N38" s="177">
        <f ca="1">IF(M38&gt;$S$37,0,RANK(M38,$M$37:$M$67,1)+COUNTIF($M$37:M38,M38)-1)</f>
        <v>2</v>
      </c>
      <c r="O38" s="153">
        <f ca="1">COUNTIF($E$37:E38,E38)</f>
        <v>1</v>
      </c>
      <c r="P38" s="284">
        <f t="shared" ca="1" si="5"/>
        <v>0</v>
      </c>
      <c r="Q38" s="177">
        <f ca="1">IF(P38&gt;$S$37,0,RANK(P38,$P$37:$P$67,1)+COUNTIF($P$37:P38,P38)-1)</f>
        <v>2</v>
      </c>
      <c r="W38" s="151">
        <v>0</v>
      </c>
      <c r="X38" s="152" t="s">
        <v>44</v>
      </c>
    </row>
    <row r="39" spans="2:24" ht="15" hidden="1" customHeight="1" thickBot="1">
      <c r="B39" s="153">
        <v>3</v>
      </c>
      <c r="C39" s="153" t="str">
        <f t="shared" ca="1" si="3"/>
        <v>1.3.</v>
      </c>
      <c r="D39" s="153" t="str">
        <f t="shared" ca="1" si="6"/>
        <v>USAHA PENGEMBANGAN MADRASAH</v>
      </c>
      <c r="E39" s="168" t="str">
        <f t="shared" ca="1" si="4"/>
        <v>Perencanaan dan Pengembangan Madrasah</v>
      </c>
      <c r="F39" s="172">
        <f t="shared" ca="1" si="7"/>
        <v>0</v>
      </c>
      <c r="G39" s="172" t="str">
        <f t="shared" ca="1" si="8"/>
        <v>Usaha Pengembangan Madrasah / Perencanaan dan Pengembangan Madrasah</v>
      </c>
      <c r="H39" s="172"/>
      <c r="I39" s="172"/>
      <c r="J39" s="172"/>
      <c r="K39" s="172"/>
      <c r="L39" s="175">
        <f ca="1">COUNTIF($G$37:G39,G39)</f>
        <v>1</v>
      </c>
      <c r="M39" s="176">
        <f t="shared" ca="1" si="9"/>
        <v>0</v>
      </c>
      <c r="N39" s="177">
        <f ca="1">IF(M39&gt;$S$37,0,RANK(M39,$M$37:$M$67,1)+COUNTIF($M$37:M39,M39)-1)</f>
        <v>3</v>
      </c>
      <c r="O39" s="153">
        <f ca="1">COUNTIF($E$37:E39,E39)</f>
        <v>1</v>
      </c>
      <c r="P39" s="284">
        <f t="shared" ca="1" si="5"/>
        <v>0</v>
      </c>
      <c r="Q39" s="177">
        <f ca="1">IF(P39&gt;$S$37,0,RANK(P39,$P$37:$P$67,1)+COUNTIF($P$37:P39,P39)-1)</f>
        <v>3</v>
      </c>
      <c r="W39" s="151">
        <v>51</v>
      </c>
      <c r="X39" s="152" t="s">
        <v>45</v>
      </c>
    </row>
    <row r="40" spans="2:24" ht="15" hidden="1" customHeight="1" thickBot="1">
      <c r="B40" s="153">
        <v>4</v>
      </c>
      <c r="C40" s="153" t="str">
        <f t="shared" ca="1" si="3"/>
        <v>1.4.</v>
      </c>
      <c r="D40" s="153" t="str">
        <f t="shared" ca="1" si="6"/>
        <v>USAHA PENGEMBANGAN MADRASAH</v>
      </c>
      <c r="E40" s="168" t="str">
        <f t="shared" ca="1" si="4"/>
        <v>Peningkatan Kualitas Pembelajaran</v>
      </c>
      <c r="F40" s="172">
        <f t="shared" ca="1" si="7"/>
        <v>0</v>
      </c>
      <c r="G40" s="172" t="str">
        <f t="shared" ca="1" si="8"/>
        <v>Usaha Pengembangan Madrasah / Peningkatan Kualitas Pembelajaran</v>
      </c>
      <c r="H40" s="172"/>
      <c r="I40" s="172"/>
      <c r="J40" s="172"/>
      <c r="K40" s="172"/>
      <c r="L40" s="175">
        <f ca="1">COUNTIF($G$37:G40,G40)</f>
        <v>1</v>
      </c>
      <c r="M40" s="176">
        <f t="shared" ca="1" si="9"/>
        <v>0</v>
      </c>
      <c r="N40" s="177">
        <f ca="1">IF(M40&gt;$S$37,0,RANK(M40,$M$37:$M$67,1)+COUNTIF($M$37:M40,M40)-1)</f>
        <v>4</v>
      </c>
      <c r="O40" s="153">
        <f ca="1">COUNTIF($E$37:E40,E40)</f>
        <v>1</v>
      </c>
      <c r="P40" s="284">
        <f t="shared" ca="1" si="5"/>
        <v>0</v>
      </c>
      <c r="Q40" s="177">
        <f ca="1">IF(P40&gt;$S$37,0,RANK(P40,$P$37:$P$67,1)+COUNTIF($P$37:P40,P40)-1)</f>
        <v>4</v>
      </c>
      <c r="W40" s="151">
        <v>61</v>
      </c>
      <c r="X40" s="152" t="s">
        <v>46</v>
      </c>
    </row>
    <row r="41" spans="2:24" ht="15" hidden="1" customHeight="1" thickBot="1">
      <c r="B41" s="153">
        <v>5</v>
      </c>
      <c r="C41" s="153" t="str">
        <f t="shared" ca="1" si="3"/>
        <v>1.5.</v>
      </c>
      <c r="D41" s="153" t="str">
        <f t="shared" ca="1" si="6"/>
        <v>USAHA PENGEMBANGAN MADRASAH</v>
      </c>
      <c r="E41" s="168" t="str">
        <f t="shared" ca="1" si="4"/>
        <v>Monitoring dan Evaluasi</v>
      </c>
      <c r="F41" s="172">
        <f t="shared" ca="1" si="7"/>
        <v>0</v>
      </c>
      <c r="G41" s="172" t="str">
        <f t="shared" ca="1" si="8"/>
        <v>Usaha Pengembangan Madrasah / Monitoring dan Evaluasi</v>
      </c>
      <c r="H41" s="172"/>
      <c r="I41" s="172"/>
      <c r="J41" s="172"/>
      <c r="K41" s="172"/>
      <c r="L41" s="175">
        <f ca="1">COUNTIF($G$37:G41,G41)</f>
        <v>1</v>
      </c>
      <c r="M41" s="176">
        <f t="shared" ca="1" si="9"/>
        <v>0</v>
      </c>
      <c r="N41" s="177">
        <f ca="1">IF(M41&gt;$S$37,0,RANK(M41,$M$37:$M$67,1)+COUNTIF($M$37:M41,M41)-1)</f>
        <v>5</v>
      </c>
      <c r="O41" s="153">
        <f ca="1">COUNTIF($E$37:E41,E41)</f>
        <v>1</v>
      </c>
      <c r="P41" s="284">
        <f t="shared" ca="1" si="5"/>
        <v>0</v>
      </c>
      <c r="Q41" s="177">
        <f ca="1">IF(P41&gt;$S$37,0,RANK(P41,$P$37:$P$67,1)+COUNTIF($P$37:P41,P41)-1)</f>
        <v>5</v>
      </c>
      <c r="W41" s="151">
        <v>76</v>
      </c>
      <c r="X41" s="152" t="s">
        <v>47</v>
      </c>
    </row>
    <row r="42" spans="2:24" ht="15" hidden="1" customHeight="1" thickBot="1">
      <c r="B42" s="153">
        <v>6</v>
      </c>
      <c r="C42" s="153" t="str">
        <f t="shared" ca="1" si="3"/>
        <v>1.6.</v>
      </c>
      <c r="D42" s="153" t="str">
        <f t="shared" ca="1" si="6"/>
        <v>USAHA PENGEMBANGAN MADRASAH</v>
      </c>
      <c r="E42" s="168" t="str">
        <f t="shared" ca="1" si="4"/>
        <v>Monitoring dan Evaluasi</v>
      </c>
      <c r="F42" s="172">
        <f t="shared" ca="1" si="7"/>
        <v>0</v>
      </c>
      <c r="G42" s="172" t="str">
        <f t="shared" ca="1" si="8"/>
        <v>Usaha Pengembangan Madrasah / Monitoring dan Evaluasi</v>
      </c>
      <c r="H42" s="172"/>
      <c r="I42" s="172"/>
      <c r="J42" s="172"/>
      <c r="K42" s="172"/>
      <c r="L42" s="175">
        <f ca="1">COUNTIF($G$37:G42,G42)</f>
        <v>2</v>
      </c>
      <c r="M42" s="176">
        <f t="shared" ca="1" si="9"/>
        <v>100</v>
      </c>
      <c r="N42" s="177">
        <f ca="1">IF(M42&gt;$S$37,0,RANK(M42,$M$37:$M$67,1)+COUNTIF($M$37:M42,M42)-1)</f>
        <v>0</v>
      </c>
      <c r="O42" s="153">
        <f ca="1">COUNTIF($E$37:E42,E42)</f>
        <v>2</v>
      </c>
      <c r="P42" s="284">
        <f t="shared" ca="1" si="5"/>
        <v>100</v>
      </c>
      <c r="Q42" s="177">
        <f ca="1">IF(P42&gt;$S$37,0,RANK(P42,$P$37:$P$67,1)+COUNTIF($P$37:P42,P42)-1)</f>
        <v>0</v>
      </c>
      <c r="W42" s="151">
        <v>91</v>
      </c>
      <c r="X42" s="152" t="s">
        <v>459</v>
      </c>
    </row>
    <row r="43" spans="2:24" ht="15" hidden="1" customHeight="1">
      <c r="B43" s="153">
        <v>7</v>
      </c>
      <c r="C43" s="153" t="str">
        <f t="shared" ca="1" si="3"/>
        <v>1.7.</v>
      </c>
      <c r="D43" s="153" t="str">
        <f t="shared" ca="1" si="6"/>
        <v>USAHA PENGEMBANGAN MADRASAH</v>
      </c>
      <c r="E43" s="168" t="str">
        <f t="shared" ca="1" si="4"/>
        <v>Penelitian Tindakan</v>
      </c>
      <c r="F43" s="172">
        <f t="shared" ca="1" si="7"/>
        <v>0</v>
      </c>
      <c r="G43" s="172" t="str">
        <f t="shared" ca="1" si="8"/>
        <v>Usaha Pengembangan Madrasah / Penelitian Tindakan</v>
      </c>
      <c r="H43" s="172"/>
      <c r="I43" s="172"/>
      <c r="J43" s="172"/>
      <c r="K43" s="172"/>
      <c r="L43" s="175">
        <f ca="1">COUNTIF($G$37:G43,G43)</f>
        <v>1</v>
      </c>
      <c r="M43" s="176">
        <f t="shared" ca="1" si="9"/>
        <v>0</v>
      </c>
      <c r="N43" s="177">
        <f ca="1">IF(M43&gt;$S$37,0,RANK(M43,$M$37:$M$67,1)+COUNTIF($M$37:M43,M43)-1)</f>
        <v>6</v>
      </c>
      <c r="O43" s="153">
        <f ca="1">COUNTIF($E$37:E43,E43)</f>
        <v>1</v>
      </c>
      <c r="P43" s="284">
        <f t="shared" ca="1" si="5"/>
        <v>0</v>
      </c>
      <c r="Q43" s="177">
        <f ca="1">IF(P43&gt;$S$37,0,RANK(P43,$P$37:$P$67,1)+COUNTIF($P$37:P43,P43)-1)</f>
        <v>6</v>
      </c>
    </row>
    <row r="44" spans="2:24" ht="15" hidden="1" customHeight="1">
      <c r="B44" s="153">
        <v>8</v>
      </c>
      <c r="C44" s="153" t="str">
        <f t="shared" ca="1" si="3"/>
        <v>2.1.</v>
      </c>
      <c r="D44" s="153" t="str">
        <f t="shared" ca="1" si="6"/>
        <v>MANAJERIAL</v>
      </c>
      <c r="E44" s="168" t="str">
        <f t="shared" ca="1" si="4"/>
        <v>RKJM dan RKAM</v>
      </c>
      <c r="F44" s="172">
        <f t="shared" ca="1" si="7"/>
        <v>0</v>
      </c>
      <c r="G44" s="172" t="str">
        <f t="shared" ca="1" si="8"/>
        <v>Manajerial / RKJM dan RKAM</v>
      </c>
      <c r="H44" s="172"/>
      <c r="I44" s="172"/>
      <c r="J44" s="172"/>
      <c r="K44" s="172"/>
      <c r="L44" s="175">
        <f ca="1">COUNTIF($G$37:G44,G44)</f>
        <v>1</v>
      </c>
      <c r="M44" s="176">
        <f t="shared" ca="1" si="9"/>
        <v>0</v>
      </c>
      <c r="N44" s="177">
        <f ca="1">IF(M44&gt;$S$37,0,RANK(M44,$M$37:$M$67,1)+COUNTIF($M$37:M44,M44)-1)</f>
        <v>7</v>
      </c>
      <c r="O44" s="153">
        <f ca="1">COUNTIF($E$37:E44,E44)</f>
        <v>2</v>
      </c>
      <c r="P44" s="284">
        <f t="shared" ca="1" si="5"/>
        <v>100</v>
      </c>
      <c r="Q44" s="177">
        <f ca="1">IF(P44&gt;$S$37,0,RANK(P44,$P$37:$P$67,1)+COUNTIF($P$37:P44,P44)-1)</f>
        <v>0</v>
      </c>
    </row>
    <row r="45" spans="2:24" ht="15" hidden="1" customHeight="1">
      <c r="B45" s="153">
        <v>9</v>
      </c>
      <c r="C45" s="153" t="str">
        <f t="shared" ca="1" si="3"/>
        <v>2.2.</v>
      </c>
      <c r="D45" s="153" t="str">
        <f t="shared" ca="1" si="6"/>
        <v>MANAJERIAL</v>
      </c>
      <c r="E45" s="168" t="str">
        <f t="shared" ca="1" si="4"/>
        <v>Perencanaan dan Pengembangan Madrasah</v>
      </c>
      <c r="F45" s="172">
        <f t="shared" ca="1" si="7"/>
        <v>0</v>
      </c>
      <c r="G45" s="172" t="str">
        <f t="shared" ca="1" si="8"/>
        <v>Manajerial / Perencanaan dan Pengembangan Madrasah</v>
      </c>
      <c r="H45" s="172"/>
      <c r="I45" s="172"/>
      <c r="J45" s="172"/>
      <c r="K45" s="172"/>
      <c r="L45" s="175">
        <f ca="1">COUNTIF($G$37:G45,G45)</f>
        <v>1</v>
      </c>
      <c r="M45" s="176">
        <f t="shared" ca="1" si="9"/>
        <v>0</v>
      </c>
      <c r="N45" s="177">
        <f ca="1">IF(M45&gt;$S$37,0,RANK(M45,$M$37:$M$67,1)+COUNTIF($M$37:M45,M45)-1)</f>
        <v>8</v>
      </c>
      <c r="O45" s="153">
        <f ca="1">COUNTIF($E$37:E45,E45)</f>
        <v>2</v>
      </c>
      <c r="P45" s="284">
        <f t="shared" ca="1" si="5"/>
        <v>100</v>
      </c>
      <c r="Q45" s="177">
        <f ca="1">IF(P45&gt;$S$37,0,RANK(P45,$P$37:$P$67,1)+COUNTIF($P$37:P45,P45)-1)</f>
        <v>0</v>
      </c>
    </row>
    <row r="46" spans="2:24" ht="15" hidden="1" customHeight="1">
      <c r="B46" s="153">
        <v>10</v>
      </c>
      <c r="C46" s="153" t="str">
        <f t="shared" ca="1" si="3"/>
        <v>2.3.</v>
      </c>
      <c r="D46" s="153" t="str">
        <f t="shared" ca="1" si="6"/>
        <v>MANAJERIAL</v>
      </c>
      <c r="E46" s="168" t="str">
        <f t="shared" ca="1" si="4"/>
        <v>Kepemimpinan dalam Pengelolaan Sumberdaya Madrasah</v>
      </c>
      <c r="F46" s="172">
        <f t="shared" ca="1" si="7"/>
        <v>0</v>
      </c>
      <c r="G46" s="172" t="str">
        <f t="shared" ca="1" si="8"/>
        <v>Manajerial / Kepemimpinan dalam Pengelolaan Sumberdaya Madrasah</v>
      </c>
      <c r="H46" s="172"/>
      <c r="I46" s="172"/>
      <c r="J46" s="172"/>
      <c r="K46" s="172"/>
      <c r="L46" s="175">
        <f ca="1">COUNTIF($G$37:G46,G46)</f>
        <v>1</v>
      </c>
      <c r="M46" s="176">
        <f t="shared" ca="1" si="9"/>
        <v>0</v>
      </c>
      <c r="N46" s="177">
        <f ca="1">IF(M46&gt;$S$37,0,RANK(M46,$M$37:$M$67,1)+COUNTIF($M$37:M46,M46)-1)</f>
        <v>9</v>
      </c>
      <c r="O46" s="153">
        <f ca="1">COUNTIF($E$37:E46,E46)</f>
        <v>1</v>
      </c>
      <c r="P46" s="284">
        <f t="shared" ca="1" si="5"/>
        <v>0</v>
      </c>
      <c r="Q46" s="177">
        <f ca="1">IF(P46&gt;$S$37,0,RANK(P46,$P$37:$P$67,1)+COUNTIF($P$37:P46,P46)-1)</f>
        <v>7</v>
      </c>
    </row>
    <row r="47" spans="2:24" ht="15" hidden="1" customHeight="1">
      <c r="B47" s="153">
        <v>11</v>
      </c>
      <c r="C47" s="153" t="str">
        <f t="shared" ca="1" si="3"/>
        <v>2.4.</v>
      </c>
      <c r="D47" s="153" t="str">
        <f t="shared" ca="1" si="6"/>
        <v>MANAJERIAL</v>
      </c>
      <c r="E47" s="168" t="str">
        <f t="shared" ca="1" si="4"/>
        <v>Pengelolaan Sarana dan Prasarana</v>
      </c>
      <c r="F47" s="172">
        <f t="shared" ca="1" si="7"/>
        <v>0</v>
      </c>
      <c r="G47" s="172" t="str">
        <f t="shared" ca="1" si="8"/>
        <v>Manajerial / Pengelolaan Sarana dan Prasarana</v>
      </c>
      <c r="H47" s="172"/>
      <c r="I47" s="172"/>
      <c r="J47" s="172"/>
      <c r="K47" s="172"/>
      <c r="L47" s="175">
        <f ca="1">COUNTIF($G$37:G47,G47)</f>
        <v>1</v>
      </c>
      <c r="M47" s="176">
        <f t="shared" ca="1" si="9"/>
        <v>0</v>
      </c>
      <c r="N47" s="177">
        <f ca="1">IF(M47&gt;$S$37,0,RANK(M47,$M$37:$M$67,1)+COUNTIF($M$37:M47,M47)-1)</f>
        <v>10</v>
      </c>
      <c r="O47" s="153">
        <f ca="1">COUNTIF($E$37:E47,E47)</f>
        <v>1</v>
      </c>
      <c r="P47" s="284">
        <f t="shared" ca="1" si="5"/>
        <v>0</v>
      </c>
      <c r="Q47" s="177">
        <f ca="1">IF(P47&gt;$S$37,0,RANK(P47,$P$37:$P$67,1)+COUNTIF($P$37:P47,P47)-1)</f>
        <v>8</v>
      </c>
    </row>
    <row r="48" spans="2:24" ht="15" hidden="1" customHeight="1">
      <c r="B48" s="153">
        <v>12</v>
      </c>
      <c r="C48" s="153" t="str">
        <f t="shared" ca="1" si="3"/>
        <v>2.5.</v>
      </c>
      <c r="D48" s="153" t="str">
        <f t="shared" ca="1" si="6"/>
        <v>MANAJERIAL</v>
      </c>
      <c r="E48" s="168" t="str">
        <f t="shared" ca="1" si="4"/>
        <v>Madrasah Berwawasan Lingkungan</v>
      </c>
      <c r="F48" s="172">
        <f t="shared" ca="1" si="7"/>
        <v>0</v>
      </c>
      <c r="G48" s="172" t="str">
        <f t="shared" ca="1" si="8"/>
        <v>Manajerial / Madrasah Berwawasan Lingkungan</v>
      </c>
      <c r="H48" s="172"/>
      <c r="I48" s="172"/>
      <c r="J48" s="172"/>
      <c r="K48" s="172"/>
      <c r="L48" s="175">
        <f ca="1">COUNTIF($G$37:G48,G48)</f>
        <v>1</v>
      </c>
      <c r="M48" s="176">
        <f t="shared" ca="1" si="9"/>
        <v>0</v>
      </c>
      <c r="N48" s="177">
        <f ca="1">IF(M48&gt;$S$37,0,RANK(M48,$M$37:$M$67,1)+COUNTIF($M$37:M48,M48)-1)</f>
        <v>11</v>
      </c>
      <c r="O48" s="153">
        <f ca="1">COUNTIF($E$37:E48,E48)</f>
        <v>1</v>
      </c>
      <c r="P48" s="284">
        <f t="shared" ca="1" si="5"/>
        <v>0</v>
      </c>
      <c r="Q48" s="177">
        <f ca="1">IF(P48&gt;$S$37,0,RANK(P48,$P$37:$P$67,1)+COUNTIF($P$37:P48,P48)-1)</f>
        <v>9</v>
      </c>
    </row>
    <row r="49" spans="2:17" ht="15" hidden="1" customHeight="1">
      <c r="B49" s="153">
        <v>13</v>
      </c>
      <c r="C49" s="153" t="str">
        <f t="shared" ca="1" si="3"/>
        <v>2.6.</v>
      </c>
      <c r="D49" s="153" t="str">
        <f t="shared" ca="1" si="6"/>
        <v>MANAJERIAL</v>
      </c>
      <c r="E49" s="168" t="str">
        <f t="shared" ca="1" si="4"/>
        <v>Pengelolaan Pendidikan dan Tenaga Kependidikan</v>
      </c>
      <c r="F49" s="172">
        <f t="shared" ca="1" si="7"/>
        <v>0</v>
      </c>
      <c r="G49" s="172" t="str">
        <f t="shared" ca="1" si="8"/>
        <v>Manajerial / Pengelolaan Pendidikan dan Tenaga Kependidikan</v>
      </c>
      <c r="H49" s="172"/>
      <c r="I49" s="172"/>
      <c r="J49" s="172"/>
      <c r="K49" s="172"/>
      <c r="L49" s="175">
        <f ca="1">COUNTIF($G$37:G49,G49)</f>
        <v>1</v>
      </c>
      <c r="M49" s="176">
        <f t="shared" ca="1" si="9"/>
        <v>0</v>
      </c>
      <c r="N49" s="177">
        <f ca="1">IF(M49&gt;$S$37,0,RANK(M49,$M$37:$M$67,1)+COUNTIF($M$37:M49,M49)-1)</f>
        <v>12</v>
      </c>
      <c r="O49" s="153">
        <f ca="1">COUNTIF($E$37:E49,E49)</f>
        <v>1</v>
      </c>
      <c r="P49" s="284">
        <f t="shared" ca="1" si="5"/>
        <v>0</v>
      </c>
      <c r="Q49" s="177">
        <f ca="1">IF(P49&gt;$S$37,0,RANK(P49,$P$37:$P$67,1)+COUNTIF($P$37:P49,P49)-1)</f>
        <v>10</v>
      </c>
    </row>
    <row r="50" spans="2:17" ht="15" hidden="1" customHeight="1">
      <c r="B50" s="153">
        <v>14</v>
      </c>
      <c r="C50" s="153" t="str">
        <f t="shared" ca="1" si="3"/>
        <v>2.7.</v>
      </c>
      <c r="D50" s="153" t="str">
        <f t="shared" ca="1" si="6"/>
        <v>MANAJERIAL</v>
      </c>
      <c r="E50" s="168" t="str">
        <f t="shared" ca="1" si="4"/>
        <v>Pengelolaan Sarana dan Prasarana</v>
      </c>
      <c r="F50" s="172">
        <f t="shared" ca="1" si="7"/>
        <v>0</v>
      </c>
      <c r="G50" s="172" t="str">
        <f t="shared" ca="1" si="8"/>
        <v>Manajerial / Pengelolaan Sarana dan Prasarana</v>
      </c>
      <c r="H50" s="172"/>
      <c r="I50" s="172"/>
      <c r="J50" s="172"/>
      <c r="K50" s="172"/>
      <c r="L50" s="175">
        <f ca="1">COUNTIF($G$37:G50,G50)</f>
        <v>2</v>
      </c>
      <c r="M50" s="176">
        <f t="shared" ca="1" si="9"/>
        <v>100</v>
      </c>
      <c r="N50" s="177">
        <f ca="1">IF(M50&gt;$S$37,0,RANK(M50,$M$37:$M$67,1)+COUNTIF($M$37:M50,M50)-1)</f>
        <v>0</v>
      </c>
      <c r="O50" s="153">
        <f ca="1">COUNTIF($E$37:E50,E50)</f>
        <v>2</v>
      </c>
      <c r="P50" s="284">
        <f t="shared" ca="1" si="5"/>
        <v>100</v>
      </c>
      <c r="Q50" s="177">
        <f ca="1">IF(P50&gt;$S$37,0,RANK(P50,$P$37:$P$67,1)+COUNTIF($P$37:P50,P50)-1)</f>
        <v>0</v>
      </c>
    </row>
    <row r="51" spans="2:17" ht="15" hidden="1" customHeight="1">
      <c r="B51" s="153">
        <v>15</v>
      </c>
      <c r="C51" s="153" t="str">
        <f t="shared" ca="1" si="3"/>
        <v>2.8.</v>
      </c>
      <c r="D51" s="153" t="str">
        <f t="shared" ca="1" si="6"/>
        <v>MANAJERIAL</v>
      </c>
      <c r="E51" s="168" t="str">
        <f t="shared" ca="1" si="4"/>
        <v>Kepemimpinan dalam Pengelolaan Sumberdaya Madrasah</v>
      </c>
      <c r="F51" s="172">
        <f t="shared" ca="1" si="7"/>
        <v>0</v>
      </c>
      <c r="G51" s="172" t="str">
        <f t="shared" ca="1" si="8"/>
        <v>Manajerial / Kepemimpinan dalam Pengelolaan Sumberdaya Madrasah</v>
      </c>
      <c r="H51" s="172"/>
      <c r="I51" s="172"/>
      <c r="J51" s="172"/>
      <c r="K51" s="172"/>
      <c r="L51" s="175">
        <f ca="1">COUNTIF($G$37:G51,G51)</f>
        <v>2</v>
      </c>
      <c r="M51" s="176">
        <f t="shared" ca="1" si="9"/>
        <v>100</v>
      </c>
      <c r="N51" s="177">
        <f ca="1">IF(M51&gt;$S$37,0,RANK(M51,$M$37:$M$67,1)+COUNTIF($M$37:M51,M51)-1)</f>
        <v>0</v>
      </c>
      <c r="O51" s="153">
        <f ca="1">COUNTIF($E$37:E51,E51)</f>
        <v>2</v>
      </c>
      <c r="P51" s="284">
        <f t="shared" ca="1" si="5"/>
        <v>100</v>
      </c>
      <c r="Q51" s="177">
        <f ca="1">IF(P51&gt;$S$37,0,RANK(P51,$P$37:$P$67,1)+COUNTIF($P$37:P51,P51)-1)</f>
        <v>0</v>
      </c>
    </row>
    <row r="52" spans="2:17" ht="15" hidden="1" customHeight="1">
      <c r="B52" s="153">
        <v>16</v>
      </c>
      <c r="C52" s="153" t="str">
        <f t="shared" ca="1" si="3"/>
        <v>2.9.</v>
      </c>
      <c r="D52" s="153" t="str">
        <f t="shared" ca="1" si="6"/>
        <v>MANAJERIAL</v>
      </c>
      <c r="E52" s="168" t="str">
        <f t="shared" ca="1" si="4"/>
        <v>Pengelolaan Peserta Didik Baru</v>
      </c>
      <c r="F52" s="172">
        <f t="shared" ca="1" si="7"/>
        <v>0</v>
      </c>
      <c r="G52" s="172" t="str">
        <f t="shared" ca="1" si="8"/>
        <v>Manajerial / Pengelolaan Peserta Didik Baru</v>
      </c>
      <c r="H52" s="172"/>
      <c r="I52" s="172"/>
      <c r="J52" s="172"/>
      <c r="K52" s="172"/>
      <c r="L52" s="175">
        <f ca="1">COUNTIF($G$37:G52,G52)</f>
        <v>1</v>
      </c>
      <c r="M52" s="176">
        <f t="shared" ca="1" si="9"/>
        <v>0</v>
      </c>
      <c r="N52" s="177">
        <f ca="1">IF(M52&gt;$S$37,0,RANK(M52,$M$37:$M$67,1)+COUNTIF($M$37:M52,M52)-1)</f>
        <v>13</v>
      </c>
      <c r="O52" s="153">
        <f ca="1">COUNTIF($E$37:E52,E52)</f>
        <v>1</v>
      </c>
      <c r="P52" s="284">
        <f t="shared" ca="1" si="5"/>
        <v>0</v>
      </c>
      <c r="Q52" s="177">
        <f ca="1">IF(P52&gt;$S$37,0,RANK(P52,$P$37:$P$67,1)+COUNTIF($P$37:P52,P52)-1)</f>
        <v>11</v>
      </c>
    </row>
    <row r="53" spans="2:17" ht="15" hidden="1" customHeight="1">
      <c r="B53" s="153">
        <v>17</v>
      </c>
      <c r="C53" s="153" t="str">
        <f t="shared" ca="1" si="3"/>
        <v>2.10.</v>
      </c>
      <c r="D53" s="153" t="str">
        <f t="shared" ca="1" si="6"/>
        <v>MANAJERIAL</v>
      </c>
      <c r="E53" s="168" t="str">
        <f t="shared" ca="1" si="4"/>
        <v>Pengelolaan Kurikulum</v>
      </c>
      <c r="F53" s="172">
        <f t="shared" ca="1" si="7"/>
        <v>0</v>
      </c>
      <c r="G53" s="172" t="str">
        <f t="shared" ca="1" si="8"/>
        <v>Manajerial / Pengelolaan Kurikulum</v>
      </c>
      <c r="H53" s="172"/>
      <c r="I53" s="172"/>
      <c r="J53" s="172"/>
      <c r="K53" s="172"/>
      <c r="L53" s="175">
        <f ca="1">COUNTIF($G$37:G53,G53)</f>
        <v>1</v>
      </c>
      <c r="M53" s="176">
        <f t="shared" ca="1" si="9"/>
        <v>0</v>
      </c>
      <c r="N53" s="177">
        <f ca="1">IF(M53&gt;$S$37,0,RANK(M53,$M$37:$M$67,1)+COUNTIF($M$37:M53,M53)-1)</f>
        <v>14</v>
      </c>
      <c r="O53" s="153">
        <f ca="1">COUNTIF($E$37:E53,E53)</f>
        <v>1</v>
      </c>
      <c r="P53" s="284">
        <f t="shared" ca="1" si="5"/>
        <v>0</v>
      </c>
      <c r="Q53" s="177">
        <f ca="1">IF(P53&gt;$S$37,0,RANK(P53,$P$37:$P$67,1)+COUNTIF($P$37:P53,P53)-1)</f>
        <v>12</v>
      </c>
    </row>
    <row r="54" spans="2:17" ht="15" hidden="1" customHeight="1">
      <c r="B54" s="153">
        <v>18</v>
      </c>
      <c r="C54" s="153" t="str">
        <f t="shared" ca="1" si="3"/>
        <v>2.11.</v>
      </c>
      <c r="D54" s="153" t="str">
        <f t="shared" ca="1" si="6"/>
        <v>MANAJERIAL</v>
      </c>
      <c r="E54" s="168" t="str">
        <f t="shared" ca="1" si="4"/>
        <v>Pengelolaan Keuangan</v>
      </c>
      <c r="F54" s="172">
        <f t="shared" ca="1" si="7"/>
        <v>0</v>
      </c>
      <c r="G54" s="172" t="str">
        <f t="shared" ca="1" si="8"/>
        <v>Manajerial / Pengelolaan Keuangan</v>
      </c>
      <c r="H54" s="172"/>
      <c r="I54" s="172"/>
      <c r="J54" s="172"/>
      <c r="K54" s="172"/>
      <c r="L54" s="175">
        <f ca="1">COUNTIF($G$37:G54,G54)</f>
        <v>1</v>
      </c>
      <c r="M54" s="176">
        <f t="shared" ca="1" si="9"/>
        <v>0</v>
      </c>
      <c r="N54" s="177">
        <f ca="1">IF(M54&gt;$S$37,0,RANK(M54,$M$37:$M$67,1)+COUNTIF($M$37:M54,M54)-1)</f>
        <v>15</v>
      </c>
      <c r="O54" s="153">
        <f ca="1">COUNTIF($E$37:E54,E54)</f>
        <v>1</v>
      </c>
      <c r="P54" s="284">
        <f t="shared" ca="1" si="5"/>
        <v>0</v>
      </c>
      <c r="Q54" s="177">
        <f ca="1">IF(P54&gt;$S$37,0,RANK(P54,$P$37:$P$67,1)+COUNTIF($P$37:P54,P54)-1)</f>
        <v>13</v>
      </c>
    </row>
    <row r="55" spans="2:17" ht="15" hidden="1" customHeight="1">
      <c r="B55" s="153">
        <v>19</v>
      </c>
      <c r="C55" s="153" t="str">
        <f t="shared" ca="1" si="3"/>
        <v>2.12</v>
      </c>
      <c r="D55" s="153" t="str">
        <f t="shared" ca="1" si="6"/>
        <v>MANAJERIAL</v>
      </c>
      <c r="E55" s="168" t="str">
        <f t="shared" ca="1" si="4"/>
        <v>Kepemimpinan dalam Pengelolaan Sistem Administrasi</v>
      </c>
      <c r="F55" s="172">
        <f t="shared" ca="1" si="7"/>
        <v>0</v>
      </c>
      <c r="G55" s="172" t="str">
        <f t="shared" ca="1" si="8"/>
        <v>Manajerial / Kepemimpinan dalam Pengelolaan Sistem Administrasi</v>
      </c>
      <c r="H55" s="172"/>
      <c r="I55" s="172"/>
      <c r="J55" s="172"/>
      <c r="K55" s="172"/>
      <c r="L55" s="175">
        <f ca="1">COUNTIF($G$37:G55,G55)</f>
        <v>1</v>
      </c>
      <c r="M55" s="176">
        <f t="shared" ca="1" si="9"/>
        <v>0</v>
      </c>
      <c r="N55" s="177">
        <f ca="1">IF(M55&gt;$S$37,0,RANK(M55,$M$37:$M$67,1)+COUNTIF($M$37:M55,M55)-1)</f>
        <v>16</v>
      </c>
      <c r="O55" s="153">
        <f ca="1">COUNTIF($E$37:E55,E55)</f>
        <v>1</v>
      </c>
      <c r="P55" s="284">
        <f t="shared" ca="1" si="5"/>
        <v>0</v>
      </c>
      <c r="Q55" s="177">
        <f ca="1">IF(P55&gt;$S$37,0,RANK(P55,$P$37:$P$67,1)+COUNTIF($P$37:P55,P55)-1)</f>
        <v>14</v>
      </c>
    </row>
    <row r="56" spans="2:17" ht="15" hidden="1" customHeight="1">
      <c r="B56" s="153">
        <v>20</v>
      </c>
      <c r="C56" s="153" t="str">
        <f t="shared" ca="1" si="3"/>
        <v>2.13.</v>
      </c>
      <c r="D56" s="153" t="str">
        <f t="shared" ca="1" si="6"/>
        <v>MANAJERIAL</v>
      </c>
      <c r="E56" s="168" t="str">
        <f t="shared" ca="1" si="4"/>
        <v>Pengelolaan Layanan Khusus</v>
      </c>
      <c r="F56" s="172">
        <f t="shared" ca="1" si="7"/>
        <v>0</v>
      </c>
      <c r="G56" s="172" t="str">
        <f t="shared" ca="1" si="8"/>
        <v>Manajerial / Pengelolaan Layanan Khusus</v>
      </c>
      <c r="H56" s="172"/>
      <c r="I56" s="172"/>
      <c r="J56" s="172"/>
      <c r="K56" s="172"/>
      <c r="L56" s="175">
        <f ca="1">COUNTIF($G$37:G56,G56)</f>
        <v>1</v>
      </c>
      <c r="M56" s="176">
        <f t="shared" ca="1" si="9"/>
        <v>0</v>
      </c>
      <c r="N56" s="177">
        <f ca="1">IF(M56&gt;$S$37,0,RANK(M56,$M$37:$M$67,1)+COUNTIF($M$37:M56,M56)-1)</f>
        <v>17</v>
      </c>
      <c r="O56" s="153">
        <f ca="1">COUNTIF($E$37:E56,E56)</f>
        <v>1</v>
      </c>
      <c r="P56" s="284">
        <f t="shared" ca="1" si="5"/>
        <v>0</v>
      </c>
      <c r="Q56" s="177">
        <f ca="1">IF(P56&gt;$S$37,0,RANK(P56,$P$37:$P$67,1)+COUNTIF($P$37:P56,P56)-1)</f>
        <v>15</v>
      </c>
    </row>
    <row r="57" spans="2:17" ht="15" hidden="1" customHeight="1">
      <c r="B57" s="153">
        <v>21</v>
      </c>
      <c r="C57" s="153" t="str">
        <f t="shared" ca="1" si="3"/>
        <v>2.14</v>
      </c>
      <c r="D57" s="153" t="str">
        <f t="shared" ca="1" si="6"/>
        <v>MANAJERIAL</v>
      </c>
      <c r="E57" s="168" t="str">
        <f t="shared" ca="1" si="4"/>
        <v>Sistem Informasi Manajemen (SIM)</v>
      </c>
      <c r="F57" s="172">
        <f t="shared" ca="1" si="7"/>
        <v>0</v>
      </c>
      <c r="G57" s="172" t="str">
        <f t="shared" ca="1" si="8"/>
        <v>Manajerial / Sistem Informasi Manajemen (SIM)</v>
      </c>
      <c r="H57" s="172"/>
      <c r="I57" s="172"/>
      <c r="J57" s="172"/>
      <c r="K57" s="172"/>
      <c r="L57" s="175">
        <f ca="1">COUNTIF($G$37:G57,G57)</f>
        <v>1</v>
      </c>
      <c r="M57" s="176">
        <f t="shared" ca="1" si="9"/>
        <v>0</v>
      </c>
      <c r="N57" s="177">
        <f ca="1">IF(M57&gt;$S$37,0,RANK(M57,$M$37:$M$67,1)+COUNTIF($M$37:M57,M57)-1)</f>
        <v>18</v>
      </c>
      <c r="O57" s="153">
        <f ca="1">COUNTIF($E$37:E57,E57)</f>
        <v>1</v>
      </c>
      <c r="P57" s="284">
        <f t="shared" ca="1" si="5"/>
        <v>0</v>
      </c>
      <c r="Q57" s="177">
        <f ca="1">IF(P57&gt;$S$37,0,RANK(P57,$P$37:$P$67,1)+COUNTIF($P$37:P57,P57)-1)</f>
        <v>16</v>
      </c>
    </row>
    <row r="58" spans="2:17" ht="15" hidden="1" customHeight="1">
      <c r="B58" s="153">
        <v>22</v>
      </c>
      <c r="C58" s="153" t="str">
        <f t="shared" ca="1" si="3"/>
        <v>2.15.</v>
      </c>
      <c r="D58" s="153" t="str">
        <f t="shared" ca="1" si="6"/>
        <v>MANAJERIAL</v>
      </c>
      <c r="E58" s="168" t="str">
        <f t="shared" ca="1" si="4"/>
        <v>Pembelajaran Berbasis TIK</v>
      </c>
      <c r="F58" s="172">
        <f t="shared" ca="1" si="7"/>
        <v>0</v>
      </c>
      <c r="G58" s="172" t="str">
        <f t="shared" ca="1" si="8"/>
        <v>Manajerial / Pembelajaran Berbasis TIK</v>
      </c>
      <c r="H58" s="172"/>
      <c r="I58" s="172"/>
      <c r="J58" s="172"/>
      <c r="K58" s="172"/>
      <c r="L58" s="175">
        <f ca="1">COUNTIF($G$37:G58,G58)</f>
        <v>1</v>
      </c>
      <c r="M58" s="176">
        <f t="shared" ca="1" si="9"/>
        <v>0</v>
      </c>
      <c r="N58" s="177">
        <f ca="1">IF(M58&gt;$S$37,0,RANK(M58,$M$37:$M$67,1)+COUNTIF($M$37:M58,M58)-1)</f>
        <v>19</v>
      </c>
      <c r="O58" s="153">
        <f ca="1">COUNTIF($E$37:E58,E58)</f>
        <v>1</v>
      </c>
      <c r="P58" s="284">
        <f t="shared" ca="1" si="5"/>
        <v>0</v>
      </c>
      <c r="Q58" s="177">
        <f ca="1">IF(P58&gt;$S$37,0,RANK(P58,$P$37:$P$67,1)+COUNTIF($P$37:P58,P58)-1)</f>
        <v>17</v>
      </c>
    </row>
    <row r="59" spans="2:17" ht="15" hidden="1" customHeight="1">
      <c r="B59" s="153">
        <v>23</v>
      </c>
      <c r="C59" s="153" t="str">
        <f t="shared" ca="1" si="3"/>
        <v>2.16.</v>
      </c>
      <c r="D59" s="153" t="str">
        <f t="shared" ca="1" si="6"/>
        <v>MANAJERIAL</v>
      </c>
      <c r="E59" s="168" t="str">
        <f t="shared" ca="1" si="4"/>
        <v>Monitoring dan Evaluasi</v>
      </c>
      <c r="F59" s="172">
        <f t="shared" ca="1" si="7"/>
        <v>0</v>
      </c>
      <c r="G59" s="172" t="str">
        <f t="shared" ca="1" si="8"/>
        <v>Manajerial / Monitoring dan Evaluasi</v>
      </c>
      <c r="H59" s="172"/>
      <c r="I59" s="172"/>
      <c r="J59" s="172"/>
      <c r="K59" s="172"/>
      <c r="L59" s="175">
        <f ca="1">COUNTIF($G$37:G59,G59)</f>
        <v>1</v>
      </c>
      <c r="M59" s="176">
        <f t="shared" ca="1" si="9"/>
        <v>0</v>
      </c>
      <c r="N59" s="177">
        <f ca="1">IF(M59&gt;$S$37,0,RANK(M59,$M$37:$M$67,1)+COUNTIF($M$37:M59,M59)-1)</f>
        <v>20</v>
      </c>
      <c r="O59" s="153">
        <f ca="1">COUNTIF($E$37:E59,E59)</f>
        <v>3</v>
      </c>
      <c r="P59" s="284">
        <f t="shared" ca="1" si="5"/>
        <v>100</v>
      </c>
      <c r="Q59" s="177">
        <f ca="1">IF(P59&gt;$S$37,0,RANK(P59,$P$37:$P$67,1)+COUNTIF($P$37:P59,P59)-1)</f>
        <v>0</v>
      </c>
    </row>
    <row r="60" spans="2:17" ht="15" hidden="1" customHeight="1">
      <c r="B60" s="153">
        <v>24</v>
      </c>
      <c r="C60" s="153" t="str">
        <f t="shared" ca="1" si="3"/>
        <v>3.1.</v>
      </c>
      <c r="D60" s="153" t="str">
        <f t="shared" ca="1" si="6"/>
        <v>KEWIRAUSAHAAN</v>
      </c>
      <c r="E60" s="168" t="str">
        <f t="shared" ca="1" si="4"/>
        <v>Perencanaan dan Pengembangan Madrasah</v>
      </c>
      <c r="F60" s="172">
        <f t="shared" ca="1" si="7"/>
        <v>0</v>
      </c>
      <c r="G60" s="172" t="str">
        <f t="shared" ca="1" si="8"/>
        <v>Kewirausahaan / Perencanaan dan Pengembangan Madrasah</v>
      </c>
      <c r="H60" s="172"/>
      <c r="I60" s="172"/>
      <c r="J60" s="172"/>
      <c r="K60" s="172"/>
      <c r="L60" s="175">
        <f ca="1">COUNTIF($G$37:G60,G60)</f>
        <v>1</v>
      </c>
      <c r="M60" s="176">
        <f t="shared" ca="1" si="9"/>
        <v>0</v>
      </c>
      <c r="N60" s="177">
        <f ca="1">IF(M60&gt;$S$37,0,RANK(M60,$M$37:$M$67,1)+COUNTIF($M$37:M60,M60)-1)</f>
        <v>21</v>
      </c>
      <c r="O60" s="153">
        <f ca="1">COUNTIF($E$37:E60,E60)</f>
        <v>3</v>
      </c>
      <c r="P60" s="284">
        <f t="shared" ca="1" si="5"/>
        <v>100</v>
      </c>
      <c r="Q60" s="177">
        <f ca="1">IF(P60&gt;$S$37,0,RANK(P60,$P$37:$P$67,1)+COUNTIF($P$37:P60,P60)-1)</f>
        <v>0</v>
      </c>
    </row>
    <row r="61" spans="2:17" ht="15" hidden="1" customHeight="1">
      <c r="B61" s="153">
        <v>25</v>
      </c>
      <c r="C61" s="153" t="str">
        <f t="shared" ca="1" si="3"/>
        <v>3.2.</v>
      </c>
      <c r="D61" s="153" t="str">
        <f t="shared" ca="1" si="6"/>
        <v>KEWIRAUSAHAAN</v>
      </c>
      <c r="E61" s="168" t="str">
        <f t="shared" ca="1" si="4"/>
        <v>Peningkatan Kualitas Pembelajaran</v>
      </c>
      <c r="F61" s="172">
        <f t="shared" ca="1" si="7"/>
        <v>0</v>
      </c>
      <c r="G61" s="172" t="str">
        <f t="shared" ca="1" si="8"/>
        <v>Kewirausahaan / Peningkatan Kualitas Pembelajaran</v>
      </c>
      <c r="H61" s="172"/>
      <c r="I61" s="172"/>
      <c r="J61" s="172"/>
      <c r="K61" s="172"/>
      <c r="L61" s="175">
        <f ca="1">COUNTIF($G$37:G61,G61)</f>
        <v>1</v>
      </c>
      <c r="M61" s="176">
        <f t="shared" ca="1" si="9"/>
        <v>0</v>
      </c>
      <c r="N61" s="177">
        <f ca="1">IF(M61&gt;$S$37,0,RANK(M61,$M$37:$M$67,1)+COUNTIF($M$37:M61,M61)-1)</f>
        <v>22</v>
      </c>
      <c r="O61" s="153">
        <f ca="1">COUNTIF($E$37:E61,E61)</f>
        <v>2</v>
      </c>
      <c r="P61" s="284">
        <f t="shared" ca="1" si="5"/>
        <v>100</v>
      </c>
      <c r="Q61" s="177">
        <f ca="1">IF(P61&gt;$S$37,0,RANK(P61,$P$37:$P$67,1)+COUNTIF($P$37:P61,P61)-1)</f>
        <v>0</v>
      </c>
    </row>
    <row r="62" spans="2:17" ht="15" hidden="1" customHeight="1">
      <c r="B62" s="153">
        <v>26</v>
      </c>
      <c r="C62" s="153" t="str">
        <f t="shared" ca="1" si="3"/>
        <v>3.3.</v>
      </c>
      <c r="D62" s="153" t="str">
        <f t="shared" ca="1" si="6"/>
        <v>KEWIRAUSAHAAN</v>
      </c>
      <c r="E62" s="168" t="str">
        <f t="shared" ca="1" si="4"/>
        <v>Kepemimpinan Madrasah</v>
      </c>
      <c r="F62" s="172">
        <f t="shared" ca="1" si="7"/>
        <v>0</v>
      </c>
      <c r="G62" s="172" t="str">
        <f t="shared" ca="1" si="8"/>
        <v>Kewirausahaan / Kepemimpinan Madrasah</v>
      </c>
      <c r="H62" s="172"/>
      <c r="I62" s="172"/>
      <c r="J62" s="172"/>
      <c r="K62" s="172"/>
      <c r="L62" s="175">
        <f ca="1">COUNTIF($G$37:G62,G62)</f>
        <v>1</v>
      </c>
      <c r="M62" s="176">
        <f t="shared" ca="1" si="9"/>
        <v>0</v>
      </c>
      <c r="N62" s="177">
        <f ca="1">IF(M62&gt;$S$37,0,RANK(M62,$M$37:$M$67,1)+COUNTIF($M$37:M62,M62)-1)</f>
        <v>23</v>
      </c>
      <c r="O62" s="153">
        <f ca="1">COUNTIF($E$37:E62,E62)</f>
        <v>1</v>
      </c>
      <c r="P62" s="284">
        <f t="shared" ca="1" si="5"/>
        <v>0</v>
      </c>
      <c r="Q62" s="177">
        <f ca="1">IF(P62&gt;$S$37,0,RANK(P62,$P$37:$P$67,1)+COUNTIF($P$37:P62,P62)-1)</f>
        <v>18</v>
      </c>
    </row>
    <row r="63" spans="2:17" ht="15" hidden="1" customHeight="1">
      <c r="B63" s="153">
        <v>27</v>
      </c>
      <c r="C63" s="153" t="str">
        <f t="shared" ca="1" si="3"/>
        <v>3.4.</v>
      </c>
      <c r="D63" s="153" t="str">
        <f t="shared" ca="1" si="6"/>
        <v>KEWIRAUSAHAAN</v>
      </c>
      <c r="E63" s="168" t="str">
        <f t="shared" ca="1" si="4"/>
        <v>Kepemimpinan Madrasah</v>
      </c>
      <c r="F63" s="172">
        <f t="shared" ca="1" si="7"/>
        <v>0</v>
      </c>
      <c r="G63" s="172" t="str">
        <f t="shared" ca="1" si="8"/>
        <v>Kewirausahaan / Kepemimpinan Madrasah</v>
      </c>
      <c r="H63" s="172"/>
      <c r="I63" s="172"/>
      <c r="J63" s="172"/>
      <c r="K63" s="172"/>
      <c r="L63" s="175">
        <f ca="1">COUNTIF($G$37:G63,G63)</f>
        <v>2</v>
      </c>
      <c r="M63" s="176">
        <f t="shared" ca="1" si="9"/>
        <v>100</v>
      </c>
      <c r="N63" s="177">
        <f ca="1">IF(M63&gt;$S$37,0,RANK(M63,$M$37:$M$67,1)+COUNTIF($M$37:M63,M63)-1)</f>
        <v>0</v>
      </c>
      <c r="O63" s="153">
        <f ca="1">COUNTIF($E$37:E63,E63)</f>
        <v>2</v>
      </c>
      <c r="P63" s="284">
        <f t="shared" ca="1" si="5"/>
        <v>100</v>
      </c>
      <c r="Q63" s="177">
        <f ca="1">IF(P63&gt;$S$37,0,RANK(P63,$P$37:$P$67,1)+COUNTIF($P$37:P63,P63)-1)</f>
        <v>0</v>
      </c>
    </row>
    <row r="64" spans="2:17" ht="15" hidden="1" customHeight="1">
      <c r="B64" s="153">
        <v>28</v>
      </c>
      <c r="C64" s="153" t="str">
        <f t="shared" ca="1" si="3"/>
        <v>3.5.</v>
      </c>
      <c r="D64" s="153" t="str">
        <f t="shared" ca="1" si="6"/>
        <v>KEWIRAUSAHAAN</v>
      </c>
      <c r="E64" s="168" t="str">
        <f t="shared" ca="1" si="4"/>
        <v>Kewirausahaan</v>
      </c>
      <c r="F64" s="172">
        <f t="shared" ca="1" si="7"/>
        <v>0</v>
      </c>
      <c r="G64" s="172" t="str">
        <f t="shared" ca="1" si="8"/>
        <v>Kewirausahaan / Kewirausahaan</v>
      </c>
      <c r="H64" s="172"/>
      <c r="I64" s="172"/>
      <c r="J64" s="172"/>
      <c r="K64" s="172"/>
      <c r="L64" s="175">
        <f ca="1">COUNTIF($G$37:G64,G64)</f>
        <v>1</v>
      </c>
      <c r="M64" s="176">
        <f t="shared" ca="1" si="9"/>
        <v>0</v>
      </c>
      <c r="N64" s="177">
        <f ca="1">IF(M64&gt;$S$37,0,RANK(M64,$M$37:$M$67,1)+COUNTIF($M$37:M64,M64)-1)</f>
        <v>24</v>
      </c>
      <c r="O64" s="153">
        <f ca="1">COUNTIF($E$37:E64,E64)</f>
        <v>1</v>
      </c>
      <c r="P64" s="284">
        <f t="shared" ca="1" si="5"/>
        <v>0</v>
      </c>
      <c r="Q64" s="177">
        <f ca="1">IF(P64&gt;$S$37,0,RANK(P64,$P$37:$P$67,1)+COUNTIF($P$37:P64,P64)-1)</f>
        <v>19</v>
      </c>
    </row>
    <row r="65" spans="2:17" ht="15" hidden="1" customHeight="1">
      <c r="B65" s="153">
        <v>29</v>
      </c>
      <c r="C65" s="153" t="str">
        <f t="shared" ca="1" si="3"/>
        <v>4.1.</v>
      </c>
      <c r="D65" s="153" t="str">
        <f t="shared" ca="1" si="6"/>
        <v>SUPERVISI</v>
      </c>
      <c r="E65" s="168" t="str">
        <f t="shared" ca="1" si="4"/>
        <v>Supervisi Akademik</v>
      </c>
      <c r="F65" s="172">
        <f t="shared" ca="1" si="7"/>
        <v>0</v>
      </c>
      <c r="G65" s="172" t="str">
        <f t="shared" ca="1" si="8"/>
        <v>Supervisi / Supervisi Akademik</v>
      </c>
      <c r="H65" s="172"/>
      <c r="I65" s="172"/>
      <c r="J65" s="172"/>
      <c r="K65" s="172"/>
      <c r="L65" s="175">
        <f ca="1">COUNTIF($G$37:G65,G65)</f>
        <v>1</v>
      </c>
      <c r="M65" s="176">
        <f t="shared" ca="1" si="9"/>
        <v>0</v>
      </c>
      <c r="N65" s="177">
        <f ca="1">IF(M65&gt;$S$37,0,RANK(M65,$M$37:$M$67,1)+COUNTIF($M$37:M65,M65)-1)</f>
        <v>25</v>
      </c>
      <c r="O65" s="153">
        <f ca="1">COUNTIF($E$37:E65,E65)</f>
        <v>1</v>
      </c>
      <c r="P65" s="284">
        <f t="shared" ca="1" si="5"/>
        <v>0</v>
      </c>
      <c r="Q65" s="177">
        <f ca="1">IF(P65&gt;$S$37,0,RANK(P65,$P$37:$P$67,1)+COUNTIF($P$37:P65,P65)-1)</f>
        <v>20</v>
      </c>
    </row>
    <row r="66" spans="2:17" ht="15" hidden="1" customHeight="1">
      <c r="B66" s="153">
        <v>30</v>
      </c>
      <c r="C66" s="153" t="str">
        <f t="shared" ca="1" si="3"/>
        <v>4.2.</v>
      </c>
      <c r="D66" s="153" t="str">
        <f t="shared" ca="1" si="6"/>
        <v>SUPERVISI</v>
      </c>
      <c r="E66" s="168" t="str">
        <f t="shared" ca="1" si="4"/>
        <v>Supervisi Akademik</v>
      </c>
      <c r="F66" s="172">
        <f t="shared" ca="1" si="7"/>
        <v>0</v>
      </c>
      <c r="G66" s="172" t="str">
        <f t="shared" ca="1" si="8"/>
        <v>Supervisi / Supervisi Akademik</v>
      </c>
      <c r="H66" s="172"/>
      <c r="I66" s="172"/>
      <c r="J66" s="172"/>
      <c r="K66" s="172"/>
      <c r="L66" s="175">
        <f ca="1">COUNTIF($G$37:G66,G66)</f>
        <v>2</v>
      </c>
      <c r="M66" s="176">
        <f t="shared" ca="1" si="9"/>
        <v>100</v>
      </c>
      <c r="N66" s="177">
        <f ca="1">IF(M66&gt;$S$37,0,RANK(M66,$M$37:$M$67,1)+COUNTIF($M$37:M66,M66)-1)</f>
        <v>0</v>
      </c>
      <c r="O66" s="153">
        <f ca="1">COUNTIF($E$37:E66,E66)</f>
        <v>2</v>
      </c>
      <c r="P66" s="284">
        <f t="shared" ca="1" si="5"/>
        <v>100</v>
      </c>
      <c r="Q66" s="177">
        <f ca="1">IF(P66&gt;$S$37,0,RANK(P66,$P$37:$P$67,1)+COUNTIF($P$37:P66,P66)-1)</f>
        <v>0</v>
      </c>
    </row>
    <row r="67" spans="2:17" ht="15" hidden="1" customHeight="1">
      <c r="B67" s="153">
        <v>31</v>
      </c>
      <c r="C67" s="153" t="str">
        <f t="shared" ca="1" si="3"/>
        <v>4.3.</v>
      </c>
      <c r="D67" s="153" t="str">
        <f t="shared" ca="1" si="6"/>
        <v>SUPERVISI</v>
      </c>
      <c r="E67" s="168" t="str">
        <f t="shared" ca="1" si="4"/>
        <v>Supervisi Akademik</v>
      </c>
      <c r="F67" s="172">
        <f t="shared" ca="1" si="7"/>
        <v>0</v>
      </c>
      <c r="G67" s="172" t="str">
        <f t="shared" ca="1" si="8"/>
        <v>Supervisi / Supervisi Akademik</v>
      </c>
      <c r="H67" s="172"/>
      <c r="I67" s="172"/>
      <c r="J67" s="172"/>
      <c r="K67" s="172"/>
      <c r="L67" s="175">
        <f ca="1">COUNTIF($G$37:G67,G67)</f>
        <v>3</v>
      </c>
      <c r="M67" s="176">
        <f t="shared" ca="1" si="9"/>
        <v>100</v>
      </c>
      <c r="N67" s="177">
        <f ca="1">IF(M67&gt;$S$37,0,RANK(M67,$M$37:$M$67,1)+COUNTIF($M$37:M67,M67)-1)</f>
        <v>0</v>
      </c>
      <c r="O67" s="153">
        <f ca="1">COUNTIF($E$37:E67,E67)</f>
        <v>3</v>
      </c>
      <c r="P67" s="284">
        <f t="shared" ca="1" si="5"/>
        <v>100</v>
      </c>
      <c r="Q67" s="177">
        <f ca="1">IF(P67&gt;$S$37,0,RANK(P67,$P$37:$P$67,1)+COUNTIF($P$37:P67,P67)-1)</f>
        <v>0</v>
      </c>
    </row>
    <row r="68" spans="2:17" ht="13.5" customHeight="1">
      <c r="D68" s="153"/>
      <c r="E68" s="168"/>
      <c r="F68" s="172"/>
      <c r="G68" s="172"/>
      <c r="H68" s="172"/>
      <c r="I68" s="307" t="str">
        <f>HYPERLINK("#Menu!A1","↖")</f>
        <v>↖</v>
      </c>
      <c r="J68" s="172"/>
      <c r="K68" s="172"/>
      <c r="L68" s="175"/>
      <c r="M68" s="176"/>
      <c r="N68" s="177"/>
      <c r="Q68" s="177"/>
    </row>
    <row r="69" spans="2:17" s="156" customFormat="1" ht="15" customHeight="1">
      <c r="C69" s="159" t="s">
        <v>536</v>
      </c>
      <c r="D69" s="186"/>
      <c r="P69" s="285"/>
    </row>
    <row r="70" spans="2:17" ht="15" customHeight="1"/>
    <row r="71" spans="2:17" ht="15" customHeight="1">
      <c r="C71" s="178" t="str">
        <f ca="1">"Periode : Tahun ke " &amp;A1</f>
        <v>Periode : Tahun ke 2</v>
      </c>
    </row>
    <row r="72" spans="2:17" ht="15" customHeight="1">
      <c r="C72" s="157" t="str">
        <f>"Nama Kepala Madrasah : " &amp; Data!E3</f>
        <v>Nama Kepala Madrasah : SIDIQ MUSTAKIM, Lc</v>
      </c>
    </row>
    <row r="73" spans="2:17" ht="15" customHeight="1">
      <c r="C73" s="153" t="str">
        <f>"Unit Kerja : " &amp; Data!E15</f>
        <v>Unit Kerja : MA Tahfidh Al-Amien Prenduan</v>
      </c>
    </row>
    <row r="74" spans="2:17" ht="15" customHeight="1">
      <c r="C74" s="153" t="str">
        <f>"Kecamatan : " &amp; Data!E19</f>
        <v>Kecamatan : Pragaan</v>
      </c>
    </row>
    <row r="75" spans="2:17" ht="15" customHeight="1">
      <c r="C75" s="153" t="str">
        <f>"Kabupaten/Kota : " &amp; Data!E20 &amp; " - "  &amp; Data!E21</f>
        <v>Kabupaten/Kota : Sumenep - Jawa Timur</v>
      </c>
    </row>
    <row r="76" spans="2:17" ht="15" customHeight="1"/>
    <row r="77" spans="2:17" ht="24.75" customHeight="1">
      <c r="C77" s="179" t="s">
        <v>59</v>
      </c>
      <c r="D77" s="179" t="s">
        <v>537</v>
      </c>
      <c r="E77" s="180" t="s">
        <v>534</v>
      </c>
      <c r="F77" s="179" t="s">
        <v>528</v>
      </c>
      <c r="G77" s="179" t="s">
        <v>529</v>
      </c>
    </row>
    <row r="78" spans="2:17" ht="38.25" customHeight="1">
      <c r="C78" s="181">
        <v>1</v>
      </c>
      <c r="D78" s="182" t="str">
        <f ca="1">PROPER(IF($C78&gt;$T$37,"",INDEX($D$37:$D$67,MATCH(C78,$N$37:$N$67,0))))</f>
        <v>Usaha Pengembangan Madrasah</v>
      </c>
      <c r="E78" s="183" t="str">
        <f ca="1">IF($C78&gt;$T$37,"",INDEX($E$37:$E$67,MATCH(C78,$N$37:$N$67,0)))</f>
        <v>RKJM dan RKAM</v>
      </c>
      <c r="F78" s="184">
        <f ca="1">IF($C78&gt;$T$37,"",INDEX($F$37:$F$67,MATCH(C78,$N$37:$N$67,0)))</f>
        <v>0</v>
      </c>
      <c r="G78" s="181" t="str">
        <f ca="1">IF(F78="","",VLOOKUP(F78,$W$38:$X$42,2,TRUE))</f>
        <v>Kurang</v>
      </c>
    </row>
    <row r="79" spans="2:17" ht="38.25" customHeight="1">
      <c r="C79" s="181">
        <v>2</v>
      </c>
      <c r="D79" s="182" t="str">
        <f t="shared" ref="D79:D92" ca="1" si="10">PROPER(IF($C79&gt;$T$37,"",INDEX($D$37:$D$67,MATCH(C79,$N$37:$N$67,0))))</f>
        <v>Usaha Pengembangan Madrasah</v>
      </c>
      <c r="E79" s="183" t="str">
        <f t="shared" ref="E79:E92" ca="1" si="11">IF($C79&gt;$T$37,"",INDEX($E$37:$E$67,MATCH(C79,$N$37:$N$67,0)))</f>
        <v>Pemberdayaan Organisasi Madrasah</v>
      </c>
      <c r="F79" s="184">
        <f t="shared" ref="F79:F92" ca="1" si="12">IF($C79&gt;$T$37,"",INDEX($F$37:$F$67,MATCH(C79,$N$37:$N$67,0)))</f>
        <v>0</v>
      </c>
      <c r="G79" s="181" t="str">
        <f t="shared" ref="G79:G92" ca="1" si="13">IF(F79="","",VLOOKUP(F79,$W$38:$X$42,2,TRUE))</f>
        <v>Kurang</v>
      </c>
    </row>
    <row r="80" spans="2:17" ht="38.25" customHeight="1">
      <c r="C80" s="181">
        <v>3</v>
      </c>
      <c r="D80" s="182" t="str">
        <f t="shared" ca="1" si="10"/>
        <v>Usaha Pengembangan Madrasah</v>
      </c>
      <c r="E80" s="183" t="str">
        <f t="shared" ca="1" si="11"/>
        <v>Perencanaan dan Pengembangan Madrasah</v>
      </c>
      <c r="F80" s="184">
        <f t="shared" ca="1" si="12"/>
        <v>0</v>
      </c>
      <c r="G80" s="181" t="str">
        <f t="shared" ca="1" si="13"/>
        <v>Kurang</v>
      </c>
    </row>
    <row r="81" spans="3:7" ht="38.25" customHeight="1">
      <c r="C81" s="181">
        <v>4</v>
      </c>
      <c r="D81" s="182" t="str">
        <f t="shared" ca="1" si="10"/>
        <v>Usaha Pengembangan Madrasah</v>
      </c>
      <c r="E81" s="183" t="str">
        <f t="shared" ca="1" si="11"/>
        <v>Peningkatan Kualitas Pembelajaran</v>
      </c>
      <c r="F81" s="184">
        <f t="shared" ca="1" si="12"/>
        <v>0</v>
      </c>
      <c r="G81" s="181" t="str">
        <f t="shared" ca="1" si="13"/>
        <v>Kurang</v>
      </c>
    </row>
    <row r="82" spans="3:7" ht="38.25" customHeight="1">
      <c r="C82" s="181">
        <v>5</v>
      </c>
      <c r="D82" s="182" t="str">
        <f t="shared" ca="1" si="10"/>
        <v>Usaha Pengembangan Madrasah</v>
      </c>
      <c r="E82" s="183" t="str">
        <f t="shared" ca="1" si="11"/>
        <v>Monitoring dan Evaluasi</v>
      </c>
      <c r="F82" s="184">
        <f t="shared" ca="1" si="12"/>
        <v>0</v>
      </c>
      <c r="G82" s="181" t="str">
        <f t="shared" ca="1" si="13"/>
        <v>Kurang</v>
      </c>
    </row>
    <row r="83" spans="3:7" ht="38.25" customHeight="1">
      <c r="C83" s="181">
        <v>6</v>
      </c>
      <c r="D83" s="182" t="str">
        <f t="shared" ca="1" si="10"/>
        <v>Usaha Pengembangan Madrasah</v>
      </c>
      <c r="E83" s="183" t="str">
        <f t="shared" ca="1" si="11"/>
        <v>Penelitian Tindakan</v>
      </c>
      <c r="F83" s="184">
        <f t="shared" ca="1" si="12"/>
        <v>0</v>
      </c>
      <c r="G83" s="181" t="str">
        <f t="shared" ca="1" si="13"/>
        <v>Kurang</v>
      </c>
    </row>
    <row r="84" spans="3:7" ht="38.25" customHeight="1">
      <c r="C84" s="181">
        <v>7</v>
      </c>
      <c r="D84" s="182" t="str">
        <f t="shared" ca="1" si="10"/>
        <v>Manajerial</v>
      </c>
      <c r="E84" s="183" t="str">
        <f t="shared" ca="1" si="11"/>
        <v>RKJM dan RKAM</v>
      </c>
      <c r="F84" s="184">
        <f t="shared" ca="1" si="12"/>
        <v>0</v>
      </c>
      <c r="G84" s="181" t="str">
        <f t="shared" ca="1" si="13"/>
        <v>Kurang</v>
      </c>
    </row>
    <row r="85" spans="3:7" ht="38.25" customHeight="1">
      <c r="C85" s="181">
        <v>8</v>
      </c>
      <c r="D85" s="182" t="str">
        <f t="shared" ca="1" si="10"/>
        <v>Manajerial</v>
      </c>
      <c r="E85" s="183" t="str">
        <f t="shared" ca="1" si="11"/>
        <v>Perencanaan dan Pengembangan Madrasah</v>
      </c>
      <c r="F85" s="184">
        <f t="shared" ca="1" si="12"/>
        <v>0</v>
      </c>
      <c r="G85" s="181" t="str">
        <f t="shared" ca="1" si="13"/>
        <v>Kurang</v>
      </c>
    </row>
    <row r="86" spans="3:7" ht="38.25" customHeight="1">
      <c r="C86" s="181">
        <v>9</v>
      </c>
      <c r="D86" s="182" t="str">
        <f t="shared" ca="1" si="10"/>
        <v>Manajerial</v>
      </c>
      <c r="E86" s="183" t="str">
        <f t="shared" ca="1" si="11"/>
        <v>Kepemimpinan dalam Pengelolaan Sumberdaya Madrasah</v>
      </c>
      <c r="F86" s="184">
        <f t="shared" ca="1" si="12"/>
        <v>0</v>
      </c>
      <c r="G86" s="181" t="str">
        <f t="shared" ca="1" si="13"/>
        <v>Kurang</v>
      </c>
    </row>
    <row r="87" spans="3:7" ht="38.25" customHeight="1">
      <c r="C87" s="181">
        <v>10</v>
      </c>
      <c r="D87" s="182" t="str">
        <f t="shared" ca="1" si="10"/>
        <v>Manajerial</v>
      </c>
      <c r="E87" s="183" t="str">
        <f t="shared" ca="1" si="11"/>
        <v>Pengelolaan Sarana dan Prasarana</v>
      </c>
      <c r="F87" s="184">
        <f t="shared" ca="1" si="12"/>
        <v>0</v>
      </c>
      <c r="G87" s="181" t="str">
        <f t="shared" ca="1" si="13"/>
        <v>Kurang</v>
      </c>
    </row>
    <row r="88" spans="3:7" ht="38.25" customHeight="1">
      <c r="C88" s="181">
        <v>11</v>
      </c>
      <c r="D88" s="182" t="str">
        <f t="shared" ca="1" si="10"/>
        <v>Manajerial</v>
      </c>
      <c r="E88" s="183" t="str">
        <f t="shared" ca="1" si="11"/>
        <v>Madrasah Berwawasan Lingkungan</v>
      </c>
      <c r="F88" s="184">
        <f t="shared" ca="1" si="12"/>
        <v>0</v>
      </c>
      <c r="G88" s="181" t="str">
        <f t="shared" ca="1" si="13"/>
        <v>Kurang</v>
      </c>
    </row>
    <row r="89" spans="3:7" ht="38.25" customHeight="1">
      <c r="C89" s="181">
        <v>12</v>
      </c>
      <c r="D89" s="182" t="str">
        <f t="shared" ca="1" si="10"/>
        <v>Manajerial</v>
      </c>
      <c r="E89" s="183" t="str">
        <f t="shared" ca="1" si="11"/>
        <v>Pengelolaan Pendidikan dan Tenaga Kependidikan</v>
      </c>
      <c r="F89" s="184">
        <f t="shared" ca="1" si="12"/>
        <v>0</v>
      </c>
      <c r="G89" s="181" t="str">
        <f t="shared" ca="1" si="13"/>
        <v>Kurang</v>
      </c>
    </row>
    <row r="90" spans="3:7" ht="38.25" customHeight="1">
      <c r="C90" s="181">
        <v>13</v>
      </c>
      <c r="D90" s="182" t="str">
        <f t="shared" ca="1" si="10"/>
        <v>Manajerial</v>
      </c>
      <c r="E90" s="183" t="str">
        <f t="shared" ca="1" si="11"/>
        <v>Pengelolaan Peserta Didik Baru</v>
      </c>
      <c r="F90" s="184">
        <f t="shared" ca="1" si="12"/>
        <v>0</v>
      </c>
      <c r="G90" s="181" t="str">
        <f t="shared" ca="1" si="13"/>
        <v>Kurang</v>
      </c>
    </row>
    <row r="91" spans="3:7" ht="38.25" customHeight="1">
      <c r="C91" s="181">
        <v>14</v>
      </c>
      <c r="D91" s="182" t="str">
        <f t="shared" ca="1" si="10"/>
        <v>Manajerial</v>
      </c>
      <c r="E91" s="183" t="str">
        <f t="shared" ca="1" si="11"/>
        <v>Pengelolaan Kurikulum</v>
      </c>
      <c r="F91" s="184">
        <f t="shared" ca="1" si="12"/>
        <v>0</v>
      </c>
      <c r="G91" s="181" t="str">
        <f t="shared" ca="1" si="13"/>
        <v>Kurang</v>
      </c>
    </row>
    <row r="92" spans="3:7" ht="38.25" customHeight="1">
      <c r="C92" s="181">
        <v>15</v>
      </c>
      <c r="D92" s="182" t="str">
        <f t="shared" ca="1" si="10"/>
        <v>Manajerial</v>
      </c>
      <c r="E92" s="183" t="str">
        <f t="shared" ca="1" si="11"/>
        <v>Pengelolaan Keuangan</v>
      </c>
      <c r="F92" s="184">
        <f t="shared" ca="1" si="12"/>
        <v>0</v>
      </c>
      <c r="G92" s="181" t="str">
        <f t="shared" ca="1" si="13"/>
        <v>Kurang</v>
      </c>
    </row>
    <row r="93" spans="3:7" ht="16.5" customHeight="1"/>
    <row r="94" spans="3:7" ht="15" customHeight="1">
      <c r="E94" s="185" t="str">
        <f>Data!E20 &amp;", "&amp; TEXT(Data!E33,"dd mmmm yyyy")</f>
        <v>Sumenep, 00 January 1900</v>
      </c>
    </row>
    <row r="95" spans="3:7" ht="15" customHeight="1">
      <c r="E95" s="185" t="s">
        <v>533</v>
      </c>
    </row>
    <row r="96" spans="3:7" ht="15" customHeight="1">
      <c r="E96" s="185"/>
    </row>
    <row r="97" spans="5:5" ht="15" customHeight="1">
      <c r="E97" s="185"/>
    </row>
    <row r="98" spans="5:5" ht="15" customHeight="1">
      <c r="E98" s="185"/>
    </row>
    <row r="99" spans="5:5" ht="15" customHeight="1">
      <c r="E99" s="216" t="str">
        <f>Data!E24</f>
        <v>Slamet Riyadi, S.Pd, M.Pd</v>
      </c>
    </row>
    <row r="100" spans="5:5" ht="15" customHeight="1">
      <c r="E100" s="193" t="str">
        <f>"NIP" &amp; Data!E25</f>
        <v>NIP196501112005011002</v>
      </c>
    </row>
    <row r="101" spans="5:5" ht="15" customHeight="1"/>
  </sheetData>
  <sheetProtection sheet="1" objects="1" scenarios="1"/>
  <pageMargins left="0.70866141732283472" right="0.70866141732283472" top="0.74803149606299213" bottom="0.74803149606299213" header="0.31496062992125984" footer="0.31496062992125984"/>
  <pageSetup paperSize="9" scale="74" fitToHeight="15" orientation="portrait" r:id="rId1"/>
</worksheet>
</file>

<file path=xl/worksheets/sheet11.xml><?xml version="1.0" encoding="utf-8"?>
<worksheet xmlns="http://schemas.openxmlformats.org/spreadsheetml/2006/main" xmlns:r="http://schemas.openxmlformats.org/officeDocument/2006/relationships">
  <sheetPr>
    <tabColor rgb="FF009900"/>
  </sheetPr>
  <dimension ref="A1:V23"/>
  <sheetViews>
    <sheetView showGridLines="0" topLeftCell="A2" workbookViewId="0">
      <selection activeCell="D12" sqref="D12:F16"/>
    </sheetView>
  </sheetViews>
  <sheetFormatPr defaultColWidth="0" defaultRowHeight="15.75" zeroHeight="1"/>
  <cols>
    <col min="1" max="1" width="3.7109375" style="163" customWidth="1"/>
    <col min="2" max="2" width="3.5703125" style="163" customWidth="1"/>
    <col min="3" max="3" width="5.85546875" style="163" customWidth="1"/>
    <col min="4" max="4" width="36.5703125" style="163" customWidth="1"/>
    <col min="5" max="5" width="21.7109375" style="163" customWidth="1"/>
    <col min="6" max="6" width="33" style="163" customWidth="1"/>
    <col min="7" max="7" width="34.85546875" style="163" customWidth="1"/>
    <col min="8" max="8" width="4.85546875" style="163" customWidth="1"/>
    <col min="9" max="9" width="3.5703125" style="163" bestFit="1" customWidth="1"/>
    <col min="10" max="11" width="9.140625" style="163" hidden="1" customWidth="1"/>
    <col min="12" max="12" width="21.140625" style="163" hidden="1" customWidth="1"/>
    <col min="13" max="13" width="55.28515625" style="163" hidden="1" customWidth="1"/>
    <col min="14" max="14" width="5.85546875" style="299" hidden="1" customWidth="1"/>
    <col min="15" max="15" width="40.28515625" style="163" hidden="1" customWidth="1"/>
    <col min="16" max="16" width="12" style="164" hidden="1" customWidth="1"/>
    <col min="17" max="17" width="9.85546875" style="163" hidden="1" customWidth="1"/>
    <col min="18" max="18" width="6.42578125" style="164" hidden="1" customWidth="1"/>
    <col min="19" max="19" width="3.5703125" style="163" hidden="1" customWidth="1"/>
    <col min="20" max="20" width="9.140625" style="163" hidden="1" customWidth="1"/>
    <col min="21" max="21" width="8.5703125" style="163" hidden="1" customWidth="1"/>
    <col min="22" max="22" width="10.140625" style="163" hidden="1" customWidth="1"/>
    <col min="23" max="16384" width="9.140625" style="163" hidden="1"/>
  </cols>
  <sheetData>
    <row r="1" spans="1:22" hidden="1">
      <c r="A1" s="162" t="str">
        <f ca="1">RIGHT(MID(CELL("filename",A1),FIND("]",CELL("filename",A1))+1,255),1)</f>
        <v>2</v>
      </c>
      <c r="B1" s="162" t="str">
        <f ca="1">MID(CELL("filename",B1),FIND("]",CELL("filename",B1))+1,255)</f>
        <v>Form2-Pengawas-Thn-2</v>
      </c>
      <c r="C1" s="162" t="str">
        <f ca="1">MID(B1,7,LEN(B1)-6)</f>
        <v>Pengawas-Thn-2</v>
      </c>
      <c r="D1" s="162" t="str">
        <f ca="1">LEFT(C1,LEN(C1)-6)</f>
        <v>Pengawas</v>
      </c>
    </row>
    <row r="2" spans="1:22" ht="13.5" customHeight="1">
      <c r="A2" s="162"/>
      <c r="B2" s="162"/>
      <c r="C2" s="162"/>
      <c r="D2" s="162"/>
      <c r="I2" s="307" t="str">
        <f>HYPERLINK("#Menu!A1","↖")</f>
        <v>↖</v>
      </c>
      <c r="L2" s="290" t="s">
        <v>561</v>
      </c>
      <c r="M2" s="290" t="s">
        <v>564</v>
      </c>
      <c r="N2" s="167" t="s">
        <v>577</v>
      </c>
      <c r="O2" s="290" t="s">
        <v>544</v>
      </c>
      <c r="P2" s="291" t="s">
        <v>528</v>
      </c>
      <c r="Q2" s="290" t="s">
        <v>545</v>
      </c>
      <c r="R2" s="291" t="s">
        <v>546</v>
      </c>
      <c r="S2" s="290"/>
      <c r="U2" s="165" t="s">
        <v>535</v>
      </c>
      <c r="V2" s="290" t="s">
        <v>559</v>
      </c>
    </row>
    <row r="3" spans="1:22" s="160" customFormat="1" ht="11.25" customHeight="1">
      <c r="C3" s="159" t="s">
        <v>542</v>
      </c>
      <c r="L3" s="290" t="s">
        <v>561</v>
      </c>
      <c r="M3" s="297" t="s">
        <v>565</v>
      </c>
      <c r="N3" s="300">
        <v>78</v>
      </c>
      <c r="O3" s="292" t="str">
        <f ca="1">INDIRECT("'Form1-Pengawas-Thn-"&amp;$A$1&amp;"'!E" &amp;$N3)</f>
        <v>RKJM dan RKAM</v>
      </c>
      <c r="P3" s="292">
        <f ca="1">INDIRECT("'Form1-Pengawas-Thn-"&amp;$A$1&amp;"'!F" &amp;$N3)</f>
        <v>0</v>
      </c>
      <c r="Q3" s="292">
        <f ca="1">COUNTIF($O$3:O3,O3)</f>
        <v>1</v>
      </c>
      <c r="R3" s="293">
        <f ca="1">IF(Q3&gt;1,100,P3)</f>
        <v>0</v>
      </c>
      <c r="S3" s="294">
        <f ca="1">IF(R3&gt;$U$3,0,RANK(R3,$R$3:$R$17,1)+COUNTIF($R3:R$17,R3)-1)</f>
        <v>13</v>
      </c>
      <c r="U3" s="158">
        <v>91</v>
      </c>
      <c r="V3" s="298">
        <f ca="1">MAX(S3:S17)</f>
        <v>13</v>
      </c>
    </row>
    <row r="4" spans="1:22">
      <c r="L4" s="290" t="s">
        <v>561</v>
      </c>
      <c r="M4" s="290" t="s">
        <v>566</v>
      </c>
      <c r="N4" s="167">
        <v>79</v>
      </c>
      <c r="O4" s="292" t="str">
        <f t="shared" ref="O4:O17" ca="1" si="0">INDIRECT("'Form1-Pengawas-Thn-"&amp;$A$1&amp;"'!E" &amp;$N4)</f>
        <v>Pemberdayaan Organisasi Madrasah</v>
      </c>
      <c r="P4" s="292">
        <f t="shared" ref="P4:P17" ca="1" si="1">INDIRECT("'Form1-Pengawas-Thn-"&amp;$A$1&amp;"'!F" &amp;$N4)</f>
        <v>0</v>
      </c>
      <c r="Q4" s="290">
        <f ca="1">COUNTIF($O$3:O4,O4)</f>
        <v>1</v>
      </c>
      <c r="R4" s="295">
        <f t="shared" ref="R4:R17" ca="1" si="2">IF(Q4&gt;1,100,P4)</f>
        <v>0</v>
      </c>
      <c r="S4" s="296">
        <f ca="1">IF(R4&gt;$U$3,0,RANK(R4,$R$3:$R$17,1)+COUNTIF($R4:R$17,R4)-1)</f>
        <v>12</v>
      </c>
    </row>
    <row r="5" spans="1:22">
      <c r="C5" s="163" t="str">
        <f ca="1">"Periode : Tahun ke " &amp;A1</f>
        <v>Periode : Tahun ke 2</v>
      </c>
      <c r="L5" s="290" t="s">
        <v>561</v>
      </c>
      <c r="M5" s="290" t="s">
        <v>567</v>
      </c>
      <c r="N5" s="300">
        <v>80</v>
      </c>
      <c r="O5" s="292" t="str">
        <f t="shared" ca="1" si="0"/>
        <v>Perencanaan dan Pengembangan Madrasah</v>
      </c>
      <c r="P5" s="292">
        <f t="shared" ca="1" si="1"/>
        <v>0</v>
      </c>
      <c r="Q5" s="290">
        <f ca="1">COUNTIF($O$3:O5,O5)</f>
        <v>1</v>
      </c>
      <c r="R5" s="295">
        <f t="shared" ca="1" si="2"/>
        <v>0</v>
      </c>
      <c r="S5" s="296">
        <f ca="1">IF(R5&gt;$U$3,0,RANK(R5,$R$3:$R$17,1)+COUNTIF($R5:R$17,R5)-1)</f>
        <v>11</v>
      </c>
    </row>
    <row r="6" spans="1:22">
      <c r="C6" s="161" t="str">
        <f>"Nama Kepala Madrasah : " &amp; Data!E3</f>
        <v>Nama Kepala Madrasah : SIDIQ MUSTAKIM, Lc</v>
      </c>
      <c r="L6" s="290" t="s">
        <v>561</v>
      </c>
      <c r="M6" s="290" t="s">
        <v>568</v>
      </c>
      <c r="N6" s="167">
        <v>81</v>
      </c>
      <c r="O6" s="292" t="str">
        <f t="shared" ca="1" si="0"/>
        <v>Peningkatan Kualitas Pembelajaran</v>
      </c>
      <c r="P6" s="292">
        <f t="shared" ca="1" si="1"/>
        <v>0</v>
      </c>
      <c r="Q6" s="290">
        <f ca="1">COUNTIF($O$3:O6,O6)</f>
        <v>1</v>
      </c>
      <c r="R6" s="295">
        <f t="shared" ca="1" si="2"/>
        <v>0</v>
      </c>
      <c r="S6" s="296">
        <f ca="1">IF(R6&gt;$U$3,0,RANK(R6,$R$3:$R$17,1)+COUNTIF($R6:R$17,R6)-1)</f>
        <v>10</v>
      </c>
    </row>
    <row r="7" spans="1:22">
      <c r="C7" s="163" t="str">
        <f>"Unit Kerja : " &amp; Data!E15</f>
        <v>Unit Kerja : MA Tahfidh Al-Amien Prenduan</v>
      </c>
      <c r="L7" s="290" t="s">
        <v>561</v>
      </c>
      <c r="M7" s="290" t="s">
        <v>569</v>
      </c>
      <c r="N7" s="300">
        <v>82</v>
      </c>
      <c r="O7" s="292" t="str">
        <f t="shared" ca="1" si="0"/>
        <v>Monitoring dan Evaluasi</v>
      </c>
      <c r="P7" s="292">
        <f t="shared" ca="1" si="1"/>
        <v>0</v>
      </c>
      <c r="Q7" s="290">
        <f ca="1">COUNTIF($O$3:O7,O7)</f>
        <v>1</v>
      </c>
      <c r="R7" s="295">
        <f t="shared" ca="1" si="2"/>
        <v>0</v>
      </c>
      <c r="S7" s="296">
        <f ca="1">IF(R7&gt;$U$3,0,RANK(R7,$R$3:$R$17,1)+COUNTIF($R7:R$17,R7)-1)</f>
        <v>9</v>
      </c>
    </row>
    <row r="8" spans="1:22">
      <c r="C8" s="163" t="str">
        <f>"Kecamatan : " &amp; Data!E19</f>
        <v>Kecamatan : Pragaan</v>
      </c>
      <c r="L8" s="290" t="s">
        <v>561</v>
      </c>
      <c r="M8" s="290" t="s">
        <v>570</v>
      </c>
      <c r="N8" s="167">
        <v>83</v>
      </c>
      <c r="O8" s="292" t="str">
        <f t="shared" ca="1" si="0"/>
        <v>Penelitian Tindakan</v>
      </c>
      <c r="P8" s="292">
        <f t="shared" ca="1" si="1"/>
        <v>0</v>
      </c>
      <c r="Q8" s="290">
        <f ca="1">COUNTIF($O$3:O8,O8)</f>
        <v>1</v>
      </c>
      <c r="R8" s="295">
        <f t="shared" ca="1" si="2"/>
        <v>0</v>
      </c>
      <c r="S8" s="296">
        <f ca="1">IF(R8&gt;$U$3,0,RANK(R8,$R$3:$R$17,1)+COUNTIF($R8:R$17,R8)-1)</f>
        <v>8</v>
      </c>
    </row>
    <row r="9" spans="1:22">
      <c r="C9" s="163" t="str">
        <f>"Kabupaten/Kota : " &amp; Data!E20 &amp; " - "  &amp; Data!E21</f>
        <v>Kabupaten/Kota : Sumenep - Jawa Timur</v>
      </c>
      <c r="L9" s="290" t="s">
        <v>562</v>
      </c>
      <c r="M9" s="290" t="s">
        <v>571</v>
      </c>
      <c r="N9" s="300">
        <v>84</v>
      </c>
      <c r="O9" s="292" t="str">
        <f t="shared" ca="1" si="0"/>
        <v>RKJM dan RKAM</v>
      </c>
      <c r="P9" s="292">
        <f t="shared" ca="1" si="1"/>
        <v>0</v>
      </c>
      <c r="Q9" s="290">
        <f ca="1">COUNTIF($O$3:O9,O9)</f>
        <v>2</v>
      </c>
      <c r="R9" s="295">
        <f t="shared" ca="1" si="2"/>
        <v>100</v>
      </c>
      <c r="S9" s="296">
        <f ca="1">IF(R9&gt;$U$3,0,RANK(R9,$R$3:$R$17,1)+COUNTIF($R9:R$17,R9)-1)</f>
        <v>0</v>
      </c>
    </row>
    <row r="10" spans="1:22">
      <c r="L10" s="290" t="s">
        <v>562</v>
      </c>
      <c r="M10" s="290" t="s">
        <v>572</v>
      </c>
      <c r="N10" s="167">
        <v>85</v>
      </c>
      <c r="O10" s="292" t="str">
        <f t="shared" ca="1" si="0"/>
        <v>Perencanaan dan Pengembangan Madrasah</v>
      </c>
      <c r="P10" s="292">
        <f t="shared" ca="1" si="1"/>
        <v>0</v>
      </c>
      <c r="Q10" s="290">
        <f ca="1">COUNTIF($O$3:O10,O10)</f>
        <v>2</v>
      </c>
      <c r="R10" s="295">
        <f t="shared" ca="1" si="2"/>
        <v>100</v>
      </c>
      <c r="S10" s="296">
        <f ca="1">IF(R10&gt;$U$3,0,RANK(R10,$R$3:$R$17,1)+COUNTIF($R10:R$17,R10)-1)</f>
        <v>0</v>
      </c>
    </row>
    <row r="11" spans="1:22" ht="24.75" customHeight="1">
      <c r="C11" s="167" t="s">
        <v>59</v>
      </c>
      <c r="D11" s="167" t="s">
        <v>547</v>
      </c>
      <c r="E11" s="167" t="s">
        <v>543</v>
      </c>
      <c r="F11" s="167" t="s">
        <v>548</v>
      </c>
      <c r="G11" s="167" t="s">
        <v>527</v>
      </c>
      <c r="L11" s="290" t="s">
        <v>562</v>
      </c>
      <c r="M11" s="290" t="s">
        <v>573</v>
      </c>
      <c r="N11" s="300">
        <v>86</v>
      </c>
      <c r="O11" s="292" t="str">
        <f t="shared" ca="1" si="0"/>
        <v>Kepemimpinan dalam Pengelolaan Sumberdaya Madrasah</v>
      </c>
      <c r="P11" s="292">
        <f t="shared" ca="1" si="1"/>
        <v>0</v>
      </c>
      <c r="Q11" s="290">
        <f ca="1">COUNTIF($O$3:O11,O11)</f>
        <v>1</v>
      </c>
      <c r="R11" s="295">
        <f t="shared" ca="1" si="2"/>
        <v>0</v>
      </c>
      <c r="S11" s="296">
        <f ca="1">IF(R11&gt;$U$3,0,RANK(R11,$R$3:$R$17,1)+COUNTIF($R11:R$17,R11)-1)</f>
        <v>7</v>
      </c>
    </row>
    <row r="12" spans="1:22" ht="33" customHeight="1">
      <c r="C12" s="167">
        <v>1</v>
      </c>
      <c r="D12" s="187"/>
      <c r="E12" s="187"/>
      <c r="F12" s="187"/>
      <c r="G12" s="187"/>
      <c r="L12" s="290" t="s">
        <v>563</v>
      </c>
      <c r="M12" s="290" t="s">
        <v>574</v>
      </c>
      <c r="N12" s="167">
        <v>87</v>
      </c>
      <c r="O12" s="292" t="str">
        <f t="shared" ca="1" si="0"/>
        <v>Pengelolaan Sarana dan Prasarana</v>
      </c>
      <c r="P12" s="292">
        <f t="shared" ca="1" si="1"/>
        <v>0</v>
      </c>
      <c r="Q12" s="290">
        <f ca="1">COUNTIF($O$3:O12,O12)</f>
        <v>1</v>
      </c>
      <c r="R12" s="295">
        <f t="shared" ca="1" si="2"/>
        <v>0</v>
      </c>
      <c r="S12" s="296">
        <f ca="1">IF(R12&gt;$U$3,0,RANK(R12,$R$3:$R$17,1)+COUNTIF($R12:R$17,R12)-1)</f>
        <v>6</v>
      </c>
    </row>
    <row r="13" spans="1:22" ht="33" customHeight="1">
      <c r="C13" s="167">
        <v>2</v>
      </c>
      <c r="D13" s="187"/>
      <c r="E13" s="187"/>
      <c r="F13" s="187"/>
      <c r="G13" s="187"/>
      <c r="L13" s="290" t="s">
        <v>563</v>
      </c>
      <c r="M13" s="290" t="s">
        <v>575</v>
      </c>
      <c r="N13" s="300">
        <v>88</v>
      </c>
      <c r="O13" s="292" t="str">
        <f t="shared" ca="1" si="0"/>
        <v>Madrasah Berwawasan Lingkungan</v>
      </c>
      <c r="P13" s="292">
        <f t="shared" ca="1" si="1"/>
        <v>0</v>
      </c>
      <c r="Q13" s="290">
        <f ca="1">COUNTIF($O$3:O13,O13)</f>
        <v>1</v>
      </c>
      <c r="R13" s="295">
        <f t="shared" ca="1" si="2"/>
        <v>0</v>
      </c>
      <c r="S13" s="296">
        <f ca="1">IF(R13&gt;$U$3,0,RANK(R13,$R$3:$R$17,1)+COUNTIF($R13:R$17,R13)-1)</f>
        <v>5</v>
      </c>
    </row>
    <row r="14" spans="1:22" ht="33" customHeight="1">
      <c r="C14" s="167">
        <v>3</v>
      </c>
      <c r="D14" s="187"/>
      <c r="E14" s="187"/>
      <c r="F14" s="187"/>
      <c r="G14" s="187"/>
      <c r="L14" s="290" t="s">
        <v>563</v>
      </c>
      <c r="M14" s="290" t="s">
        <v>576</v>
      </c>
      <c r="N14" s="167">
        <v>89</v>
      </c>
      <c r="O14" s="292" t="str">
        <f t="shared" ca="1" si="0"/>
        <v>Pengelolaan Pendidikan dan Tenaga Kependidikan</v>
      </c>
      <c r="P14" s="292">
        <f t="shared" ca="1" si="1"/>
        <v>0</v>
      </c>
      <c r="Q14" s="290">
        <f ca="1">COUNTIF($O$3:O14,O14)</f>
        <v>1</v>
      </c>
      <c r="R14" s="295">
        <f t="shared" ca="1" si="2"/>
        <v>0</v>
      </c>
      <c r="S14" s="296">
        <f ca="1">IF(R14&gt;$U$3,0,RANK(R14,$R$3:$R$17,1)+COUNTIF($R14:R$17,R14)-1)</f>
        <v>4</v>
      </c>
    </row>
    <row r="15" spans="1:22" ht="33" customHeight="1">
      <c r="C15" s="167">
        <v>4</v>
      </c>
      <c r="D15" s="187"/>
      <c r="E15" s="187"/>
      <c r="F15" s="187"/>
      <c r="G15" s="187"/>
      <c r="N15" s="300">
        <v>90</v>
      </c>
      <c r="O15" s="292" t="str">
        <f t="shared" ca="1" si="0"/>
        <v>Pengelolaan Peserta Didik Baru</v>
      </c>
      <c r="P15" s="292">
        <f t="shared" ca="1" si="1"/>
        <v>0</v>
      </c>
      <c r="Q15" s="290">
        <f ca="1">COUNTIF($O$3:O15,O15)</f>
        <v>1</v>
      </c>
      <c r="R15" s="295">
        <f t="shared" ca="1" si="2"/>
        <v>0</v>
      </c>
      <c r="S15" s="296">
        <f ca="1">IF(R15&gt;$U$3,0,RANK(R15,$R$3:$R$17,1)+COUNTIF($R15:R$17,R15)-1)</f>
        <v>3</v>
      </c>
    </row>
    <row r="16" spans="1:22" ht="33" customHeight="1">
      <c r="C16" s="167">
        <v>5</v>
      </c>
      <c r="D16" s="187"/>
      <c r="E16" s="187"/>
      <c r="F16" s="187"/>
      <c r="G16" s="187"/>
      <c r="N16" s="167">
        <v>91</v>
      </c>
      <c r="O16" s="292" t="str">
        <f t="shared" ca="1" si="0"/>
        <v>Pengelolaan Kurikulum</v>
      </c>
      <c r="P16" s="292">
        <f t="shared" ca="1" si="1"/>
        <v>0</v>
      </c>
      <c r="Q16" s="290">
        <f ca="1">COUNTIF($O$3:O16,O16)</f>
        <v>1</v>
      </c>
      <c r="R16" s="295">
        <f t="shared" ca="1" si="2"/>
        <v>0</v>
      </c>
      <c r="S16" s="296">
        <f ca="1">IF(R16&gt;$U$3,0,RANK(R16,$R$3:$R$17,1)+COUNTIF($R16:R$17,R16)-1)</f>
        <v>2</v>
      </c>
    </row>
    <row r="17" spans="4:19" ht="28.5" customHeight="1">
      <c r="N17" s="300">
        <v>92</v>
      </c>
      <c r="O17" s="292" t="str">
        <f t="shared" ca="1" si="0"/>
        <v>Pengelolaan Keuangan</v>
      </c>
      <c r="P17" s="292">
        <f t="shared" ca="1" si="1"/>
        <v>0</v>
      </c>
      <c r="Q17" s="290">
        <f ca="1">COUNTIF($O$3:O17,O17)</f>
        <v>1</v>
      </c>
      <c r="R17" s="295">
        <f t="shared" ca="1" si="2"/>
        <v>0</v>
      </c>
      <c r="S17" s="296">
        <f ca="1">IF(R17&gt;$U$3,0,RANK(R17,$R$3:$R$17,1)+COUNTIF($R17:R$17,R17)-1)</f>
        <v>1</v>
      </c>
    </row>
    <row r="18" spans="4:19" ht="28.5" customHeight="1">
      <c r="G18" s="188" t="str">
        <f>Data!E20 &amp;", "&amp; TEXT(Data!E33,"dd mmmm yyyy")</f>
        <v>Sumenep, 00 January 1900</v>
      </c>
    </row>
    <row r="19" spans="4:19" ht="28.5" customHeight="1">
      <c r="D19" s="163" t="s">
        <v>533</v>
      </c>
      <c r="G19" s="163" t="s">
        <v>549</v>
      </c>
    </row>
    <row r="20" spans="4:19" ht="28.5" customHeight="1"/>
    <row r="21" spans="4:19" s="191" customFormat="1" ht="28.5" customHeight="1">
      <c r="D21" s="213" t="str">
        <f>Data!E24</f>
        <v>Slamet Riyadi, S.Pd, M.Pd</v>
      </c>
      <c r="G21" s="215" t="str">
        <f>Data!E3</f>
        <v>SIDIQ MUSTAKIM, Lc</v>
      </c>
      <c r="N21" s="301"/>
      <c r="P21" s="192"/>
      <c r="R21" s="192"/>
    </row>
    <row r="22" spans="4:19" s="189" customFormat="1" ht="15.75" customHeight="1">
      <c r="D22" s="214" t="str">
        <f>"NIP" &amp; Data!E25</f>
        <v>NIP196501112005011002</v>
      </c>
      <c r="G22" s="214" t="str">
        <f>"NIP" &amp; Data!E4</f>
        <v>NIP-</v>
      </c>
      <c r="N22" s="302"/>
      <c r="P22" s="190"/>
      <c r="R22" s="190"/>
    </row>
    <row r="23" spans="4:19" ht="28.5" customHeight="1"/>
  </sheetData>
  <sheetProtection sheet="1" objects="1" scenarios="1"/>
  <dataValidations count="3">
    <dataValidation type="list" allowBlank="1" showInputMessage="1" showErrorMessage="1" sqref="E12:E16">
      <formula1>"1.Pengembangan Diri,2.Publikasi Ilmiah,3.Karya Inovatif"</formula1>
    </dataValidation>
    <dataValidation type="list" allowBlank="1" showInputMessage="1" showErrorMessage="1" sqref="F12:F16">
      <formula1>OFFSET(INDIRECT("$L$2"),MATCH(E12,INDIRECT("L:L"),0)-2,1, COUNTIF(INDIRECT("L:L"),E12),1)</formula1>
    </dataValidation>
    <dataValidation type="list" allowBlank="1" showInputMessage="1" showErrorMessage="1" sqref="D12:D16">
      <formula1>OFFSET(INDIRECT("$O$3"),0,0,$V$3)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FFCC00"/>
    <pageSetUpPr fitToPage="1"/>
  </sheetPr>
  <dimension ref="C1:K56"/>
  <sheetViews>
    <sheetView showGridLines="0" topLeftCell="C16" zoomScale="85" zoomScaleNormal="85" workbookViewId="0">
      <selection activeCell="C22" sqref="C22:J22"/>
    </sheetView>
  </sheetViews>
  <sheetFormatPr defaultColWidth="0" defaultRowHeight="0" customHeight="1" zeroHeight="1"/>
  <cols>
    <col min="1" max="1" width="3.140625" style="207" customWidth="1"/>
    <col min="2" max="2" width="1.5703125" style="207" customWidth="1"/>
    <col min="3" max="3" width="42.85546875" style="206" customWidth="1"/>
    <col min="4" max="4" width="2.5703125" style="207" customWidth="1"/>
    <col min="5" max="5" width="7" style="207" customWidth="1"/>
    <col min="6" max="6" width="4.42578125" style="207" customWidth="1"/>
    <col min="7" max="7" width="8.5703125" style="207" customWidth="1"/>
    <col min="8" max="8" width="7" style="207" customWidth="1"/>
    <col min="9" max="9" width="12.5703125" style="207" customWidth="1"/>
    <col min="10" max="10" width="18" style="207" customWidth="1"/>
    <col min="11" max="11" width="2.85546875" style="207" customWidth="1"/>
    <col min="12" max="16384" width="0" style="207" hidden="1"/>
  </cols>
  <sheetData>
    <row r="1" spans="3:11" s="200" customFormat="1" ht="21" customHeight="1">
      <c r="C1" s="201"/>
      <c r="J1" s="197"/>
      <c r="K1" s="307" t="str">
        <f>HYPERLINK("#Menu!A1","↖")</f>
        <v>↖</v>
      </c>
    </row>
    <row r="2" spans="3:11" s="200" customFormat="1" ht="86.25" customHeight="1">
      <c r="C2" s="201"/>
    </row>
    <row r="3" spans="3:11" s="208" customFormat="1" ht="59.25" customHeight="1">
      <c r="C3" s="209"/>
    </row>
    <row r="4" spans="3:11" s="208" customFormat="1" ht="66.75" customHeight="1">
      <c r="C4" s="342" t="s">
        <v>69</v>
      </c>
      <c r="D4" s="343"/>
      <c r="E4" s="343"/>
      <c r="F4" s="343"/>
      <c r="G4" s="343"/>
      <c r="H4" s="343"/>
      <c r="I4" s="343"/>
      <c r="J4" s="343"/>
    </row>
    <row r="5" spans="3:11" s="200" customFormat="1" ht="16.5" customHeight="1">
      <c r="C5" s="338"/>
      <c r="D5" s="338"/>
      <c r="E5" s="338"/>
      <c r="F5" s="338"/>
      <c r="G5" s="338"/>
      <c r="H5" s="338"/>
      <c r="I5" s="338"/>
      <c r="J5" s="338"/>
    </row>
    <row r="6" spans="3:11" s="200" customFormat="1" ht="28.5">
      <c r="C6" s="344" t="str">
        <f>Data!E34 &amp; " S/D " &amp;Data!G34 &amp;" " &amp;C22</f>
        <v xml:space="preserve"> S/D  2018</v>
      </c>
      <c r="D6" s="344"/>
      <c r="E6" s="344"/>
      <c r="F6" s="344"/>
      <c r="G6" s="344"/>
      <c r="H6" s="344"/>
      <c r="I6" s="344"/>
      <c r="J6" s="344"/>
    </row>
    <row r="7" spans="3:11" s="200" customFormat="1" ht="83.25" customHeight="1">
      <c r="C7" s="202"/>
      <c r="D7" s="202"/>
      <c r="E7" s="202"/>
      <c r="F7" s="202"/>
      <c r="G7" s="202"/>
      <c r="H7" s="202"/>
      <c r="I7" s="202"/>
      <c r="J7" s="202"/>
    </row>
    <row r="8" spans="3:11" s="200" customFormat="1" ht="21.75" customHeight="1">
      <c r="C8" s="210" t="s">
        <v>334</v>
      </c>
      <c r="D8" s="198" t="s">
        <v>24</v>
      </c>
      <c r="E8" s="198" t="str">
        <f>Data!E3</f>
        <v>SIDIQ MUSTAKIM, Lc</v>
      </c>
      <c r="F8" s="198"/>
      <c r="G8" s="198"/>
      <c r="H8" s="198"/>
      <c r="I8" s="198"/>
      <c r="J8" s="198"/>
    </row>
    <row r="9" spans="3:11" s="200" customFormat="1" ht="21.75" customHeight="1">
      <c r="C9" s="210" t="s">
        <v>330</v>
      </c>
      <c r="D9" s="198" t="s">
        <v>24</v>
      </c>
      <c r="E9" s="212" t="str">
        <f>Data!E4</f>
        <v>-</v>
      </c>
      <c r="F9" s="212"/>
      <c r="G9" s="212"/>
      <c r="H9" s="212"/>
      <c r="I9" s="212"/>
      <c r="J9" s="212"/>
    </row>
    <row r="10" spans="3:11" s="200" customFormat="1" ht="21.75" customHeight="1">
      <c r="C10" s="210" t="s">
        <v>36</v>
      </c>
      <c r="D10" s="198" t="s">
        <v>24</v>
      </c>
      <c r="E10" s="335" t="str">
        <f>Data!E15</f>
        <v>MA Tahfidh Al-Amien Prenduan</v>
      </c>
      <c r="F10" s="335"/>
      <c r="G10" s="335"/>
      <c r="H10" s="335"/>
      <c r="I10" s="335"/>
      <c r="J10" s="198"/>
      <c r="K10" s="203"/>
    </row>
    <row r="11" spans="3:11" s="200" customFormat="1" ht="21.75" customHeight="1">
      <c r="C11" s="210" t="s">
        <v>40</v>
      </c>
      <c r="D11" s="198" t="s">
        <v>24</v>
      </c>
      <c r="E11" s="335" t="str">
        <f>Data!E20</f>
        <v>Sumenep</v>
      </c>
      <c r="F11" s="335"/>
      <c r="G11" s="335"/>
      <c r="H11" s="335"/>
      <c r="I11" s="335"/>
      <c r="J11" s="198"/>
      <c r="K11" s="203"/>
    </row>
    <row r="12" spans="3:11" s="200" customFormat="1" ht="21.75" customHeight="1">
      <c r="C12" s="210" t="s">
        <v>41</v>
      </c>
      <c r="D12" s="198" t="s">
        <v>24</v>
      </c>
      <c r="E12" s="335" t="str">
        <f>Data!E21</f>
        <v>Jawa Timur</v>
      </c>
      <c r="F12" s="335"/>
      <c r="G12" s="335"/>
      <c r="H12" s="335"/>
      <c r="I12" s="335"/>
      <c r="J12" s="198"/>
      <c r="K12" s="203"/>
    </row>
    <row r="13" spans="3:11" s="200" customFormat="1" ht="33.75" customHeight="1">
      <c r="C13" s="210"/>
      <c r="D13" s="198"/>
      <c r="E13" s="199"/>
      <c r="F13" s="199"/>
      <c r="G13" s="199"/>
      <c r="H13" s="199"/>
      <c r="I13" s="199"/>
      <c r="J13" s="198"/>
      <c r="K13" s="203"/>
    </row>
    <row r="14" spans="3:11" s="200" customFormat="1" ht="21.75" customHeight="1">
      <c r="C14" s="210" t="s">
        <v>396</v>
      </c>
      <c r="D14" s="198" t="s">
        <v>24</v>
      </c>
      <c r="E14" s="335" t="str">
        <f>Data!E24</f>
        <v>Slamet Riyadi, S.Pd, M.Pd</v>
      </c>
      <c r="F14" s="335"/>
      <c r="G14" s="335"/>
      <c r="H14" s="335"/>
      <c r="I14" s="335"/>
      <c r="J14" s="198"/>
      <c r="K14" s="203"/>
    </row>
    <row r="15" spans="3:11" s="200" customFormat="1" ht="21.75" customHeight="1">
      <c r="C15" s="210" t="s">
        <v>330</v>
      </c>
      <c r="D15" s="198" t="s">
        <v>24</v>
      </c>
      <c r="E15" s="340" t="str">
        <f>Data!E25</f>
        <v>196501112005011002</v>
      </c>
      <c r="F15" s="341"/>
      <c r="G15" s="341"/>
      <c r="H15" s="341"/>
      <c r="I15" s="341"/>
      <c r="J15" s="198"/>
      <c r="K15" s="203"/>
    </row>
    <row r="16" spans="3:11" s="200" customFormat="1" ht="28.5">
      <c r="C16" s="211" t="s">
        <v>551</v>
      </c>
      <c r="D16" s="198" t="s">
        <v>24</v>
      </c>
      <c r="E16" s="336">
        <v>43132</v>
      </c>
      <c r="F16" s="336"/>
      <c r="G16" s="336"/>
      <c r="H16" s="336"/>
      <c r="I16" s="336"/>
      <c r="J16" s="198"/>
      <c r="K16" s="203"/>
    </row>
    <row r="17" spans="3:11" s="200" customFormat="1" ht="139.5" customHeight="1">
      <c r="C17" s="201"/>
      <c r="K17" s="203"/>
    </row>
    <row r="18" spans="3:11" s="200" customFormat="1" ht="28.5">
      <c r="C18" s="338" t="s">
        <v>42</v>
      </c>
      <c r="D18" s="338"/>
      <c r="E18" s="338"/>
      <c r="F18" s="338"/>
      <c r="G18" s="338"/>
      <c r="H18" s="338"/>
      <c r="I18" s="338"/>
      <c r="J18" s="338"/>
    </row>
    <row r="19" spans="3:11" s="200" customFormat="1" ht="28.5">
      <c r="C19" s="338" t="str">
        <f>UPPER(Data!E20)</f>
        <v>SUMENEP</v>
      </c>
      <c r="D19" s="338"/>
      <c r="E19" s="338"/>
      <c r="F19" s="338"/>
      <c r="G19" s="338"/>
      <c r="H19" s="338"/>
      <c r="I19" s="338"/>
      <c r="J19" s="338"/>
    </row>
    <row r="20" spans="3:11" s="200" customFormat="1" ht="28.5">
      <c r="C20" s="339" t="s">
        <v>309</v>
      </c>
      <c r="D20" s="339"/>
      <c r="E20" s="339"/>
      <c r="F20" s="339"/>
      <c r="G20" s="339"/>
      <c r="H20" s="339"/>
      <c r="I20" s="339"/>
      <c r="J20" s="339"/>
    </row>
    <row r="21" spans="3:11" s="200" customFormat="1" ht="5.25" customHeight="1">
      <c r="C21" s="204"/>
      <c r="D21" s="205"/>
      <c r="E21" s="205"/>
      <c r="G21" s="205"/>
    </row>
    <row r="22" spans="3:11" s="200" customFormat="1" ht="18" customHeight="1">
      <c r="C22" s="337">
        <v>2018</v>
      </c>
      <c r="D22" s="337"/>
      <c r="E22" s="337"/>
      <c r="F22" s="337"/>
      <c r="G22" s="337"/>
      <c r="H22" s="337"/>
      <c r="I22" s="337"/>
      <c r="J22" s="337"/>
    </row>
    <row r="23" spans="3:11" s="200" customFormat="1" ht="6" customHeight="1">
      <c r="C23" s="195"/>
      <c r="D23" s="196"/>
      <c r="E23" s="196"/>
      <c r="G23" s="196"/>
    </row>
    <row r="24" spans="3:11" ht="28.5" hidden="1"/>
    <row r="25" spans="3:11" ht="28.5" hidden="1"/>
    <row r="26" spans="3:11" ht="28.5" hidden="1"/>
    <row r="27" spans="3:11" ht="28.5" hidden="1"/>
    <row r="28" spans="3:11" ht="28.5" hidden="1"/>
    <row r="29" spans="3:11" ht="28.5" hidden="1"/>
    <row r="30" spans="3:11" ht="28.5" hidden="1"/>
    <row r="31" spans="3:11" ht="28.5" hidden="1"/>
    <row r="32" spans="3:11" ht="28.5" hidden="1"/>
    <row r="33" ht="28.5"/>
    <row r="34" ht="15" customHeight="1"/>
    <row r="35" ht="15" customHeight="1"/>
    <row r="36" ht="15" hidden="1" customHeight="1"/>
    <row r="37" ht="15" hidden="1" customHeight="1"/>
    <row r="38" ht="15" hidden="1" customHeight="1"/>
    <row r="39" ht="15" hidden="1" customHeight="1"/>
    <row r="40" ht="15" hidden="1" customHeight="1"/>
    <row r="41" ht="15" hidden="1" customHeight="1"/>
    <row r="42" ht="15" hidden="1" customHeight="1"/>
    <row r="43" ht="15" hidden="1" customHeight="1"/>
    <row r="44" ht="15" hidden="1" customHeight="1"/>
    <row r="45" ht="15" hidden="1" customHeight="1"/>
    <row r="46" ht="15" hidden="1" customHeight="1"/>
    <row r="47" ht="15" hidden="1" customHeight="1"/>
    <row r="48" ht="15" hidden="1" customHeight="1"/>
    <row r="49" ht="15" hidden="1" customHeight="1"/>
    <row r="50" ht="15" hidden="1" customHeight="1"/>
    <row r="51" ht="15" hidden="1" customHeight="1"/>
    <row r="52" ht="15" hidden="1" customHeight="1"/>
    <row r="53" ht="15" hidden="1" customHeight="1"/>
    <row r="54" ht="15" hidden="1" customHeight="1"/>
    <row r="55" ht="15" hidden="1" customHeight="1"/>
    <row r="56" ht="15" hidden="1" customHeight="1"/>
  </sheetData>
  <sheetProtection sheet="1" selectLockedCells="1"/>
  <mergeCells count="13">
    <mergeCell ref="E12:I12"/>
    <mergeCell ref="C4:J4"/>
    <mergeCell ref="C5:J5"/>
    <mergeCell ref="C6:J6"/>
    <mergeCell ref="E10:I10"/>
    <mergeCell ref="E11:I11"/>
    <mergeCell ref="C22:J22"/>
    <mergeCell ref="E14:I14"/>
    <mergeCell ref="E15:I15"/>
    <mergeCell ref="E16:I16"/>
    <mergeCell ref="C18:J18"/>
    <mergeCell ref="C19:J19"/>
    <mergeCell ref="C20:J20"/>
  </mergeCells>
  <dataValidations count="1">
    <dataValidation operator="equal" allowBlank="1" showInputMessage="1" showErrorMessage="1" sqref="E15:I15"/>
  </dataValidations>
  <pageMargins left="1.0236220472440944" right="0.70866141732283472" top="0.74803149606299213" bottom="0.74803149606299213" header="0.31496062992125984" footer="0.31496062992125984"/>
  <pageSetup paperSize="9" scale="80" orientation="portrait" r:id="rId1"/>
  <drawing r:id="rId2"/>
</worksheet>
</file>

<file path=xl/worksheets/sheet13.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C122" workbookViewId="0">
      <selection activeCell="F192" sqref="F192"/>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3</v>
      </c>
      <c r="B1" s="55" t="str">
        <f ca="1">MID(CELL("filename",B1),FIND("]",CELL("filename",B1))+1,255)</f>
        <v>Pengawas-Thn-3</v>
      </c>
      <c r="C1" s="55" t="str">
        <f ca="1">MID(B1,1,LEN(B1)-6)</f>
        <v>Pengawas</v>
      </c>
      <c r="D1" s="55" t="str">
        <f ca="1">INDIRECT("'Sampul-Thn-"&amp;A1&amp;"'!E14") &amp; "    ( " &amp;INDIRECT("'Sampul-Thn-"&amp;A1&amp;"'!E15") &amp; " )"</f>
        <v>Slamet Riyadi, S.Pd, M.Pd    ( 196501112005011002 )</v>
      </c>
      <c r="I1" s="307" t="str">
        <f>HYPERLINK("#Menu!A1","↖")</f>
        <v>↖</v>
      </c>
    </row>
    <row r="2" spans="1:9" ht="23.25">
      <c r="B2" s="50" t="str">
        <f ca="1">"A. Instrumen Penilaian Kinerja Tahunan Kepala Madrasah ( Tahun ke " &amp;A1&amp;" )"</f>
        <v>A. Instrumen Penilaian Kinerja Tahunan Kepala Madrasah ( Tahun ke 3 )</v>
      </c>
    </row>
    <row r="3" spans="1:9" ht="15.75">
      <c r="B3" s="51" t="str">
        <f ca="1">PROPER("Periode Penilaian : " &amp;INDIRECT("'Sampul-Thn-"&amp;A1&amp;"'!C6"))</f>
        <v>Periode Penilaian :  S/D  2018</v>
      </c>
    </row>
    <row r="4" spans="1:9" ht="15.75">
      <c r="B4" s="51" t="str">
        <f ca="1">"Kamad yang dinilai : " &amp;INDIRECT("'Sampul-Thn-"&amp;A1&amp;"'!E8") &amp; "    (" &amp;INDIRECT("'Sampul-Thn-"&amp;A1&amp;"'!E10")&amp;" ) "</f>
        <v xml:space="preserve">Kamad yang dinilai : SIDIQ MUSTAKIM, Lc    (MA Tahfidh Al-Amien Prenduan ) </v>
      </c>
    </row>
    <row r="5" spans="1:9" ht="15.75">
      <c r="B5" s="51" t="str">
        <f ca="1">"Penilai : " &amp;IF(C1="Pengawas",D1,C1)</f>
        <v>Penilai : Slamet Riyadi, S.Pd, M.Pd    ( 196501112005011002 )</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t="str">
        <f ca="1">IF(INT($A$1)&gt;3,(SUBTOTAL(9,F190:F190)/(4*1))*100,"")</f>
        <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t="str">
        <f ca="1">IF(INT($A$1)&gt;3,(SUBTOTAL(9,F192:F192)/(4*1))*100,"")</f>
        <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t="str">
        <f ca="1">IF(INT($A$1)&gt;3,(SUBTOTAL(9,F201:F201)/(4*1))*100,"")</f>
        <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t="str">
        <f ca="1">IF(INT($A$1)&gt;3,(SUBTOTAL(9,F203:F203)/(4*1))*100,"")</f>
        <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t="str">
        <f ca="1">IF(INT($A$1)&gt;3,(SUBTOTAL(9,F212:F212)/(4*1))*100,"")</f>
        <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t="str">
        <f ca="1">IF(INT($A$1)&gt;3,(SUBTOTAL(9,F214:F214)/(4*1))*100,"")</f>
        <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t="str">
        <f ca="1">IF(INT($A$1)&gt;3,(SUBTOTAL(9,F216:F216)/(4*1))*100,"")</f>
        <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t="str">
        <f ca="1">IF(INT($A$1)&gt;3,(SUBTOTAL(9,F225:F225)/(4*1))*100,"")</f>
        <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t="str">
        <f ca="1">IF(INT($A$1)&gt;3,(SUBTOTAL(9,F227:F227)/(4*1))*100,"")</f>
        <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t="str">
        <f ca="1">IF(INT($A$1)&gt;3,(SUBTOTAL(9,F229:F229)/(4*1))*100,"")</f>
        <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t="str">
        <f ca="1">IF(INT($A$1)&gt;3,(SUBTOTAL(9,F231:F231)/(4*1))*100,"")</f>
        <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t="str">
        <f ca="1">IF(INT($A$1)&gt;3,(SUBTOTAL(9,F233:F233)/(4*1))*100,"")</f>
        <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t="str">
        <f ca="1">IF(INT($A$1)&gt;3,(SUBTOTAL(9,F235:F235)/(4*1))*100,"")</f>
        <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t="str">
        <f ca="1">IF(INT($A$1)&gt;3,(SUBTOTAL(9,F237:F237)/(4*1))*100,"")</f>
        <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NKT (Nilai Kinerja Tahunan) Tahun Ke : 3</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66" priority="2">
      <formula>IF($A$1="4",FALSE,TRUE)</formula>
    </cfRule>
  </conditionalFormatting>
  <conditionalFormatting sqref="A234:XFD234 A236:XFD236 G235:XFD235 A237:E237 G237:XFD237 A235:E235">
    <cfRule type="expression" dxfId="565"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14.xml><?xml version="1.0" encoding="utf-8"?>
<worksheet xmlns="http://schemas.openxmlformats.org/spreadsheetml/2006/main" xmlns:r="http://schemas.openxmlformats.org/officeDocument/2006/relationships">
  <sheetPr>
    <tabColor rgb="FFFFC000"/>
    <pageSetUpPr fitToPage="1"/>
  </sheetPr>
  <dimension ref="A1:X101"/>
  <sheetViews>
    <sheetView showGridLines="0" topLeftCell="A89" workbookViewId="0">
      <selection activeCell="I68" sqref="I68"/>
    </sheetView>
  </sheetViews>
  <sheetFormatPr defaultColWidth="0" defaultRowHeight="0" customHeight="1" zeroHeight="1"/>
  <cols>
    <col min="1" max="1" width="2.140625" style="153" bestFit="1" customWidth="1"/>
    <col min="2" max="2" width="3" style="153" customWidth="1"/>
    <col min="3" max="3" width="4.85546875" style="153" customWidth="1"/>
    <col min="4" max="4" width="36.5703125" style="168" bestFit="1" customWidth="1"/>
    <col min="5" max="5" width="54.85546875" style="153" customWidth="1"/>
    <col min="6" max="6" width="6.140625" style="153" bestFit="1" customWidth="1"/>
    <col min="7" max="7" width="10.85546875" style="153" customWidth="1"/>
    <col min="8" max="9" width="2.28515625" style="153" customWidth="1"/>
    <col min="10" max="11" width="2.28515625" style="153" hidden="1" customWidth="1"/>
    <col min="12" max="13" width="8.42578125" style="153" hidden="1" customWidth="1"/>
    <col min="14" max="14" width="7" style="153" hidden="1" customWidth="1"/>
    <col min="15" max="15" width="9.5703125" style="153" hidden="1" customWidth="1"/>
    <col min="16" max="16" width="7.85546875" style="284" hidden="1" customWidth="1"/>
    <col min="17" max="17" width="6.7109375" style="153" hidden="1" customWidth="1"/>
    <col min="18" max="18" width="11.5703125" style="153" hidden="1" customWidth="1"/>
    <col min="19" max="19" width="6.42578125" style="153" hidden="1" customWidth="1"/>
    <col min="20" max="20" width="6.28515625" style="153" hidden="1" customWidth="1"/>
    <col min="21" max="16384" width="9.140625" style="153" hidden="1"/>
  </cols>
  <sheetData>
    <row r="1" spans="1:16" s="169" customFormat="1" ht="15.75" hidden="1">
      <c r="A1" s="168" t="str">
        <f ca="1">RIGHT(MID(CELL("filename",A1),FIND("]",CELL("filename",A1))+1,255),1)</f>
        <v>3</v>
      </c>
      <c r="B1" s="168" t="str">
        <f ca="1">MID(CELL("filename",B1),FIND("]",CELL("filename",B1))+1,255)</f>
        <v>Form1-Pengawas-Thn-3</v>
      </c>
      <c r="C1" s="168" t="str">
        <f ca="1">MID(B1,7,LEN(B1)-6)</f>
        <v>Pengawas-Thn-3</v>
      </c>
      <c r="D1" s="168" t="str">
        <f ca="1">LEFT(C1,LEN(C1)-6)</f>
        <v>Pengawas</v>
      </c>
      <c r="E1" s="169" t="str">
        <f ca="1">A1</f>
        <v>3</v>
      </c>
      <c r="F1" s="169">
        <v>2</v>
      </c>
      <c r="G1" s="169">
        <v>3</v>
      </c>
      <c r="H1" s="169">
        <v>4</v>
      </c>
      <c r="I1" s="169">
        <v>4</v>
      </c>
      <c r="J1" s="169">
        <v>4</v>
      </c>
      <c r="K1" s="169">
        <v>4</v>
      </c>
      <c r="N1" s="169">
        <v>4</v>
      </c>
      <c r="O1" s="169">
        <v>4</v>
      </c>
      <c r="P1" s="283"/>
    </row>
    <row r="2" spans="1:16" s="169" customFormat="1" ht="15.75" hidden="1">
      <c r="A2" s="168"/>
      <c r="B2" s="168"/>
      <c r="C2" s="168"/>
      <c r="D2" s="168"/>
      <c r="P2" s="283"/>
    </row>
    <row r="3" spans="1:16" ht="15.75" hidden="1">
      <c r="C3" s="153" t="s">
        <v>59</v>
      </c>
      <c r="D3" s="153" t="s">
        <v>537</v>
      </c>
      <c r="E3" s="153" t="s">
        <v>504</v>
      </c>
      <c r="F3" s="168" t="s">
        <v>528</v>
      </c>
      <c r="G3" s="171" t="s">
        <v>531</v>
      </c>
    </row>
    <row r="4" spans="1:16" ht="15.75" hidden="1">
      <c r="C4" s="153" t="s">
        <v>14</v>
      </c>
      <c r="D4" s="153" t="str">
        <f t="shared" ref="D4:D34" si="0">VLOOKUP($C4,Tabel_IK,13,FALSE)</f>
        <v>USAHA PENGEMBANGAN MADRASAH</v>
      </c>
      <c r="E4" s="153" t="str">
        <f t="shared" ref="E4:E34" si="1">VLOOKUP($C4,Tabel_IK,14,FALSE)</f>
        <v>RKJM dan RKAM</v>
      </c>
      <c r="F4" s="172">
        <f t="shared" ref="F4:F34" ca="1" si="2">VLOOKUP($C4,Tabel_IK,3+INT($A$1),FALSE)</f>
        <v>0</v>
      </c>
      <c r="G4" s="173">
        <f ca="1">RANK(F4,F$4:F$34,1)+COUNTIF(F$4:F4,F4)-1</f>
        <v>1</v>
      </c>
    </row>
    <row r="5" spans="1:16" ht="15.75" hidden="1">
      <c r="C5" s="153" t="s">
        <v>13</v>
      </c>
      <c r="D5" s="153" t="str">
        <f t="shared" si="0"/>
        <v>USAHA PENGEMBANGAN MADRASAH</v>
      </c>
      <c r="E5" s="153" t="str">
        <f t="shared" si="1"/>
        <v>Pemberdayaan Organisasi Madrasah</v>
      </c>
      <c r="F5" s="172">
        <f t="shared" ca="1" si="2"/>
        <v>0</v>
      </c>
      <c r="G5" s="173">
        <f ca="1">RANK(F5,F$4:F$34,1)+COUNTIF(F$4:F5,F5)-1</f>
        <v>2</v>
      </c>
    </row>
    <row r="6" spans="1:16" ht="15.75" hidden="1">
      <c r="C6" s="153" t="s">
        <v>91</v>
      </c>
      <c r="D6" s="153" t="str">
        <f t="shared" si="0"/>
        <v>USAHA PENGEMBANGAN MADRASAH</v>
      </c>
      <c r="E6" s="153" t="str">
        <f t="shared" si="1"/>
        <v>Perencanaan dan Pengembangan Madrasah</v>
      </c>
      <c r="F6" s="172">
        <f t="shared" ca="1" si="2"/>
        <v>0</v>
      </c>
      <c r="G6" s="173">
        <f ca="1">RANK(F6,F$4:F$34,1)+COUNTIF(F$4:F6,F6)-1</f>
        <v>3</v>
      </c>
    </row>
    <row r="7" spans="1:16" ht="15.75" hidden="1">
      <c r="C7" s="153" t="s">
        <v>97</v>
      </c>
      <c r="D7" s="153" t="str">
        <f t="shared" si="0"/>
        <v>USAHA PENGEMBANGAN MADRASAH</v>
      </c>
      <c r="E7" s="153" t="str">
        <f t="shared" si="1"/>
        <v>Peningkatan Kualitas Pembelajaran</v>
      </c>
      <c r="F7" s="172">
        <f t="shared" ca="1" si="2"/>
        <v>0</v>
      </c>
      <c r="G7" s="173">
        <f ca="1">RANK(F7,F$4:F$34,1)+COUNTIF(F$4:F7,F7)-1</f>
        <v>4</v>
      </c>
    </row>
    <row r="8" spans="1:16" ht="15.75" hidden="1">
      <c r="C8" s="153" t="s">
        <v>103</v>
      </c>
      <c r="D8" s="153" t="str">
        <f t="shared" si="0"/>
        <v>USAHA PENGEMBANGAN MADRASAH</v>
      </c>
      <c r="E8" s="153" t="str">
        <f t="shared" si="1"/>
        <v>Monitoring dan Evaluasi</v>
      </c>
      <c r="F8" s="172">
        <f t="shared" ca="1" si="2"/>
        <v>0</v>
      </c>
      <c r="G8" s="173">
        <f ca="1">RANK(F8,F$4:F$34,1)+COUNTIF(F$4:F8,F8)-1</f>
        <v>5</v>
      </c>
    </row>
    <row r="9" spans="1:16" ht="15.75" hidden="1">
      <c r="C9" s="153" t="s">
        <v>111</v>
      </c>
      <c r="D9" s="153" t="str">
        <f t="shared" si="0"/>
        <v>USAHA PENGEMBANGAN MADRASAH</v>
      </c>
      <c r="E9" s="153" t="str">
        <f t="shared" si="1"/>
        <v>Monitoring dan Evaluasi</v>
      </c>
      <c r="F9" s="172">
        <f t="shared" ca="1" si="2"/>
        <v>0</v>
      </c>
      <c r="G9" s="173">
        <f ca="1">RANK(F9,F$4:F$34,1)+COUNTIF(F$4:F9,F9)-1</f>
        <v>6</v>
      </c>
    </row>
    <row r="10" spans="1:16" ht="15.75" hidden="1">
      <c r="C10" s="153" t="s">
        <v>119</v>
      </c>
      <c r="D10" s="153" t="str">
        <f t="shared" si="0"/>
        <v>USAHA PENGEMBANGAN MADRASAH</v>
      </c>
      <c r="E10" s="153" t="str">
        <f t="shared" si="1"/>
        <v>Penelitian Tindakan</v>
      </c>
      <c r="F10" s="172">
        <f t="shared" ca="1" si="2"/>
        <v>0</v>
      </c>
      <c r="G10" s="173">
        <f ca="1">RANK(F10,F$4:F$34,1)+COUNTIF(F$4:F10,F10)-1</f>
        <v>7</v>
      </c>
    </row>
    <row r="11" spans="1:16" ht="15.75" hidden="1">
      <c r="C11" s="153" t="s">
        <v>11</v>
      </c>
      <c r="D11" s="153" t="str">
        <f t="shared" si="0"/>
        <v>MANAJERIAL</v>
      </c>
      <c r="E11" s="153" t="str">
        <f t="shared" si="1"/>
        <v>RKJM dan RKAM</v>
      </c>
      <c r="F11" s="172">
        <f t="shared" ca="1" si="2"/>
        <v>0</v>
      </c>
      <c r="G11" s="173">
        <f ca="1">RANK(F11,F$4:F$34,1)+COUNTIF(F$4:F11,F11)-1</f>
        <v>8</v>
      </c>
    </row>
    <row r="12" spans="1:16" ht="15.75" hidden="1">
      <c r="C12" s="153" t="s">
        <v>9</v>
      </c>
      <c r="D12" s="153" t="str">
        <f t="shared" si="0"/>
        <v>MANAJERIAL</v>
      </c>
      <c r="E12" s="153" t="str">
        <f t="shared" si="1"/>
        <v>Perencanaan dan Pengembangan Madrasah</v>
      </c>
      <c r="F12" s="172">
        <f t="shared" ca="1" si="2"/>
        <v>0</v>
      </c>
      <c r="G12" s="173">
        <f ca="1">RANK(F12,F$4:F$34,1)+COUNTIF(F$4:F12,F12)-1</f>
        <v>9</v>
      </c>
    </row>
    <row r="13" spans="1:16" ht="15.75" hidden="1">
      <c r="C13" s="153" t="s">
        <v>144</v>
      </c>
      <c r="D13" s="153" t="str">
        <f t="shared" si="0"/>
        <v>MANAJERIAL</v>
      </c>
      <c r="E13" s="153" t="str">
        <f t="shared" si="1"/>
        <v>Kepemimpinan dalam Pengelolaan Sumberdaya Madrasah</v>
      </c>
      <c r="F13" s="172">
        <f t="shared" ca="1" si="2"/>
        <v>0</v>
      </c>
      <c r="G13" s="173">
        <f ca="1">RANK(F13,F$4:F$34,1)+COUNTIF(F$4:F13,F13)-1</f>
        <v>10</v>
      </c>
    </row>
    <row r="14" spans="1:16" ht="15.75" hidden="1">
      <c r="C14" s="153" t="s">
        <v>153</v>
      </c>
      <c r="D14" s="153" t="str">
        <f t="shared" si="0"/>
        <v>MANAJERIAL</v>
      </c>
      <c r="E14" s="153" t="str">
        <f t="shared" si="1"/>
        <v>Pengelolaan Sarana dan Prasarana</v>
      </c>
      <c r="F14" s="172">
        <f t="shared" ca="1" si="2"/>
        <v>0</v>
      </c>
      <c r="G14" s="173">
        <f ca="1">RANK(F14,F$4:F$34,1)+COUNTIF(F$4:F14,F14)-1</f>
        <v>11</v>
      </c>
    </row>
    <row r="15" spans="1:16" ht="15.75" hidden="1">
      <c r="C15" s="153" t="s">
        <v>163</v>
      </c>
      <c r="D15" s="153" t="str">
        <f t="shared" si="0"/>
        <v>MANAJERIAL</v>
      </c>
      <c r="E15" s="153" t="str">
        <f t="shared" si="1"/>
        <v>Madrasah Berwawasan Lingkungan</v>
      </c>
      <c r="F15" s="172">
        <f t="shared" ca="1" si="2"/>
        <v>0</v>
      </c>
      <c r="G15" s="173">
        <f ca="1">RANK(F15,F$4:F$34,1)+COUNTIF(F$4:F15,F15)-1</f>
        <v>12</v>
      </c>
    </row>
    <row r="16" spans="1:16" ht="15.75" hidden="1">
      <c r="C16" s="153" t="s">
        <v>173</v>
      </c>
      <c r="D16" s="153" t="str">
        <f t="shared" si="0"/>
        <v>MANAJERIAL</v>
      </c>
      <c r="E16" s="153" t="str">
        <f t="shared" si="1"/>
        <v>Pengelolaan Pendidikan dan Tenaga Kependidikan</v>
      </c>
      <c r="F16" s="172">
        <f t="shared" ca="1" si="2"/>
        <v>0</v>
      </c>
      <c r="G16" s="173">
        <f ca="1">RANK(F16,F$4:F$34,1)+COUNTIF(F$4:F16,F16)-1</f>
        <v>13</v>
      </c>
    </row>
    <row r="17" spans="3:7" ht="15.75" hidden="1">
      <c r="C17" s="153" t="s">
        <v>181</v>
      </c>
      <c r="D17" s="153" t="str">
        <f t="shared" si="0"/>
        <v>MANAJERIAL</v>
      </c>
      <c r="E17" s="153" t="str">
        <f t="shared" si="1"/>
        <v>Pengelolaan Sarana dan Prasarana</v>
      </c>
      <c r="F17" s="172">
        <f t="shared" ca="1" si="2"/>
        <v>0</v>
      </c>
      <c r="G17" s="173">
        <f ca="1">RANK(F17,F$4:F$34,1)+COUNTIF(F$4:F17,F17)-1</f>
        <v>14</v>
      </c>
    </row>
    <row r="18" spans="3:7" ht="15.75" hidden="1">
      <c r="C18" s="153" t="s">
        <v>189</v>
      </c>
      <c r="D18" s="153" t="str">
        <f t="shared" si="0"/>
        <v>MANAJERIAL</v>
      </c>
      <c r="E18" s="153" t="str">
        <f t="shared" si="1"/>
        <v>Kepemimpinan dalam Pengelolaan Sumberdaya Madrasah</v>
      </c>
      <c r="F18" s="172">
        <f t="shared" ca="1" si="2"/>
        <v>0</v>
      </c>
      <c r="G18" s="173">
        <f ca="1">RANK(F18,F$4:F$34,1)+COUNTIF(F$4:F18,F18)-1</f>
        <v>15</v>
      </c>
    </row>
    <row r="19" spans="3:7" ht="15.75" hidden="1">
      <c r="C19" s="153" t="s">
        <v>195</v>
      </c>
      <c r="D19" s="153" t="str">
        <f t="shared" si="0"/>
        <v>MANAJERIAL</v>
      </c>
      <c r="E19" s="153" t="str">
        <f t="shared" si="1"/>
        <v>Pengelolaan Peserta Didik Baru</v>
      </c>
      <c r="F19" s="172">
        <f t="shared" ca="1" si="2"/>
        <v>0</v>
      </c>
      <c r="G19" s="173">
        <f ca="1">RANK(F19,F$4:F$34,1)+COUNTIF(F$4:F19,F19)-1</f>
        <v>16</v>
      </c>
    </row>
    <row r="20" spans="3:7" ht="15.75" hidden="1">
      <c r="C20" s="153" t="s">
        <v>204</v>
      </c>
      <c r="D20" s="153" t="str">
        <f t="shared" si="0"/>
        <v>MANAJERIAL</v>
      </c>
      <c r="E20" s="153" t="str">
        <f t="shared" si="1"/>
        <v>Pengelolaan Kurikulum</v>
      </c>
      <c r="F20" s="172">
        <f t="shared" ca="1" si="2"/>
        <v>0</v>
      </c>
      <c r="G20" s="173">
        <f ca="1">RANK(F20,F$4:F$34,1)+COUNTIF(F$4:F20,F20)-1</f>
        <v>17</v>
      </c>
    </row>
    <row r="21" spans="3:7" ht="15.75" hidden="1">
      <c r="C21" s="153" t="s">
        <v>216</v>
      </c>
      <c r="D21" s="153" t="str">
        <f t="shared" si="0"/>
        <v>MANAJERIAL</v>
      </c>
      <c r="E21" s="153" t="str">
        <f t="shared" si="1"/>
        <v>Pengelolaan Keuangan</v>
      </c>
      <c r="F21" s="172">
        <f t="shared" ca="1" si="2"/>
        <v>0</v>
      </c>
      <c r="G21" s="173">
        <f ca="1">RANK(F21,F$4:F$34,1)+COUNTIF(F$4:F21,F21)-1</f>
        <v>18</v>
      </c>
    </row>
    <row r="22" spans="3:7" ht="15.75" hidden="1">
      <c r="C22" s="153" t="s">
        <v>218</v>
      </c>
      <c r="D22" s="153" t="str">
        <f t="shared" si="0"/>
        <v>MANAJERIAL</v>
      </c>
      <c r="E22" s="153" t="str">
        <f t="shared" si="1"/>
        <v>Kepemimpinan dalam Pengelolaan Sistem Administrasi</v>
      </c>
      <c r="F22" s="172">
        <f t="shared" ca="1" si="2"/>
        <v>0</v>
      </c>
      <c r="G22" s="173">
        <f ca="1">RANK(F22,F$4:F$34,1)+COUNTIF(F$4:F22,F22)-1</f>
        <v>19</v>
      </c>
    </row>
    <row r="23" spans="3:7" ht="15.75" hidden="1">
      <c r="C23" s="153" t="s">
        <v>220</v>
      </c>
      <c r="D23" s="153" t="str">
        <f t="shared" si="0"/>
        <v>MANAJERIAL</v>
      </c>
      <c r="E23" s="153" t="str">
        <f t="shared" si="1"/>
        <v>Pengelolaan Layanan Khusus</v>
      </c>
      <c r="F23" s="172">
        <f t="shared" ca="1" si="2"/>
        <v>0</v>
      </c>
      <c r="G23" s="173">
        <f ca="1">RANK(F23,F$4:F$34,1)+COUNTIF(F$4:F23,F23)-1</f>
        <v>20</v>
      </c>
    </row>
    <row r="24" spans="3:7" ht="15.75" hidden="1">
      <c r="C24" s="153" t="s">
        <v>222</v>
      </c>
      <c r="D24" s="153" t="str">
        <f t="shared" si="0"/>
        <v>MANAJERIAL</v>
      </c>
      <c r="E24" s="153" t="str">
        <f t="shared" si="1"/>
        <v>Sistem Informasi Manajemen (SIM)</v>
      </c>
      <c r="F24" s="172">
        <f t="shared" ca="1" si="2"/>
        <v>0</v>
      </c>
      <c r="G24" s="173">
        <f ca="1">RANK(F24,F$4:F$34,1)+COUNTIF(F$4:F24,F24)-1</f>
        <v>21</v>
      </c>
    </row>
    <row r="25" spans="3:7" ht="15.75" hidden="1">
      <c r="C25" s="153" t="s">
        <v>232</v>
      </c>
      <c r="D25" s="153" t="str">
        <f t="shared" si="0"/>
        <v>MANAJERIAL</v>
      </c>
      <c r="E25" s="153" t="str">
        <f t="shared" si="1"/>
        <v>Pembelajaran Berbasis TIK</v>
      </c>
      <c r="F25" s="172">
        <f t="shared" ca="1" si="2"/>
        <v>0</v>
      </c>
      <c r="G25" s="173">
        <f ca="1">RANK(F25,F$4:F$34,1)+COUNTIF(F$4:F25,F25)-1</f>
        <v>22</v>
      </c>
    </row>
    <row r="26" spans="3:7" ht="15.75" hidden="1">
      <c r="C26" s="153" t="s">
        <v>240</v>
      </c>
      <c r="D26" s="153" t="str">
        <f t="shared" si="0"/>
        <v>MANAJERIAL</v>
      </c>
      <c r="E26" s="153" t="str">
        <f t="shared" si="1"/>
        <v>Monitoring dan Evaluasi</v>
      </c>
      <c r="F26" s="172">
        <f t="shared" ca="1" si="2"/>
        <v>0</v>
      </c>
      <c r="G26" s="173">
        <f ca="1">RANK(F26,F$4:F$34,1)+COUNTIF(F$4:F26,F26)-1</f>
        <v>23</v>
      </c>
    </row>
    <row r="27" spans="3:7" ht="15.75" hidden="1">
      <c r="C27" s="153" t="s">
        <v>7</v>
      </c>
      <c r="D27" s="153" t="str">
        <f t="shared" si="0"/>
        <v>KEWIRAUSAHAAN</v>
      </c>
      <c r="E27" s="153" t="str">
        <f t="shared" si="1"/>
        <v>Perencanaan dan Pengembangan Madrasah</v>
      </c>
      <c r="F27" s="172">
        <f t="shared" ca="1" si="2"/>
        <v>0</v>
      </c>
      <c r="G27" s="173">
        <f ca="1">RANK(F27,F$4:F$34,1)+COUNTIF(F$4:F27,F27)-1</f>
        <v>24</v>
      </c>
    </row>
    <row r="28" spans="3:7" ht="15.75" hidden="1">
      <c r="C28" s="153" t="s">
        <v>6</v>
      </c>
      <c r="D28" s="153" t="str">
        <f t="shared" si="0"/>
        <v>KEWIRAUSAHAAN</v>
      </c>
      <c r="E28" s="153" t="str">
        <f t="shared" si="1"/>
        <v>Peningkatan Kualitas Pembelajaran</v>
      </c>
      <c r="F28" s="172">
        <f t="shared" ca="1" si="2"/>
        <v>0</v>
      </c>
      <c r="G28" s="173">
        <f ca="1">RANK(F28,F$4:F$34,1)+COUNTIF(F$4:F28,F28)-1</f>
        <v>25</v>
      </c>
    </row>
    <row r="29" spans="3:7" ht="15.75" hidden="1">
      <c r="C29" s="153" t="s">
        <v>5</v>
      </c>
      <c r="D29" s="153" t="str">
        <f t="shared" si="0"/>
        <v>KEWIRAUSAHAAN</v>
      </c>
      <c r="E29" s="153" t="str">
        <f t="shared" si="1"/>
        <v>Kepemimpinan Madrasah</v>
      </c>
      <c r="F29" s="172">
        <f t="shared" ca="1" si="2"/>
        <v>0</v>
      </c>
      <c r="G29" s="173">
        <f ca="1">RANK(F29,F$4:F$34,1)+COUNTIF(F$4:F29,F29)-1</f>
        <v>26</v>
      </c>
    </row>
    <row r="30" spans="3:7" ht="15.75" hidden="1">
      <c r="C30" s="153" t="s">
        <v>271</v>
      </c>
      <c r="D30" s="153" t="str">
        <f t="shared" si="0"/>
        <v>KEWIRAUSAHAAN</v>
      </c>
      <c r="E30" s="153" t="str">
        <f t="shared" si="1"/>
        <v>Kepemimpinan Madrasah</v>
      </c>
      <c r="F30" s="172">
        <f t="shared" ca="1" si="2"/>
        <v>0</v>
      </c>
      <c r="G30" s="173">
        <f ca="1">RANK(F30,F$4:F$34,1)+COUNTIF(F$4:F30,F30)-1</f>
        <v>27</v>
      </c>
    </row>
    <row r="31" spans="3:7" ht="15.75" hidden="1">
      <c r="C31" s="153" t="s">
        <v>277</v>
      </c>
      <c r="D31" s="153" t="str">
        <f t="shared" si="0"/>
        <v>KEWIRAUSAHAAN</v>
      </c>
      <c r="E31" s="153" t="str">
        <f t="shared" si="1"/>
        <v>Kewirausahaan</v>
      </c>
      <c r="F31" s="172">
        <f t="shared" ca="1" si="2"/>
        <v>0</v>
      </c>
      <c r="G31" s="173">
        <f ca="1">RANK(F31,F$4:F$34,1)+COUNTIF(F$4:F31,F31)-1</f>
        <v>28</v>
      </c>
    </row>
    <row r="32" spans="3:7" ht="15.75" hidden="1">
      <c r="C32" s="153" t="s">
        <v>3</v>
      </c>
      <c r="D32" s="153" t="str">
        <f t="shared" si="0"/>
        <v>SUPERVISI</v>
      </c>
      <c r="E32" s="153" t="str">
        <f t="shared" si="1"/>
        <v>Supervisi Akademik</v>
      </c>
      <c r="F32" s="172">
        <f t="shared" ca="1" si="2"/>
        <v>0</v>
      </c>
      <c r="G32" s="173">
        <f ca="1">RANK(F32,F$4:F$34,1)+COUNTIF(F$4:F32,F32)-1</f>
        <v>29</v>
      </c>
    </row>
    <row r="33" spans="2:24" ht="15.75" hidden="1">
      <c r="C33" s="153" t="s">
        <v>2</v>
      </c>
      <c r="D33" s="153" t="str">
        <f t="shared" si="0"/>
        <v>SUPERVISI</v>
      </c>
      <c r="E33" s="153" t="str">
        <f t="shared" si="1"/>
        <v>Supervisi Akademik</v>
      </c>
      <c r="F33" s="172">
        <f t="shared" ca="1" si="2"/>
        <v>0</v>
      </c>
      <c r="G33" s="173">
        <f ca="1">RANK(F33,F$4:F$34,1)+COUNTIF(F$4:F33,F33)-1</f>
        <v>30</v>
      </c>
    </row>
    <row r="34" spans="2:24" ht="15.75" hidden="1">
      <c r="C34" s="153" t="s">
        <v>1</v>
      </c>
      <c r="D34" s="153" t="str">
        <f t="shared" si="0"/>
        <v>SUPERVISI</v>
      </c>
      <c r="E34" s="153" t="str">
        <f t="shared" si="1"/>
        <v>Supervisi Akademik</v>
      </c>
      <c r="F34" s="172">
        <f t="shared" ca="1" si="2"/>
        <v>0</v>
      </c>
      <c r="G34" s="173">
        <f ca="1">RANK(F34,F$4:F$34,1)+COUNTIF(F$4:F34,F34)-1</f>
        <v>31</v>
      </c>
    </row>
    <row r="35" spans="2:24" ht="15" hidden="1" customHeight="1"/>
    <row r="36" spans="2:24" ht="15" hidden="1" customHeight="1" thickBot="1">
      <c r="B36" s="153" t="s">
        <v>59</v>
      </c>
      <c r="C36" s="153" t="s">
        <v>526</v>
      </c>
      <c r="D36" s="153" t="s">
        <v>537</v>
      </c>
      <c r="E36" s="168" t="s">
        <v>534</v>
      </c>
      <c r="F36" s="153" t="s">
        <v>528</v>
      </c>
      <c r="G36" s="153" t="s">
        <v>538</v>
      </c>
      <c r="L36" s="153" t="s">
        <v>539</v>
      </c>
      <c r="M36" s="153" t="s">
        <v>541</v>
      </c>
      <c r="N36" s="153" t="s">
        <v>522</v>
      </c>
      <c r="O36" s="153" t="s">
        <v>540</v>
      </c>
      <c r="P36" s="284" t="s">
        <v>530</v>
      </c>
      <c r="Q36" s="153" t="s">
        <v>523</v>
      </c>
      <c r="S36" s="174" t="s">
        <v>535</v>
      </c>
      <c r="T36" s="286" t="s">
        <v>559</v>
      </c>
    </row>
    <row r="37" spans="2:24" ht="15" hidden="1" customHeight="1" thickBot="1">
      <c r="B37" s="153">
        <v>1</v>
      </c>
      <c r="C37" s="153" t="str">
        <f t="shared" ref="C37:C67" ca="1" si="3">INDEX($C$4:$C$34,MATCH(B37,$G$4:$G$34,0))</f>
        <v>1.1.</v>
      </c>
      <c r="D37" s="153" t="str">
        <f ca="1">INDEX($D$4:$D$34,MATCH(B37,$G$4:$G$34,0))</f>
        <v>USAHA PENGEMBANGAN MADRASAH</v>
      </c>
      <c r="E37" s="168" t="str">
        <f t="shared" ref="E37:E67" ca="1" si="4">INDEX($E$4:$E$34,MATCH(B37,$G$4:$G$34,0))</f>
        <v>RKJM dan RKAM</v>
      </c>
      <c r="F37" s="172">
        <f ca="1">INDEX($F$4:$F$34,MATCH(B37,$G$4:$G$34,0))</f>
        <v>0</v>
      </c>
      <c r="G37" s="172" t="str">
        <f ca="1">PROPER(D37) &amp; " / " &amp;E37</f>
        <v>Usaha Pengembangan Madrasah / RKJM dan RKAM</v>
      </c>
      <c r="H37" s="172"/>
      <c r="I37" s="172"/>
      <c r="J37" s="172"/>
      <c r="K37" s="172"/>
      <c r="L37" s="175">
        <f ca="1">COUNTIF($G$37:G37,G37)</f>
        <v>1</v>
      </c>
      <c r="M37" s="176">
        <f ca="1">IF(L37&gt;1,100,F37)</f>
        <v>0</v>
      </c>
      <c r="N37" s="177">
        <f ca="1">IF(M37&gt;$S$37,0,RANK(M37,$M$37:$M$67,1)+COUNTIF($M$37:M37,M37)-1)</f>
        <v>1</v>
      </c>
      <c r="O37" s="153">
        <f ca="1">COUNTIF($E$37:E37,E37)</f>
        <v>1</v>
      </c>
      <c r="P37" s="284">
        <f t="shared" ref="P37:P67" ca="1" si="5">IF(O37&gt;1,100,F37)</f>
        <v>0</v>
      </c>
      <c r="Q37" s="177">
        <f ca="1">IF(P37&gt;$S$37,0,RANK(P37,$P$37:$P$67,1)+COUNTIF($P$37:P37,P37)-1)</f>
        <v>1</v>
      </c>
      <c r="S37" s="166">
        <v>91</v>
      </c>
      <c r="T37" s="287">
        <f ca="1">MAX(N37:N67)</f>
        <v>25</v>
      </c>
      <c r="W37" s="149" t="s">
        <v>524</v>
      </c>
      <c r="X37" s="150" t="s">
        <v>525</v>
      </c>
    </row>
    <row r="38" spans="2:24" ht="15" hidden="1" customHeight="1" thickBot="1">
      <c r="B38" s="153">
        <v>2</v>
      </c>
      <c r="C38" s="153" t="str">
        <f t="shared" ca="1" si="3"/>
        <v>1.2.</v>
      </c>
      <c r="D38" s="153" t="str">
        <f t="shared" ref="D38:D67" ca="1" si="6">INDEX($D$4:$D$34,MATCH(B38,$G$4:$G$34,0))</f>
        <v>USAHA PENGEMBANGAN MADRASAH</v>
      </c>
      <c r="E38" s="168" t="str">
        <f t="shared" ca="1" si="4"/>
        <v>Pemberdayaan Organisasi Madrasah</v>
      </c>
      <c r="F38" s="172">
        <f t="shared" ref="F38:F67" ca="1" si="7">INDEX($F$4:$F$34,MATCH(B38,$G$4:$G$34,0))</f>
        <v>0</v>
      </c>
      <c r="G38" s="172" t="str">
        <f t="shared" ref="G38:G67" ca="1" si="8">PROPER(D38) &amp; " / " &amp;E38</f>
        <v>Usaha Pengembangan Madrasah / Pemberdayaan Organisasi Madrasah</v>
      </c>
      <c r="H38" s="172"/>
      <c r="I38" s="172"/>
      <c r="J38" s="172"/>
      <c r="K38" s="172"/>
      <c r="L38" s="175">
        <f ca="1">COUNTIF($G$37:G38,G38)</f>
        <v>1</v>
      </c>
      <c r="M38" s="176">
        <f t="shared" ref="M38:M67" ca="1" si="9">IF(L38&gt;1,100,F38)</f>
        <v>0</v>
      </c>
      <c r="N38" s="177">
        <f ca="1">IF(M38&gt;$S$37,0,RANK(M38,$M$37:$M$67,1)+COUNTIF($M$37:M38,M38)-1)</f>
        <v>2</v>
      </c>
      <c r="O38" s="153">
        <f ca="1">COUNTIF($E$37:E38,E38)</f>
        <v>1</v>
      </c>
      <c r="P38" s="284">
        <f t="shared" ca="1" si="5"/>
        <v>0</v>
      </c>
      <c r="Q38" s="177">
        <f ca="1">IF(P38&gt;$S$37,0,RANK(P38,$P$37:$P$67,1)+COUNTIF($P$37:P38,P38)-1)</f>
        <v>2</v>
      </c>
      <c r="W38" s="151">
        <v>0</v>
      </c>
      <c r="X38" s="152" t="s">
        <v>44</v>
      </c>
    </row>
    <row r="39" spans="2:24" ht="15" hidden="1" customHeight="1" thickBot="1">
      <c r="B39" s="153">
        <v>3</v>
      </c>
      <c r="C39" s="153" t="str">
        <f t="shared" ca="1" si="3"/>
        <v>1.3.</v>
      </c>
      <c r="D39" s="153" t="str">
        <f t="shared" ca="1" si="6"/>
        <v>USAHA PENGEMBANGAN MADRASAH</v>
      </c>
      <c r="E39" s="168" t="str">
        <f t="shared" ca="1" si="4"/>
        <v>Perencanaan dan Pengembangan Madrasah</v>
      </c>
      <c r="F39" s="172">
        <f t="shared" ca="1" si="7"/>
        <v>0</v>
      </c>
      <c r="G39" s="172" t="str">
        <f t="shared" ca="1" si="8"/>
        <v>Usaha Pengembangan Madrasah / Perencanaan dan Pengembangan Madrasah</v>
      </c>
      <c r="H39" s="172"/>
      <c r="I39" s="172"/>
      <c r="J39" s="172"/>
      <c r="K39" s="172"/>
      <c r="L39" s="175">
        <f ca="1">COUNTIF($G$37:G39,G39)</f>
        <v>1</v>
      </c>
      <c r="M39" s="176">
        <f t="shared" ca="1" si="9"/>
        <v>0</v>
      </c>
      <c r="N39" s="177">
        <f ca="1">IF(M39&gt;$S$37,0,RANK(M39,$M$37:$M$67,1)+COUNTIF($M$37:M39,M39)-1)</f>
        <v>3</v>
      </c>
      <c r="O39" s="153">
        <f ca="1">COUNTIF($E$37:E39,E39)</f>
        <v>1</v>
      </c>
      <c r="P39" s="284">
        <f t="shared" ca="1" si="5"/>
        <v>0</v>
      </c>
      <c r="Q39" s="177">
        <f ca="1">IF(P39&gt;$S$37,0,RANK(P39,$P$37:$P$67,1)+COUNTIF($P$37:P39,P39)-1)</f>
        <v>3</v>
      </c>
      <c r="W39" s="151">
        <v>51</v>
      </c>
      <c r="X39" s="152" t="s">
        <v>45</v>
      </c>
    </row>
    <row r="40" spans="2:24" ht="15" hidden="1" customHeight="1" thickBot="1">
      <c r="B40" s="153">
        <v>4</v>
      </c>
      <c r="C40" s="153" t="str">
        <f t="shared" ca="1" si="3"/>
        <v>1.4.</v>
      </c>
      <c r="D40" s="153" t="str">
        <f t="shared" ca="1" si="6"/>
        <v>USAHA PENGEMBANGAN MADRASAH</v>
      </c>
      <c r="E40" s="168" t="str">
        <f t="shared" ca="1" si="4"/>
        <v>Peningkatan Kualitas Pembelajaran</v>
      </c>
      <c r="F40" s="172">
        <f t="shared" ca="1" si="7"/>
        <v>0</v>
      </c>
      <c r="G40" s="172" t="str">
        <f t="shared" ca="1" si="8"/>
        <v>Usaha Pengembangan Madrasah / Peningkatan Kualitas Pembelajaran</v>
      </c>
      <c r="H40" s="172"/>
      <c r="I40" s="172"/>
      <c r="J40" s="172"/>
      <c r="K40" s="172"/>
      <c r="L40" s="175">
        <f ca="1">COUNTIF($G$37:G40,G40)</f>
        <v>1</v>
      </c>
      <c r="M40" s="176">
        <f t="shared" ca="1" si="9"/>
        <v>0</v>
      </c>
      <c r="N40" s="177">
        <f ca="1">IF(M40&gt;$S$37,0,RANK(M40,$M$37:$M$67,1)+COUNTIF($M$37:M40,M40)-1)</f>
        <v>4</v>
      </c>
      <c r="O40" s="153">
        <f ca="1">COUNTIF($E$37:E40,E40)</f>
        <v>1</v>
      </c>
      <c r="P40" s="284">
        <f t="shared" ca="1" si="5"/>
        <v>0</v>
      </c>
      <c r="Q40" s="177">
        <f ca="1">IF(P40&gt;$S$37,0,RANK(P40,$P$37:$P$67,1)+COUNTIF($P$37:P40,P40)-1)</f>
        <v>4</v>
      </c>
      <c r="W40" s="151">
        <v>61</v>
      </c>
      <c r="X40" s="152" t="s">
        <v>46</v>
      </c>
    </row>
    <row r="41" spans="2:24" ht="15" hidden="1" customHeight="1" thickBot="1">
      <c r="B41" s="153">
        <v>5</v>
      </c>
      <c r="C41" s="153" t="str">
        <f t="shared" ca="1" si="3"/>
        <v>1.5.</v>
      </c>
      <c r="D41" s="153" t="str">
        <f t="shared" ca="1" si="6"/>
        <v>USAHA PENGEMBANGAN MADRASAH</v>
      </c>
      <c r="E41" s="168" t="str">
        <f t="shared" ca="1" si="4"/>
        <v>Monitoring dan Evaluasi</v>
      </c>
      <c r="F41" s="172">
        <f t="shared" ca="1" si="7"/>
        <v>0</v>
      </c>
      <c r="G41" s="172" t="str">
        <f t="shared" ca="1" si="8"/>
        <v>Usaha Pengembangan Madrasah / Monitoring dan Evaluasi</v>
      </c>
      <c r="H41" s="172"/>
      <c r="I41" s="172"/>
      <c r="J41" s="172"/>
      <c r="K41" s="172"/>
      <c r="L41" s="175">
        <f ca="1">COUNTIF($G$37:G41,G41)</f>
        <v>1</v>
      </c>
      <c r="M41" s="176">
        <f t="shared" ca="1" si="9"/>
        <v>0</v>
      </c>
      <c r="N41" s="177">
        <f ca="1">IF(M41&gt;$S$37,0,RANK(M41,$M$37:$M$67,1)+COUNTIF($M$37:M41,M41)-1)</f>
        <v>5</v>
      </c>
      <c r="O41" s="153">
        <f ca="1">COUNTIF($E$37:E41,E41)</f>
        <v>1</v>
      </c>
      <c r="P41" s="284">
        <f t="shared" ca="1" si="5"/>
        <v>0</v>
      </c>
      <c r="Q41" s="177">
        <f ca="1">IF(P41&gt;$S$37,0,RANK(P41,$P$37:$P$67,1)+COUNTIF($P$37:P41,P41)-1)</f>
        <v>5</v>
      </c>
      <c r="W41" s="151">
        <v>76</v>
      </c>
      <c r="X41" s="152" t="s">
        <v>47</v>
      </c>
    </row>
    <row r="42" spans="2:24" ht="15" hidden="1" customHeight="1" thickBot="1">
      <c r="B42" s="153">
        <v>6</v>
      </c>
      <c r="C42" s="153" t="str">
        <f t="shared" ca="1" si="3"/>
        <v>1.6.</v>
      </c>
      <c r="D42" s="153" t="str">
        <f t="shared" ca="1" si="6"/>
        <v>USAHA PENGEMBANGAN MADRASAH</v>
      </c>
      <c r="E42" s="168" t="str">
        <f t="shared" ca="1" si="4"/>
        <v>Monitoring dan Evaluasi</v>
      </c>
      <c r="F42" s="172">
        <f t="shared" ca="1" si="7"/>
        <v>0</v>
      </c>
      <c r="G42" s="172" t="str">
        <f t="shared" ca="1" si="8"/>
        <v>Usaha Pengembangan Madrasah / Monitoring dan Evaluasi</v>
      </c>
      <c r="H42" s="172"/>
      <c r="I42" s="172"/>
      <c r="J42" s="172"/>
      <c r="K42" s="172"/>
      <c r="L42" s="175">
        <f ca="1">COUNTIF($G$37:G42,G42)</f>
        <v>2</v>
      </c>
      <c r="M42" s="176">
        <f t="shared" ca="1" si="9"/>
        <v>100</v>
      </c>
      <c r="N42" s="177">
        <f ca="1">IF(M42&gt;$S$37,0,RANK(M42,$M$37:$M$67,1)+COUNTIF($M$37:M42,M42)-1)</f>
        <v>0</v>
      </c>
      <c r="O42" s="153">
        <f ca="1">COUNTIF($E$37:E42,E42)</f>
        <v>2</v>
      </c>
      <c r="P42" s="284">
        <f t="shared" ca="1" si="5"/>
        <v>100</v>
      </c>
      <c r="Q42" s="177">
        <f ca="1">IF(P42&gt;$S$37,0,RANK(P42,$P$37:$P$67,1)+COUNTIF($P$37:P42,P42)-1)</f>
        <v>0</v>
      </c>
      <c r="W42" s="151">
        <v>91</v>
      </c>
      <c r="X42" s="152" t="s">
        <v>459</v>
      </c>
    </row>
    <row r="43" spans="2:24" ht="15" hidden="1" customHeight="1">
      <c r="B43" s="153">
        <v>7</v>
      </c>
      <c r="C43" s="153" t="str">
        <f t="shared" ca="1" si="3"/>
        <v>1.7.</v>
      </c>
      <c r="D43" s="153" t="str">
        <f t="shared" ca="1" si="6"/>
        <v>USAHA PENGEMBANGAN MADRASAH</v>
      </c>
      <c r="E43" s="168" t="str">
        <f t="shared" ca="1" si="4"/>
        <v>Penelitian Tindakan</v>
      </c>
      <c r="F43" s="172">
        <f t="shared" ca="1" si="7"/>
        <v>0</v>
      </c>
      <c r="G43" s="172" t="str">
        <f t="shared" ca="1" si="8"/>
        <v>Usaha Pengembangan Madrasah / Penelitian Tindakan</v>
      </c>
      <c r="H43" s="172"/>
      <c r="I43" s="172"/>
      <c r="J43" s="172"/>
      <c r="K43" s="172"/>
      <c r="L43" s="175">
        <f ca="1">COUNTIF($G$37:G43,G43)</f>
        <v>1</v>
      </c>
      <c r="M43" s="176">
        <f t="shared" ca="1" si="9"/>
        <v>0</v>
      </c>
      <c r="N43" s="177">
        <f ca="1">IF(M43&gt;$S$37,0,RANK(M43,$M$37:$M$67,1)+COUNTIF($M$37:M43,M43)-1)</f>
        <v>6</v>
      </c>
      <c r="O43" s="153">
        <f ca="1">COUNTIF($E$37:E43,E43)</f>
        <v>1</v>
      </c>
      <c r="P43" s="284">
        <f t="shared" ca="1" si="5"/>
        <v>0</v>
      </c>
      <c r="Q43" s="177">
        <f ca="1">IF(P43&gt;$S$37,0,RANK(P43,$P$37:$P$67,1)+COUNTIF($P$37:P43,P43)-1)</f>
        <v>6</v>
      </c>
    </row>
    <row r="44" spans="2:24" ht="15" hidden="1" customHeight="1">
      <c r="B44" s="153">
        <v>8</v>
      </c>
      <c r="C44" s="153" t="str">
        <f t="shared" ca="1" si="3"/>
        <v>2.1.</v>
      </c>
      <c r="D44" s="153" t="str">
        <f t="shared" ca="1" si="6"/>
        <v>MANAJERIAL</v>
      </c>
      <c r="E44" s="168" t="str">
        <f t="shared" ca="1" si="4"/>
        <v>RKJM dan RKAM</v>
      </c>
      <c r="F44" s="172">
        <f t="shared" ca="1" si="7"/>
        <v>0</v>
      </c>
      <c r="G44" s="172" t="str">
        <f t="shared" ca="1" si="8"/>
        <v>Manajerial / RKJM dan RKAM</v>
      </c>
      <c r="H44" s="172"/>
      <c r="I44" s="172"/>
      <c r="J44" s="172"/>
      <c r="K44" s="172"/>
      <c r="L44" s="175">
        <f ca="1">COUNTIF($G$37:G44,G44)</f>
        <v>1</v>
      </c>
      <c r="M44" s="176">
        <f t="shared" ca="1" si="9"/>
        <v>0</v>
      </c>
      <c r="N44" s="177">
        <f ca="1">IF(M44&gt;$S$37,0,RANK(M44,$M$37:$M$67,1)+COUNTIF($M$37:M44,M44)-1)</f>
        <v>7</v>
      </c>
      <c r="O44" s="153">
        <f ca="1">COUNTIF($E$37:E44,E44)</f>
        <v>2</v>
      </c>
      <c r="P44" s="284">
        <f t="shared" ca="1" si="5"/>
        <v>100</v>
      </c>
      <c r="Q44" s="177">
        <f ca="1">IF(P44&gt;$S$37,0,RANK(P44,$P$37:$P$67,1)+COUNTIF($P$37:P44,P44)-1)</f>
        <v>0</v>
      </c>
    </row>
    <row r="45" spans="2:24" ht="15" hidden="1" customHeight="1">
      <c r="B45" s="153">
        <v>9</v>
      </c>
      <c r="C45" s="153" t="str">
        <f t="shared" ca="1" si="3"/>
        <v>2.2.</v>
      </c>
      <c r="D45" s="153" t="str">
        <f t="shared" ca="1" si="6"/>
        <v>MANAJERIAL</v>
      </c>
      <c r="E45" s="168" t="str">
        <f t="shared" ca="1" si="4"/>
        <v>Perencanaan dan Pengembangan Madrasah</v>
      </c>
      <c r="F45" s="172">
        <f t="shared" ca="1" si="7"/>
        <v>0</v>
      </c>
      <c r="G45" s="172" t="str">
        <f t="shared" ca="1" si="8"/>
        <v>Manajerial / Perencanaan dan Pengembangan Madrasah</v>
      </c>
      <c r="H45" s="172"/>
      <c r="I45" s="172"/>
      <c r="J45" s="172"/>
      <c r="K45" s="172"/>
      <c r="L45" s="175">
        <f ca="1">COUNTIF($G$37:G45,G45)</f>
        <v>1</v>
      </c>
      <c r="M45" s="176">
        <f t="shared" ca="1" si="9"/>
        <v>0</v>
      </c>
      <c r="N45" s="177">
        <f ca="1">IF(M45&gt;$S$37,0,RANK(M45,$M$37:$M$67,1)+COUNTIF($M$37:M45,M45)-1)</f>
        <v>8</v>
      </c>
      <c r="O45" s="153">
        <f ca="1">COUNTIF($E$37:E45,E45)</f>
        <v>2</v>
      </c>
      <c r="P45" s="284">
        <f t="shared" ca="1" si="5"/>
        <v>100</v>
      </c>
      <c r="Q45" s="177">
        <f ca="1">IF(P45&gt;$S$37,0,RANK(P45,$P$37:$P$67,1)+COUNTIF($P$37:P45,P45)-1)</f>
        <v>0</v>
      </c>
    </row>
    <row r="46" spans="2:24" ht="15" hidden="1" customHeight="1">
      <c r="B46" s="153">
        <v>10</v>
      </c>
      <c r="C46" s="153" t="str">
        <f t="shared" ca="1" si="3"/>
        <v>2.3.</v>
      </c>
      <c r="D46" s="153" t="str">
        <f t="shared" ca="1" si="6"/>
        <v>MANAJERIAL</v>
      </c>
      <c r="E46" s="168" t="str">
        <f t="shared" ca="1" si="4"/>
        <v>Kepemimpinan dalam Pengelolaan Sumberdaya Madrasah</v>
      </c>
      <c r="F46" s="172">
        <f t="shared" ca="1" si="7"/>
        <v>0</v>
      </c>
      <c r="G46" s="172" t="str">
        <f t="shared" ca="1" si="8"/>
        <v>Manajerial / Kepemimpinan dalam Pengelolaan Sumberdaya Madrasah</v>
      </c>
      <c r="H46" s="172"/>
      <c r="I46" s="172"/>
      <c r="J46" s="172"/>
      <c r="K46" s="172"/>
      <c r="L46" s="175">
        <f ca="1">COUNTIF($G$37:G46,G46)</f>
        <v>1</v>
      </c>
      <c r="M46" s="176">
        <f t="shared" ca="1" si="9"/>
        <v>0</v>
      </c>
      <c r="N46" s="177">
        <f ca="1">IF(M46&gt;$S$37,0,RANK(M46,$M$37:$M$67,1)+COUNTIF($M$37:M46,M46)-1)</f>
        <v>9</v>
      </c>
      <c r="O46" s="153">
        <f ca="1">COUNTIF($E$37:E46,E46)</f>
        <v>1</v>
      </c>
      <c r="P46" s="284">
        <f t="shared" ca="1" si="5"/>
        <v>0</v>
      </c>
      <c r="Q46" s="177">
        <f ca="1">IF(P46&gt;$S$37,0,RANK(P46,$P$37:$P$67,1)+COUNTIF($P$37:P46,P46)-1)</f>
        <v>7</v>
      </c>
    </row>
    <row r="47" spans="2:24" ht="15" hidden="1" customHeight="1">
      <c r="B47" s="153">
        <v>11</v>
      </c>
      <c r="C47" s="153" t="str">
        <f t="shared" ca="1" si="3"/>
        <v>2.4.</v>
      </c>
      <c r="D47" s="153" t="str">
        <f t="shared" ca="1" si="6"/>
        <v>MANAJERIAL</v>
      </c>
      <c r="E47" s="168" t="str">
        <f t="shared" ca="1" si="4"/>
        <v>Pengelolaan Sarana dan Prasarana</v>
      </c>
      <c r="F47" s="172">
        <f t="shared" ca="1" si="7"/>
        <v>0</v>
      </c>
      <c r="G47" s="172" t="str">
        <f t="shared" ca="1" si="8"/>
        <v>Manajerial / Pengelolaan Sarana dan Prasarana</v>
      </c>
      <c r="H47" s="172"/>
      <c r="I47" s="172"/>
      <c r="J47" s="172"/>
      <c r="K47" s="172"/>
      <c r="L47" s="175">
        <f ca="1">COUNTIF($G$37:G47,G47)</f>
        <v>1</v>
      </c>
      <c r="M47" s="176">
        <f t="shared" ca="1" si="9"/>
        <v>0</v>
      </c>
      <c r="N47" s="177">
        <f ca="1">IF(M47&gt;$S$37,0,RANK(M47,$M$37:$M$67,1)+COUNTIF($M$37:M47,M47)-1)</f>
        <v>10</v>
      </c>
      <c r="O47" s="153">
        <f ca="1">COUNTIF($E$37:E47,E47)</f>
        <v>1</v>
      </c>
      <c r="P47" s="284">
        <f t="shared" ca="1" si="5"/>
        <v>0</v>
      </c>
      <c r="Q47" s="177">
        <f ca="1">IF(P47&gt;$S$37,0,RANK(P47,$P$37:$P$67,1)+COUNTIF($P$37:P47,P47)-1)</f>
        <v>8</v>
      </c>
    </row>
    <row r="48" spans="2:24" ht="15" hidden="1" customHeight="1">
      <c r="B48" s="153">
        <v>12</v>
      </c>
      <c r="C48" s="153" t="str">
        <f t="shared" ca="1" si="3"/>
        <v>2.5.</v>
      </c>
      <c r="D48" s="153" t="str">
        <f t="shared" ca="1" si="6"/>
        <v>MANAJERIAL</v>
      </c>
      <c r="E48" s="168" t="str">
        <f t="shared" ca="1" si="4"/>
        <v>Madrasah Berwawasan Lingkungan</v>
      </c>
      <c r="F48" s="172">
        <f t="shared" ca="1" si="7"/>
        <v>0</v>
      </c>
      <c r="G48" s="172" t="str">
        <f t="shared" ca="1" si="8"/>
        <v>Manajerial / Madrasah Berwawasan Lingkungan</v>
      </c>
      <c r="H48" s="172"/>
      <c r="I48" s="172"/>
      <c r="J48" s="172"/>
      <c r="K48" s="172"/>
      <c r="L48" s="175">
        <f ca="1">COUNTIF($G$37:G48,G48)</f>
        <v>1</v>
      </c>
      <c r="M48" s="176">
        <f t="shared" ca="1" si="9"/>
        <v>0</v>
      </c>
      <c r="N48" s="177">
        <f ca="1">IF(M48&gt;$S$37,0,RANK(M48,$M$37:$M$67,1)+COUNTIF($M$37:M48,M48)-1)</f>
        <v>11</v>
      </c>
      <c r="O48" s="153">
        <f ca="1">COUNTIF($E$37:E48,E48)</f>
        <v>1</v>
      </c>
      <c r="P48" s="284">
        <f t="shared" ca="1" si="5"/>
        <v>0</v>
      </c>
      <c r="Q48" s="177">
        <f ca="1">IF(P48&gt;$S$37,0,RANK(P48,$P$37:$P$67,1)+COUNTIF($P$37:P48,P48)-1)</f>
        <v>9</v>
      </c>
    </row>
    <row r="49" spans="2:17" ht="15" hidden="1" customHeight="1">
      <c r="B49" s="153">
        <v>13</v>
      </c>
      <c r="C49" s="153" t="str">
        <f t="shared" ca="1" si="3"/>
        <v>2.6.</v>
      </c>
      <c r="D49" s="153" t="str">
        <f t="shared" ca="1" si="6"/>
        <v>MANAJERIAL</v>
      </c>
      <c r="E49" s="168" t="str">
        <f t="shared" ca="1" si="4"/>
        <v>Pengelolaan Pendidikan dan Tenaga Kependidikan</v>
      </c>
      <c r="F49" s="172">
        <f t="shared" ca="1" si="7"/>
        <v>0</v>
      </c>
      <c r="G49" s="172" t="str">
        <f t="shared" ca="1" si="8"/>
        <v>Manajerial / Pengelolaan Pendidikan dan Tenaga Kependidikan</v>
      </c>
      <c r="H49" s="172"/>
      <c r="I49" s="172"/>
      <c r="J49" s="172"/>
      <c r="K49" s="172"/>
      <c r="L49" s="175">
        <f ca="1">COUNTIF($G$37:G49,G49)</f>
        <v>1</v>
      </c>
      <c r="M49" s="176">
        <f t="shared" ca="1" si="9"/>
        <v>0</v>
      </c>
      <c r="N49" s="177">
        <f ca="1">IF(M49&gt;$S$37,0,RANK(M49,$M$37:$M$67,1)+COUNTIF($M$37:M49,M49)-1)</f>
        <v>12</v>
      </c>
      <c r="O49" s="153">
        <f ca="1">COUNTIF($E$37:E49,E49)</f>
        <v>1</v>
      </c>
      <c r="P49" s="284">
        <f t="shared" ca="1" si="5"/>
        <v>0</v>
      </c>
      <c r="Q49" s="177">
        <f ca="1">IF(P49&gt;$S$37,0,RANK(P49,$P$37:$P$67,1)+COUNTIF($P$37:P49,P49)-1)</f>
        <v>10</v>
      </c>
    </row>
    <row r="50" spans="2:17" ht="15" hidden="1" customHeight="1">
      <c r="B50" s="153">
        <v>14</v>
      </c>
      <c r="C50" s="153" t="str">
        <f t="shared" ca="1" si="3"/>
        <v>2.7.</v>
      </c>
      <c r="D50" s="153" t="str">
        <f t="shared" ca="1" si="6"/>
        <v>MANAJERIAL</v>
      </c>
      <c r="E50" s="168" t="str">
        <f t="shared" ca="1" si="4"/>
        <v>Pengelolaan Sarana dan Prasarana</v>
      </c>
      <c r="F50" s="172">
        <f t="shared" ca="1" si="7"/>
        <v>0</v>
      </c>
      <c r="G50" s="172" t="str">
        <f t="shared" ca="1" si="8"/>
        <v>Manajerial / Pengelolaan Sarana dan Prasarana</v>
      </c>
      <c r="H50" s="172"/>
      <c r="I50" s="172"/>
      <c r="J50" s="172"/>
      <c r="K50" s="172"/>
      <c r="L50" s="175">
        <f ca="1">COUNTIF($G$37:G50,G50)</f>
        <v>2</v>
      </c>
      <c r="M50" s="176">
        <f t="shared" ca="1" si="9"/>
        <v>100</v>
      </c>
      <c r="N50" s="177">
        <f ca="1">IF(M50&gt;$S$37,0,RANK(M50,$M$37:$M$67,1)+COUNTIF($M$37:M50,M50)-1)</f>
        <v>0</v>
      </c>
      <c r="O50" s="153">
        <f ca="1">COUNTIF($E$37:E50,E50)</f>
        <v>2</v>
      </c>
      <c r="P50" s="284">
        <f t="shared" ca="1" si="5"/>
        <v>100</v>
      </c>
      <c r="Q50" s="177">
        <f ca="1">IF(P50&gt;$S$37,0,RANK(P50,$P$37:$P$67,1)+COUNTIF($P$37:P50,P50)-1)</f>
        <v>0</v>
      </c>
    </row>
    <row r="51" spans="2:17" ht="15" hidden="1" customHeight="1">
      <c r="B51" s="153">
        <v>15</v>
      </c>
      <c r="C51" s="153" t="str">
        <f t="shared" ca="1" si="3"/>
        <v>2.8.</v>
      </c>
      <c r="D51" s="153" t="str">
        <f t="shared" ca="1" si="6"/>
        <v>MANAJERIAL</v>
      </c>
      <c r="E51" s="168" t="str">
        <f t="shared" ca="1" si="4"/>
        <v>Kepemimpinan dalam Pengelolaan Sumberdaya Madrasah</v>
      </c>
      <c r="F51" s="172">
        <f t="shared" ca="1" si="7"/>
        <v>0</v>
      </c>
      <c r="G51" s="172" t="str">
        <f t="shared" ca="1" si="8"/>
        <v>Manajerial / Kepemimpinan dalam Pengelolaan Sumberdaya Madrasah</v>
      </c>
      <c r="H51" s="172"/>
      <c r="I51" s="172"/>
      <c r="J51" s="172"/>
      <c r="K51" s="172"/>
      <c r="L51" s="175">
        <f ca="1">COUNTIF($G$37:G51,G51)</f>
        <v>2</v>
      </c>
      <c r="M51" s="176">
        <f t="shared" ca="1" si="9"/>
        <v>100</v>
      </c>
      <c r="N51" s="177">
        <f ca="1">IF(M51&gt;$S$37,0,RANK(M51,$M$37:$M$67,1)+COUNTIF($M$37:M51,M51)-1)</f>
        <v>0</v>
      </c>
      <c r="O51" s="153">
        <f ca="1">COUNTIF($E$37:E51,E51)</f>
        <v>2</v>
      </c>
      <c r="P51" s="284">
        <f t="shared" ca="1" si="5"/>
        <v>100</v>
      </c>
      <c r="Q51" s="177">
        <f ca="1">IF(P51&gt;$S$37,0,RANK(P51,$P$37:$P$67,1)+COUNTIF($P$37:P51,P51)-1)</f>
        <v>0</v>
      </c>
    </row>
    <row r="52" spans="2:17" ht="15" hidden="1" customHeight="1">
      <c r="B52" s="153">
        <v>16</v>
      </c>
      <c r="C52" s="153" t="str">
        <f t="shared" ca="1" si="3"/>
        <v>2.9.</v>
      </c>
      <c r="D52" s="153" t="str">
        <f t="shared" ca="1" si="6"/>
        <v>MANAJERIAL</v>
      </c>
      <c r="E52" s="168" t="str">
        <f t="shared" ca="1" si="4"/>
        <v>Pengelolaan Peserta Didik Baru</v>
      </c>
      <c r="F52" s="172">
        <f t="shared" ca="1" si="7"/>
        <v>0</v>
      </c>
      <c r="G52" s="172" t="str">
        <f t="shared" ca="1" si="8"/>
        <v>Manajerial / Pengelolaan Peserta Didik Baru</v>
      </c>
      <c r="H52" s="172"/>
      <c r="I52" s="172"/>
      <c r="J52" s="172"/>
      <c r="K52" s="172"/>
      <c r="L52" s="175">
        <f ca="1">COUNTIF($G$37:G52,G52)</f>
        <v>1</v>
      </c>
      <c r="M52" s="176">
        <f t="shared" ca="1" si="9"/>
        <v>0</v>
      </c>
      <c r="N52" s="177">
        <f ca="1">IF(M52&gt;$S$37,0,RANK(M52,$M$37:$M$67,1)+COUNTIF($M$37:M52,M52)-1)</f>
        <v>13</v>
      </c>
      <c r="O52" s="153">
        <f ca="1">COUNTIF($E$37:E52,E52)</f>
        <v>1</v>
      </c>
      <c r="P52" s="284">
        <f t="shared" ca="1" si="5"/>
        <v>0</v>
      </c>
      <c r="Q52" s="177">
        <f ca="1">IF(P52&gt;$S$37,0,RANK(P52,$P$37:$P$67,1)+COUNTIF($P$37:P52,P52)-1)</f>
        <v>11</v>
      </c>
    </row>
    <row r="53" spans="2:17" ht="15" hidden="1" customHeight="1">
      <c r="B53" s="153">
        <v>17</v>
      </c>
      <c r="C53" s="153" t="str">
        <f t="shared" ca="1" si="3"/>
        <v>2.10.</v>
      </c>
      <c r="D53" s="153" t="str">
        <f t="shared" ca="1" si="6"/>
        <v>MANAJERIAL</v>
      </c>
      <c r="E53" s="168" t="str">
        <f t="shared" ca="1" si="4"/>
        <v>Pengelolaan Kurikulum</v>
      </c>
      <c r="F53" s="172">
        <f t="shared" ca="1" si="7"/>
        <v>0</v>
      </c>
      <c r="G53" s="172" t="str">
        <f t="shared" ca="1" si="8"/>
        <v>Manajerial / Pengelolaan Kurikulum</v>
      </c>
      <c r="H53" s="172"/>
      <c r="I53" s="172"/>
      <c r="J53" s="172"/>
      <c r="K53" s="172"/>
      <c r="L53" s="175">
        <f ca="1">COUNTIF($G$37:G53,G53)</f>
        <v>1</v>
      </c>
      <c r="M53" s="176">
        <f t="shared" ca="1" si="9"/>
        <v>0</v>
      </c>
      <c r="N53" s="177">
        <f ca="1">IF(M53&gt;$S$37,0,RANK(M53,$M$37:$M$67,1)+COUNTIF($M$37:M53,M53)-1)</f>
        <v>14</v>
      </c>
      <c r="O53" s="153">
        <f ca="1">COUNTIF($E$37:E53,E53)</f>
        <v>1</v>
      </c>
      <c r="P53" s="284">
        <f t="shared" ca="1" si="5"/>
        <v>0</v>
      </c>
      <c r="Q53" s="177">
        <f ca="1">IF(P53&gt;$S$37,0,RANK(P53,$P$37:$P$67,1)+COUNTIF($P$37:P53,P53)-1)</f>
        <v>12</v>
      </c>
    </row>
    <row r="54" spans="2:17" ht="15" hidden="1" customHeight="1">
      <c r="B54" s="153">
        <v>18</v>
      </c>
      <c r="C54" s="153" t="str">
        <f t="shared" ca="1" si="3"/>
        <v>2.11.</v>
      </c>
      <c r="D54" s="153" t="str">
        <f t="shared" ca="1" si="6"/>
        <v>MANAJERIAL</v>
      </c>
      <c r="E54" s="168" t="str">
        <f t="shared" ca="1" si="4"/>
        <v>Pengelolaan Keuangan</v>
      </c>
      <c r="F54" s="172">
        <f t="shared" ca="1" si="7"/>
        <v>0</v>
      </c>
      <c r="G54" s="172" t="str">
        <f t="shared" ca="1" si="8"/>
        <v>Manajerial / Pengelolaan Keuangan</v>
      </c>
      <c r="H54" s="172"/>
      <c r="I54" s="172"/>
      <c r="J54" s="172"/>
      <c r="K54" s="172"/>
      <c r="L54" s="175">
        <f ca="1">COUNTIF($G$37:G54,G54)</f>
        <v>1</v>
      </c>
      <c r="M54" s="176">
        <f t="shared" ca="1" si="9"/>
        <v>0</v>
      </c>
      <c r="N54" s="177">
        <f ca="1">IF(M54&gt;$S$37,0,RANK(M54,$M$37:$M$67,1)+COUNTIF($M$37:M54,M54)-1)</f>
        <v>15</v>
      </c>
      <c r="O54" s="153">
        <f ca="1">COUNTIF($E$37:E54,E54)</f>
        <v>1</v>
      </c>
      <c r="P54" s="284">
        <f t="shared" ca="1" si="5"/>
        <v>0</v>
      </c>
      <c r="Q54" s="177">
        <f ca="1">IF(P54&gt;$S$37,0,RANK(P54,$P$37:$P$67,1)+COUNTIF($P$37:P54,P54)-1)</f>
        <v>13</v>
      </c>
    </row>
    <row r="55" spans="2:17" ht="15" hidden="1" customHeight="1">
      <c r="B55" s="153">
        <v>19</v>
      </c>
      <c r="C55" s="153" t="str">
        <f t="shared" ca="1" si="3"/>
        <v>2.12</v>
      </c>
      <c r="D55" s="153" t="str">
        <f t="shared" ca="1" si="6"/>
        <v>MANAJERIAL</v>
      </c>
      <c r="E55" s="168" t="str">
        <f t="shared" ca="1" si="4"/>
        <v>Kepemimpinan dalam Pengelolaan Sistem Administrasi</v>
      </c>
      <c r="F55" s="172">
        <f t="shared" ca="1" si="7"/>
        <v>0</v>
      </c>
      <c r="G55" s="172" t="str">
        <f t="shared" ca="1" si="8"/>
        <v>Manajerial / Kepemimpinan dalam Pengelolaan Sistem Administrasi</v>
      </c>
      <c r="H55" s="172"/>
      <c r="I55" s="172"/>
      <c r="J55" s="172"/>
      <c r="K55" s="172"/>
      <c r="L55" s="175">
        <f ca="1">COUNTIF($G$37:G55,G55)</f>
        <v>1</v>
      </c>
      <c r="M55" s="176">
        <f t="shared" ca="1" si="9"/>
        <v>0</v>
      </c>
      <c r="N55" s="177">
        <f ca="1">IF(M55&gt;$S$37,0,RANK(M55,$M$37:$M$67,1)+COUNTIF($M$37:M55,M55)-1)</f>
        <v>16</v>
      </c>
      <c r="O55" s="153">
        <f ca="1">COUNTIF($E$37:E55,E55)</f>
        <v>1</v>
      </c>
      <c r="P55" s="284">
        <f t="shared" ca="1" si="5"/>
        <v>0</v>
      </c>
      <c r="Q55" s="177">
        <f ca="1">IF(P55&gt;$S$37,0,RANK(P55,$P$37:$P$67,1)+COUNTIF($P$37:P55,P55)-1)</f>
        <v>14</v>
      </c>
    </row>
    <row r="56" spans="2:17" ht="15" hidden="1" customHeight="1">
      <c r="B56" s="153">
        <v>20</v>
      </c>
      <c r="C56" s="153" t="str">
        <f t="shared" ca="1" si="3"/>
        <v>2.13.</v>
      </c>
      <c r="D56" s="153" t="str">
        <f t="shared" ca="1" si="6"/>
        <v>MANAJERIAL</v>
      </c>
      <c r="E56" s="168" t="str">
        <f t="shared" ca="1" si="4"/>
        <v>Pengelolaan Layanan Khusus</v>
      </c>
      <c r="F56" s="172">
        <f t="shared" ca="1" si="7"/>
        <v>0</v>
      </c>
      <c r="G56" s="172" t="str">
        <f t="shared" ca="1" si="8"/>
        <v>Manajerial / Pengelolaan Layanan Khusus</v>
      </c>
      <c r="H56" s="172"/>
      <c r="I56" s="172"/>
      <c r="J56" s="172"/>
      <c r="K56" s="172"/>
      <c r="L56" s="175">
        <f ca="1">COUNTIF($G$37:G56,G56)</f>
        <v>1</v>
      </c>
      <c r="M56" s="176">
        <f t="shared" ca="1" si="9"/>
        <v>0</v>
      </c>
      <c r="N56" s="177">
        <f ca="1">IF(M56&gt;$S$37,0,RANK(M56,$M$37:$M$67,1)+COUNTIF($M$37:M56,M56)-1)</f>
        <v>17</v>
      </c>
      <c r="O56" s="153">
        <f ca="1">COUNTIF($E$37:E56,E56)</f>
        <v>1</v>
      </c>
      <c r="P56" s="284">
        <f t="shared" ca="1" si="5"/>
        <v>0</v>
      </c>
      <c r="Q56" s="177">
        <f ca="1">IF(P56&gt;$S$37,0,RANK(P56,$P$37:$P$67,1)+COUNTIF($P$37:P56,P56)-1)</f>
        <v>15</v>
      </c>
    </row>
    <row r="57" spans="2:17" ht="15" hidden="1" customHeight="1">
      <c r="B57" s="153">
        <v>21</v>
      </c>
      <c r="C57" s="153" t="str">
        <f t="shared" ca="1" si="3"/>
        <v>2.14</v>
      </c>
      <c r="D57" s="153" t="str">
        <f t="shared" ca="1" si="6"/>
        <v>MANAJERIAL</v>
      </c>
      <c r="E57" s="168" t="str">
        <f t="shared" ca="1" si="4"/>
        <v>Sistem Informasi Manajemen (SIM)</v>
      </c>
      <c r="F57" s="172">
        <f t="shared" ca="1" si="7"/>
        <v>0</v>
      </c>
      <c r="G57" s="172" t="str">
        <f t="shared" ca="1" si="8"/>
        <v>Manajerial / Sistem Informasi Manajemen (SIM)</v>
      </c>
      <c r="H57" s="172"/>
      <c r="I57" s="172"/>
      <c r="J57" s="172"/>
      <c r="K57" s="172"/>
      <c r="L57" s="175">
        <f ca="1">COUNTIF($G$37:G57,G57)</f>
        <v>1</v>
      </c>
      <c r="M57" s="176">
        <f t="shared" ca="1" si="9"/>
        <v>0</v>
      </c>
      <c r="N57" s="177">
        <f ca="1">IF(M57&gt;$S$37,0,RANK(M57,$M$37:$M$67,1)+COUNTIF($M$37:M57,M57)-1)</f>
        <v>18</v>
      </c>
      <c r="O57" s="153">
        <f ca="1">COUNTIF($E$37:E57,E57)</f>
        <v>1</v>
      </c>
      <c r="P57" s="284">
        <f t="shared" ca="1" si="5"/>
        <v>0</v>
      </c>
      <c r="Q57" s="177">
        <f ca="1">IF(P57&gt;$S$37,0,RANK(P57,$P$37:$P$67,1)+COUNTIF($P$37:P57,P57)-1)</f>
        <v>16</v>
      </c>
    </row>
    <row r="58" spans="2:17" ht="15" hidden="1" customHeight="1">
      <c r="B58" s="153">
        <v>22</v>
      </c>
      <c r="C58" s="153" t="str">
        <f t="shared" ca="1" si="3"/>
        <v>2.15.</v>
      </c>
      <c r="D58" s="153" t="str">
        <f t="shared" ca="1" si="6"/>
        <v>MANAJERIAL</v>
      </c>
      <c r="E58" s="168" t="str">
        <f t="shared" ca="1" si="4"/>
        <v>Pembelajaran Berbasis TIK</v>
      </c>
      <c r="F58" s="172">
        <f t="shared" ca="1" si="7"/>
        <v>0</v>
      </c>
      <c r="G58" s="172" t="str">
        <f t="shared" ca="1" si="8"/>
        <v>Manajerial / Pembelajaran Berbasis TIK</v>
      </c>
      <c r="H58" s="172"/>
      <c r="I58" s="172"/>
      <c r="J58" s="172"/>
      <c r="K58" s="172"/>
      <c r="L58" s="175">
        <f ca="1">COUNTIF($G$37:G58,G58)</f>
        <v>1</v>
      </c>
      <c r="M58" s="176">
        <f t="shared" ca="1" si="9"/>
        <v>0</v>
      </c>
      <c r="N58" s="177">
        <f ca="1">IF(M58&gt;$S$37,0,RANK(M58,$M$37:$M$67,1)+COUNTIF($M$37:M58,M58)-1)</f>
        <v>19</v>
      </c>
      <c r="O58" s="153">
        <f ca="1">COUNTIF($E$37:E58,E58)</f>
        <v>1</v>
      </c>
      <c r="P58" s="284">
        <f t="shared" ca="1" si="5"/>
        <v>0</v>
      </c>
      <c r="Q58" s="177">
        <f ca="1">IF(P58&gt;$S$37,0,RANK(P58,$P$37:$P$67,1)+COUNTIF($P$37:P58,P58)-1)</f>
        <v>17</v>
      </c>
    </row>
    <row r="59" spans="2:17" ht="15" hidden="1" customHeight="1">
      <c r="B59" s="153">
        <v>23</v>
      </c>
      <c r="C59" s="153" t="str">
        <f t="shared" ca="1" si="3"/>
        <v>2.16.</v>
      </c>
      <c r="D59" s="153" t="str">
        <f t="shared" ca="1" si="6"/>
        <v>MANAJERIAL</v>
      </c>
      <c r="E59" s="168" t="str">
        <f t="shared" ca="1" si="4"/>
        <v>Monitoring dan Evaluasi</v>
      </c>
      <c r="F59" s="172">
        <f t="shared" ca="1" si="7"/>
        <v>0</v>
      </c>
      <c r="G59" s="172" t="str">
        <f t="shared" ca="1" si="8"/>
        <v>Manajerial / Monitoring dan Evaluasi</v>
      </c>
      <c r="H59" s="172"/>
      <c r="I59" s="172"/>
      <c r="J59" s="172"/>
      <c r="K59" s="172"/>
      <c r="L59" s="175">
        <f ca="1">COUNTIF($G$37:G59,G59)</f>
        <v>1</v>
      </c>
      <c r="M59" s="176">
        <f t="shared" ca="1" si="9"/>
        <v>0</v>
      </c>
      <c r="N59" s="177">
        <f ca="1">IF(M59&gt;$S$37,0,RANK(M59,$M$37:$M$67,1)+COUNTIF($M$37:M59,M59)-1)</f>
        <v>20</v>
      </c>
      <c r="O59" s="153">
        <f ca="1">COUNTIF($E$37:E59,E59)</f>
        <v>3</v>
      </c>
      <c r="P59" s="284">
        <f t="shared" ca="1" si="5"/>
        <v>100</v>
      </c>
      <c r="Q59" s="177">
        <f ca="1">IF(P59&gt;$S$37,0,RANK(P59,$P$37:$P$67,1)+COUNTIF($P$37:P59,P59)-1)</f>
        <v>0</v>
      </c>
    </row>
    <row r="60" spans="2:17" ht="15" hidden="1" customHeight="1">
      <c r="B60" s="153">
        <v>24</v>
      </c>
      <c r="C60" s="153" t="str">
        <f t="shared" ca="1" si="3"/>
        <v>3.1.</v>
      </c>
      <c r="D60" s="153" t="str">
        <f t="shared" ca="1" si="6"/>
        <v>KEWIRAUSAHAAN</v>
      </c>
      <c r="E60" s="168" t="str">
        <f t="shared" ca="1" si="4"/>
        <v>Perencanaan dan Pengembangan Madrasah</v>
      </c>
      <c r="F60" s="172">
        <f t="shared" ca="1" si="7"/>
        <v>0</v>
      </c>
      <c r="G60" s="172" t="str">
        <f t="shared" ca="1" si="8"/>
        <v>Kewirausahaan / Perencanaan dan Pengembangan Madrasah</v>
      </c>
      <c r="H60" s="172"/>
      <c r="I60" s="172"/>
      <c r="J60" s="172"/>
      <c r="K60" s="172"/>
      <c r="L60" s="175">
        <f ca="1">COUNTIF($G$37:G60,G60)</f>
        <v>1</v>
      </c>
      <c r="M60" s="176">
        <f t="shared" ca="1" si="9"/>
        <v>0</v>
      </c>
      <c r="N60" s="177">
        <f ca="1">IF(M60&gt;$S$37,0,RANK(M60,$M$37:$M$67,1)+COUNTIF($M$37:M60,M60)-1)</f>
        <v>21</v>
      </c>
      <c r="O60" s="153">
        <f ca="1">COUNTIF($E$37:E60,E60)</f>
        <v>3</v>
      </c>
      <c r="P60" s="284">
        <f t="shared" ca="1" si="5"/>
        <v>100</v>
      </c>
      <c r="Q60" s="177">
        <f ca="1">IF(P60&gt;$S$37,0,RANK(P60,$P$37:$P$67,1)+COUNTIF($P$37:P60,P60)-1)</f>
        <v>0</v>
      </c>
    </row>
    <row r="61" spans="2:17" ht="15" hidden="1" customHeight="1">
      <c r="B61" s="153">
        <v>25</v>
      </c>
      <c r="C61" s="153" t="str">
        <f t="shared" ca="1" si="3"/>
        <v>3.2.</v>
      </c>
      <c r="D61" s="153" t="str">
        <f t="shared" ca="1" si="6"/>
        <v>KEWIRAUSAHAAN</v>
      </c>
      <c r="E61" s="168" t="str">
        <f t="shared" ca="1" si="4"/>
        <v>Peningkatan Kualitas Pembelajaran</v>
      </c>
      <c r="F61" s="172">
        <f t="shared" ca="1" si="7"/>
        <v>0</v>
      </c>
      <c r="G61" s="172" t="str">
        <f t="shared" ca="1" si="8"/>
        <v>Kewirausahaan / Peningkatan Kualitas Pembelajaran</v>
      </c>
      <c r="H61" s="172"/>
      <c r="I61" s="172"/>
      <c r="J61" s="172"/>
      <c r="K61" s="172"/>
      <c r="L61" s="175">
        <f ca="1">COUNTIF($G$37:G61,G61)</f>
        <v>1</v>
      </c>
      <c r="M61" s="176">
        <f t="shared" ca="1" si="9"/>
        <v>0</v>
      </c>
      <c r="N61" s="177">
        <f ca="1">IF(M61&gt;$S$37,0,RANK(M61,$M$37:$M$67,1)+COUNTIF($M$37:M61,M61)-1)</f>
        <v>22</v>
      </c>
      <c r="O61" s="153">
        <f ca="1">COUNTIF($E$37:E61,E61)</f>
        <v>2</v>
      </c>
      <c r="P61" s="284">
        <f t="shared" ca="1" si="5"/>
        <v>100</v>
      </c>
      <c r="Q61" s="177">
        <f ca="1">IF(P61&gt;$S$37,0,RANK(P61,$P$37:$P$67,1)+COUNTIF($P$37:P61,P61)-1)</f>
        <v>0</v>
      </c>
    </row>
    <row r="62" spans="2:17" ht="15" hidden="1" customHeight="1">
      <c r="B62" s="153">
        <v>26</v>
      </c>
      <c r="C62" s="153" t="str">
        <f t="shared" ca="1" si="3"/>
        <v>3.3.</v>
      </c>
      <c r="D62" s="153" t="str">
        <f t="shared" ca="1" si="6"/>
        <v>KEWIRAUSAHAAN</v>
      </c>
      <c r="E62" s="168" t="str">
        <f t="shared" ca="1" si="4"/>
        <v>Kepemimpinan Madrasah</v>
      </c>
      <c r="F62" s="172">
        <f t="shared" ca="1" si="7"/>
        <v>0</v>
      </c>
      <c r="G62" s="172" t="str">
        <f t="shared" ca="1" si="8"/>
        <v>Kewirausahaan / Kepemimpinan Madrasah</v>
      </c>
      <c r="H62" s="172"/>
      <c r="I62" s="172"/>
      <c r="J62" s="172"/>
      <c r="K62" s="172"/>
      <c r="L62" s="175">
        <f ca="1">COUNTIF($G$37:G62,G62)</f>
        <v>1</v>
      </c>
      <c r="M62" s="176">
        <f t="shared" ca="1" si="9"/>
        <v>0</v>
      </c>
      <c r="N62" s="177">
        <f ca="1">IF(M62&gt;$S$37,0,RANK(M62,$M$37:$M$67,1)+COUNTIF($M$37:M62,M62)-1)</f>
        <v>23</v>
      </c>
      <c r="O62" s="153">
        <f ca="1">COUNTIF($E$37:E62,E62)</f>
        <v>1</v>
      </c>
      <c r="P62" s="284">
        <f t="shared" ca="1" si="5"/>
        <v>0</v>
      </c>
      <c r="Q62" s="177">
        <f ca="1">IF(P62&gt;$S$37,0,RANK(P62,$P$37:$P$67,1)+COUNTIF($P$37:P62,P62)-1)</f>
        <v>18</v>
      </c>
    </row>
    <row r="63" spans="2:17" ht="15" hidden="1" customHeight="1">
      <c r="B63" s="153">
        <v>27</v>
      </c>
      <c r="C63" s="153" t="str">
        <f t="shared" ca="1" si="3"/>
        <v>3.4.</v>
      </c>
      <c r="D63" s="153" t="str">
        <f t="shared" ca="1" si="6"/>
        <v>KEWIRAUSAHAAN</v>
      </c>
      <c r="E63" s="168" t="str">
        <f t="shared" ca="1" si="4"/>
        <v>Kepemimpinan Madrasah</v>
      </c>
      <c r="F63" s="172">
        <f t="shared" ca="1" si="7"/>
        <v>0</v>
      </c>
      <c r="G63" s="172" t="str">
        <f t="shared" ca="1" si="8"/>
        <v>Kewirausahaan / Kepemimpinan Madrasah</v>
      </c>
      <c r="H63" s="172"/>
      <c r="I63" s="172"/>
      <c r="J63" s="172"/>
      <c r="K63" s="172"/>
      <c r="L63" s="175">
        <f ca="1">COUNTIF($G$37:G63,G63)</f>
        <v>2</v>
      </c>
      <c r="M63" s="176">
        <f t="shared" ca="1" si="9"/>
        <v>100</v>
      </c>
      <c r="N63" s="177">
        <f ca="1">IF(M63&gt;$S$37,0,RANK(M63,$M$37:$M$67,1)+COUNTIF($M$37:M63,M63)-1)</f>
        <v>0</v>
      </c>
      <c r="O63" s="153">
        <f ca="1">COUNTIF($E$37:E63,E63)</f>
        <v>2</v>
      </c>
      <c r="P63" s="284">
        <f t="shared" ca="1" si="5"/>
        <v>100</v>
      </c>
      <c r="Q63" s="177">
        <f ca="1">IF(P63&gt;$S$37,0,RANK(P63,$P$37:$P$67,1)+COUNTIF($P$37:P63,P63)-1)</f>
        <v>0</v>
      </c>
    </row>
    <row r="64" spans="2:17" ht="15" hidden="1" customHeight="1">
      <c r="B64" s="153">
        <v>28</v>
      </c>
      <c r="C64" s="153" t="str">
        <f t="shared" ca="1" si="3"/>
        <v>3.5.</v>
      </c>
      <c r="D64" s="153" t="str">
        <f t="shared" ca="1" si="6"/>
        <v>KEWIRAUSAHAAN</v>
      </c>
      <c r="E64" s="168" t="str">
        <f t="shared" ca="1" si="4"/>
        <v>Kewirausahaan</v>
      </c>
      <c r="F64" s="172">
        <f t="shared" ca="1" si="7"/>
        <v>0</v>
      </c>
      <c r="G64" s="172" t="str">
        <f t="shared" ca="1" si="8"/>
        <v>Kewirausahaan / Kewirausahaan</v>
      </c>
      <c r="H64" s="172"/>
      <c r="I64" s="172"/>
      <c r="J64" s="172"/>
      <c r="K64" s="172"/>
      <c r="L64" s="175">
        <f ca="1">COUNTIF($G$37:G64,G64)</f>
        <v>1</v>
      </c>
      <c r="M64" s="176">
        <f t="shared" ca="1" si="9"/>
        <v>0</v>
      </c>
      <c r="N64" s="177">
        <f ca="1">IF(M64&gt;$S$37,0,RANK(M64,$M$37:$M$67,1)+COUNTIF($M$37:M64,M64)-1)</f>
        <v>24</v>
      </c>
      <c r="O64" s="153">
        <f ca="1">COUNTIF($E$37:E64,E64)</f>
        <v>1</v>
      </c>
      <c r="P64" s="284">
        <f t="shared" ca="1" si="5"/>
        <v>0</v>
      </c>
      <c r="Q64" s="177">
        <f ca="1">IF(P64&gt;$S$37,0,RANK(P64,$P$37:$P$67,1)+COUNTIF($P$37:P64,P64)-1)</f>
        <v>19</v>
      </c>
    </row>
    <row r="65" spans="2:17" ht="15" hidden="1" customHeight="1">
      <c r="B65" s="153">
        <v>29</v>
      </c>
      <c r="C65" s="153" t="str">
        <f t="shared" ca="1" si="3"/>
        <v>4.1.</v>
      </c>
      <c r="D65" s="153" t="str">
        <f t="shared" ca="1" si="6"/>
        <v>SUPERVISI</v>
      </c>
      <c r="E65" s="168" t="str">
        <f t="shared" ca="1" si="4"/>
        <v>Supervisi Akademik</v>
      </c>
      <c r="F65" s="172">
        <f t="shared" ca="1" si="7"/>
        <v>0</v>
      </c>
      <c r="G65" s="172" t="str">
        <f t="shared" ca="1" si="8"/>
        <v>Supervisi / Supervisi Akademik</v>
      </c>
      <c r="H65" s="172"/>
      <c r="I65" s="172"/>
      <c r="J65" s="172"/>
      <c r="K65" s="172"/>
      <c r="L65" s="175">
        <f ca="1">COUNTIF($G$37:G65,G65)</f>
        <v>1</v>
      </c>
      <c r="M65" s="176">
        <f t="shared" ca="1" si="9"/>
        <v>0</v>
      </c>
      <c r="N65" s="177">
        <f ca="1">IF(M65&gt;$S$37,0,RANK(M65,$M$37:$M$67,1)+COUNTIF($M$37:M65,M65)-1)</f>
        <v>25</v>
      </c>
      <c r="O65" s="153">
        <f ca="1">COUNTIF($E$37:E65,E65)</f>
        <v>1</v>
      </c>
      <c r="P65" s="284">
        <f t="shared" ca="1" si="5"/>
        <v>0</v>
      </c>
      <c r="Q65" s="177">
        <f ca="1">IF(P65&gt;$S$37,0,RANK(P65,$P$37:$P$67,1)+COUNTIF($P$37:P65,P65)-1)</f>
        <v>20</v>
      </c>
    </row>
    <row r="66" spans="2:17" ht="15" hidden="1" customHeight="1">
      <c r="B66" s="153">
        <v>30</v>
      </c>
      <c r="C66" s="153" t="str">
        <f t="shared" ca="1" si="3"/>
        <v>4.2.</v>
      </c>
      <c r="D66" s="153" t="str">
        <f t="shared" ca="1" si="6"/>
        <v>SUPERVISI</v>
      </c>
      <c r="E66" s="168" t="str">
        <f t="shared" ca="1" si="4"/>
        <v>Supervisi Akademik</v>
      </c>
      <c r="F66" s="172">
        <f t="shared" ca="1" si="7"/>
        <v>0</v>
      </c>
      <c r="G66" s="172" t="str">
        <f t="shared" ca="1" si="8"/>
        <v>Supervisi / Supervisi Akademik</v>
      </c>
      <c r="H66" s="172"/>
      <c r="I66" s="172"/>
      <c r="J66" s="172"/>
      <c r="K66" s="172"/>
      <c r="L66" s="175">
        <f ca="1">COUNTIF($G$37:G66,G66)</f>
        <v>2</v>
      </c>
      <c r="M66" s="176">
        <f t="shared" ca="1" si="9"/>
        <v>100</v>
      </c>
      <c r="N66" s="177">
        <f ca="1">IF(M66&gt;$S$37,0,RANK(M66,$M$37:$M$67,1)+COUNTIF($M$37:M66,M66)-1)</f>
        <v>0</v>
      </c>
      <c r="O66" s="153">
        <f ca="1">COUNTIF($E$37:E66,E66)</f>
        <v>2</v>
      </c>
      <c r="P66" s="284">
        <f t="shared" ca="1" si="5"/>
        <v>100</v>
      </c>
      <c r="Q66" s="177">
        <f ca="1">IF(P66&gt;$S$37,0,RANK(P66,$P$37:$P$67,1)+COUNTIF($P$37:P66,P66)-1)</f>
        <v>0</v>
      </c>
    </row>
    <row r="67" spans="2:17" ht="15" hidden="1" customHeight="1">
      <c r="B67" s="153">
        <v>31</v>
      </c>
      <c r="C67" s="153" t="str">
        <f t="shared" ca="1" si="3"/>
        <v>4.3.</v>
      </c>
      <c r="D67" s="153" t="str">
        <f t="shared" ca="1" si="6"/>
        <v>SUPERVISI</v>
      </c>
      <c r="E67" s="168" t="str">
        <f t="shared" ca="1" si="4"/>
        <v>Supervisi Akademik</v>
      </c>
      <c r="F67" s="172">
        <f t="shared" ca="1" si="7"/>
        <v>0</v>
      </c>
      <c r="G67" s="172" t="str">
        <f t="shared" ca="1" si="8"/>
        <v>Supervisi / Supervisi Akademik</v>
      </c>
      <c r="H67" s="172"/>
      <c r="I67" s="172"/>
      <c r="J67" s="172"/>
      <c r="K67" s="172"/>
      <c r="L67" s="175">
        <f ca="1">COUNTIF($G$37:G67,G67)</f>
        <v>3</v>
      </c>
      <c r="M67" s="176">
        <f t="shared" ca="1" si="9"/>
        <v>100</v>
      </c>
      <c r="N67" s="177">
        <f ca="1">IF(M67&gt;$S$37,0,RANK(M67,$M$37:$M$67,1)+COUNTIF($M$37:M67,M67)-1)</f>
        <v>0</v>
      </c>
      <c r="O67" s="153">
        <f ca="1">COUNTIF($E$37:E67,E67)</f>
        <v>3</v>
      </c>
      <c r="P67" s="284">
        <f t="shared" ca="1" si="5"/>
        <v>100</v>
      </c>
      <c r="Q67" s="177">
        <f ca="1">IF(P67&gt;$S$37,0,RANK(P67,$P$37:$P$67,1)+COUNTIF($P$37:P67,P67)-1)</f>
        <v>0</v>
      </c>
    </row>
    <row r="68" spans="2:17" ht="13.5" customHeight="1">
      <c r="D68" s="153"/>
      <c r="E68" s="168"/>
      <c r="F68" s="172"/>
      <c r="G68" s="172"/>
      <c r="H68" s="172"/>
      <c r="I68" s="307" t="str">
        <f>HYPERLINK("#Menu!A1","↖")</f>
        <v>↖</v>
      </c>
      <c r="J68" s="172"/>
      <c r="K68" s="172"/>
      <c r="L68" s="175"/>
      <c r="M68" s="176"/>
      <c r="N68" s="177"/>
      <c r="Q68" s="177"/>
    </row>
    <row r="69" spans="2:17" s="156" customFormat="1" ht="15" customHeight="1">
      <c r="C69" s="159" t="s">
        <v>536</v>
      </c>
      <c r="D69" s="186"/>
      <c r="P69" s="285"/>
    </row>
    <row r="70" spans="2:17" ht="15" customHeight="1"/>
    <row r="71" spans="2:17" ht="15" customHeight="1">
      <c r="C71" s="178" t="str">
        <f ca="1">"Periode : Tahun ke " &amp;A1</f>
        <v>Periode : Tahun ke 3</v>
      </c>
    </row>
    <row r="72" spans="2:17" ht="15" customHeight="1">
      <c r="C72" s="157" t="str">
        <f>"Nama Kepala Madrasah : " &amp; Data!E3</f>
        <v>Nama Kepala Madrasah : SIDIQ MUSTAKIM, Lc</v>
      </c>
    </row>
    <row r="73" spans="2:17" ht="15" customHeight="1">
      <c r="C73" s="153" t="str">
        <f>"Unit Kerja : " &amp; Data!E15</f>
        <v>Unit Kerja : MA Tahfidh Al-Amien Prenduan</v>
      </c>
    </row>
    <row r="74" spans="2:17" ht="15" customHeight="1">
      <c r="C74" s="153" t="str">
        <f>"Kecamatan : " &amp; Data!E19</f>
        <v>Kecamatan : Pragaan</v>
      </c>
    </row>
    <row r="75" spans="2:17" ht="15" customHeight="1">
      <c r="C75" s="153" t="str">
        <f>"Kabupaten/Kota : " &amp; Data!E20 &amp; " - "  &amp; Data!E21</f>
        <v>Kabupaten/Kota : Sumenep - Jawa Timur</v>
      </c>
    </row>
    <row r="76" spans="2:17" ht="15" customHeight="1"/>
    <row r="77" spans="2:17" ht="24.75" customHeight="1">
      <c r="C77" s="179" t="s">
        <v>59</v>
      </c>
      <c r="D77" s="179" t="s">
        <v>537</v>
      </c>
      <c r="E77" s="180" t="s">
        <v>534</v>
      </c>
      <c r="F77" s="179" t="s">
        <v>528</v>
      </c>
      <c r="G77" s="179" t="s">
        <v>529</v>
      </c>
    </row>
    <row r="78" spans="2:17" ht="38.25" customHeight="1">
      <c r="C78" s="181">
        <v>1</v>
      </c>
      <c r="D78" s="182" t="str">
        <f ca="1">PROPER(IF($C78&gt;$T$37,"",INDEX($D$37:$D$67,MATCH(C78,$N$37:$N$67,0))))</f>
        <v>Usaha Pengembangan Madrasah</v>
      </c>
      <c r="E78" s="183" t="str">
        <f ca="1">IF($C78&gt;$T$37,"",INDEX($E$37:$E$67,MATCH(C78,$N$37:$N$67,0)))</f>
        <v>RKJM dan RKAM</v>
      </c>
      <c r="F78" s="184">
        <f ca="1">IF($C78&gt;$T$37,"",INDEX($F$37:$F$67,MATCH(C78,$N$37:$N$67,0)))</f>
        <v>0</v>
      </c>
      <c r="G78" s="181" t="str">
        <f ca="1">IF(F78="","",VLOOKUP(F78,$W$38:$X$42,2,TRUE))</f>
        <v>Kurang</v>
      </c>
    </row>
    <row r="79" spans="2:17" ht="38.25" customHeight="1">
      <c r="C79" s="181">
        <v>2</v>
      </c>
      <c r="D79" s="182" t="str">
        <f t="shared" ref="D79:D92" ca="1" si="10">PROPER(IF($C79&gt;$T$37,"",INDEX($D$37:$D$67,MATCH(C79,$N$37:$N$67,0))))</f>
        <v>Usaha Pengembangan Madrasah</v>
      </c>
      <c r="E79" s="183" t="str">
        <f t="shared" ref="E79:E92" ca="1" si="11">IF($C79&gt;$T$37,"",INDEX($E$37:$E$67,MATCH(C79,$N$37:$N$67,0)))</f>
        <v>Pemberdayaan Organisasi Madrasah</v>
      </c>
      <c r="F79" s="184">
        <f t="shared" ref="F79:F92" ca="1" si="12">IF($C79&gt;$T$37,"",INDEX($F$37:$F$67,MATCH(C79,$N$37:$N$67,0)))</f>
        <v>0</v>
      </c>
      <c r="G79" s="181" t="str">
        <f t="shared" ref="G79:G92" ca="1" si="13">IF(F79="","",VLOOKUP(F79,$W$38:$X$42,2,TRUE))</f>
        <v>Kurang</v>
      </c>
    </row>
    <row r="80" spans="2:17" ht="38.25" customHeight="1">
      <c r="C80" s="181">
        <v>3</v>
      </c>
      <c r="D80" s="182" t="str">
        <f t="shared" ca="1" si="10"/>
        <v>Usaha Pengembangan Madrasah</v>
      </c>
      <c r="E80" s="183" t="str">
        <f t="shared" ca="1" si="11"/>
        <v>Perencanaan dan Pengembangan Madrasah</v>
      </c>
      <c r="F80" s="184">
        <f t="shared" ca="1" si="12"/>
        <v>0</v>
      </c>
      <c r="G80" s="181" t="str">
        <f t="shared" ca="1" si="13"/>
        <v>Kurang</v>
      </c>
    </row>
    <row r="81" spans="3:7" ht="38.25" customHeight="1">
      <c r="C81" s="181">
        <v>4</v>
      </c>
      <c r="D81" s="182" t="str">
        <f t="shared" ca="1" si="10"/>
        <v>Usaha Pengembangan Madrasah</v>
      </c>
      <c r="E81" s="183" t="str">
        <f t="shared" ca="1" si="11"/>
        <v>Peningkatan Kualitas Pembelajaran</v>
      </c>
      <c r="F81" s="184">
        <f t="shared" ca="1" si="12"/>
        <v>0</v>
      </c>
      <c r="G81" s="181" t="str">
        <f t="shared" ca="1" si="13"/>
        <v>Kurang</v>
      </c>
    </row>
    <row r="82" spans="3:7" ht="38.25" customHeight="1">
      <c r="C82" s="181">
        <v>5</v>
      </c>
      <c r="D82" s="182" t="str">
        <f t="shared" ca="1" si="10"/>
        <v>Usaha Pengembangan Madrasah</v>
      </c>
      <c r="E82" s="183" t="str">
        <f t="shared" ca="1" si="11"/>
        <v>Monitoring dan Evaluasi</v>
      </c>
      <c r="F82" s="184">
        <f t="shared" ca="1" si="12"/>
        <v>0</v>
      </c>
      <c r="G82" s="181" t="str">
        <f t="shared" ca="1" si="13"/>
        <v>Kurang</v>
      </c>
    </row>
    <row r="83" spans="3:7" ht="38.25" customHeight="1">
      <c r="C83" s="181">
        <v>6</v>
      </c>
      <c r="D83" s="182" t="str">
        <f t="shared" ca="1" si="10"/>
        <v>Usaha Pengembangan Madrasah</v>
      </c>
      <c r="E83" s="183" t="str">
        <f t="shared" ca="1" si="11"/>
        <v>Penelitian Tindakan</v>
      </c>
      <c r="F83" s="184">
        <f t="shared" ca="1" si="12"/>
        <v>0</v>
      </c>
      <c r="G83" s="181" t="str">
        <f t="shared" ca="1" si="13"/>
        <v>Kurang</v>
      </c>
    </row>
    <row r="84" spans="3:7" ht="38.25" customHeight="1">
      <c r="C84" s="181">
        <v>7</v>
      </c>
      <c r="D84" s="182" t="str">
        <f t="shared" ca="1" si="10"/>
        <v>Manajerial</v>
      </c>
      <c r="E84" s="183" t="str">
        <f t="shared" ca="1" si="11"/>
        <v>RKJM dan RKAM</v>
      </c>
      <c r="F84" s="184">
        <f t="shared" ca="1" si="12"/>
        <v>0</v>
      </c>
      <c r="G84" s="181" t="str">
        <f t="shared" ca="1" si="13"/>
        <v>Kurang</v>
      </c>
    </row>
    <row r="85" spans="3:7" ht="38.25" customHeight="1">
      <c r="C85" s="181">
        <v>8</v>
      </c>
      <c r="D85" s="182" t="str">
        <f t="shared" ca="1" si="10"/>
        <v>Manajerial</v>
      </c>
      <c r="E85" s="183" t="str">
        <f t="shared" ca="1" si="11"/>
        <v>Perencanaan dan Pengembangan Madrasah</v>
      </c>
      <c r="F85" s="184">
        <f t="shared" ca="1" si="12"/>
        <v>0</v>
      </c>
      <c r="G85" s="181" t="str">
        <f t="shared" ca="1" si="13"/>
        <v>Kurang</v>
      </c>
    </row>
    <row r="86" spans="3:7" ht="38.25" customHeight="1">
      <c r="C86" s="181">
        <v>9</v>
      </c>
      <c r="D86" s="182" t="str">
        <f t="shared" ca="1" si="10"/>
        <v>Manajerial</v>
      </c>
      <c r="E86" s="183" t="str">
        <f t="shared" ca="1" si="11"/>
        <v>Kepemimpinan dalam Pengelolaan Sumberdaya Madrasah</v>
      </c>
      <c r="F86" s="184">
        <f t="shared" ca="1" si="12"/>
        <v>0</v>
      </c>
      <c r="G86" s="181" t="str">
        <f t="shared" ca="1" si="13"/>
        <v>Kurang</v>
      </c>
    </row>
    <row r="87" spans="3:7" ht="38.25" customHeight="1">
      <c r="C87" s="181">
        <v>10</v>
      </c>
      <c r="D87" s="182" t="str">
        <f t="shared" ca="1" si="10"/>
        <v>Manajerial</v>
      </c>
      <c r="E87" s="183" t="str">
        <f t="shared" ca="1" si="11"/>
        <v>Pengelolaan Sarana dan Prasarana</v>
      </c>
      <c r="F87" s="184">
        <f t="shared" ca="1" si="12"/>
        <v>0</v>
      </c>
      <c r="G87" s="181" t="str">
        <f t="shared" ca="1" si="13"/>
        <v>Kurang</v>
      </c>
    </row>
    <row r="88" spans="3:7" ht="38.25" customHeight="1">
      <c r="C88" s="181">
        <v>11</v>
      </c>
      <c r="D88" s="182" t="str">
        <f t="shared" ca="1" si="10"/>
        <v>Manajerial</v>
      </c>
      <c r="E88" s="183" t="str">
        <f t="shared" ca="1" si="11"/>
        <v>Madrasah Berwawasan Lingkungan</v>
      </c>
      <c r="F88" s="184">
        <f t="shared" ca="1" si="12"/>
        <v>0</v>
      </c>
      <c r="G88" s="181" t="str">
        <f t="shared" ca="1" si="13"/>
        <v>Kurang</v>
      </c>
    </row>
    <row r="89" spans="3:7" ht="38.25" customHeight="1">
      <c r="C89" s="181">
        <v>12</v>
      </c>
      <c r="D89" s="182" t="str">
        <f t="shared" ca="1" si="10"/>
        <v>Manajerial</v>
      </c>
      <c r="E89" s="183" t="str">
        <f t="shared" ca="1" si="11"/>
        <v>Pengelolaan Pendidikan dan Tenaga Kependidikan</v>
      </c>
      <c r="F89" s="184">
        <f t="shared" ca="1" si="12"/>
        <v>0</v>
      </c>
      <c r="G89" s="181" t="str">
        <f t="shared" ca="1" si="13"/>
        <v>Kurang</v>
      </c>
    </row>
    <row r="90" spans="3:7" ht="38.25" customHeight="1">
      <c r="C90" s="181">
        <v>13</v>
      </c>
      <c r="D90" s="182" t="str">
        <f t="shared" ca="1" si="10"/>
        <v>Manajerial</v>
      </c>
      <c r="E90" s="183" t="str">
        <f t="shared" ca="1" si="11"/>
        <v>Pengelolaan Peserta Didik Baru</v>
      </c>
      <c r="F90" s="184">
        <f t="shared" ca="1" si="12"/>
        <v>0</v>
      </c>
      <c r="G90" s="181" t="str">
        <f t="shared" ca="1" si="13"/>
        <v>Kurang</v>
      </c>
    </row>
    <row r="91" spans="3:7" ht="38.25" customHeight="1">
      <c r="C91" s="181">
        <v>14</v>
      </c>
      <c r="D91" s="182" t="str">
        <f t="shared" ca="1" si="10"/>
        <v>Manajerial</v>
      </c>
      <c r="E91" s="183" t="str">
        <f t="shared" ca="1" si="11"/>
        <v>Pengelolaan Kurikulum</v>
      </c>
      <c r="F91" s="184">
        <f t="shared" ca="1" si="12"/>
        <v>0</v>
      </c>
      <c r="G91" s="181" t="str">
        <f t="shared" ca="1" si="13"/>
        <v>Kurang</v>
      </c>
    </row>
    <row r="92" spans="3:7" ht="38.25" customHeight="1">
      <c r="C92" s="181">
        <v>15</v>
      </c>
      <c r="D92" s="182" t="str">
        <f t="shared" ca="1" si="10"/>
        <v>Manajerial</v>
      </c>
      <c r="E92" s="183" t="str">
        <f t="shared" ca="1" si="11"/>
        <v>Pengelolaan Keuangan</v>
      </c>
      <c r="F92" s="184">
        <f t="shared" ca="1" si="12"/>
        <v>0</v>
      </c>
      <c r="G92" s="181" t="str">
        <f t="shared" ca="1" si="13"/>
        <v>Kurang</v>
      </c>
    </row>
    <row r="93" spans="3:7" ht="16.5" customHeight="1"/>
    <row r="94" spans="3:7" ht="15" customHeight="1">
      <c r="E94" s="185" t="str">
        <f>Data!E20 &amp;", "&amp; TEXT(Data!E33,"dd mmmm yyyy")</f>
        <v>Sumenep, 00 January 1900</v>
      </c>
    </row>
    <row r="95" spans="3:7" ht="15" customHeight="1">
      <c r="E95" s="185" t="s">
        <v>533</v>
      </c>
    </row>
    <row r="96" spans="3:7" ht="15" customHeight="1">
      <c r="E96" s="185"/>
    </row>
    <row r="97" spans="5:5" ht="15" customHeight="1">
      <c r="E97" s="185"/>
    </row>
    <row r="98" spans="5:5" ht="15" customHeight="1">
      <c r="E98" s="185"/>
    </row>
    <row r="99" spans="5:5" ht="15" customHeight="1">
      <c r="E99" s="216" t="str">
        <f>Data!E24</f>
        <v>Slamet Riyadi, S.Pd, M.Pd</v>
      </c>
    </row>
    <row r="100" spans="5:5" ht="15" customHeight="1">
      <c r="E100" s="193" t="str">
        <f>"NIP" &amp; Data!E25</f>
        <v>NIP196501112005011002</v>
      </c>
    </row>
    <row r="101" spans="5:5" ht="15" customHeight="1"/>
  </sheetData>
  <sheetProtection sheet="1" objects="1" scenarios="1"/>
  <pageMargins left="0.70866141732283472" right="0.70866141732283472" top="0.74803149606299213" bottom="0.74803149606299213" header="0.31496062992125984" footer="0.31496062992125984"/>
  <pageSetup paperSize="9" scale="74" fitToHeight="15" orientation="portrait" r:id="rId1"/>
</worksheet>
</file>

<file path=xl/worksheets/sheet15.xml><?xml version="1.0" encoding="utf-8"?>
<worksheet xmlns="http://schemas.openxmlformats.org/spreadsheetml/2006/main" xmlns:r="http://schemas.openxmlformats.org/officeDocument/2006/relationships">
  <sheetPr>
    <tabColor rgb="FF009900"/>
  </sheetPr>
  <dimension ref="A1:V23"/>
  <sheetViews>
    <sheetView showGridLines="0" topLeftCell="A2" workbookViewId="0">
      <selection activeCell="D12" sqref="D12:F16"/>
    </sheetView>
  </sheetViews>
  <sheetFormatPr defaultColWidth="0" defaultRowHeight="15.75" zeroHeight="1"/>
  <cols>
    <col min="1" max="1" width="3.7109375" style="163" customWidth="1"/>
    <col min="2" max="2" width="3.5703125" style="163" customWidth="1"/>
    <col min="3" max="3" width="5.85546875" style="163" customWidth="1"/>
    <col min="4" max="4" width="36.5703125" style="163" customWidth="1"/>
    <col min="5" max="5" width="21.7109375" style="163" customWidth="1"/>
    <col min="6" max="6" width="33" style="163" customWidth="1"/>
    <col min="7" max="7" width="34.85546875" style="163" customWidth="1"/>
    <col min="8" max="8" width="4.85546875" style="163" customWidth="1"/>
    <col min="9" max="9" width="3.5703125" style="163" bestFit="1" customWidth="1"/>
    <col min="10" max="11" width="9.140625" style="163" hidden="1" customWidth="1"/>
    <col min="12" max="12" width="21.140625" style="163" hidden="1" customWidth="1"/>
    <col min="13" max="13" width="55.28515625" style="163" hidden="1" customWidth="1"/>
    <col min="14" max="14" width="5.85546875" style="299" hidden="1" customWidth="1"/>
    <col min="15" max="15" width="40.28515625" style="163" hidden="1" customWidth="1"/>
    <col min="16" max="16" width="12" style="164" hidden="1" customWidth="1"/>
    <col min="17" max="17" width="9.85546875" style="163" hidden="1" customWidth="1"/>
    <col min="18" max="18" width="6.42578125" style="164" hidden="1" customWidth="1"/>
    <col min="19" max="19" width="3.5703125" style="163" hidden="1" customWidth="1"/>
    <col min="20" max="20" width="9.140625" style="163" hidden="1" customWidth="1"/>
    <col min="21" max="21" width="8.5703125" style="163" hidden="1" customWidth="1"/>
    <col min="22" max="22" width="10.140625" style="163" hidden="1" customWidth="1"/>
    <col min="23" max="16384" width="9.140625" style="163" hidden="1"/>
  </cols>
  <sheetData>
    <row r="1" spans="1:22" hidden="1">
      <c r="A1" s="162" t="str">
        <f ca="1">RIGHT(MID(CELL("filename",A1),FIND("]",CELL("filename",A1))+1,255),1)</f>
        <v>3</v>
      </c>
      <c r="B1" s="162" t="str">
        <f ca="1">MID(CELL("filename",B1),FIND("]",CELL("filename",B1))+1,255)</f>
        <v>Form2-Pengawas-Thn-3</v>
      </c>
      <c r="C1" s="162" t="str">
        <f ca="1">MID(B1,7,LEN(B1)-6)</f>
        <v>Pengawas-Thn-3</v>
      </c>
      <c r="D1" s="162" t="str">
        <f ca="1">LEFT(C1,LEN(C1)-6)</f>
        <v>Pengawas</v>
      </c>
    </row>
    <row r="2" spans="1:22" ht="13.5" customHeight="1">
      <c r="A2" s="162"/>
      <c r="B2" s="162"/>
      <c r="C2" s="162"/>
      <c r="D2" s="162"/>
      <c r="I2" s="307" t="str">
        <f>HYPERLINK("#Menu!A1","↖")</f>
        <v>↖</v>
      </c>
      <c r="L2" s="290" t="s">
        <v>561</v>
      </c>
      <c r="M2" s="290" t="s">
        <v>564</v>
      </c>
      <c r="N2" s="167" t="s">
        <v>577</v>
      </c>
      <c r="O2" s="290" t="s">
        <v>544</v>
      </c>
      <c r="P2" s="291" t="s">
        <v>528</v>
      </c>
      <c r="Q2" s="290" t="s">
        <v>545</v>
      </c>
      <c r="R2" s="291" t="s">
        <v>546</v>
      </c>
      <c r="S2" s="290"/>
      <c r="U2" s="165" t="s">
        <v>535</v>
      </c>
      <c r="V2" s="290" t="s">
        <v>559</v>
      </c>
    </row>
    <row r="3" spans="1:22" s="160" customFormat="1" ht="11.25" customHeight="1">
      <c r="C3" s="159" t="s">
        <v>542</v>
      </c>
      <c r="L3" s="290" t="s">
        <v>561</v>
      </c>
      <c r="M3" s="297" t="s">
        <v>565</v>
      </c>
      <c r="N3" s="300">
        <v>78</v>
      </c>
      <c r="O3" s="292" t="str">
        <f ca="1">INDIRECT("'Form1-Pengawas-Thn-"&amp;$A$1&amp;"'!E" &amp;$N3)</f>
        <v>RKJM dan RKAM</v>
      </c>
      <c r="P3" s="292">
        <f ca="1">INDIRECT("'Form1-Pengawas-Thn-"&amp;$A$1&amp;"'!F" &amp;$N3)</f>
        <v>0</v>
      </c>
      <c r="Q3" s="292">
        <f ca="1">COUNTIF($O$3:O3,O3)</f>
        <v>1</v>
      </c>
      <c r="R3" s="293">
        <f ca="1">IF(Q3&gt;1,100,P3)</f>
        <v>0</v>
      </c>
      <c r="S3" s="294">
        <f ca="1">IF(R3&gt;$U$3,0,RANK(R3,$R$3:$R$17,1)+COUNTIF($R3:R$17,R3)-1)</f>
        <v>13</v>
      </c>
      <c r="U3" s="158">
        <v>91</v>
      </c>
      <c r="V3" s="298">
        <f ca="1">MAX(S3:S17)</f>
        <v>13</v>
      </c>
    </row>
    <row r="4" spans="1:22">
      <c r="L4" s="290" t="s">
        <v>561</v>
      </c>
      <c r="M4" s="290" t="s">
        <v>566</v>
      </c>
      <c r="N4" s="167">
        <v>79</v>
      </c>
      <c r="O4" s="292" t="str">
        <f t="shared" ref="O4:O17" ca="1" si="0">INDIRECT("'Form1-Pengawas-Thn-"&amp;$A$1&amp;"'!E" &amp;$N4)</f>
        <v>Pemberdayaan Organisasi Madrasah</v>
      </c>
      <c r="P4" s="292">
        <f t="shared" ref="P4:P17" ca="1" si="1">INDIRECT("'Form1-Pengawas-Thn-"&amp;$A$1&amp;"'!F" &amp;$N4)</f>
        <v>0</v>
      </c>
      <c r="Q4" s="290">
        <f ca="1">COUNTIF($O$3:O4,O4)</f>
        <v>1</v>
      </c>
      <c r="R4" s="295">
        <f t="shared" ref="R4:R17" ca="1" si="2">IF(Q4&gt;1,100,P4)</f>
        <v>0</v>
      </c>
      <c r="S4" s="296">
        <f ca="1">IF(R4&gt;$U$3,0,RANK(R4,$R$3:$R$17,1)+COUNTIF($R4:R$17,R4)-1)</f>
        <v>12</v>
      </c>
    </row>
    <row r="5" spans="1:22">
      <c r="C5" s="163" t="str">
        <f ca="1">"Periode : Tahun ke " &amp;A1</f>
        <v>Periode : Tahun ke 3</v>
      </c>
      <c r="L5" s="290" t="s">
        <v>561</v>
      </c>
      <c r="M5" s="290" t="s">
        <v>567</v>
      </c>
      <c r="N5" s="300">
        <v>80</v>
      </c>
      <c r="O5" s="292" t="str">
        <f t="shared" ca="1" si="0"/>
        <v>Perencanaan dan Pengembangan Madrasah</v>
      </c>
      <c r="P5" s="292">
        <f t="shared" ca="1" si="1"/>
        <v>0</v>
      </c>
      <c r="Q5" s="290">
        <f ca="1">COUNTIF($O$3:O5,O5)</f>
        <v>1</v>
      </c>
      <c r="R5" s="295">
        <f t="shared" ca="1" si="2"/>
        <v>0</v>
      </c>
      <c r="S5" s="296">
        <f ca="1">IF(R5&gt;$U$3,0,RANK(R5,$R$3:$R$17,1)+COUNTIF($R5:R$17,R5)-1)</f>
        <v>11</v>
      </c>
    </row>
    <row r="6" spans="1:22">
      <c r="C6" s="161" t="str">
        <f>"Nama Kepala Madrasah : " &amp; Data!E3</f>
        <v>Nama Kepala Madrasah : SIDIQ MUSTAKIM, Lc</v>
      </c>
      <c r="L6" s="290" t="s">
        <v>561</v>
      </c>
      <c r="M6" s="290" t="s">
        <v>568</v>
      </c>
      <c r="N6" s="167">
        <v>81</v>
      </c>
      <c r="O6" s="292" t="str">
        <f t="shared" ca="1" si="0"/>
        <v>Peningkatan Kualitas Pembelajaran</v>
      </c>
      <c r="P6" s="292">
        <f t="shared" ca="1" si="1"/>
        <v>0</v>
      </c>
      <c r="Q6" s="290">
        <f ca="1">COUNTIF($O$3:O6,O6)</f>
        <v>1</v>
      </c>
      <c r="R6" s="295">
        <f t="shared" ca="1" si="2"/>
        <v>0</v>
      </c>
      <c r="S6" s="296">
        <f ca="1">IF(R6&gt;$U$3,0,RANK(R6,$R$3:$R$17,1)+COUNTIF($R6:R$17,R6)-1)</f>
        <v>10</v>
      </c>
    </row>
    <row r="7" spans="1:22">
      <c r="C7" s="163" t="str">
        <f>"Unit Kerja : " &amp; Data!E15</f>
        <v>Unit Kerja : MA Tahfidh Al-Amien Prenduan</v>
      </c>
      <c r="L7" s="290" t="s">
        <v>561</v>
      </c>
      <c r="M7" s="290" t="s">
        <v>569</v>
      </c>
      <c r="N7" s="300">
        <v>82</v>
      </c>
      <c r="O7" s="292" t="str">
        <f t="shared" ca="1" si="0"/>
        <v>Monitoring dan Evaluasi</v>
      </c>
      <c r="P7" s="292">
        <f t="shared" ca="1" si="1"/>
        <v>0</v>
      </c>
      <c r="Q7" s="290">
        <f ca="1">COUNTIF($O$3:O7,O7)</f>
        <v>1</v>
      </c>
      <c r="R7" s="295">
        <f t="shared" ca="1" si="2"/>
        <v>0</v>
      </c>
      <c r="S7" s="296">
        <f ca="1">IF(R7&gt;$U$3,0,RANK(R7,$R$3:$R$17,1)+COUNTIF($R7:R$17,R7)-1)</f>
        <v>9</v>
      </c>
    </row>
    <row r="8" spans="1:22">
      <c r="C8" s="163" t="str">
        <f>"Kecamatan : " &amp; Data!E19</f>
        <v>Kecamatan : Pragaan</v>
      </c>
      <c r="L8" s="290" t="s">
        <v>561</v>
      </c>
      <c r="M8" s="290" t="s">
        <v>570</v>
      </c>
      <c r="N8" s="167">
        <v>83</v>
      </c>
      <c r="O8" s="292" t="str">
        <f t="shared" ca="1" si="0"/>
        <v>Penelitian Tindakan</v>
      </c>
      <c r="P8" s="292">
        <f t="shared" ca="1" si="1"/>
        <v>0</v>
      </c>
      <c r="Q8" s="290">
        <f ca="1">COUNTIF($O$3:O8,O8)</f>
        <v>1</v>
      </c>
      <c r="R8" s="295">
        <f t="shared" ca="1" si="2"/>
        <v>0</v>
      </c>
      <c r="S8" s="296">
        <f ca="1">IF(R8&gt;$U$3,0,RANK(R8,$R$3:$R$17,1)+COUNTIF($R8:R$17,R8)-1)</f>
        <v>8</v>
      </c>
    </row>
    <row r="9" spans="1:22">
      <c r="C9" s="163" t="str">
        <f>"Kabupaten/Kota : " &amp; Data!E20 &amp; " - "  &amp; Data!E21</f>
        <v>Kabupaten/Kota : Sumenep - Jawa Timur</v>
      </c>
      <c r="L9" s="290" t="s">
        <v>562</v>
      </c>
      <c r="M9" s="290" t="s">
        <v>571</v>
      </c>
      <c r="N9" s="300">
        <v>84</v>
      </c>
      <c r="O9" s="292" t="str">
        <f t="shared" ca="1" si="0"/>
        <v>RKJM dan RKAM</v>
      </c>
      <c r="P9" s="292">
        <f t="shared" ca="1" si="1"/>
        <v>0</v>
      </c>
      <c r="Q9" s="290">
        <f ca="1">COUNTIF($O$3:O9,O9)</f>
        <v>2</v>
      </c>
      <c r="R9" s="295">
        <f t="shared" ca="1" si="2"/>
        <v>100</v>
      </c>
      <c r="S9" s="296">
        <f ca="1">IF(R9&gt;$U$3,0,RANK(R9,$R$3:$R$17,1)+COUNTIF($R9:R$17,R9)-1)</f>
        <v>0</v>
      </c>
    </row>
    <row r="10" spans="1:22">
      <c r="L10" s="290" t="s">
        <v>562</v>
      </c>
      <c r="M10" s="290" t="s">
        <v>572</v>
      </c>
      <c r="N10" s="167">
        <v>85</v>
      </c>
      <c r="O10" s="292" t="str">
        <f t="shared" ca="1" si="0"/>
        <v>Perencanaan dan Pengembangan Madrasah</v>
      </c>
      <c r="P10" s="292">
        <f t="shared" ca="1" si="1"/>
        <v>0</v>
      </c>
      <c r="Q10" s="290">
        <f ca="1">COUNTIF($O$3:O10,O10)</f>
        <v>2</v>
      </c>
      <c r="R10" s="295">
        <f t="shared" ca="1" si="2"/>
        <v>100</v>
      </c>
      <c r="S10" s="296">
        <f ca="1">IF(R10&gt;$U$3,0,RANK(R10,$R$3:$R$17,1)+COUNTIF($R10:R$17,R10)-1)</f>
        <v>0</v>
      </c>
    </row>
    <row r="11" spans="1:22" ht="24.75" customHeight="1">
      <c r="C11" s="167" t="s">
        <v>59</v>
      </c>
      <c r="D11" s="167" t="s">
        <v>547</v>
      </c>
      <c r="E11" s="167" t="s">
        <v>543</v>
      </c>
      <c r="F11" s="167" t="s">
        <v>548</v>
      </c>
      <c r="G11" s="167" t="s">
        <v>527</v>
      </c>
      <c r="L11" s="290" t="s">
        <v>562</v>
      </c>
      <c r="M11" s="290" t="s">
        <v>573</v>
      </c>
      <c r="N11" s="300">
        <v>86</v>
      </c>
      <c r="O11" s="292" t="str">
        <f t="shared" ca="1" si="0"/>
        <v>Kepemimpinan dalam Pengelolaan Sumberdaya Madrasah</v>
      </c>
      <c r="P11" s="292">
        <f t="shared" ca="1" si="1"/>
        <v>0</v>
      </c>
      <c r="Q11" s="290">
        <f ca="1">COUNTIF($O$3:O11,O11)</f>
        <v>1</v>
      </c>
      <c r="R11" s="295">
        <f t="shared" ca="1" si="2"/>
        <v>0</v>
      </c>
      <c r="S11" s="296">
        <f ca="1">IF(R11&gt;$U$3,0,RANK(R11,$R$3:$R$17,1)+COUNTIF($R11:R$17,R11)-1)</f>
        <v>7</v>
      </c>
    </row>
    <row r="12" spans="1:22" ht="33" customHeight="1">
      <c r="C12" s="167">
        <v>1</v>
      </c>
      <c r="D12" s="187"/>
      <c r="E12" s="187"/>
      <c r="F12" s="187"/>
      <c r="G12" s="187"/>
      <c r="L12" s="290" t="s">
        <v>563</v>
      </c>
      <c r="M12" s="290" t="s">
        <v>574</v>
      </c>
      <c r="N12" s="167">
        <v>87</v>
      </c>
      <c r="O12" s="292" t="str">
        <f t="shared" ca="1" si="0"/>
        <v>Pengelolaan Sarana dan Prasarana</v>
      </c>
      <c r="P12" s="292">
        <f t="shared" ca="1" si="1"/>
        <v>0</v>
      </c>
      <c r="Q12" s="290">
        <f ca="1">COUNTIF($O$3:O12,O12)</f>
        <v>1</v>
      </c>
      <c r="R12" s="295">
        <f t="shared" ca="1" si="2"/>
        <v>0</v>
      </c>
      <c r="S12" s="296">
        <f ca="1">IF(R12&gt;$U$3,0,RANK(R12,$R$3:$R$17,1)+COUNTIF($R12:R$17,R12)-1)</f>
        <v>6</v>
      </c>
    </row>
    <row r="13" spans="1:22" ht="33" customHeight="1">
      <c r="C13" s="167">
        <v>2</v>
      </c>
      <c r="D13" s="187"/>
      <c r="E13" s="187"/>
      <c r="F13" s="187"/>
      <c r="G13" s="187"/>
      <c r="L13" s="290" t="s">
        <v>563</v>
      </c>
      <c r="M13" s="290" t="s">
        <v>575</v>
      </c>
      <c r="N13" s="300">
        <v>88</v>
      </c>
      <c r="O13" s="292" t="str">
        <f t="shared" ca="1" si="0"/>
        <v>Madrasah Berwawasan Lingkungan</v>
      </c>
      <c r="P13" s="292">
        <f t="shared" ca="1" si="1"/>
        <v>0</v>
      </c>
      <c r="Q13" s="290">
        <f ca="1">COUNTIF($O$3:O13,O13)</f>
        <v>1</v>
      </c>
      <c r="R13" s="295">
        <f t="shared" ca="1" si="2"/>
        <v>0</v>
      </c>
      <c r="S13" s="296">
        <f ca="1">IF(R13&gt;$U$3,0,RANK(R13,$R$3:$R$17,1)+COUNTIF($R13:R$17,R13)-1)</f>
        <v>5</v>
      </c>
    </row>
    <row r="14" spans="1:22" ht="33" customHeight="1">
      <c r="C14" s="167">
        <v>3</v>
      </c>
      <c r="D14" s="187"/>
      <c r="E14" s="187"/>
      <c r="F14" s="187"/>
      <c r="G14" s="187"/>
      <c r="L14" s="290" t="s">
        <v>563</v>
      </c>
      <c r="M14" s="290" t="s">
        <v>576</v>
      </c>
      <c r="N14" s="167">
        <v>89</v>
      </c>
      <c r="O14" s="292" t="str">
        <f t="shared" ca="1" si="0"/>
        <v>Pengelolaan Pendidikan dan Tenaga Kependidikan</v>
      </c>
      <c r="P14" s="292">
        <f t="shared" ca="1" si="1"/>
        <v>0</v>
      </c>
      <c r="Q14" s="290">
        <f ca="1">COUNTIF($O$3:O14,O14)</f>
        <v>1</v>
      </c>
      <c r="R14" s="295">
        <f t="shared" ca="1" si="2"/>
        <v>0</v>
      </c>
      <c r="S14" s="296">
        <f ca="1">IF(R14&gt;$U$3,0,RANK(R14,$R$3:$R$17,1)+COUNTIF($R14:R$17,R14)-1)</f>
        <v>4</v>
      </c>
    </row>
    <row r="15" spans="1:22" ht="33" customHeight="1">
      <c r="C15" s="167">
        <v>4</v>
      </c>
      <c r="D15" s="187"/>
      <c r="E15" s="187"/>
      <c r="F15" s="187"/>
      <c r="G15" s="187"/>
      <c r="N15" s="300">
        <v>90</v>
      </c>
      <c r="O15" s="292" t="str">
        <f t="shared" ca="1" si="0"/>
        <v>Pengelolaan Peserta Didik Baru</v>
      </c>
      <c r="P15" s="292">
        <f t="shared" ca="1" si="1"/>
        <v>0</v>
      </c>
      <c r="Q15" s="290">
        <f ca="1">COUNTIF($O$3:O15,O15)</f>
        <v>1</v>
      </c>
      <c r="R15" s="295">
        <f t="shared" ca="1" si="2"/>
        <v>0</v>
      </c>
      <c r="S15" s="296">
        <f ca="1">IF(R15&gt;$U$3,0,RANK(R15,$R$3:$R$17,1)+COUNTIF($R15:R$17,R15)-1)</f>
        <v>3</v>
      </c>
    </row>
    <row r="16" spans="1:22" ht="33" customHeight="1">
      <c r="C16" s="167">
        <v>5</v>
      </c>
      <c r="D16" s="187"/>
      <c r="E16" s="187"/>
      <c r="F16" s="187"/>
      <c r="G16" s="187"/>
      <c r="N16" s="167">
        <v>91</v>
      </c>
      <c r="O16" s="292" t="str">
        <f t="shared" ca="1" si="0"/>
        <v>Pengelolaan Kurikulum</v>
      </c>
      <c r="P16" s="292">
        <f t="shared" ca="1" si="1"/>
        <v>0</v>
      </c>
      <c r="Q16" s="290">
        <f ca="1">COUNTIF($O$3:O16,O16)</f>
        <v>1</v>
      </c>
      <c r="R16" s="295">
        <f t="shared" ca="1" si="2"/>
        <v>0</v>
      </c>
      <c r="S16" s="296">
        <f ca="1">IF(R16&gt;$U$3,0,RANK(R16,$R$3:$R$17,1)+COUNTIF($R16:R$17,R16)-1)</f>
        <v>2</v>
      </c>
    </row>
    <row r="17" spans="4:19" ht="28.5" customHeight="1">
      <c r="N17" s="300">
        <v>92</v>
      </c>
      <c r="O17" s="292" t="str">
        <f t="shared" ca="1" si="0"/>
        <v>Pengelolaan Keuangan</v>
      </c>
      <c r="P17" s="292">
        <f t="shared" ca="1" si="1"/>
        <v>0</v>
      </c>
      <c r="Q17" s="290">
        <f ca="1">COUNTIF($O$3:O17,O17)</f>
        <v>1</v>
      </c>
      <c r="R17" s="295">
        <f t="shared" ca="1" si="2"/>
        <v>0</v>
      </c>
      <c r="S17" s="296">
        <f ca="1">IF(R17&gt;$U$3,0,RANK(R17,$R$3:$R$17,1)+COUNTIF($R17:R$17,R17)-1)</f>
        <v>1</v>
      </c>
    </row>
    <row r="18" spans="4:19" ht="28.5" customHeight="1">
      <c r="G18" s="188" t="str">
        <f>Data!E20 &amp;", "&amp; TEXT(Data!E33,"dd mmmm yyyy")</f>
        <v>Sumenep, 00 January 1900</v>
      </c>
    </row>
    <row r="19" spans="4:19" ht="28.5" customHeight="1">
      <c r="D19" s="163" t="s">
        <v>533</v>
      </c>
      <c r="G19" s="163" t="s">
        <v>549</v>
      </c>
    </row>
    <row r="20" spans="4:19" ht="28.5" customHeight="1"/>
    <row r="21" spans="4:19" s="191" customFormat="1" ht="28.5" customHeight="1">
      <c r="D21" s="213" t="str">
        <f>Data!E24</f>
        <v>Slamet Riyadi, S.Pd, M.Pd</v>
      </c>
      <c r="G21" s="215" t="str">
        <f>Data!E3</f>
        <v>SIDIQ MUSTAKIM, Lc</v>
      </c>
      <c r="N21" s="301"/>
      <c r="P21" s="192"/>
      <c r="R21" s="192"/>
    </row>
    <row r="22" spans="4:19" s="189" customFormat="1" ht="15.75" customHeight="1">
      <c r="D22" s="214" t="str">
        <f>"NIP" &amp; Data!E25</f>
        <v>NIP196501112005011002</v>
      </c>
      <c r="G22" s="214" t="str">
        <f>"NIP" &amp; Data!E4</f>
        <v>NIP-</v>
      </c>
      <c r="N22" s="302"/>
      <c r="P22" s="190"/>
      <c r="R22" s="190"/>
    </row>
    <row r="23" spans="4:19" ht="28.5" customHeight="1"/>
  </sheetData>
  <sheetProtection sheet="1" objects="1" scenarios="1"/>
  <dataValidations count="3">
    <dataValidation type="list" allowBlank="1" showInputMessage="1" showErrorMessage="1" sqref="D12:D16">
      <formula1>OFFSET(INDIRECT("$O$3"),0,0,$V$3)</formula1>
    </dataValidation>
    <dataValidation type="list" allowBlank="1" showInputMessage="1" showErrorMessage="1" sqref="F12:F16">
      <formula1>OFFSET(INDIRECT("$L$2"),MATCH(E12,INDIRECT("L:L"),0)-2,1, COUNTIF(INDIRECT("L:L"),E12),1)</formula1>
    </dataValidation>
    <dataValidation type="list" allowBlank="1" showInputMessage="1" showErrorMessage="1" sqref="E12:E16">
      <formula1>"1.Pengembangan Diri,2.Publikasi Ilmiah,3.Karya Inovatif"</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FFCC00"/>
    <pageSetUpPr fitToPage="1"/>
  </sheetPr>
  <dimension ref="B1:T58"/>
  <sheetViews>
    <sheetView showGridLines="0" topLeftCell="A13" zoomScale="85" zoomScaleNormal="85" workbookViewId="0">
      <selection activeCell="E40" sqref="E40:I40"/>
    </sheetView>
  </sheetViews>
  <sheetFormatPr defaultColWidth="0" defaultRowHeight="15" customHeight="1" zeroHeight="1"/>
  <cols>
    <col min="1" max="1" width="4" style="9" customWidth="1"/>
    <col min="2" max="2" width="4.140625" style="9" customWidth="1"/>
    <col min="3" max="3" width="33" style="21" customWidth="1"/>
    <col min="4" max="4" width="2.7109375" style="9" customWidth="1"/>
    <col min="5" max="5" width="14.140625" style="9" customWidth="1"/>
    <col min="6" max="6" width="7.140625" style="9" customWidth="1"/>
    <col min="7" max="7" width="8.5703125" style="9" customWidth="1"/>
    <col min="8" max="8" width="7" style="9" customWidth="1"/>
    <col min="9" max="9" width="20.5703125" style="9" customWidth="1"/>
    <col min="10" max="10" width="18" style="9" customWidth="1"/>
    <col min="11" max="11" width="2.85546875" style="9" customWidth="1"/>
    <col min="12" max="16384" width="0" style="9" hidden="1"/>
  </cols>
  <sheetData>
    <row r="1" spans="2:20" s="15" customFormat="1" ht="21" customHeight="1">
      <c r="C1" s="22"/>
      <c r="K1" s="307" t="str">
        <f>HYPERLINK("#Menu!A1","↖")</f>
        <v>↖</v>
      </c>
    </row>
    <row r="2" spans="2:20" s="15" customFormat="1" ht="86.25" customHeight="1">
      <c r="C2" s="22"/>
    </row>
    <row r="3" spans="2:20" s="15" customFormat="1" ht="14.25" customHeight="1">
      <c r="C3" s="22"/>
    </row>
    <row r="4" spans="2:20" s="15" customFormat="1" ht="45" customHeight="1">
      <c r="C4" s="418" t="s">
        <v>69</v>
      </c>
      <c r="D4" s="407"/>
      <c r="E4" s="407"/>
      <c r="F4" s="407"/>
      <c r="G4" s="407"/>
      <c r="H4" s="407"/>
      <c r="I4" s="407"/>
      <c r="J4" s="407"/>
    </row>
    <row r="5" spans="2:20" s="15" customFormat="1" ht="16.5" customHeight="1">
      <c r="C5" s="419"/>
      <c r="D5" s="419"/>
      <c r="E5" s="419"/>
      <c r="F5" s="419"/>
      <c r="G5" s="419"/>
      <c r="H5" s="419"/>
      <c r="I5" s="419"/>
      <c r="J5" s="419"/>
    </row>
    <row r="6" spans="2:20" s="15" customFormat="1" ht="18.75">
      <c r="C6" s="420" t="str">
        <f>"JANUARI S/D DESEMBER " &amp;C47</f>
        <v>JANUARI S/D DESEMBER 2018</v>
      </c>
      <c r="D6" s="420"/>
      <c r="E6" s="420"/>
      <c r="F6" s="420"/>
      <c r="G6" s="420"/>
      <c r="H6" s="420"/>
      <c r="I6" s="420"/>
      <c r="J6" s="420"/>
    </row>
    <row r="7" spans="2:20" s="15" customFormat="1" ht="18.75">
      <c r="C7" s="42"/>
      <c r="D7" s="42"/>
      <c r="E7" s="42"/>
      <c r="F7" s="42"/>
      <c r="G7" s="42"/>
      <c r="H7" s="42"/>
      <c r="I7" s="42"/>
      <c r="J7" s="42"/>
    </row>
    <row r="8" spans="2:20" s="15" customFormat="1" ht="24.75" customHeight="1">
      <c r="B8" s="332" t="s">
        <v>326</v>
      </c>
      <c r="C8" s="332"/>
      <c r="D8" s="332"/>
      <c r="E8" s="332"/>
      <c r="F8" s="332"/>
      <c r="G8" s="332"/>
      <c r="H8" s="332"/>
      <c r="I8" s="332"/>
    </row>
    <row r="9" spans="2:20" s="15" customFormat="1" ht="21.75" customHeight="1">
      <c r="C9" s="23" t="s">
        <v>334</v>
      </c>
      <c r="D9" s="15" t="s">
        <v>24</v>
      </c>
      <c r="E9" s="331"/>
      <c r="F9" s="331"/>
      <c r="G9" s="331"/>
      <c r="H9" s="331"/>
      <c r="I9" s="331"/>
      <c r="J9" s="331"/>
    </row>
    <row r="10" spans="2:20" s="15" customFormat="1" ht="21.75" customHeight="1">
      <c r="C10" s="23" t="s">
        <v>25</v>
      </c>
      <c r="D10" s="15" t="s">
        <v>24</v>
      </c>
      <c r="E10" s="329"/>
      <c r="F10" s="329"/>
      <c r="G10" s="329"/>
      <c r="H10" s="19" t="s">
        <v>26</v>
      </c>
      <c r="I10" s="329"/>
      <c r="J10" s="329"/>
    </row>
    <row r="11" spans="2:20" s="15" customFormat="1" ht="21.75" customHeight="1">
      <c r="C11" s="23" t="s">
        <v>27</v>
      </c>
      <c r="D11" s="15" t="s">
        <v>24</v>
      </c>
      <c r="E11" s="37"/>
      <c r="F11" s="20" t="s">
        <v>26</v>
      </c>
      <c r="G11" s="333"/>
      <c r="H11" s="333"/>
      <c r="I11" s="333"/>
      <c r="J11" s="19"/>
      <c r="K11" s="17"/>
    </row>
    <row r="12" spans="2:20" s="15" customFormat="1" ht="21.75" customHeight="1">
      <c r="C12" s="23" t="s">
        <v>28</v>
      </c>
      <c r="D12" s="15" t="s">
        <v>24</v>
      </c>
      <c r="E12" s="331"/>
      <c r="F12" s="331"/>
      <c r="G12" s="331"/>
      <c r="H12" s="331"/>
      <c r="I12" s="331"/>
      <c r="J12" s="19"/>
      <c r="K12" s="17"/>
      <c r="T12" s="15" t="s">
        <v>29</v>
      </c>
    </row>
    <row r="13" spans="2:20" s="15" customFormat="1" ht="21.75" customHeight="1">
      <c r="C13" s="23" t="s">
        <v>30</v>
      </c>
      <c r="D13" s="15" t="s">
        <v>24</v>
      </c>
      <c r="E13" s="333"/>
      <c r="F13" s="333"/>
      <c r="G13" s="333"/>
      <c r="H13" s="19"/>
      <c r="I13" s="19"/>
      <c r="J13" s="19"/>
      <c r="K13" s="17"/>
    </row>
    <row r="14" spans="2:20" s="15" customFormat="1" ht="21.75" customHeight="1">
      <c r="C14" s="23" t="s">
        <v>31</v>
      </c>
      <c r="D14" s="15" t="s">
        <v>24</v>
      </c>
      <c r="E14" s="334" t="str">
        <f>DATEDIF(E13,DATE(C47,12,31),"y") &amp; "   Tahun     " &amp; DATEDIF(E13,DATE(C47,12,31),"ym") &amp; "   Bulan"</f>
        <v>118   Tahun     11   Bulan</v>
      </c>
      <c r="F14" s="334"/>
      <c r="G14" s="334"/>
      <c r="H14" s="334"/>
      <c r="I14" s="19"/>
      <c r="J14" s="19"/>
      <c r="K14" s="17"/>
    </row>
    <row r="15" spans="2:20" s="15" customFormat="1" ht="21.75" customHeight="1">
      <c r="C15" s="23" t="s">
        <v>32</v>
      </c>
      <c r="D15" s="15" t="s">
        <v>24</v>
      </c>
      <c r="E15" s="328"/>
      <c r="F15" s="328"/>
      <c r="G15" s="328"/>
      <c r="H15" s="19"/>
      <c r="I15" s="19"/>
      <c r="J15" s="19"/>
      <c r="K15" s="17"/>
    </row>
    <row r="16" spans="2:20" s="15" customFormat="1" ht="21.75" customHeight="1">
      <c r="C16" s="23" t="s">
        <v>33</v>
      </c>
      <c r="D16" s="15" t="s">
        <v>24</v>
      </c>
      <c r="E16" s="328"/>
      <c r="F16" s="328"/>
      <c r="G16" s="328"/>
      <c r="H16" s="19"/>
      <c r="I16" s="19"/>
      <c r="J16" s="19"/>
      <c r="K16" s="17"/>
    </row>
    <row r="17" spans="2:11" s="15" customFormat="1" ht="21.75" customHeight="1">
      <c r="C17" s="23" t="s">
        <v>34</v>
      </c>
      <c r="D17" s="15" t="s">
        <v>24</v>
      </c>
      <c r="E17" s="328"/>
      <c r="F17" s="328"/>
      <c r="G17" s="328"/>
      <c r="H17" s="328"/>
      <c r="I17" s="328"/>
      <c r="J17" s="19"/>
      <c r="K17" s="17"/>
    </row>
    <row r="18" spans="2:11" s="15" customFormat="1" ht="21.75" customHeight="1">
      <c r="C18" s="23" t="s">
        <v>35</v>
      </c>
      <c r="D18" s="15" t="s">
        <v>24</v>
      </c>
      <c r="E18" s="328"/>
      <c r="F18" s="328"/>
      <c r="G18" s="328"/>
      <c r="H18" s="328"/>
      <c r="I18" s="328"/>
      <c r="J18" s="19"/>
      <c r="K18" s="17"/>
    </row>
    <row r="19" spans="2:11" s="15" customFormat="1" ht="10.5" customHeight="1">
      <c r="C19" s="23"/>
      <c r="E19" s="59"/>
      <c r="F19" s="59"/>
      <c r="G19" s="59"/>
      <c r="H19" s="59"/>
      <c r="I19" s="59"/>
      <c r="J19" s="19"/>
      <c r="K19" s="17"/>
    </row>
    <row r="20" spans="2:11" s="15" customFormat="1" ht="24.75" customHeight="1">
      <c r="B20" s="332" t="s">
        <v>327</v>
      </c>
      <c r="C20" s="332"/>
      <c r="D20" s="332"/>
      <c r="E20" s="332"/>
      <c r="F20" s="332"/>
      <c r="G20" s="332"/>
      <c r="H20" s="332"/>
      <c r="I20" s="332"/>
    </row>
    <row r="21" spans="2:11" s="15" customFormat="1" ht="21.75" customHeight="1">
      <c r="C21" s="23" t="s">
        <v>36</v>
      </c>
      <c r="D21" s="15" t="s">
        <v>24</v>
      </c>
      <c r="E21" s="328"/>
      <c r="F21" s="328"/>
      <c r="G21" s="328"/>
      <c r="H21" s="328"/>
      <c r="I21" s="328"/>
      <c r="J21" s="19"/>
      <c r="K21" s="17"/>
    </row>
    <row r="22" spans="2:11" s="15" customFormat="1" ht="21.75" customHeight="1">
      <c r="C22" s="23" t="s">
        <v>333</v>
      </c>
      <c r="D22" s="15" t="s">
        <v>24</v>
      </c>
      <c r="E22" s="328"/>
      <c r="F22" s="328"/>
      <c r="G22" s="328"/>
      <c r="H22" s="328"/>
      <c r="I22" s="328"/>
      <c r="J22" s="19"/>
      <c r="K22" s="17"/>
    </row>
    <row r="23" spans="2:11" s="15" customFormat="1" ht="21.75" customHeight="1">
      <c r="C23" s="23" t="s">
        <v>37</v>
      </c>
      <c r="D23" s="15" t="s">
        <v>24</v>
      </c>
      <c r="E23" s="328"/>
      <c r="F23" s="328"/>
      <c r="G23" s="328"/>
      <c r="H23" s="328"/>
      <c r="I23" s="328"/>
      <c r="J23" s="19"/>
      <c r="K23" s="17"/>
    </row>
    <row r="24" spans="2:11" s="15" customFormat="1" ht="21.75" customHeight="1">
      <c r="C24" s="23" t="s">
        <v>38</v>
      </c>
      <c r="D24" s="15" t="s">
        <v>24</v>
      </c>
      <c r="E24" s="328"/>
      <c r="F24" s="328"/>
      <c r="G24" s="328"/>
      <c r="H24" s="328"/>
      <c r="I24" s="328"/>
      <c r="J24" s="19"/>
      <c r="K24" s="17"/>
    </row>
    <row r="25" spans="2:11" s="15" customFormat="1" ht="21.75" customHeight="1">
      <c r="C25" s="23" t="s">
        <v>39</v>
      </c>
      <c r="D25" s="15" t="s">
        <v>24</v>
      </c>
      <c r="E25" s="328"/>
      <c r="F25" s="328"/>
      <c r="G25" s="328"/>
      <c r="H25" s="328"/>
      <c r="I25" s="328"/>
      <c r="J25" s="19"/>
      <c r="K25" s="17"/>
    </row>
    <row r="26" spans="2:11" s="15" customFormat="1" ht="21.75" customHeight="1">
      <c r="C26" s="23" t="s">
        <v>40</v>
      </c>
      <c r="D26" s="15" t="s">
        <v>24</v>
      </c>
      <c r="E26" s="328"/>
      <c r="F26" s="328"/>
      <c r="G26" s="328"/>
      <c r="H26" s="328"/>
      <c r="I26" s="328"/>
      <c r="J26" s="19"/>
      <c r="K26" s="17"/>
    </row>
    <row r="27" spans="2:11" s="15" customFormat="1" ht="21.75" customHeight="1">
      <c r="C27" s="23" t="s">
        <v>41</v>
      </c>
      <c r="D27" s="15" t="s">
        <v>24</v>
      </c>
      <c r="E27" s="328"/>
      <c r="F27" s="328"/>
      <c r="G27" s="328"/>
      <c r="H27" s="328"/>
      <c r="I27" s="328"/>
      <c r="J27" s="19"/>
      <c r="K27" s="17"/>
    </row>
    <row r="28" spans="2:11" s="15" customFormat="1" ht="10.5" customHeight="1">
      <c r="C28" s="23"/>
      <c r="E28" s="59"/>
      <c r="F28" s="59"/>
      <c r="G28" s="59"/>
      <c r="H28" s="59"/>
      <c r="I28" s="59"/>
      <c r="J28" s="19"/>
      <c r="K28" s="17"/>
    </row>
    <row r="29" spans="2:11" s="15" customFormat="1" ht="24.75" customHeight="1">
      <c r="B29" s="332" t="s">
        <v>450</v>
      </c>
      <c r="C29" s="332"/>
      <c r="D29" s="332"/>
      <c r="E29" s="332"/>
      <c r="F29" s="332"/>
      <c r="G29" s="332"/>
      <c r="H29" s="332"/>
      <c r="I29" s="332"/>
    </row>
    <row r="30" spans="2:11" s="15" customFormat="1" ht="21.75" customHeight="1">
      <c r="B30" s="98" t="s">
        <v>59</v>
      </c>
      <c r="C30" s="102" t="s">
        <v>329</v>
      </c>
      <c r="D30" s="414" t="s">
        <v>330</v>
      </c>
      <c r="E30" s="414"/>
      <c r="F30" s="414"/>
      <c r="G30" s="415" t="s">
        <v>336</v>
      </c>
      <c r="H30" s="416"/>
      <c r="I30" s="417"/>
      <c r="J30" s="19"/>
      <c r="K30" s="17"/>
    </row>
    <row r="31" spans="2:11" s="15" customFormat="1" ht="21.75" customHeight="1">
      <c r="B31" s="98">
        <v>1</v>
      </c>
      <c r="C31" s="314"/>
      <c r="D31" s="411"/>
      <c r="E31" s="412"/>
      <c r="F31" s="413"/>
      <c r="G31" s="404" t="s">
        <v>451</v>
      </c>
      <c r="H31" s="405"/>
      <c r="I31" s="406"/>
      <c r="J31" s="19"/>
      <c r="K31" s="17"/>
    </row>
    <row r="32" spans="2:11" s="15" customFormat="1" ht="21.75" customHeight="1">
      <c r="B32" s="98">
        <v>2</v>
      </c>
      <c r="C32" s="314"/>
      <c r="D32" s="411"/>
      <c r="E32" s="412"/>
      <c r="F32" s="413"/>
      <c r="G32" s="404" t="s">
        <v>454</v>
      </c>
      <c r="H32" s="405"/>
      <c r="I32" s="406"/>
      <c r="J32" s="19"/>
      <c r="K32" s="17"/>
    </row>
    <row r="33" spans="2:11" s="15" customFormat="1" ht="21.75" customHeight="1">
      <c r="B33" s="98">
        <v>3</v>
      </c>
      <c r="C33" s="314"/>
      <c r="D33" s="411"/>
      <c r="E33" s="412"/>
      <c r="F33" s="413"/>
      <c r="G33" s="404" t="s">
        <v>455</v>
      </c>
      <c r="H33" s="405"/>
      <c r="I33" s="406"/>
      <c r="J33" s="19"/>
      <c r="K33" s="17"/>
    </row>
    <row r="34" spans="2:11" s="15" customFormat="1" ht="21.75" customHeight="1">
      <c r="B34" s="98">
        <v>4</v>
      </c>
      <c r="C34" s="314"/>
      <c r="D34" s="411"/>
      <c r="E34" s="412"/>
      <c r="F34" s="413"/>
      <c r="G34" s="404" t="s">
        <v>405</v>
      </c>
      <c r="H34" s="405"/>
      <c r="I34" s="406"/>
      <c r="J34" s="19"/>
      <c r="K34" s="17"/>
    </row>
    <row r="35" spans="2:11" s="15" customFormat="1" ht="21.75" customHeight="1">
      <c r="B35" s="98">
        <v>5</v>
      </c>
      <c r="C35" s="314"/>
      <c r="D35" s="411"/>
      <c r="E35" s="412"/>
      <c r="F35" s="413"/>
      <c r="G35" s="404" t="s">
        <v>456</v>
      </c>
      <c r="H35" s="405"/>
      <c r="I35" s="406"/>
      <c r="J35" s="19"/>
      <c r="K35" s="17"/>
    </row>
    <row r="36" spans="2:11" s="15" customFormat="1" ht="21.75" customHeight="1">
      <c r="B36" s="98">
        <v>6</v>
      </c>
      <c r="C36" s="314"/>
      <c r="D36" s="411"/>
      <c r="E36" s="412"/>
      <c r="F36" s="413"/>
      <c r="G36" s="404" t="s">
        <v>457</v>
      </c>
      <c r="H36" s="405"/>
      <c r="I36" s="406"/>
      <c r="J36" s="19"/>
      <c r="K36" s="17"/>
    </row>
    <row r="37" spans="2:11" s="15" customFormat="1" ht="8.25" customHeight="1">
      <c r="B37" s="101"/>
      <c r="C37" s="23"/>
      <c r="D37" s="103"/>
      <c r="E37" s="103"/>
      <c r="F37" s="103"/>
      <c r="G37" s="59"/>
      <c r="H37" s="59"/>
      <c r="I37" s="59"/>
      <c r="J37" s="19"/>
      <c r="K37" s="17"/>
    </row>
    <row r="38" spans="2:11" s="15" customFormat="1" ht="21.75" customHeight="1">
      <c r="C38" s="23" t="s">
        <v>452</v>
      </c>
      <c r="D38" s="15" t="s">
        <v>24</v>
      </c>
      <c r="E38" s="328"/>
      <c r="F38" s="328"/>
      <c r="G38" s="328"/>
      <c r="H38" s="328"/>
      <c r="I38" s="328"/>
      <c r="J38" s="19"/>
      <c r="K38" s="17"/>
    </row>
    <row r="39" spans="2:11" s="15" customFormat="1" ht="21.75" customHeight="1">
      <c r="C39" s="23" t="s">
        <v>453</v>
      </c>
      <c r="D39" s="15" t="s">
        <v>24</v>
      </c>
      <c r="E39" s="328"/>
      <c r="F39" s="328"/>
      <c r="G39" s="328"/>
      <c r="H39" s="328"/>
      <c r="I39" s="328"/>
      <c r="J39" s="19"/>
      <c r="K39" s="17"/>
    </row>
    <row r="40" spans="2:11" s="15" customFormat="1" ht="21.75" customHeight="1">
      <c r="C40" s="23" t="s">
        <v>332</v>
      </c>
      <c r="D40" s="15" t="s">
        <v>24</v>
      </c>
      <c r="E40" s="328"/>
      <c r="F40" s="328"/>
      <c r="G40" s="328"/>
      <c r="H40" s="328"/>
      <c r="I40" s="328"/>
      <c r="J40" s="19"/>
      <c r="K40" s="17"/>
    </row>
    <row r="41" spans="2:11" s="15" customFormat="1">
      <c r="C41" s="22"/>
      <c r="K41" s="17"/>
    </row>
    <row r="42" spans="2:11" s="15" customFormat="1" ht="63" customHeight="1">
      <c r="C42" s="22"/>
      <c r="K42" s="17"/>
    </row>
    <row r="43" spans="2:11" s="15" customFormat="1" ht="23.25">
      <c r="C43" s="407" t="s">
        <v>42</v>
      </c>
      <c r="D43" s="407"/>
      <c r="E43" s="407"/>
      <c r="F43" s="407"/>
      <c r="G43" s="407"/>
      <c r="H43" s="407"/>
      <c r="I43" s="407"/>
      <c r="J43" s="407"/>
    </row>
    <row r="44" spans="2:11" s="15" customFormat="1" ht="23.25">
      <c r="C44" s="408" t="str">
        <f>UPPER(Data!E20)</f>
        <v>SUMENEP</v>
      </c>
      <c r="D44" s="408"/>
      <c r="E44" s="408"/>
      <c r="F44" s="408"/>
      <c r="G44" s="408"/>
      <c r="H44" s="408"/>
      <c r="I44" s="408"/>
      <c r="J44" s="408"/>
    </row>
    <row r="45" spans="2:11" s="15" customFormat="1" ht="23.25">
      <c r="C45" s="409" t="s">
        <v>309</v>
      </c>
      <c r="D45" s="409"/>
      <c r="E45" s="409"/>
      <c r="F45" s="409"/>
      <c r="G45" s="409"/>
      <c r="H45" s="409"/>
      <c r="I45" s="409"/>
      <c r="J45" s="409"/>
    </row>
    <row r="46" spans="2:11" s="15" customFormat="1" ht="5.25" customHeight="1">
      <c r="C46" s="24"/>
      <c r="D46" s="16"/>
      <c r="E46" s="16"/>
      <c r="G46" s="16"/>
    </row>
    <row r="47" spans="2:11" s="15" customFormat="1" ht="18" customHeight="1">
      <c r="C47" s="410">
        <v>2018</v>
      </c>
      <c r="D47" s="410"/>
      <c r="E47" s="410"/>
      <c r="F47" s="410"/>
      <c r="G47" s="410"/>
      <c r="H47" s="410"/>
      <c r="I47" s="410"/>
      <c r="J47" s="410"/>
    </row>
    <row r="48" spans="2:11" s="15" customFormat="1" ht="6" customHeight="1">
      <c r="C48" s="25"/>
      <c r="D48" s="18"/>
      <c r="E48" s="18"/>
      <c r="G48" s="18"/>
    </row>
    <row r="49" spans="2:20" hidden="1"/>
    <row r="50" spans="2:20" hidden="1"/>
    <row r="51" spans="2:20" hidden="1"/>
    <row r="52" spans="2:20" s="21" customFormat="1" hidden="1">
      <c r="B52" s="9"/>
      <c r="D52" s="9"/>
      <c r="E52" s="9"/>
      <c r="F52" s="9"/>
      <c r="G52" s="9"/>
      <c r="H52" s="9"/>
      <c r="I52" s="9"/>
      <c r="J52" s="9"/>
      <c r="K52" s="9"/>
      <c r="L52" s="9"/>
      <c r="M52" s="9"/>
      <c r="N52" s="9"/>
      <c r="O52" s="9"/>
      <c r="P52" s="9"/>
      <c r="Q52" s="9"/>
      <c r="R52" s="9"/>
      <c r="S52" s="9"/>
      <c r="T52" s="9"/>
    </row>
    <row r="53" spans="2:20" s="21" customFormat="1" hidden="1">
      <c r="B53" s="9"/>
      <c r="D53" s="9"/>
      <c r="E53" s="9"/>
      <c r="F53" s="9"/>
      <c r="G53" s="9"/>
      <c r="H53" s="9"/>
      <c r="I53" s="9"/>
      <c r="J53" s="9"/>
      <c r="K53" s="9"/>
      <c r="L53" s="9"/>
      <c r="M53" s="9"/>
      <c r="N53" s="9"/>
      <c r="O53" s="9"/>
      <c r="P53" s="9"/>
      <c r="Q53" s="9"/>
      <c r="R53" s="9"/>
      <c r="S53" s="9"/>
      <c r="T53" s="9"/>
    </row>
    <row r="54" spans="2:20" s="21" customFormat="1" hidden="1">
      <c r="B54" s="9"/>
      <c r="D54" s="9"/>
      <c r="E54" s="9"/>
      <c r="F54" s="9"/>
      <c r="G54" s="9"/>
      <c r="H54" s="9"/>
      <c r="I54" s="9"/>
      <c r="J54" s="9"/>
      <c r="K54" s="9"/>
      <c r="L54" s="9"/>
      <c r="M54" s="9"/>
      <c r="N54" s="9"/>
      <c r="O54" s="9"/>
      <c r="P54" s="9"/>
      <c r="Q54" s="9"/>
      <c r="R54" s="9"/>
      <c r="S54" s="9"/>
      <c r="T54" s="9"/>
    </row>
    <row r="55" spans="2:20" s="21" customFormat="1" hidden="1">
      <c r="B55" s="9"/>
      <c r="D55" s="9"/>
      <c r="E55" s="9"/>
      <c r="F55" s="9"/>
      <c r="G55" s="9"/>
      <c r="H55" s="9"/>
      <c r="I55" s="9"/>
      <c r="J55" s="9"/>
      <c r="K55" s="9"/>
      <c r="L55" s="9"/>
      <c r="M55" s="9"/>
      <c r="N55" s="9"/>
      <c r="O55" s="9"/>
      <c r="P55" s="9"/>
      <c r="Q55" s="9"/>
      <c r="R55" s="9"/>
      <c r="S55" s="9"/>
      <c r="T55" s="9"/>
    </row>
    <row r="56" spans="2:20" s="21" customFormat="1" hidden="1">
      <c r="B56" s="9"/>
      <c r="D56" s="9"/>
      <c r="E56" s="9"/>
      <c r="F56" s="9"/>
      <c r="G56" s="9"/>
      <c r="H56" s="9"/>
      <c r="I56" s="9"/>
      <c r="J56" s="9"/>
      <c r="K56" s="9"/>
      <c r="L56" s="9"/>
      <c r="M56" s="9"/>
      <c r="N56" s="9"/>
      <c r="O56" s="9"/>
      <c r="P56" s="9"/>
      <c r="Q56" s="9"/>
      <c r="R56" s="9"/>
      <c r="S56" s="9"/>
      <c r="T56" s="9"/>
    </row>
    <row r="57" spans="2:20" s="21" customFormat="1" hidden="1">
      <c r="B57" s="9"/>
      <c r="D57" s="9"/>
      <c r="E57" s="9"/>
      <c r="F57" s="9"/>
      <c r="G57" s="9"/>
      <c r="H57" s="9"/>
      <c r="I57" s="9"/>
      <c r="J57" s="9"/>
      <c r="K57" s="9"/>
      <c r="L57" s="9"/>
      <c r="M57" s="9"/>
      <c r="N57" s="9"/>
      <c r="O57" s="9"/>
      <c r="P57" s="9"/>
      <c r="Q57" s="9"/>
      <c r="R57" s="9"/>
      <c r="S57" s="9"/>
      <c r="T57" s="9"/>
    </row>
    <row r="58" spans="2:20" s="21" customFormat="1">
      <c r="B58" s="9"/>
      <c r="D58" s="9"/>
      <c r="E58" s="9"/>
      <c r="F58" s="9"/>
      <c r="G58" s="9"/>
      <c r="H58" s="9"/>
      <c r="I58" s="9"/>
      <c r="J58" s="9"/>
      <c r="K58" s="9"/>
      <c r="L58" s="9"/>
      <c r="M58" s="9"/>
      <c r="N58" s="9"/>
      <c r="O58" s="9"/>
      <c r="P58" s="9"/>
      <c r="Q58" s="9"/>
      <c r="R58" s="9"/>
      <c r="S58" s="9"/>
      <c r="T58" s="9"/>
    </row>
  </sheetData>
  <sheetProtection sheet="1" selectLockedCells="1"/>
  <mergeCells count="45">
    <mergeCell ref="E10:G10"/>
    <mergeCell ref="I10:J10"/>
    <mergeCell ref="C4:J4"/>
    <mergeCell ref="C5:J5"/>
    <mergeCell ref="C6:J6"/>
    <mergeCell ref="B8:I8"/>
    <mergeCell ref="E9:J9"/>
    <mergeCell ref="E23:I23"/>
    <mergeCell ref="G11:I11"/>
    <mergeCell ref="E12:I12"/>
    <mergeCell ref="E13:G13"/>
    <mergeCell ref="E14:H14"/>
    <mergeCell ref="E15:G15"/>
    <mergeCell ref="E16:G16"/>
    <mergeCell ref="E17:I17"/>
    <mergeCell ref="E18:I18"/>
    <mergeCell ref="B20:I20"/>
    <mergeCell ref="E21:I21"/>
    <mergeCell ref="E22:I22"/>
    <mergeCell ref="E38:I38"/>
    <mergeCell ref="E39:I39"/>
    <mergeCell ref="E24:I24"/>
    <mergeCell ref="E25:I25"/>
    <mergeCell ref="E26:I26"/>
    <mergeCell ref="E27:I27"/>
    <mergeCell ref="B29:I29"/>
    <mergeCell ref="G36:I36"/>
    <mergeCell ref="D31:F31"/>
    <mergeCell ref="D30:F30"/>
    <mergeCell ref="D32:F32"/>
    <mergeCell ref="D33:F33"/>
    <mergeCell ref="D34:F34"/>
    <mergeCell ref="D35:F35"/>
    <mergeCell ref="D36:F36"/>
    <mergeCell ref="G30:I30"/>
    <mergeCell ref="E40:I40"/>
    <mergeCell ref="C43:J43"/>
    <mergeCell ref="C44:J44"/>
    <mergeCell ref="C45:J45"/>
    <mergeCell ref="C47:J47"/>
    <mergeCell ref="G31:I31"/>
    <mergeCell ref="G32:I32"/>
    <mergeCell ref="G33:I33"/>
    <mergeCell ref="G34:I34"/>
    <mergeCell ref="G35:I35"/>
  </mergeCells>
  <conditionalFormatting sqref="E9 E10 I10 E11 G11 E12 E13 E15 E16 E17 E18 E21 E22 E23 E24 E25 E26 E27 C31 D31 G31 C32 D32 G32 C33 D33 G33 C34 D34 G34 C35 D36 D35 G35 C36 G36 E38 E39 E40">
    <cfRule type="expression" dxfId="564" priority="1">
      <formula>IF(ISBLANK(C9),TRUE,FALSE)</formula>
    </cfRule>
  </conditionalFormatting>
  <dataValidations count="2">
    <dataValidation type="list" allowBlank="1" showInputMessage="1" showErrorMessage="1" sqref="E16:G16">
      <formula1>"Laki-laki,Perempuan"</formula1>
    </dataValidation>
    <dataValidation type="list" allowBlank="1" showInputMessage="1" showErrorMessage="1" sqref="E12">
      <formula1>Gol</formula1>
    </dataValidation>
  </dataValidations>
  <pageMargins left="1.03" right="0.70866141732283472" top="0.74803149606299213" bottom="0.74803149606299213" header="0.31496062992125984" footer="0.31496062992125984"/>
  <pageSetup paperSize="9" scale="68" orientation="portrait" r:id="rId1"/>
  <drawing r:id="rId2"/>
</worksheet>
</file>

<file path=xl/worksheets/sheet17.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166" workbookViewId="0">
      <selection activeCell="F166" sqref="F166"/>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4</v>
      </c>
      <c r="B1" s="55" t="str">
        <f ca="1">MID(CELL("filename",B1),FIND("]",CELL("filename",B1))+1,255)</f>
        <v>Kabid-Thn-4</v>
      </c>
      <c r="C1" s="55" t="str">
        <f ca="1">MID(B1,1,LEN(B1)-6)</f>
        <v>Kabid</v>
      </c>
      <c r="D1" s="55" t="str">
        <f ca="1">INDIRECT("'Sampul-Thn-"&amp;A1&amp;"'!E14") &amp; "    ( " &amp;INDIRECT("'Sampul-Thn-"&amp;A1&amp;"'!E15") &amp; " )"</f>
        <v>118   Tahun     11   Bulan    (  )</v>
      </c>
      <c r="I1" s="307" t="str">
        <f>HYPERLINK("#Menu!A1","↖")</f>
        <v>↖</v>
      </c>
    </row>
    <row r="2" spans="1:9" ht="23.25">
      <c r="B2" s="50" t="str">
        <f ca="1">"A. Instrumen Penilaian Kinerja Tahunan Kepala Madrasah ( Tahun ke " &amp;A1&amp;" )"</f>
        <v>A. Instrumen Penilaian Kinerja Tahunan Kepala Madrasah ( Tahun ke 4 )</v>
      </c>
    </row>
    <row r="3" spans="1:9" ht="15.75">
      <c r="B3" s="51" t="str">
        <f ca="1">PROPER("Periode Penilaian : " &amp;INDIRECT("'Sampul-Thn-"&amp;A1&amp;"'!C6"))</f>
        <v>Periode Penilaian : Januari S/D Desember 2018</v>
      </c>
    </row>
    <row r="4" spans="1:9" ht="15.75">
      <c r="B4" s="51" t="str">
        <f ca="1">"Kamad yang dinilai : " &amp;INDIRECT("'Sampul-Thn-"&amp;A1&amp;"'!E8") &amp; "    (" &amp;INDIRECT("'Sampul-Thn-"&amp;A1&amp;"'!E10")&amp;" ) "</f>
        <v xml:space="preserve">Kamad yang dinilai :     ( ) </v>
      </c>
    </row>
    <row r="5" spans="1:9" ht="15.75">
      <c r="B5" s="51" t="str">
        <f ca="1">"Penilai : " &amp;IF(C1="Pengawas",D1,C1)</f>
        <v>Penilai : Kabid</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f ca="1">IF(INT($A$1)&gt;3,(SUBTOTAL(9,F190:F190)/(4*1))*100,"")</f>
        <v>0</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f ca="1">IF(INT($A$1)&gt;3,(SUBTOTAL(9,F192:F192)/(4*1))*100,"")</f>
        <v>0</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f ca="1">IF(INT($A$1)&gt;3,(SUBTOTAL(9,F201:F201)/(4*1))*100,"")</f>
        <v>0</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f ca="1">IF(INT($A$1)&gt;3,(SUBTOTAL(9,F203:F203)/(4*1))*100,"")</f>
        <v>0</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f ca="1">IF(INT($A$1)&gt;3,(SUBTOTAL(9,F212:F212)/(4*1))*100,"")</f>
        <v>0</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f ca="1">IF(INT($A$1)&gt;3,(SUBTOTAL(9,F214:F214)/(4*1))*100,"")</f>
        <v>0</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f ca="1">IF(INT($A$1)&gt;3,(SUBTOTAL(9,F216:F216)/(4*1))*100,"")</f>
        <v>0</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f ca="1">IF(INT($A$1)&gt;3,(SUBTOTAL(9,F225:F225)/(4*1))*100,"")</f>
        <v>0</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f ca="1">IF(INT($A$1)&gt;3,(SUBTOTAL(9,F227:F227)/(4*1))*100,"")</f>
        <v>0</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f ca="1">IF(INT($A$1)&gt;3,(SUBTOTAL(9,F229:F229)/(4*1))*100,"")</f>
        <v>0</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f ca="1">IF(INT($A$1)&gt;3,(SUBTOTAL(9,F231:F231)/(4*1))*100,"")</f>
        <v>0</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f ca="1">IF(INT($A$1)&gt;3,(SUBTOTAL(9,F233:F233)/(4*1))*100,"")</f>
        <v>0</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f ca="1">IF(INT($A$1)&gt;3,(SUBTOTAL(9,F235:F235)/(4*1))*100,"")</f>
        <v>0</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f ca="1">IF(INT($A$1)&gt;3,(SUBTOTAL(9,F237:F237)/(4*1))*100,"")</f>
        <v>0</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NKET (Nilai Kinerja 4 Tahunan)</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63" priority="2">
      <formula>IF($A$1="4",FALSE,TRUE)</formula>
    </cfRule>
  </conditionalFormatting>
  <conditionalFormatting sqref="A234:XFD234 A236:XFD236 G235:XFD235 A237:E237 G237:XFD237 A235:E235">
    <cfRule type="expression" dxfId="562"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18.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190" workbookViewId="0">
      <selection activeCell="F203" sqref="F203"/>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4</v>
      </c>
      <c r="B1" s="55" t="str">
        <f ca="1">MID(CELL("filename",B1),FIND("]",CELL("filename",B1))+1,255)</f>
        <v>Kasi-Thn-4</v>
      </c>
      <c r="C1" s="55" t="str">
        <f ca="1">MID(B1,1,LEN(B1)-6)</f>
        <v>Kasi</v>
      </c>
      <c r="D1" s="55" t="str">
        <f ca="1">INDIRECT("'Sampul-Thn-"&amp;A1&amp;"'!E14") &amp; "    ( " &amp;INDIRECT("'Sampul-Thn-"&amp;A1&amp;"'!E15") &amp; " )"</f>
        <v>118   Tahun     11   Bulan    (  )</v>
      </c>
      <c r="I1" s="307" t="str">
        <f>HYPERLINK("#Menu!A1","↖")</f>
        <v>↖</v>
      </c>
    </row>
    <row r="2" spans="1:9" ht="23.25">
      <c r="B2" s="50" t="str">
        <f ca="1">"A. Instrumen Penilaian Kinerja Tahunan Kepala Madrasah ( Tahun ke " &amp;A1&amp;" )"</f>
        <v>A. Instrumen Penilaian Kinerja Tahunan Kepala Madrasah ( Tahun ke 4 )</v>
      </c>
    </row>
    <row r="3" spans="1:9" ht="15.75">
      <c r="B3" s="51" t="str">
        <f ca="1">PROPER("Periode Penilaian : " &amp;INDIRECT("'Sampul-Thn-"&amp;A1&amp;"'!C6"))</f>
        <v>Periode Penilaian : Januari S/D Desember 2018</v>
      </c>
    </row>
    <row r="4" spans="1:9" ht="15.75">
      <c r="B4" s="51" t="str">
        <f ca="1">"Kamad yang dinilai : " &amp;INDIRECT("'Sampul-Thn-"&amp;A1&amp;"'!E8") &amp; "    (" &amp;INDIRECT("'Sampul-Thn-"&amp;A1&amp;"'!E10")&amp;" ) "</f>
        <v xml:space="preserve">Kamad yang dinilai :     ( ) </v>
      </c>
    </row>
    <row r="5" spans="1:9" ht="15.75">
      <c r="B5" s="51" t="str">
        <f ca="1">"Penilai : " &amp;IF(C1="Pengawas",D1,C1)</f>
        <v>Penilai : Kasi</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f ca="1">IF(INT($A$1)&gt;3,(SUBTOTAL(9,F190:F190)/(4*1))*100,"")</f>
        <v>0</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f ca="1">IF(INT($A$1)&gt;3,(SUBTOTAL(9,F192:F192)/(4*1))*100,"")</f>
        <v>0</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f ca="1">IF(INT($A$1)&gt;3,(SUBTOTAL(9,F201:F201)/(4*1))*100,"")</f>
        <v>0</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f ca="1">IF(INT($A$1)&gt;3,(SUBTOTAL(9,F203:F203)/(4*1))*100,"")</f>
        <v>0</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f ca="1">IF(INT($A$1)&gt;3,(SUBTOTAL(9,F212:F212)/(4*1))*100,"")</f>
        <v>0</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f ca="1">IF(INT($A$1)&gt;3,(SUBTOTAL(9,F214:F214)/(4*1))*100,"")</f>
        <v>0</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f ca="1">IF(INT($A$1)&gt;3,(SUBTOTAL(9,F216:F216)/(4*1))*100,"")</f>
        <v>0</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f ca="1">IF(INT($A$1)&gt;3,(SUBTOTAL(9,F225:F225)/(4*1))*100,"")</f>
        <v>0</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f ca="1">IF(INT($A$1)&gt;3,(SUBTOTAL(9,F227:F227)/(4*1))*100,"")</f>
        <v>0</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f ca="1">IF(INT($A$1)&gt;3,(SUBTOTAL(9,F229:F229)/(4*1))*100,"")</f>
        <v>0</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f ca="1">IF(INT($A$1)&gt;3,(SUBTOTAL(9,F231:F231)/(4*1))*100,"")</f>
        <v>0</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f ca="1">IF(INT($A$1)&gt;3,(SUBTOTAL(9,F233:F233)/(4*1))*100,"")</f>
        <v>0</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f ca="1">IF(INT($A$1)&gt;3,(SUBTOTAL(9,F235:F235)/(4*1))*100,"")</f>
        <v>0</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f ca="1">IF(INT($A$1)&gt;3,(SUBTOTAL(9,F237:F237)/(4*1))*100,"")</f>
        <v>0</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NKET (Nilai Kinerja 4 Tahunan)</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61" priority="2">
      <formula>IF($A$1="4",FALSE,TRUE)</formula>
    </cfRule>
  </conditionalFormatting>
  <conditionalFormatting sqref="A234:XFD234 A236:XFD236 G235:XFD235 A237:E237 G237:XFD237 A235:E235">
    <cfRule type="expression" dxfId="560"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19.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218" workbookViewId="0">
      <selection activeCell="F231" sqref="F231"/>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4</v>
      </c>
      <c r="B1" s="55" t="str">
        <f ca="1">MID(CELL("filename",B1),FIND("]",CELL("filename",B1))+1,255)</f>
        <v>Pengawas-Thn-4</v>
      </c>
      <c r="C1" s="55" t="str">
        <f ca="1">MID(B1,1,LEN(B1)-6)</f>
        <v>Pengawas</v>
      </c>
      <c r="D1" s="55" t="str">
        <f ca="1">INDIRECT("'Sampul-Thn-"&amp;A1&amp;"'!E14") &amp; "    ( " &amp;INDIRECT("'Sampul-Thn-"&amp;A1&amp;"'!E15") &amp; " )"</f>
        <v>118   Tahun     11   Bulan    (  )</v>
      </c>
      <c r="I1" s="307" t="str">
        <f>HYPERLINK("#Menu!A1","↖")</f>
        <v>↖</v>
      </c>
    </row>
    <row r="2" spans="1:9" ht="23.25">
      <c r="B2" s="50" t="str">
        <f ca="1">"A. Instrumen Penilaian Kinerja Tahunan Kepala Madrasah ( Tahun ke " &amp;A1&amp;" )"</f>
        <v>A. Instrumen Penilaian Kinerja Tahunan Kepala Madrasah ( Tahun ke 4 )</v>
      </c>
    </row>
    <row r="3" spans="1:9" ht="15.75">
      <c r="B3" s="51" t="str">
        <f ca="1">PROPER("Periode Penilaian : " &amp;INDIRECT("'Sampul-Thn-"&amp;A1&amp;"'!C6"))</f>
        <v>Periode Penilaian : Januari S/D Desember 2018</v>
      </c>
    </row>
    <row r="4" spans="1:9" ht="15.75">
      <c r="B4" s="51" t="str">
        <f ca="1">"Kamad yang dinilai : " &amp;INDIRECT("'Sampul-Thn-"&amp;A1&amp;"'!E8") &amp; "    (" &amp;INDIRECT("'Sampul-Thn-"&amp;A1&amp;"'!E10")&amp;" ) "</f>
        <v xml:space="preserve">Kamad yang dinilai :     ( ) </v>
      </c>
    </row>
    <row r="5" spans="1:9" ht="15.75">
      <c r="B5" s="51" t="str">
        <f ca="1">"Penilai : " &amp;IF(C1="Pengawas",D1,C1)</f>
        <v>Penilai : 118   Tahun     11   Bulan    (  )</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f ca="1">IF(INT($A$1)&gt;3,(SUBTOTAL(9,F190:F190)/(4*1))*100,"")</f>
        <v>0</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f ca="1">IF(INT($A$1)&gt;3,(SUBTOTAL(9,F192:F192)/(4*1))*100,"")</f>
        <v>0</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f ca="1">IF(INT($A$1)&gt;3,(SUBTOTAL(9,F201:F201)/(4*1))*100,"")</f>
        <v>0</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f ca="1">IF(INT($A$1)&gt;3,(SUBTOTAL(9,F203:F203)/(4*1))*100,"")</f>
        <v>0</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f ca="1">IF(INT($A$1)&gt;3,(SUBTOTAL(9,F212:F212)/(4*1))*100,"")</f>
        <v>0</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f ca="1">IF(INT($A$1)&gt;3,(SUBTOTAL(9,F214:F214)/(4*1))*100,"")</f>
        <v>0</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f ca="1">IF(INT($A$1)&gt;3,(SUBTOTAL(9,F216:F216)/(4*1))*100,"")</f>
        <v>0</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f ca="1">IF(INT($A$1)&gt;3,(SUBTOTAL(9,F225:F225)/(4*1))*100,"")</f>
        <v>0</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f ca="1">IF(INT($A$1)&gt;3,(SUBTOTAL(9,F227:F227)/(4*1))*100,"")</f>
        <v>0</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f ca="1">IF(INT($A$1)&gt;3,(SUBTOTAL(9,F229:F229)/(4*1))*100,"")</f>
        <v>0</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f ca="1">IF(INT($A$1)&gt;3,(SUBTOTAL(9,F231:F231)/(4*1))*100,"")</f>
        <v>0</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f ca="1">IF(INT($A$1)&gt;3,(SUBTOTAL(9,F233:F233)/(4*1))*100,"")</f>
        <v>0</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f ca="1">IF(INT($A$1)&gt;3,(SUBTOTAL(9,F235:F235)/(4*1))*100,"")</f>
        <v>0</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f ca="1">IF(INT($A$1)&gt;3,(SUBTOTAL(9,F237:F237)/(4*1))*100,"")</f>
        <v>0</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NKET (Nilai Kinerja 4 Tahunan)</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59" priority="2">
      <formula>IF($A$1="4",FALSE,TRUE)</formula>
    </cfRule>
  </conditionalFormatting>
  <conditionalFormatting sqref="A234:XFD234 A236:XFD236 G235:XFD235 A237:E237 G237:XFD237 A235:E235">
    <cfRule type="expression" dxfId="558"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2.xml><?xml version="1.0" encoding="utf-8"?>
<worksheet xmlns="http://schemas.openxmlformats.org/spreadsheetml/2006/main" xmlns:r="http://schemas.openxmlformats.org/officeDocument/2006/relationships">
  <sheetPr codeName="Sheet4">
    <tabColor rgb="FF009900"/>
    <pageSetUpPr fitToPage="1"/>
  </sheetPr>
  <dimension ref="A1:AF57"/>
  <sheetViews>
    <sheetView showGridLines="0" zoomScale="85" zoomScaleNormal="85" workbookViewId="0">
      <selection activeCell="I4" sqref="I4:J4"/>
    </sheetView>
  </sheetViews>
  <sheetFormatPr defaultColWidth="0" defaultRowHeight="15" zeroHeight="1"/>
  <cols>
    <col min="1" max="1" width="3.140625" style="9" customWidth="1"/>
    <col min="2" max="2" width="1.5703125" style="9" customWidth="1"/>
    <col min="3" max="3" width="33" style="21" customWidth="1"/>
    <col min="4" max="4" width="2.7109375" style="9" customWidth="1"/>
    <col min="5" max="5" width="14.140625" style="9" customWidth="1"/>
    <col min="6" max="6" width="4.42578125" style="9" customWidth="1"/>
    <col min="7" max="7" width="8.5703125" style="9" customWidth="1"/>
    <col min="8" max="8" width="7" style="9" customWidth="1"/>
    <col min="9" max="9" width="20.5703125" style="9" customWidth="1"/>
    <col min="10" max="10" width="18" style="9" customWidth="1"/>
    <col min="11" max="11" width="2.85546875" style="9" customWidth="1"/>
    <col min="12" max="14" width="9.140625" style="9" hidden="1" customWidth="1"/>
    <col min="15" max="15" width="27.42578125" style="9" hidden="1" customWidth="1"/>
    <col min="16" max="16" width="7.140625" style="9" hidden="1" customWidth="1"/>
    <col min="17" max="17" width="7.42578125" style="9" hidden="1" customWidth="1"/>
    <col min="18" max="18" width="6.5703125" style="9" hidden="1" customWidth="1"/>
    <col min="19" max="32" width="0" style="9" hidden="1" customWidth="1"/>
    <col min="33" max="16384" width="9.140625" style="9" hidden="1"/>
  </cols>
  <sheetData>
    <row r="1" spans="1:32" s="15" customFormat="1" ht="18.75">
      <c r="A1" s="15" t="s">
        <v>580</v>
      </c>
      <c r="C1" s="42"/>
      <c r="D1" s="42"/>
      <c r="E1" s="42"/>
      <c r="F1" s="42"/>
      <c r="G1" s="42"/>
      <c r="H1" s="42"/>
      <c r="I1" s="42"/>
      <c r="J1" s="308"/>
    </row>
    <row r="2" spans="1:32" s="15" customFormat="1" ht="24.75" customHeight="1">
      <c r="C2" s="332" t="s">
        <v>326</v>
      </c>
      <c r="D2" s="332"/>
      <c r="E2" s="332"/>
      <c r="F2" s="332"/>
      <c r="G2" s="332"/>
      <c r="H2" s="332"/>
      <c r="I2" s="332"/>
      <c r="J2" s="332"/>
      <c r="O2" s="26" t="s">
        <v>43</v>
      </c>
      <c r="P2" s="26" t="s">
        <v>44</v>
      </c>
      <c r="Q2" s="26" t="s">
        <v>45</v>
      </c>
      <c r="R2" s="26" t="s">
        <v>46</v>
      </c>
      <c r="S2" s="26" t="s">
        <v>47</v>
      </c>
      <c r="T2" s="26" t="s">
        <v>48</v>
      </c>
      <c r="U2" s="26" t="s">
        <v>49</v>
      </c>
      <c r="V2" s="26" t="s">
        <v>50</v>
      </c>
      <c r="W2" s="26" t="s">
        <v>51</v>
      </c>
      <c r="X2" s="26" t="s">
        <v>52</v>
      </c>
      <c r="Y2" s="26" t="s">
        <v>53</v>
      </c>
      <c r="Z2" s="26" t="s">
        <v>54</v>
      </c>
      <c r="AA2" s="26" t="s">
        <v>55</v>
      </c>
      <c r="AB2" s="27"/>
      <c r="AC2" s="28" t="s">
        <v>56</v>
      </c>
      <c r="AD2" s="28" t="s">
        <v>57</v>
      </c>
      <c r="AE2" s="28" t="s">
        <v>58</v>
      </c>
      <c r="AF2" s="28" t="s">
        <v>59</v>
      </c>
    </row>
    <row r="3" spans="1:32" s="15" customFormat="1" ht="21.75" customHeight="1">
      <c r="C3" s="23" t="s">
        <v>334</v>
      </c>
      <c r="D3" s="15" t="s">
        <v>24</v>
      </c>
      <c r="E3" s="331" t="s">
        <v>593</v>
      </c>
      <c r="F3" s="331"/>
      <c r="G3" s="331"/>
      <c r="H3" s="331"/>
      <c r="I3" s="331"/>
      <c r="J3" s="331"/>
      <c r="O3" s="29" t="s">
        <v>60</v>
      </c>
      <c r="P3" s="30">
        <v>0</v>
      </c>
      <c r="Q3" s="30">
        <v>0</v>
      </c>
      <c r="R3" s="30">
        <v>0</v>
      </c>
      <c r="S3" s="30">
        <v>0</v>
      </c>
      <c r="T3" s="30">
        <v>0</v>
      </c>
      <c r="U3" s="31">
        <v>0</v>
      </c>
      <c r="V3" s="31">
        <v>0</v>
      </c>
      <c r="W3" s="31">
        <v>0</v>
      </c>
      <c r="X3" s="31">
        <v>0</v>
      </c>
      <c r="Y3" s="31">
        <v>0</v>
      </c>
      <c r="Z3" s="31">
        <v>0</v>
      </c>
      <c r="AA3" s="31">
        <v>0</v>
      </c>
      <c r="AB3" s="27"/>
      <c r="AC3" s="32">
        <v>0</v>
      </c>
      <c r="AD3" s="30" t="s">
        <v>44</v>
      </c>
      <c r="AE3" s="33">
        <v>0.25</v>
      </c>
      <c r="AF3" s="30">
        <v>1</v>
      </c>
    </row>
    <row r="4" spans="1:32" s="15" customFormat="1" ht="21.75" customHeight="1">
      <c r="C4" s="23" t="s">
        <v>25</v>
      </c>
      <c r="D4" s="15" t="s">
        <v>24</v>
      </c>
      <c r="E4" s="329" t="s">
        <v>29</v>
      </c>
      <c r="F4" s="329"/>
      <c r="G4" s="329"/>
      <c r="H4" s="19" t="s">
        <v>26</v>
      </c>
      <c r="I4" s="329" t="s">
        <v>29</v>
      </c>
      <c r="J4" s="329"/>
      <c r="O4" s="34" t="s">
        <v>61</v>
      </c>
      <c r="P4" s="30">
        <v>2.62</v>
      </c>
      <c r="Q4" s="30">
        <v>5.25</v>
      </c>
      <c r="R4" s="30">
        <v>7.87</v>
      </c>
      <c r="S4" s="30">
        <v>10.5</v>
      </c>
      <c r="T4" s="30">
        <v>13.12</v>
      </c>
      <c r="U4" s="35">
        <v>50</v>
      </c>
      <c r="V4" s="36">
        <v>3</v>
      </c>
      <c r="W4" s="36"/>
      <c r="X4" s="36">
        <f>V4+W4</f>
        <v>3</v>
      </c>
      <c r="Y4" s="36">
        <f>0.1*U4</f>
        <v>5</v>
      </c>
      <c r="Z4" s="36">
        <f>U4-X4-Y4</f>
        <v>42</v>
      </c>
      <c r="AA4" s="36">
        <f t="shared" ref="AA4:AA11" si="0">Z4/4</f>
        <v>10.5</v>
      </c>
      <c r="AB4" s="27"/>
      <c r="AC4" s="32">
        <v>51</v>
      </c>
      <c r="AD4" s="30" t="s">
        <v>45</v>
      </c>
      <c r="AE4" s="33">
        <v>0.5</v>
      </c>
      <c r="AF4" s="30">
        <v>2</v>
      </c>
    </row>
    <row r="5" spans="1:32" s="15" customFormat="1" ht="21.75" customHeight="1">
      <c r="C5" s="23" t="s">
        <v>27</v>
      </c>
      <c r="D5" s="15" t="s">
        <v>24</v>
      </c>
      <c r="E5" s="37" t="s">
        <v>582</v>
      </c>
      <c r="F5" s="20" t="s">
        <v>26</v>
      </c>
      <c r="G5" s="333">
        <v>30380</v>
      </c>
      <c r="H5" s="333"/>
      <c r="I5" s="333"/>
      <c r="J5" s="19"/>
      <c r="K5" s="17"/>
      <c r="O5" s="34" t="s">
        <v>62</v>
      </c>
      <c r="P5" s="30">
        <v>2.37</v>
      </c>
      <c r="Q5" s="30">
        <v>4.75</v>
      </c>
      <c r="R5" s="30">
        <v>7.12</v>
      </c>
      <c r="S5" s="30">
        <v>9.5</v>
      </c>
      <c r="T5" s="30">
        <v>11.87</v>
      </c>
      <c r="U5" s="35">
        <v>50</v>
      </c>
      <c r="V5" s="36">
        <v>3</v>
      </c>
      <c r="W5" s="36">
        <v>4</v>
      </c>
      <c r="X5" s="36">
        <f t="shared" ref="X5:X11" si="1">V5+W5</f>
        <v>7</v>
      </c>
      <c r="Y5" s="36">
        <f t="shared" ref="Y5:Y11" si="2">0.1*U5</f>
        <v>5</v>
      </c>
      <c r="Z5" s="36">
        <f t="shared" ref="Z5:Z11" si="3">U5-X5-Y5</f>
        <v>38</v>
      </c>
      <c r="AA5" s="36">
        <f t="shared" si="0"/>
        <v>9.5</v>
      </c>
      <c r="AB5" s="27"/>
      <c r="AC5" s="32">
        <v>61</v>
      </c>
      <c r="AD5" s="30" t="s">
        <v>46</v>
      </c>
      <c r="AE5" s="33">
        <v>0.75</v>
      </c>
      <c r="AF5" s="30">
        <v>3</v>
      </c>
    </row>
    <row r="6" spans="1:32" s="15" customFormat="1" ht="21.75" customHeight="1">
      <c r="C6" s="23" t="s">
        <v>28</v>
      </c>
      <c r="D6" s="15" t="s">
        <v>24</v>
      </c>
      <c r="E6" s="331" t="s">
        <v>60</v>
      </c>
      <c r="F6" s="331"/>
      <c r="G6" s="331"/>
      <c r="H6" s="331"/>
      <c r="I6" s="331"/>
      <c r="J6" s="19"/>
      <c r="K6" s="17"/>
      <c r="O6" s="34" t="s">
        <v>63</v>
      </c>
      <c r="P6" s="30">
        <v>5.0599999999999996</v>
      </c>
      <c r="Q6" s="30">
        <v>10.119999999999999</v>
      </c>
      <c r="R6" s="30">
        <v>15.18</v>
      </c>
      <c r="S6" s="30">
        <v>20.25</v>
      </c>
      <c r="T6" s="30">
        <v>25.31</v>
      </c>
      <c r="U6" s="35">
        <v>100</v>
      </c>
      <c r="V6" s="36">
        <v>3</v>
      </c>
      <c r="W6" s="36">
        <v>6</v>
      </c>
      <c r="X6" s="36">
        <f t="shared" si="1"/>
        <v>9</v>
      </c>
      <c r="Y6" s="36">
        <f t="shared" si="2"/>
        <v>10</v>
      </c>
      <c r="Z6" s="36">
        <f t="shared" si="3"/>
        <v>81</v>
      </c>
      <c r="AA6" s="36">
        <f t="shared" si="0"/>
        <v>20.25</v>
      </c>
      <c r="AB6" s="27"/>
      <c r="AC6" s="32">
        <v>76</v>
      </c>
      <c r="AD6" s="30" t="s">
        <v>47</v>
      </c>
      <c r="AE6" s="33">
        <v>1</v>
      </c>
      <c r="AF6" s="30">
        <v>4</v>
      </c>
    </row>
    <row r="7" spans="1:32" s="15" customFormat="1" ht="21.75" customHeight="1">
      <c r="C7" s="23" t="s">
        <v>30</v>
      </c>
      <c r="D7" s="15" t="s">
        <v>24</v>
      </c>
      <c r="E7" s="333">
        <v>42323</v>
      </c>
      <c r="F7" s="333"/>
      <c r="G7" s="333"/>
      <c r="H7" s="19"/>
      <c r="I7" s="19"/>
      <c r="J7" s="19"/>
      <c r="K7" s="17"/>
      <c r="O7" s="34" t="s">
        <v>64</v>
      </c>
      <c r="P7" s="30">
        <v>4.87</v>
      </c>
      <c r="Q7" s="30">
        <v>9.75</v>
      </c>
      <c r="R7" s="30">
        <v>14.62</v>
      </c>
      <c r="S7" s="30">
        <v>19.5</v>
      </c>
      <c r="T7" s="30">
        <v>24.37</v>
      </c>
      <c r="U7" s="35">
        <v>100</v>
      </c>
      <c r="V7" s="36">
        <v>4</v>
      </c>
      <c r="W7" s="36">
        <v>8</v>
      </c>
      <c r="X7" s="36">
        <f t="shared" si="1"/>
        <v>12</v>
      </c>
      <c r="Y7" s="36">
        <f t="shared" si="2"/>
        <v>10</v>
      </c>
      <c r="Z7" s="36">
        <f t="shared" si="3"/>
        <v>78</v>
      </c>
      <c r="AA7" s="36">
        <f t="shared" si="0"/>
        <v>19.5</v>
      </c>
      <c r="AB7" s="27"/>
      <c r="AC7" s="32">
        <v>91</v>
      </c>
      <c r="AD7" s="30" t="s">
        <v>48</v>
      </c>
      <c r="AE7" s="33">
        <v>1.25</v>
      </c>
      <c r="AF7" s="30">
        <v>5</v>
      </c>
    </row>
    <row r="8" spans="1:32" s="15" customFormat="1" ht="21.75" customHeight="1">
      <c r="C8" s="23" t="s">
        <v>31</v>
      </c>
      <c r="D8" s="15" t="s">
        <v>24</v>
      </c>
      <c r="E8" s="334" t="e">
        <f>DATEDIF(E7,E33,"y") &amp; "   Tahun     " &amp; DATEDIF(E7,E33,"ym") &amp; "   Bulan"</f>
        <v>#NUM!</v>
      </c>
      <c r="F8" s="334"/>
      <c r="G8" s="334"/>
      <c r="H8" s="334"/>
      <c r="I8" s="19"/>
      <c r="J8" s="19"/>
      <c r="K8" s="17"/>
      <c r="O8" s="34" t="s">
        <v>65</v>
      </c>
      <c r="P8" s="30">
        <v>7.43</v>
      </c>
      <c r="Q8" s="30">
        <v>14.87</v>
      </c>
      <c r="R8" s="30">
        <v>22.31</v>
      </c>
      <c r="S8" s="30">
        <v>29.75</v>
      </c>
      <c r="T8" s="30">
        <v>37.18</v>
      </c>
      <c r="U8" s="35">
        <v>150</v>
      </c>
      <c r="V8" s="36">
        <v>4</v>
      </c>
      <c r="W8" s="36">
        <v>12</v>
      </c>
      <c r="X8" s="36">
        <f t="shared" si="1"/>
        <v>16</v>
      </c>
      <c r="Y8" s="36">
        <f t="shared" si="2"/>
        <v>15</v>
      </c>
      <c r="Z8" s="36">
        <f t="shared" si="3"/>
        <v>119</v>
      </c>
      <c r="AA8" s="36">
        <f t="shared" si="0"/>
        <v>29.75</v>
      </c>
      <c r="AB8" s="27"/>
      <c r="AC8" s="27"/>
      <c r="AD8" s="27"/>
      <c r="AE8" s="27"/>
      <c r="AF8" s="27"/>
    </row>
    <row r="9" spans="1:32" s="15" customFormat="1" ht="21.75" customHeight="1">
      <c r="C9" s="23" t="s">
        <v>32</v>
      </c>
      <c r="D9" s="15" t="s">
        <v>24</v>
      </c>
      <c r="E9" s="328">
        <v>6637761663110070</v>
      </c>
      <c r="F9" s="328"/>
      <c r="G9" s="328"/>
      <c r="H9" s="19"/>
      <c r="I9" s="19"/>
      <c r="J9" s="19"/>
      <c r="K9" s="17"/>
      <c r="O9" s="34" t="s">
        <v>66</v>
      </c>
      <c r="P9" s="30">
        <v>7.4</v>
      </c>
      <c r="Q9" s="30">
        <v>14.87</v>
      </c>
      <c r="R9" s="30">
        <v>22.31</v>
      </c>
      <c r="S9" s="30">
        <v>29.75</v>
      </c>
      <c r="T9" s="30">
        <v>37.18</v>
      </c>
      <c r="U9" s="35">
        <v>150</v>
      </c>
      <c r="V9" s="36">
        <v>4</v>
      </c>
      <c r="W9" s="36">
        <v>12</v>
      </c>
      <c r="X9" s="36">
        <f t="shared" si="1"/>
        <v>16</v>
      </c>
      <c r="Y9" s="36">
        <f t="shared" si="2"/>
        <v>15</v>
      </c>
      <c r="Z9" s="36">
        <f t="shared" si="3"/>
        <v>119</v>
      </c>
      <c r="AA9" s="36">
        <f t="shared" si="0"/>
        <v>29.75</v>
      </c>
      <c r="AB9" s="27"/>
      <c r="AC9" s="27"/>
      <c r="AD9" s="27"/>
      <c r="AE9" s="27"/>
      <c r="AF9" s="27"/>
    </row>
    <row r="10" spans="1:32" s="15" customFormat="1" ht="21.75" customHeight="1">
      <c r="C10" s="23" t="s">
        <v>33</v>
      </c>
      <c r="D10" s="15" t="s">
        <v>24</v>
      </c>
      <c r="E10" s="328" t="s">
        <v>581</v>
      </c>
      <c r="F10" s="328"/>
      <c r="G10" s="328"/>
      <c r="H10" s="19"/>
      <c r="I10" s="19"/>
      <c r="J10" s="19"/>
      <c r="K10" s="17"/>
      <c r="O10" s="34" t="s">
        <v>67</v>
      </c>
      <c r="P10" s="30">
        <v>7.25</v>
      </c>
      <c r="Q10" s="30">
        <v>14.5</v>
      </c>
      <c r="R10" s="30">
        <v>21.75</v>
      </c>
      <c r="S10" s="30">
        <v>29</v>
      </c>
      <c r="T10" s="30">
        <v>36.25</v>
      </c>
      <c r="U10" s="35">
        <v>150</v>
      </c>
      <c r="V10" s="36">
        <v>5</v>
      </c>
      <c r="W10" s="36">
        <v>14</v>
      </c>
      <c r="X10" s="36">
        <f t="shared" si="1"/>
        <v>19</v>
      </c>
      <c r="Y10" s="36">
        <f t="shared" si="2"/>
        <v>15</v>
      </c>
      <c r="Z10" s="36">
        <f t="shared" si="3"/>
        <v>116</v>
      </c>
      <c r="AA10" s="36">
        <f t="shared" si="0"/>
        <v>29</v>
      </c>
      <c r="AB10" s="27"/>
      <c r="AC10" s="27"/>
      <c r="AD10" s="27"/>
      <c r="AE10" s="27"/>
      <c r="AF10" s="27"/>
    </row>
    <row r="11" spans="1:32" s="15" customFormat="1" ht="21.75" customHeight="1">
      <c r="C11" s="23" t="s">
        <v>34</v>
      </c>
      <c r="D11" s="15" t="s">
        <v>24</v>
      </c>
      <c r="E11" s="328" t="s">
        <v>583</v>
      </c>
      <c r="F11" s="328"/>
      <c r="G11" s="328"/>
      <c r="H11" s="328"/>
      <c r="I11" s="328"/>
      <c r="J11" s="19"/>
      <c r="K11" s="17"/>
      <c r="O11" s="34" t="s">
        <v>68</v>
      </c>
      <c r="P11" s="30">
        <v>9.69</v>
      </c>
      <c r="Q11" s="30">
        <v>19.38</v>
      </c>
      <c r="R11" s="30">
        <v>29.06</v>
      </c>
      <c r="S11" s="30">
        <v>38.75</v>
      </c>
      <c r="T11" s="30">
        <v>48.44</v>
      </c>
      <c r="U11" s="35">
        <v>200</v>
      </c>
      <c r="V11" s="36">
        <v>5</v>
      </c>
      <c r="W11" s="36">
        <v>20</v>
      </c>
      <c r="X11" s="36">
        <f t="shared" si="1"/>
        <v>25</v>
      </c>
      <c r="Y11" s="36">
        <f t="shared" si="2"/>
        <v>20</v>
      </c>
      <c r="Z11" s="36">
        <f t="shared" si="3"/>
        <v>155</v>
      </c>
      <c r="AA11" s="36">
        <f t="shared" si="0"/>
        <v>38.75</v>
      </c>
      <c r="AB11" s="27"/>
      <c r="AC11" s="27"/>
      <c r="AD11" s="27"/>
      <c r="AE11" s="27"/>
      <c r="AF11" s="27"/>
    </row>
    <row r="12" spans="1:32" s="15" customFormat="1" ht="21.75" customHeight="1">
      <c r="C12" s="23" t="s">
        <v>35</v>
      </c>
      <c r="D12" s="15" t="s">
        <v>24</v>
      </c>
      <c r="E12" s="328" t="s">
        <v>592</v>
      </c>
      <c r="F12" s="328"/>
      <c r="G12" s="328"/>
      <c r="H12" s="328"/>
      <c r="I12" s="328"/>
      <c r="J12" s="19"/>
      <c r="K12" s="17"/>
    </row>
    <row r="13" spans="1:32" s="15" customFormat="1" ht="10.5" customHeight="1">
      <c r="C13" s="23"/>
      <c r="E13" s="154"/>
      <c r="F13" s="154"/>
      <c r="G13" s="154"/>
      <c r="H13" s="154"/>
      <c r="I13" s="154"/>
      <c r="J13" s="19"/>
      <c r="K13" s="17"/>
    </row>
    <row r="14" spans="1:32" s="15" customFormat="1" ht="24.75" customHeight="1">
      <c r="C14" s="332" t="s">
        <v>327</v>
      </c>
      <c r="D14" s="332"/>
      <c r="E14" s="332"/>
      <c r="F14" s="332"/>
      <c r="G14" s="332"/>
      <c r="H14" s="332"/>
      <c r="I14" s="332"/>
      <c r="J14" s="332"/>
    </row>
    <row r="15" spans="1:32" s="15" customFormat="1" ht="21.75" customHeight="1">
      <c r="C15" s="23" t="s">
        <v>36</v>
      </c>
      <c r="D15" s="15" t="s">
        <v>24</v>
      </c>
      <c r="E15" s="328" t="s">
        <v>584</v>
      </c>
      <c r="F15" s="328"/>
      <c r="G15" s="328"/>
      <c r="H15" s="328"/>
      <c r="I15" s="328"/>
      <c r="J15" s="19"/>
      <c r="K15" s="17"/>
      <c r="M15" s="15" t="s">
        <v>579</v>
      </c>
    </row>
    <row r="16" spans="1:32" s="15" customFormat="1" ht="21.75" customHeight="1">
      <c r="C16" s="23" t="s">
        <v>333</v>
      </c>
      <c r="D16" s="15" t="s">
        <v>24</v>
      </c>
      <c r="E16" s="328" t="s">
        <v>594</v>
      </c>
      <c r="F16" s="328"/>
      <c r="G16" s="328"/>
      <c r="H16" s="328"/>
      <c r="I16" s="328"/>
      <c r="J16" s="19"/>
      <c r="K16" s="17"/>
    </row>
    <row r="17" spans="3:11" s="15" customFormat="1" ht="21.75" customHeight="1">
      <c r="C17" s="23" t="s">
        <v>37</v>
      </c>
      <c r="D17" s="15" t="s">
        <v>24</v>
      </c>
      <c r="E17" s="329" t="s">
        <v>591</v>
      </c>
      <c r="F17" s="329"/>
      <c r="G17" s="329"/>
      <c r="H17" s="329"/>
      <c r="I17" s="329"/>
      <c r="J17" s="19"/>
      <c r="K17" s="17"/>
    </row>
    <row r="18" spans="3:11" s="15" customFormat="1" ht="21.75" customHeight="1">
      <c r="C18" s="23" t="s">
        <v>38</v>
      </c>
      <c r="D18" s="15" t="s">
        <v>24</v>
      </c>
      <c r="E18" s="328" t="s">
        <v>585</v>
      </c>
      <c r="F18" s="328"/>
      <c r="G18" s="328"/>
      <c r="H18" s="328"/>
      <c r="I18" s="328"/>
      <c r="J18" s="19"/>
      <c r="K18" s="17"/>
    </row>
    <row r="19" spans="3:11" s="15" customFormat="1" ht="21.75" customHeight="1">
      <c r="C19" s="23" t="s">
        <v>39</v>
      </c>
      <c r="D19" s="15" t="s">
        <v>24</v>
      </c>
      <c r="E19" s="328" t="s">
        <v>586</v>
      </c>
      <c r="F19" s="328"/>
      <c r="G19" s="328"/>
      <c r="H19" s="328"/>
      <c r="I19" s="328"/>
      <c r="J19" s="19"/>
      <c r="K19" s="17"/>
    </row>
    <row r="20" spans="3:11" s="15" customFormat="1" ht="21.75" customHeight="1">
      <c r="C20" s="23" t="s">
        <v>40</v>
      </c>
      <c r="D20" s="15" t="s">
        <v>24</v>
      </c>
      <c r="E20" s="328" t="s">
        <v>582</v>
      </c>
      <c r="F20" s="328"/>
      <c r="G20" s="328"/>
      <c r="H20" s="328"/>
      <c r="I20" s="328"/>
      <c r="J20" s="19"/>
      <c r="K20" s="17"/>
    </row>
    <row r="21" spans="3:11" s="15" customFormat="1" ht="21.75" customHeight="1">
      <c r="C21" s="23" t="s">
        <v>41</v>
      </c>
      <c r="D21" s="15" t="s">
        <v>24</v>
      </c>
      <c r="E21" s="328" t="s">
        <v>587</v>
      </c>
      <c r="F21" s="328"/>
      <c r="G21" s="328"/>
      <c r="H21" s="328"/>
      <c r="I21" s="328"/>
      <c r="J21" s="19"/>
      <c r="K21" s="17"/>
    </row>
    <row r="22" spans="3:11" s="15" customFormat="1" ht="10.5" customHeight="1">
      <c r="C22" s="23"/>
      <c r="E22" s="154"/>
      <c r="F22" s="154"/>
      <c r="G22" s="154"/>
      <c r="H22" s="154"/>
      <c r="I22" s="154"/>
      <c r="J22" s="19"/>
      <c r="K22" s="17"/>
    </row>
    <row r="23" spans="3:11" s="15" customFormat="1" ht="24.75" customHeight="1">
      <c r="C23" s="332" t="s">
        <v>328</v>
      </c>
      <c r="D23" s="332"/>
      <c r="E23" s="332"/>
      <c r="F23" s="332"/>
      <c r="G23" s="332"/>
      <c r="H23" s="332"/>
      <c r="I23" s="332"/>
      <c r="J23" s="332"/>
    </row>
    <row r="24" spans="3:11" s="15" customFormat="1" ht="21.75" customHeight="1">
      <c r="C24" s="23" t="s">
        <v>396</v>
      </c>
      <c r="D24" s="15" t="s">
        <v>24</v>
      </c>
      <c r="E24" s="328" t="s">
        <v>588</v>
      </c>
      <c r="F24" s="328"/>
      <c r="G24" s="328"/>
      <c r="H24" s="328"/>
      <c r="I24" s="328"/>
      <c r="J24" s="19"/>
      <c r="K24" s="17"/>
    </row>
    <row r="25" spans="3:11" s="15" customFormat="1" ht="21.75" customHeight="1">
      <c r="C25" s="23" t="s">
        <v>330</v>
      </c>
      <c r="D25" s="15" t="s">
        <v>24</v>
      </c>
      <c r="E25" s="329" t="s">
        <v>589</v>
      </c>
      <c r="F25" s="329"/>
      <c r="G25" s="329"/>
      <c r="H25" s="329"/>
      <c r="I25" s="329"/>
      <c r="J25" s="19"/>
      <c r="K25" s="17"/>
    </row>
    <row r="26" spans="3:11" s="15" customFormat="1" ht="21.75" customHeight="1">
      <c r="C26" s="23" t="s">
        <v>339</v>
      </c>
      <c r="D26" s="15" t="s">
        <v>24</v>
      </c>
      <c r="E26" s="331" t="s">
        <v>65</v>
      </c>
      <c r="F26" s="331"/>
      <c r="G26" s="331"/>
      <c r="H26" s="331"/>
      <c r="I26" s="331"/>
      <c r="J26" s="19"/>
      <c r="K26" s="17"/>
    </row>
    <row r="27" spans="3:11" s="15" customFormat="1" ht="21.75" customHeight="1">
      <c r="C27" s="23" t="s">
        <v>336</v>
      </c>
      <c r="D27" s="15" t="s">
        <v>24</v>
      </c>
      <c r="E27" s="328" t="s">
        <v>590</v>
      </c>
      <c r="F27" s="328"/>
      <c r="G27" s="328"/>
      <c r="H27" s="328"/>
      <c r="I27" s="328"/>
      <c r="J27" s="19"/>
      <c r="K27" s="17"/>
    </row>
    <row r="28" spans="3:11" s="15" customFormat="1" ht="24.75" customHeight="1">
      <c r="C28" s="23" t="s">
        <v>337</v>
      </c>
      <c r="D28" s="15" t="s">
        <v>24</v>
      </c>
      <c r="E28" s="328"/>
      <c r="F28" s="328"/>
      <c r="G28" s="328"/>
      <c r="H28" s="328"/>
      <c r="I28" s="328"/>
      <c r="J28" s="19"/>
      <c r="K28" s="17"/>
    </row>
    <row r="29" spans="3:11" s="15" customFormat="1" ht="21.75" customHeight="1">
      <c r="C29" s="23" t="s">
        <v>550</v>
      </c>
      <c r="D29" s="15" t="s">
        <v>24</v>
      </c>
      <c r="E29" s="328"/>
      <c r="F29" s="328"/>
      <c r="G29" s="328"/>
      <c r="H29" s="328"/>
      <c r="I29" s="328"/>
      <c r="J29" s="19"/>
      <c r="K29" s="17"/>
    </row>
    <row r="30" spans="3:11" s="15" customFormat="1" ht="21.75" customHeight="1">
      <c r="C30" s="23" t="s">
        <v>331</v>
      </c>
      <c r="D30" s="15" t="s">
        <v>24</v>
      </c>
      <c r="E30" s="327"/>
      <c r="F30" s="327"/>
      <c r="G30" s="154"/>
      <c r="H30" s="154"/>
      <c r="I30" s="154"/>
      <c r="J30" s="19"/>
      <c r="K30" s="17"/>
    </row>
    <row r="31" spans="3:11" s="15" customFormat="1" ht="21.75" customHeight="1">
      <c r="C31" s="23" t="s">
        <v>332</v>
      </c>
      <c r="D31" s="15" t="s">
        <v>24</v>
      </c>
      <c r="E31" s="327"/>
      <c r="F31" s="327"/>
      <c r="G31" s="330"/>
      <c r="H31" s="330"/>
      <c r="I31" s="155"/>
      <c r="J31" s="19"/>
      <c r="K31" s="17"/>
    </row>
    <row r="32" spans="3:11" s="15" customFormat="1">
      <c r="C32" s="22"/>
      <c r="K32" s="17"/>
    </row>
    <row r="33" spans="3:11" s="15" customFormat="1" ht="15.75">
      <c r="C33" s="194" t="s">
        <v>551</v>
      </c>
      <c r="D33" s="15" t="s">
        <v>24</v>
      </c>
      <c r="E33" s="327"/>
      <c r="F33" s="327"/>
      <c r="K33" s="17"/>
    </row>
    <row r="34" spans="3:11" s="15" customFormat="1" ht="15.75">
      <c r="C34" s="194" t="s">
        <v>552</v>
      </c>
      <c r="E34" s="148"/>
      <c r="F34" s="313" t="s">
        <v>553</v>
      </c>
      <c r="G34" s="327"/>
      <c r="H34" s="327"/>
      <c r="K34" s="17"/>
    </row>
    <row r="35" spans="3:11" s="15" customFormat="1" ht="63" customHeight="1">
      <c r="C35" s="22"/>
      <c r="K35" s="17"/>
    </row>
    <row r="36" spans="3:11"/>
    <row r="37" spans="3:11"/>
    <row r="38" spans="3:11"/>
    <row r="39" spans="3:11"/>
    <row r="40" spans="3:11"/>
    <row r="41" spans="3:11"/>
    <row r="42" spans="3:11"/>
    <row r="43" spans="3:11"/>
    <row r="44" spans="3:11"/>
    <row r="45" spans="3:11"/>
    <row r="46" spans="3:11"/>
    <row r="47" spans="3:11"/>
    <row r="48" spans="3:11"/>
    <row r="49"/>
    <row r="50"/>
    <row r="51"/>
    <row r="52"/>
    <row r="53"/>
    <row r="54"/>
    <row r="55"/>
    <row r="56"/>
    <row r="57"/>
  </sheetData>
  <sheetProtection sheet="1" objects="1" scenarios="1" selectLockedCells="1"/>
  <mergeCells count="32">
    <mergeCell ref="E30:F30"/>
    <mergeCell ref="E7:G7"/>
    <mergeCell ref="E20:I20"/>
    <mergeCell ref="E21:I21"/>
    <mergeCell ref="C2:J2"/>
    <mergeCell ref="I4:J4"/>
    <mergeCell ref="E3:J3"/>
    <mergeCell ref="E4:G4"/>
    <mergeCell ref="G5:I5"/>
    <mergeCell ref="E6:I6"/>
    <mergeCell ref="C14:J14"/>
    <mergeCell ref="E9:G9"/>
    <mergeCell ref="E10:G10"/>
    <mergeCell ref="E8:H8"/>
    <mergeCell ref="E16:I16"/>
    <mergeCell ref="E19:I19"/>
    <mergeCell ref="E33:F33"/>
    <mergeCell ref="G34:H34"/>
    <mergeCell ref="E11:I11"/>
    <mergeCell ref="E12:I12"/>
    <mergeCell ref="E15:I15"/>
    <mergeCell ref="E17:I17"/>
    <mergeCell ref="E18:I18"/>
    <mergeCell ref="E31:F31"/>
    <mergeCell ref="G31:H31"/>
    <mergeCell ref="E29:I29"/>
    <mergeCell ref="E26:I26"/>
    <mergeCell ref="C23:J23"/>
    <mergeCell ref="E24:I24"/>
    <mergeCell ref="E25:I25"/>
    <mergeCell ref="E27:I27"/>
    <mergeCell ref="E28:I28"/>
  </mergeCells>
  <conditionalFormatting sqref="E3 E4 I4 E5 G5 E6 E7 E8 E9 E10 E11 E12 E15 E16 E17 E18 E19 E20 E21 E24 E25 E26 E27 E28 E29 E30 E31 E33 E34 G34">
    <cfRule type="expression" dxfId="571" priority="1">
      <formula>IF(ISBLANK(E3),TRUE,FALSE)</formula>
    </cfRule>
  </conditionalFormatting>
  <dataValidations count="5">
    <dataValidation type="list" allowBlank="1" showInputMessage="1" showErrorMessage="1" sqref="E10:G10">
      <formula1>"Laki-laki,Perempuan"</formula1>
    </dataValidation>
    <dataValidation type="date" operator="greaterThanOrEqual" allowBlank="1" showInputMessage="1" showErrorMessage="1" sqref="E7:G7 G5:I5">
      <formula1>29221</formula1>
    </dataValidation>
    <dataValidation type="textLength" operator="equal" allowBlank="1" showInputMessage="1" showErrorMessage="1" sqref="E25:I25">
      <formula1>18</formula1>
    </dataValidation>
    <dataValidation type="list" allowBlank="1" showInputMessage="1" showErrorMessage="1" sqref="E34 G34">
      <formula1>"Januari,Februari,Maret,April,Mei,Juni,Juli,Agustus,September,November,Desember"</formula1>
    </dataValidation>
    <dataValidation type="list" allowBlank="1" showInputMessage="1" showErrorMessage="1" sqref="E6:I6 E26:I26">
      <formula1>$O$3:$O$11</formula1>
    </dataValidation>
  </dataValidations>
  <pageMargins left="1.03" right="0.70866141732283472" top="0.74803149606299213" bottom="0.74803149606299213" header="0.31496062992125984" footer="0.31496062992125984"/>
  <pageSetup paperSize="9" scale="71" orientation="portrait" r:id="rId1"/>
</worksheet>
</file>

<file path=xl/worksheets/sheet20.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185" workbookViewId="0">
      <selection activeCell="F201" sqref="F201"/>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4</v>
      </c>
      <c r="B1" s="55" t="str">
        <f ca="1">MID(CELL("filename",B1),FIND("]",CELL("filename",B1))+1,255)</f>
        <v>Guru-Thn-4</v>
      </c>
      <c r="C1" s="55" t="str">
        <f ca="1">MID(B1,1,LEN(B1)-6)</f>
        <v>Guru</v>
      </c>
      <c r="D1" s="55" t="str">
        <f ca="1">INDIRECT("'Sampul-Thn-"&amp;A1&amp;"'!E14") &amp; "    ( " &amp;INDIRECT("'Sampul-Thn-"&amp;A1&amp;"'!E15") &amp; " )"</f>
        <v>118   Tahun     11   Bulan    (  )</v>
      </c>
      <c r="I1" s="307" t="str">
        <f>HYPERLINK("#Menu!A1","↖")</f>
        <v>↖</v>
      </c>
    </row>
    <row r="2" spans="1:9" ht="23.25">
      <c r="B2" s="50" t="str">
        <f ca="1">"A. Instrumen Penilaian Kinerja Tahunan Kepala Madrasah ( Tahun ke " &amp;A1&amp;" )"</f>
        <v>A. Instrumen Penilaian Kinerja Tahunan Kepala Madrasah ( Tahun ke 4 )</v>
      </c>
    </row>
    <row r="3" spans="1:9" ht="15.75">
      <c r="B3" s="51" t="str">
        <f ca="1">PROPER("Periode Penilaian : " &amp;INDIRECT("'Sampul-Thn-"&amp;A1&amp;"'!C6"))</f>
        <v>Periode Penilaian : Januari S/D Desember 2018</v>
      </c>
    </row>
    <row r="4" spans="1:9" ht="15.75">
      <c r="B4" s="51" t="str">
        <f ca="1">"Kamad yang dinilai : " &amp;INDIRECT("'Sampul-Thn-"&amp;A1&amp;"'!E8") &amp; "    (" &amp;INDIRECT("'Sampul-Thn-"&amp;A1&amp;"'!E10")&amp;" ) "</f>
        <v xml:space="preserve">Kamad yang dinilai :     ( ) </v>
      </c>
    </row>
    <row r="5" spans="1:9" ht="15.75">
      <c r="B5" s="51" t="str">
        <f ca="1">"Penilai : " &amp;IF(C1="Pengawas",D1,C1)</f>
        <v>Penilai : Guru</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f ca="1">IF(INT($A$1)&gt;3,(SUBTOTAL(9,F190:F190)/(4*1))*100,"")</f>
        <v>0</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f ca="1">IF(INT($A$1)&gt;3,(SUBTOTAL(9,F192:F192)/(4*1))*100,"")</f>
        <v>0</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f ca="1">IF(INT($A$1)&gt;3,(SUBTOTAL(9,F201:F201)/(4*1))*100,"")</f>
        <v>0</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f ca="1">IF(INT($A$1)&gt;3,(SUBTOTAL(9,F203:F203)/(4*1))*100,"")</f>
        <v>0</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f ca="1">IF(INT($A$1)&gt;3,(SUBTOTAL(9,F212:F212)/(4*1))*100,"")</f>
        <v>0</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f ca="1">IF(INT($A$1)&gt;3,(SUBTOTAL(9,F214:F214)/(4*1))*100,"")</f>
        <v>0</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f ca="1">IF(INT($A$1)&gt;3,(SUBTOTAL(9,F216:F216)/(4*1))*100,"")</f>
        <v>0</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f ca="1">IF(INT($A$1)&gt;3,(SUBTOTAL(9,F225:F225)/(4*1))*100,"")</f>
        <v>0</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f ca="1">IF(INT($A$1)&gt;3,(SUBTOTAL(9,F227:F227)/(4*1))*100,"")</f>
        <v>0</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f ca="1">IF(INT($A$1)&gt;3,(SUBTOTAL(9,F229:F229)/(4*1))*100,"")</f>
        <v>0</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f ca="1">IF(INT($A$1)&gt;3,(SUBTOTAL(9,F231:F231)/(4*1))*100,"")</f>
        <v>0</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f ca="1">IF(INT($A$1)&gt;3,(SUBTOTAL(9,F233:F233)/(4*1))*100,"")</f>
        <v>0</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f ca="1">IF(INT($A$1)&gt;3,(SUBTOTAL(9,F235:F235)/(4*1))*100,"")</f>
        <v>0</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f ca="1">IF(INT($A$1)&gt;3,(SUBTOTAL(9,F237:F237)/(4*1))*100,"")</f>
        <v>0</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NKET (Nilai Kinerja 4 Tahunan)</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57" priority="2">
      <formula>IF($A$1="4",FALSE,TRUE)</formula>
    </cfRule>
  </conditionalFormatting>
  <conditionalFormatting sqref="A234:XFD234 A236:XFD236 G235:XFD235 A237:E237 G237:XFD237 A235:E235">
    <cfRule type="expression" dxfId="556"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21.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185" workbookViewId="0">
      <selection activeCell="F201" sqref="F201"/>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4</v>
      </c>
      <c r="B1" s="55" t="str">
        <f ca="1">MID(CELL("filename",B1),FIND("]",CELL("filename",B1))+1,255)</f>
        <v>Tendik-Thn-4</v>
      </c>
      <c r="C1" s="55" t="str">
        <f ca="1">MID(B1,1,LEN(B1)-6)</f>
        <v>Tendik</v>
      </c>
      <c r="D1" s="55" t="str">
        <f ca="1">INDIRECT("'Sampul-Thn-"&amp;A1&amp;"'!E14") &amp; "    ( " &amp;INDIRECT("'Sampul-Thn-"&amp;A1&amp;"'!E15") &amp; " )"</f>
        <v>118   Tahun     11   Bulan    (  )</v>
      </c>
      <c r="I1" s="307" t="str">
        <f>HYPERLINK("#Menu!A1","↖")</f>
        <v>↖</v>
      </c>
    </row>
    <row r="2" spans="1:9" ht="23.25">
      <c r="B2" s="50" t="str">
        <f ca="1">"A. Instrumen Penilaian Kinerja Tahunan Kepala Madrasah ( Tahun ke " &amp;A1&amp;" )"</f>
        <v>A. Instrumen Penilaian Kinerja Tahunan Kepala Madrasah ( Tahun ke 4 )</v>
      </c>
    </row>
    <row r="3" spans="1:9" ht="15.75">
      <c r="B3" s="51" t="str">
        <f ca="1">PROPER("Periode Penilaian : " &amp;INDIRECT("'Sampul-Thn-"&amp;A1&amp;"'!C6"))</f>
        <v>Periode Penilaian : Januari S/D Desember 2018</v>
      </c>
    </row>
    <row r="4" spans="1:9" ht="15.75">
      <c r="B4" s="51" t="str">
        <f ca="1">"Kamad yang dinilai : " &amp;INDIRECT("'Sampul-Thn-"&amp;A1&amp;"'!E8") &amp; "    (" &amp;INDIRECT("'Sampul-Thn-"&amp;A1&amp;"'!E10")&amp;" ) "</f>
        <v xml:space="preserve">Kamad yang dinilai :     ( ) </v>
      </c>
    </row>
    <row r="5" spans="1:9" ht="15.75">
      <c r="B5" s="51" t="str">
        <f ca="1">"Penilai : " &amp;IF(C1="Pengawas",D1,C1)</f>
        <v>Penilai : Tendik</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f ca="1">IF(INT($A$1)&gt;3,(SUBTOTAL(9,F190:F190)/(4*1))*100,"")</f>
        <v>0</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f ca="1">IF(INT($A$1)&gt;3,(SUBTOTAL(9,F192:F192)/(4*1))*100,"")</f>
        <v>0</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f ca="1">IF(INT($A$1)&gt;3,(SUBTOTAL(9,F201:F201)/(4*1))*100,"")</f>
        <v>0</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f ca="1">IF(INT($A$1)&gt;3,(SUBTOTAL(9,F203:F203)/(4*1))*100,"")</f>
        <v>0</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f ca="1">IF(INT($A$1)&gt;3,(SUBTOTAL(9,F212:F212)/(4*1))*100,"")</f>
        <v>0</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f ca="1">IF(INT($A$1)&gt;3,(SUBTOTAL(9,F214:F214)/(4*1))*100,"")</f>
        <v>0</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f ca="1">IF(INT($A$1)&gt;3,(SUBTOTAL(9,F216:F216)/(4*1))*100,"")</f>
        <v>0</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f ca="1">IF(INT($A$1)&gt;3,(SUBTOTAL(9,F225:F225)/(4*1))*100,"")</f>
        <v>0</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f ca="1">IF(INT($A$1)&gt;3,(SUBTOTAL(9,F227:F227)/(4*1))*100,"")</f>
        <v>0</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f ca="1">IF(INT($A$1)&gt;3,(SUBTOTAL(9,F229:F229)/(4*1))*100,"")</f>
        <v>0</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f ca="1">IF(INT($A$1)&gt;3,(SUBTOTAL(9,F231:F231)/(4*1))*100,"")</f>
        <v>0</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f ca="1">IF(INT($A$1)&gt;3,(SUBTOTAL(9,F233:F233)/(4*1))*100,"")</f>
        <v>0</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f ca="1">IF(INT($A$1)&gt;3,(SUBTOTAL(9,F235:F235)/(4*1))*100,"")</f>
        <v>0</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f ca="1">IF(INT($A$1)&gt;3,(SUBTOTAL(9,F237:F237)/(4*1))*100,"")</f>
        <v>0</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NKET (Nilai Kinerja 4 Tahunan)</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55" priority="2">
      <formula>IF($A$1="4",FALSE,TRUE)</formula>
    </cfRule>
  </conditionalFormatting>
  <conditionalFormatting sqref="A234:XFD234 A236:XFD236 G235:XFD235 A237:E237 G237:XFD237 A235:E235">
    <cfRule type="expression" dxfId="554"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22.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190" workbookViewId="0">
      <selection activeCell="F203" sqref="F203"/>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4</v>
      </c>
      <c r="B1" s="55" t="str">
        <f ca="1">MID(CELL("filename",B1),FIND("]",CELL("filename",B1))+1,255)</f>
        <v>Komite-Thn-4</v>
      </c>
      <c r="C1" s="55" t="str">
        <f ca="1">MID(B1,1,LEN(B1)-6)</f>
        <v>Komite</v>
      </c>
      <c r="D1" s="55" t="str">
        <f ca="1">INDIRECT("'Sampul-Thn-"&amp;A1&amp;"'!E14") &amp; "    ( " &amp;INDIRECT("'Sampul-Thn-"&amp;A1&amp;"'!E15") &amp; " )"</f>
        <v>118   Tahun     11   Bulan    (  )</v>
      </c>
      <c r="I1" s="307" t="str">
        <f>HYPERLINK("#Menu!A1","↖")</f>
        <v>↖</v>
      </c>
    </row>
    <row r="2" spans="1:9" ht="23.25">
      <c r="B2" s="50" t="str">
        <f ca="1">"A. Instrumen Penilaian Kinerja Tahunan Kepala Madrasah ( Tahun ke " &amp;A1&amp;" )"</f>
        <v>A. Instrumen Penilaian Kinerja Tahunan Kepala Madrasah ( Tahun ke 4 )</v>
      </c>
    </row>
    <row r="3" spans="1:9" ht="15.75">
      <c r="B3" s="51" t="str">
        <f ca="1">PROPER("Periode Penilaian : " &amp;INDIRECT("'Sampul-Thn-"&amp;A1&amp;"'!C6"))</f>
        <v>Periode Penilaian : Januari S/D Desember 2018</v>
      </c>
    </row>
    <row r="4" spans="1:9" ht="15.75">
      <c r="B4" s="51" t="str">
        <f ca="1">"Kamad yang dinilai : " &amp;INDIRECT("'Sampul-Thn-"&amp;A1&amp;"'!E8") &amp; "    (" &amp;INDIRECT("'Sampul-Thn-"&amp;A1&amp;"'!E10")&amp;" ) "</f>
        <v xml:space="preserve">Kamad yang dinilai :     ( ) </v>
      </c>
    </row>
    <row r="5" spans="1:9" ht="15.75">
      <c r="B5" s="51" t="str">
        <f ca="1">"Penilai : " &amp;IF(C1="Pengawas",D1,C1)</f>
        <v>Penilai : Komite</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f ca="1">IF(INT($A$1)&gt;3,(SUBTOTAL(9,F190:F190)/(4*1))*100,"")</f>
        <v>0</v>
      </c>
      <c r="G189" s="359"/>
      <c r="H189" s="360"/>
    </row>
    <row r="190" spans="1:8" s="1" customFormat="1" ht="57.75" customHeight="1">
      <c r="B190" s="6"/>
      <c r="C190" s="5"/>
      <c r="D190" s="64" t="s">
        <v>354</v>
      </c>
      <c r="E190" s="4"/>
      <c r="F190" s="41"/>
      <c r="G190" s="356"/>
      <c r="H190" s="357"/>
    </row>
    <row r="191" spans="1:8" s="1" customFormat="1" ht="14.25">
      <c r="B191" s="8" t="s">
        <v>355</v>
      </c>
      <c r="C191" s="358" t="s">
        <v>353</v>
      </c>
      <c r="D191" s="358"/>
      <c r="E191" s="358"/>
      <c r="F191" s="289">
        <f ca="1">IF(INT($A$1)&gt;3,(SUBTOTAL(9,F192:F192)/(4*1))*100,"")</f>
        <v>0</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f ca="1">IF(INT($A$1)&gt;3,(SUBTOTAL(9,F201:F201)/(4*1))*100,"")</f>
        <v>0</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f ca="1">IF(INT($A$1)&gt;3,(SUBTOTAL(9,F203:F203)/(4*1))*100,"")</f>
        <v>0</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f ca="1">IF(INT($A$1)&gt;3,(SUBTOTAL(9,F212:F212)/(4*1))*100,"")</f>
        <v>0</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f ca="1">IF(INT($A$1)&gt;3,(SUBTOTAL(9,F214:F214)/(4*1))*100,"")</f>
        <v>0</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f ca="1">IF(INT($A$1)&gt;3,(SUBTOTAL(9,F216:F216)/(4*1))*100,"")</f>
        <v>0</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f ca="1">IF(INT($A$1)&gt;3,(SUBTOTAL(9,F225:F225)/(4*1))*100,"")</f>
        <v>0</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f ca="1">IF(INT($A$1)&gt;3,(SUBTOTAL(9,F227:F227)/(4*1))*100,"")</f>
        <v>0</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f ca="1">IF(INT($A$1)&gt;3,(SUBTOTAL(9,F229:F229)/(4*1))*100,"")</f>
        <v>0</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f ca="1">IF(INT($A$1)&gt;3,(SUBTOTAL(9,F231:F231)/(4*1))*100,"")</f>
        <v>0</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f ca="1">IF(INT($A$1)&gt;3,(SUBTOTAL(9,F233:F233)/(4*1))*100,"")</f>
        <v>0</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f ca="1">IF(INT($A$1)&gt;3,(SUBTOTAL(9,F235:F235)/(4*1))*100,"")</f>
        <v>0</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f ca="1">IF(INT($A$1)&gt;3,(SUBTOTAL(9,F237:F237)/(4*1))*100,"")</f>
        <v>0</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NKET (Nilai Kinerja 4 Tahunan)</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53" priority="2">
      <formula>IF($A$1="4",FALSE,TRUE)</formula>
    </cfRule>
  </conditionalFormatting>
  <conditionalFormatting sqref="A234:XFD234 A236:XFD236 G235:XFD235 A237:E237 G237:XFD237 A235:E235">
    <cfRule type="expression" dxfId="552"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23.xml><?xml version="1.0" encoding="utf-8"?>
<worksheet xmlns="http://schemas.openxmlformats.org/spreadsheetml/2006/main" xmlns:r="http://schemas.openxmlformats.org/officeDocument/2006/relationships">
  <sheetPr>
    <tabColor rgb="FFFFCC00"/>
  </sheetPr>
  <dimension ref="A1:XFC59"/>
  <sheetViews>
    <sheetView showGridLines="0" topLeftCell="A19" zoomScale="106" zoomScaleNormal="106" zoomScaleSheetLayoutView="130" workbookViewId="0">
      <selection activeCell="N1" sqref="N1"/>
    </sheetView>
  </sheetViews>
  <sheetFormatPr defaultColWidth="0" defaultRowHeight="15" customHeight="1" zeroHeight="1"/>
  <cols>
    <col min="1" max="1" width="2.5703125" customWidth="1"/>
    <col min="2" max="2" width="7.42578125" customWidth="1"/>
    <col min="3" max="3" width="16.7109375" customWidth="1"/>
    <col min="4" max="4" width="2.42578125" customWidth="1"/>
    <col min="5" max="5" width="11" customWidth="1"/>
    <col min="6" max="6" width="6.140625" customWidth="1"/>
    <col min="7" max="7" width="10" customWidth="1"/>
    <col min="8" max="13" width="9.140625" customWidth="1"/>
    <col min="14" max="14" width="2.5703125" customWidth="1"/>
    <col min="15" max="17" width="9.140625" hidden="1"/>
    <col min="18" max="18" width="8.85546875" hidden="1"/>
    <col min="19" max="16383" width="2" hidden="1"/>
    <col min="16384" max="16384" width="9.5703125" hidden="1"/>
  </cols>
  <sheetData>
    <row r="1" spans="1:17" ht="14.25" customHeight="1">
      <c r="A1" s="74" t="str">
        <f ca="1">RIGHT(B1,1)</f>
        <v>4</v>
      </c>
      <c r="B1" s="75" t="str">
        <f ca="1">MID(CELL("filename",A1),FIND("]",CELL("filename",A1))+1,255)</f>
        <v>Rekap-Thn-4</v>
      </c>
      <c r="C1" s="75" t="str">
        <f ca="1">MID(B1,7,LEN(B1)-7)</f>
        <v>Thn-</v>
      </c>
      <c r="N1" s="307" t="str">
        <f>HYPERLINK("#Menu!A1","↖")</f>
        <v>↖</v>
      </c>
    </row>
    <row r="2" spans="1:17" ht="47.25" customHeight="1">
      <c r="A2" s="58"/>
      <c r="B2" s="394" t="s">
        <v>401</v>
      </c>
      <c r="C2" s="395"/>
      <c r="D2" s="395"/>
      <c r="E2" s="395"/>
      <c r="F2" s="395"/>
      <c r="G2" s="395"/>
      <c r="H2" s="395"/>
      <c r="I2" s="395"/>
      <c r="J2" s="395"/>
      <c r="K2" s="395"/>
      <c r="L2" s="395"/>
      <c r="M2" s="395"/>
    </row>
    <row r="3" spans="1:17" ht="18" customHeight="1">
      <c r="P3" s="421" t="s">
        <v>458</v>
      </c>
      <c r="Q3" s="421"/>
    </row>
    <row r="4" spans="1:17">
      <c r="B4" t="s">
        <v>335</v>
      </c>
      <c r="P4" s="104">
        <v>0</v>
      </c>
      <c r="Q4" t="s">
        <v>44</v>
      </c>
    </row>
    <row r="5" spans="1:17">
      <c r="C5" s="61" t="s">
        <v>340</v>
      </c>
      <c r="D5" s="54" t="s">
        <v>24</v>
      </c>
      <c r="E5" s="396">
        <f ca="1">INDIRECT("'Sampul-Thn-"&amp;A1&amp;"'!C31")</f>
        <v>0</v>
      </c>
      <c r="F5" s="397"/>
      <c r="G5" s="397"/>
      <c r="H5" s="397"/>
      <c r="I5" s="397"/>
      <c r="J5" s="397"/>
      <c r="K5" s="397"/>
      <c r="L5" s="397"/>
      <c r="M5" s="397"/>
      <c r="P5" s="104">
        <v>51</v>
      </c>
      <c r="Q5" t="s">
        <v>45</v>
      </c>
    </row>
    <row r="6" spans="1:17">
      <c r="C6" s="61" t="s">
        <v>330</v>
      </c>
      <c r="D6" s="54" t="s">
        <v>24</v>
      </c>
      <c r="E6" s="60">
        <f ca="1">INDIRECT("'Sampul-Thn-"&amp;A1&amp;"'!D31")</f>
        <v>0</v>
      </c>
      <c r="F6" s="61"/>
      <c r="G6" s="60"/>
      <c r="H6" s="60"/>
      <c r="I6" s="60"/>
      <c r="J6" s="60"/>
      <c r="K6" s="60"/>
      <c r="L6" s="60"/>
      <c r="M6" s="60"/>
      <c r="P6" s="104">
        <v>61</v>
      </c>
      <c r="Q6" t="s">
        <v>46</v>
      </c>
    </row>
    <row r="7" spans="1:17">
      <c r="C7" s="61" t="s">
        <v>439</v>
      </c>
      <c r="D7" s="54" t="s">
        <v>24</v>
      </c>
      <c r="E7" s="60" t="s">
        <v>440</v>
      </c>
      <c r="F7" s="61"/>
      <c r="G7" s="60"/>
      <c r="H7" s="60"/>
      <c r="I7" s="60"/>
      <c r="J7" s="60"/>
      <c r="K7" s="60"/>
      <c r="L7" s="60"/>
      <c r="M7" s="60"/>
      <c r="P7" s="104">
        <v>76</v>
      </c>
      <c r="Q7" t="s">
        <v>47</v>
      </c>
    </row>
    <row r="8" spans="1:17">
      <c r="C8" s="61" t="s">
        <v>336</v>
      </c>
      <c r="D8" s="54" t="s">
        <v>24</v>
      </c>
      <c r="E8" s="60" t="s">
        <v>402</v>
      </c>
      <c r="F8" s="61"/>
      <c r="G8" s="60"/>
      <c r="H8" s="60"/>
      <c r="I8" s="60"/>
      <c r="J8" s="60"/>
      <c r="K8" s="60"/>
      <c r="L8" s="60"/>
      <c r="M8" s="60"/>
      <c r="P8" s="104">
        <v>91</v>
      </c>
      <c r="Q8" t="s">
        <v>459</v>
      </c>
    </row>
    <row r="9" spans="1:17" ht="9" customHeight="1">
      <c r="D9" s="54"/>
      <c r="E9" s="57"/>
      <c r="F9" s="61"/>
      <c r="G9" s="57"/>
      <c r="H9" s="57"/>
      <c r="I9" s="57"/>
      <c r="J9" s="57"/>
      <c r="K9" s="57"/>
      <c r="L9" s="57"/>
      <c r="M9" s="57"/>
    </row>
    <row r="10" spans="1:17">
      <c r="B10" t="s">
        <v>338</v>
      </c>
      <c r="D10" s="54"/>
      <c r="E10" s="57"/>
      <c r="F10" s="61"/>
      <c r="G10" s="57"/>
      <c r="H10" s="57"/>
      <c r="I10" s="57"/>
      <c r="J10" s="57"/>
      <c r="K10" s="57"/>
      <c r="L10" s="57"/>
      <c r="M10" s="105"/>
    </row>
    <row r="11" spans="1:17">
      <c r="C11" s="61" t="s">
        <v>340</v>
      </c>
      <c r="D11" s="54" t="s">
        <v>24</v>
      </c>
      <c r="E11" s="61">
        <f ca="1">INDIRECT("'Sampul-Thn-"&amp;A1&amp;"'!E9")</f>
        <v>0</v>
      </c>
      <c r="F11" s="61"/>
      <c r="G11" s="61"/>
      <c r="H11" s="61"/>
      <c r="I11" s="61"/>
      <c r="J11" s="61"/>
      <c r="K11" s="61"/>
      <c r="L11" s="61"/>
      <c r="M11" s="61"/>
    </row>
    <row r="12" spans="1:17">
      <c r="C12" s="61" t="s">
        <v>330</v>
      </c>
      <c r="D12" s="54" t="s">
        <v>24</v>
      </c>
      <c r="E12" s="396">
        <f ca="1">INDIRECT("'Sampul-Thn-"&amp;A1&amp;"'!E10")</f>
        <v>0</v>
      </c>
      <c r="F12" s="396"/>
      <c r="G12" s="396"/>
      <c r="H12" s="60"/>
      <c r="I12" s="60"/>
      <c r="J12" s="60"/>
      <c r="K12" s="60"/>
      <c r="L12" s="60"/>
      <c r="M12" s="60"/>
    </row>
    <row r="13" spans="1:17">
      <c r="C13" s="61" t="s">
        <v>341</v>
      </c>
      <c r="D13" s="54" t="s">
        <v>24</v>
      </c>
      <c r="E13" s="61">
        <f ca="1">INDIRECT("'Sampul-Thn-"&amp;A1&amp;"'!E12")</f>
        <v>0</v>
      </c>
      <c r="F13" s="61"/>
      <c r="G13" s="61"/>
      <c r="H13" s="61"/>
      <c r="I13" s="61"/>
      <c r="J13" s="61"/>
      <c r="K13" s="61"/>
      <c r="L13" s="61"/>
      <c r="M13" s="61"/>
    </row>
    <row r="14" spans="1:17">
      <c r="C14" s="61" t="s">
        <v>336</v>
      </c>
      <c r="D14" s="54" t="s">
        <v>24</v>
      </c>
      <c r="E14" s="61" t="s">
        <v>347</v>
      </c>
      <c r="F14" s="61"/>
      <c r="G14" s="61"/>
      <c r="H14" s="61"/>
      <c r="I14" s="61"/>
      <c r="J14" s="61"/>
      <c r="K14" s="61"/>
      <c r="L14" s="61"/>
      <c r="M14" s="61"/>
    </row>
    <row r="15" spans="1:17">
      <c r="C15" s="61" t="s">
        <v>337</v>
      </c>
      <c r="D15" s="54" t="s">
        <v>24</v>
      </c>
      <c r="E15" s="60">
        <f ca="1">INDIRECT("'Sampul-Thn-"&amp;A1&amp;"'!E21")</f>
        <v>0</v>
      </c>
      <c r="F15" s="61"/>
      <c r="G15" s="61"/>
      <c r="H15" s="61"/>
      <c r="I15" s="61"/>
      <c r="J15" s="61"/>
      <c r="K15" s="61"/>
      <c r="L15" s="61"/>
      <c r="M15" s="61"/>
    </row>
    <row r="16" spans="1:17" ht="12.75" customHeight="1">
      <c r="C16" s="61"/>
    </row>
    <row r="17" spans="2:14" ht="21" customHeight="1">
      <c r="B17" s="14" t="s">
        <v>447</v>
      </c>
      <c r="C17" s="61"/>
    </row>
    <row r="18" spans="2:14" ht="8.25" customHeight="1">
      <c r="C18" s="61"/>
    </row>
    <row r="19" spans="2:14" ht="60" customHeight="1">
      <c r="B19" s="451" t="s">
        <v>19</v>
      </c>
      <c r="C19" s="398" t="s">
        <v>21</v>
      </c>
      <c r="D19" s="399"/>
      <c r="E19" s="399"/>
      <c r="F19" s="399"/>
      <c r="G19" s="400"/>
      <c r="H19" s="85" t="s">
        <v>402</v>
      </c>
      <c r="I19" s="86" t="s">
        <v>403</v>
      </c>
      <c r="J19" s="86" t="s">
        <v>404</v>
      </c>
      <c r="K19" s="86" t="s">
        <v>405</v>
      </c>
      <c r="L19" s="86" t="s">
        <v>406</v>
      </c>
      <c r="M19" s="87" t="s">
        <v>407</v>
      </c>
    </row>
    <row r="20" spans="2:14">
      <c r="B20" s="452"/>
      <c r="C20" s="454"/>
      <c r="D20" s="455"/>
      <c r="E20" s="455"/>
      <c r="F20" s="455"/>
      <c r="G20" s="456"/>
      <c r="H20" s="82" t="s">
        <v>428</v>
      </c>
      <c r="I20" s="83" t="s">
        <v>429</v>
      </c>
      <c r="J20" s="83" t="s">
        <v>430</v>
      </c>
      <c r="K20" s="83" t="s">
        <v>431</v>
      </c>
      <c r="L20" s="83" t="s">
        <v>432</v>
      </c>
      <c r="M20" s="84" t="s">
        <v>433</v>
      </c>
    </row>
    <row r="21" spans="2:14">
      <c r="B21" s="453"/>
      <c r="C21" s="457"/>
      <c r="D21" s="458"/>
      <c r="E21" s="458"/>
      <c r="F21" s="458"/>
      <c r="G21" s="459"/>
      <c r="H21" s="76">
        <v>5</v>
      </c>
      <c r="I21" s="77">
        <v>3</v>
      </c>
      <c r="J21" s="77">
        <v>1</v>
      </c>
      <c r="K21" s="77">
        <v>1</v>
      </c>
      <c r="L21" s="77">
        <v>1</v>
      </c>
      <c r="M21" s="78">
        <v>1</v>
      </c>
    </row>
    <row r="22" spans="2:14" ht="22.5" customHeight="1">
      <c r="B22" s="10" t="s">
        <v>408</v>
      </c>
      <c r="C22" s="401" t="s">
        <v>343</v>
      </c>
      <c r="D22" s="401"/>
      <c r="E22" s="401"/>
      <c r="F22" s="401"/>
      <c r="G22" s="401"/>
      <c r="H22" s="56">
        <f ca="1">IF(ISERROR(INDIRECT("'"&amp;H$19&amp;"-"&amp;$E$1&amp;$C$1&amp;$A$1&amp;"'!"&amp;$N22)),"~",INDIRECT("'"&amp;H$19&amp;"-"&amp;$E$1&amp;$C$1&amp;$A$1&amp;"'!"&amp;$N22))</f>
        <v>0</v>
      </c>
      <c r="I22" s="56">
        <f t="shared" ref="I22:M25" ca="1" si="0">IF(ISERROR(INDIRECT("'"&amp;I$19&amp;"-"&amp;$E$1&amp;$C$1&amp;$A$1&amp;"'!"&amp;$N22)),"~",INDIRECT("'"&amp;I$19&amp;"-"&amp;$E$1&amp;$C$1&amp;$A$1&amp;"'!"&amp;$N22))</f>
        <v>0</v>
      </c>
      <c r="J22" s="56">
        <f t="shared" ca="1" si="0"/>
        <v>0</v>
      </c>
      <c r="K22" s="56">
        <f t="shared" ca="1" si="0"/>
        <v>0</v>
      </c>
      <c r="L22" s="56">
        <f t="shared" ca="1" si="0"/>
        <v>0</v>
      </c>
      <c r="M22" s="56">
        <f t="shared" ca="1" si="0"/>
        <v>0</v>
      </c>
      <c r="N22" s="75" t="s">
        <v>464</v>
      </c>
    </row>
    <row r="23" spans="2:14" ht="22.5" customHeight="1">
      <c r="B23" s="10" t="s">
        <v>409</v>
      </c>
      <c r="C23" s="401" t="s">
        <v>344</v>
      </c>
      <c r="D23" s="401"/>
      <c r="E23" s="401"/>
      <c r="F23" s="401"/>
      <c r="G23" s="401"/>
      <c r="H23" s="56">
        <f t="shared" ref="H23:M30" ca="1" si="1">IF(ISERROR(INDIRECT("'"&amp;H$19&amp;"-"&amp;$E$1&amp;$C$1&amp;$A$1&amp;"'!"&amp;$N23)),"~",INDIRECT("'"&amp;H$19&amp;"-"&amp;$E$1&amp;$C$1&amp;$A$1&amp;"'!"&amp;$N23))</f>
        <v>0</v>
      </c>
      <c r="I23" s="56">
        <f t="shared" ca="1" si="0"/>
        <v>0</v>
      </c>
      <c r="J23" s="56">
        <f t="shared" ca="1" si="0"/>
        <v>0</v>
      </c>
      <c r="K23" s="56">
        <f t="shared" ca="1" si="0"/>
        <v>0</v>
      </c>
      <c r="L23" s="56">
        <f t="shared" ca="1" si="0"/>
        <v>0</v>
      </c>
      <c r="M23" s="56">
        <f t="shared" ca="1" si="0"/>
        <v>0</v>
      </c>
      <c r="N23" s="75" t="s">
        <v>461</v>
      </c>
    </row>
    <row r="24" spans="2:14" ht="22.5" customHeight="1">
      <c r="B24" s="10" t="s">
        <v>410</v>
      </c>
      <c r="C24" s="401" t="s">
        <v>345</v>
      </c>
      <c r="D24" s="401"/>
      <c r="E24" s="401"/>
      <c r="F24" s="401"/>
      <c r="G24" s="401"/>
      <c r="H24" s="56">
        <f t="shared" ca="1" si="1"/>
        <v>0</v>
      </c>
      <c r="I24" s="56">
        <f t="shared" ca="1" si="0"/>
        <v>0</v>
      </c>
      <c r="J24" s="56">
        <f t="shared" ca="1" si="0"/>
        <v>0</v>
      </c>
      <c r="K24" s="56">
        <f t="shared" ca="1" si="0"/>
        <v>0</v>
      </c>
      <c r="L24" s="56">
        <f t="shared" ca="1" si="0"/>
        <v>0</v>
      </c>
      <c r="M24" s="56">
        <f t="shared" ca="1" si="0"/>
        <v>0</v>
      </c>
      <c r="N24" s="75" t="s">
        <v>462</v>
      </c>
    </row>
    <row r="25" spans="2:14" ht="22.5" customHeight="1">
      <c r="B25" s="10" t="s">
        <v>411</v>
      </c>
      <c r="C25" s="401" t="s">
        <v>346</v>
      </c>
      <c r="D25" s="401"/>
      <c r="E25" s="401"/>
      <c r="F25" s="401"/>
      <c r="G25" s="401"/>
      <c r="H25" s="56">
        <f t="shared" ca="1" si="1"/>
        <v>0</v>
      </c>
      <c r="I25" s="56">
        <f t="shared" ca="1" si="0"/>
        <v>0</v>
      </c>
      <c r="J25" s="56">
        <f t="shared" ca="1" si="0"/>
        <v>0</v>
      </c>
      <c r="K25" s="56">
        <f t="shared" ca="1" si="0"/>
        <v>0</v>
      </c>
      <c r="L25" s="56">
        <f t="shared" ca="1" si="0"/>
        <v>0</v>
      </c>
      <c r="M25" s="56">
        <f t="shared" ca="1" si="0"/>
        <v>0</v>
      </c>
      <c r="N25" s="75" t="s">
        <v>463</v>
      </c>
    </row>
    <row r="26" spans="2:14" ht="4.5" customHeight="1">
      <c r="B26" s="79"/>
      <c r="C26" s="440"/>
      <c r="D26" s="440"/>
      <c r="E26" s="440"/>
      <c r="F26" s="440"/>
      <c r="G26" s="440"/>
      <c r="H26" s="80"/>
      <c r="I26" s="80"/>
      <c r="J26" s="80"/>
      <c r="K26" s="80"/>
      <c r="L26" s="80"/>
      <c r="M26" s="81"/>
    </row>
    <row r="27" spans="2:14" ht="22.5" customHeight="1">
      <c r="B27" s="10" t="s">
        <v>424</v>
      </c>
      <c r="C27" s="401" t="s">
        <v>15</v>
      </c>
      <c r="D27" s="401"/>
      <c r="E27" s="401"/>
      <c r="F27" s="401"/>
      <c r="G27" s="401"/>
      <c r="H27" s="56">
        <f t="shared" ca="1" si="1"/>
        <v>0</v>
      </c>
      <c r="I27" s="56">
        <f t="shared" ca="1" si="1"/>
        <v>0</v>
      </c>
      <c r="J27" s="56">
        <f t="shared" ca="1" si="1"/>
        <v>0</v>
      </c>
      <c r="K27" s="56">
        <f t="shared" ca="1" si="1"/>
        <v>0</v>
      </c>
      <c r="L27" s="56">
        <f t="shared" ca="1" si="1"/>
        <v>0</v>
      </c>
      <c r="M27" s="56">
        <f t="shared" ca="1" si="1"/>
        <v>0</v>
      </c>
      <c r="N27" s="75" t="s">
        <v>437</v>
      </c>
    </row>
    <row r="28" spans="2:14" ht="22.5" customHeight="1">
      <c r="B28" s="10" t="s">
        <v>425</v>
      </c>
      <c r="C28" s="401" t="s">
        <v>12</v>
      </c>
      <c r="D28" s="401"/>
      <c r="E28" s="401"/>
      <c r="F28" s="401"/>
      <c r="G28" s="401"/>
      <c r="H28" s="56">
        <f t="shared" ca="1" si="1"/>
        <v>0</v>
      </c>
      <c r="I28" s="56">
        <f t="shared" ca="1" si="1"/>
        <v>0</v>
      </c>
      <c r="J28" s="56">
        <f t="shared" ca="1" si="1"/>
        <v>0</v>
      </c>
      <c r="K28" s="56">
        <f t="shared" ca="1" si="1"/>
        <v>0</v>
      </c>
      <c r="L28" s="56">
        <f t="shared" ca="1" si="1"/>
        <v>0</v>
      </c>
      <c r="M28" s="56">
        <f t="shared" ca="1" si="1"/>
        <v>0</v>
      </c>
      <c r="N28" s="75" t="s">
        <v>465</v>
      </c>
    </row>
    <row r="29" spans="2:14" ht="22.5" customHeight="1">
      <c r="B29" s="10" t="s">
        <v>426</v>
      </c>
      <c r="C29" s="401" t="s">
        <v>8</v>
      </c>
      <c r="D29" s="401"/>
      <c r="E29" s="401"/>
      <c r="F29" s="401"/>
      <c r="G29" s="401"/>
      <c r="H29" s="56">
        <f t="shared" ca="1" si="1"/>
        <v>0</v>
      </c>
      <c r="I29" s="56">
        <f t="shared" ca="1" si="1"/>
        <v>0</v>
      </c>
      <c r="J29" s="56">
        <f t="shared" ca="1" si="1"/>
        <v>0</v>
      </c>
      <c r="K29" s="56">
        <f t="shared" ca="1" si="1"/>
        <v>0</v>
      </c>
      <c r="L29" s="56">
        <f t="shared" ca="1" si="1"/>
        <v>0</v>
      </c>
      <c r="M29" s="56">
        <f t="shared" ca="1" si="1"/>
        <v>0</v>
      </c>
      <c r="N29" s="75" t="s">
        <v>438</v>
      </c>
    </row>
    <row r="30" spans="2:14" ht="22.5" customHeight="1">
      <c r="B30" s="10" t="s">
        <v>427</v>
      </c>
      <c r="C30" s="401" t="s">
        <v>4</v>
      </c>
      <c r="D30" s="401"/>
      <c r="E30" s="401"/>
      <c r="F30" s="401"/>
      <c r="G30" s="401"/>
      <c r="H30" s="56">
        <f t="shared" ca="1" si="1"/>
        <v>0</v>
      </c>
      <c r="I30" s="56">
        <f t="shared" ca="1" si="1"/>
        <v>0</v>
      </c>
      <c r="J30" s="56">
        <f t="shared" ca="1" si="1"/>
        <v>0</v>
      </c>
      <c r="K30" s="56">
        <f t="shared" ca="1" si="1"/>
        <v>0</v>
      </c>
      <c r="L30" s="56">
        <f t="shared" ca="1" si="1"/>
        <v>0</v>
      </c>
      <c r="M30" s="56">
        <f t="shared" ca="1" si="1"/>
        <v>0</v>
      </c>
      <c r="N30" s="75" t="s">
        <v>474</v>
      </c>
    </row>
    <row r="31" spans="2:14" ht="4.5" customHeight="1">
      <c r="B31" s="79"/>
      <c r="C31" s="440"/>
      <c r="D31" s="440"/>
      <c r="E31" s="440"/>
      <c r="F31" s="440"/>
      <c r="G31" s="440"/>
      <c r="H31" s="80"/>
      <c r="I31" s="80"/>
      <c r="J31" s="80"/>
      <c r="K31" s="80"/>
      <c r="L31" s="80"/>
      <c r="M31" s="81"/>
    </row>
    <row r="32" spans="2:14" ht="22.5" customHeight="1">
      <c r="B32" s="441">
        <v>129</v>
      </c>
      <c r="C32" s="442" t="s">
        <v>342</v>
      </c>
      <c r="D32" s="443"/>
      <c r="E32" s="443"/>
      <c r="F32" s="443"/>
      <c r="G32" s="444"/>
      <c r="H32" s="63">
        <f ca="1">SUM(H22:H30)</f>
        <v>0</v>
      </c>
      <c r="I32" s="63">
        <f t="shared" ref="I32:M32" ca="1" si="2">SUM(I22:I30)</f>
        <v>0</v>
      </c>
      <c r="J32" s="63">
        <f t="shared" ca="1" si="2"/>
        <v>0</v>
      </c>
      <c r="K32" s="63">
        <f t="shared" ca="1" si="2"/>
        <v>0</v>
      </c>
      <c r="L32" s="63">
        <f t="shared" ca="1" si="2"/>
        <v>0</v>
      </c>
      <c r="M32" s="63">
        <f t="shared" ca="1" si="2"/>
        <v>0</v>
      </c>
    </row>
    <row r="33" spans="2:13" ht="22.5" customHeight="1">
      <c r="B33" s="441"/>
      <c r="C33" s="445" t="s">
        <v>435</v>
      </c>
      <c r="D33" s="446"/>
      <c r="E33" s="446"/>
      <c r="F33" s="446"/>
      <c r="G33" s="447"/>
      <c r="H33" s="426">
        <f ca="1">H32*H21+I32*I21+J32*J21+K32*K21+L32*L21+M32*M21</f>
        <v>0</v>
      </c>
      <c r="I33" s="427"/>
      <c r="J33" s="427"/>
      <c r="K33" s="427"/>
      <c r="L33" s="427"/>
      <c r="M33" s="428"/>
    </row>
    <row r="34" spans="2:13" ht="14.25" customHeight="1">
      <c r="B34" s="441"/>
      <c r="C34" s="448" t="s">
        <v>466</v>
      </c>
      <c r="D34" s="449"/>
      <c r="E34" s="449"/>
      <c r="F34" s="449"/>
      <c r="G34" s="450"/>
      <c r="H34" s="107">
        <f ca="1">H32/($B$32*4)*100</f>
        <v>0</v>
      </c>
      <c r="I34" s="107">
        <f t="shared" ref="I34:M34" ca="1" si="3">I32/($B$32*4)*100</f>
        <v>0</v>
      </c>
      <c r="J34" s="107">
        <f t="shared" ca="1" si="3"/>
        <v>0</v>
      </c>
      <c r="K34" s="107">
        <f t="shared" ca="1" si="3"/>
        <v>0</v>
      </c>
      <c r="L34" s="107">
        <f t="shared" ca="1" si="3"/>
        <v>0</v>
      </c>
      <c r="M34" s="107">
        <f t="shared" ca="1" si="3"/>
        <v>0</v>
      </c>
    </row>
    <row r="35" spans="2:13" ht="22.5" customHeight="1">
      <c r="B35" s="441"/>
      <c r="C35" s="445" t="s">
        <v>442</v>
      </c>
      <c r="D35" s="446"/>
      <c r="E35" s="446"/>
      <c r="F35" s="446"/>
      <c r="G35" s="447"/>
      <c r="H35" s="426">
        <f ca="1">H33/($B$32*4*12)*100</f>
        <v>0</v>
      </c>
      <c r="I35" s="427"/>
      <c r="J35" s="427"/>
      <c r="K35" s="427"/>
      <c r="L35" s="427"/>
      <c r="M35" s="428"/>
    </row>
    <row r="36" spans="2:13" ht="22.5" hidden="1" customHeight="1">
      <c r="B36" s="393"/>
      <c r="C36" s="393"/>
      <c r="D36" s="393"/>
      <c r="E36" s="393"/>
      <c r="F36" s="393"/>
      <c r="G36" s="393"/>
      <c r="H36" s="393"/>
      <c r="I36" s="62"/>
      <c r="J36" s="62"/>
      <c r="K36" s="62"/>
      <c r="L36" s="62"/>
      <c r="M36" s="91">
        <f>IF(M35&lt;=50,0.25,IF(M35&lt;=60,0.5,IF(M35&lt;=75,0.75,IF(M35&lt;=90,1,1.25))))</f>
        <v>0.25</v>
      </c>
    </row>
    <row r="37" spans="2:13"/>
    <row r="38" spans="2:13" ht="21" customHeight="1">
      <c r="B38" s="14" t="s">
        <v>448</v>
      </c>
      <c r="C38" s="61"/>
    </row>
    <row r="39" spans="2:13" ht="10.5" customHeight="1">
      <c r="C39" s="96"/>
    </row>
    <row r="40" spans="2:13" ht="18.75" customHeight="1">
      <c r="B40" s="431" t="s">
        <v>449</v>
      </c>
      <c r="C40" s="432"/>
      <c r="D40" s="432"/>
      <c r="E40" s="432"/>
      <c r="F40" s="433"/>
      <c r="G40" s="430" t="s">
        <v>446</v>
      </c>
      <c r="H40" s="430"/>
      <c r="I40" s="430"/>
      <c r="J40" s="437" t="s">
        <v>434</v>
      </c>
    </row>
    <row r="41" spans="2:13" ht="18.75" customHeight="1">
      <c r="B41" s="434"/>
      <c r="C41" s="435"/>
      <c r="D41" s="435"/>
      <c r="E41" s="435"/>
      <c r="F41" s="436"/>
      <c r="G41" s="65">
        <v>1</v>
      </c>
      <c r="H41" s="65">
        <v>2</v>
      </c>
      <c r="I41" s="65">
        <v>3</v>
      </c>
      <c r="J41" s="438"/>
    </row>
    <row r="42" spans="2:13" s="54" customFormat="1" ht="31.5" customHeight="1">
      <c r="B42" s="429" t="s">
        <v>445</v>
      </c>
      <c r="C42" s="429"/>
      <c r="D42" s="429"/>
      <c r="E42" s="429"/>
      <c r="F42" s="429"/>
      <c r="G42" s="100">
        <f ca="1">IF(ISERROR(INDIRECT("'"&amp;$J$19&amp;"-"&amp;$E$1&amp;$C$1&amp;G$41&amp;"'!E243")),"~",INDIRECT("'"&amp;$J$19&amp;"-"&amp;$E$1&amp;$C$1&amp;G$41&amp;"'!E243"))</f>
        <v>70</v>
      </c>
      <c r="H42" s="100">
        <f t="shared" ref="H42:I42" ca="1" si="4">IF(ISERROR(INDIRECT("'"&amp;$J$19&amp;"-"&amp;$E$1&amp;$C$1&amp;H$41&amp;"'!E243")),"~",INDIRECT("'"&amp;$J$19&amp;"-"&amp;$E$1&amp;$C$1&amp;H$41&amp;"'!E243"))</f>
        <v>0</v>
      </c>
      <c r="I42" s="100">
        <f t="shared" ca="1" si="4"/>
        <v>0</v>
      </c>
      <c r="J42" s="100">
        <f ca="1">H35</f>
        <v>0</v>
      </c>
    </row>
    <row r="43" spans="2:13" ht="18.75">
      <c r="C43" s="97"/>
      <c r="D43" s="97"/>
      <c r="E43" s="97"/>
      <c r="F43" s="97"/>
      <c r="G43" s="97"/>
    </row>
    <row r="44" spans="2:13" s="61" customFormat="1" ht="24.75" customHeight="1">
      <c r="C44" s="93" t="s">
        <v>444</v>
      </c>
      <c r="D44" s="94" t="s">
        <v>20</v>
      </c>
      <c r="E44" s="95" t="s">
        <v>443</v>
      </c>
    </row>
    <row r="45" spans="2:13" s="61" customFormat="1" ht="24.75" customHeight="1">
      <c r="C45" s="92"/>
      <c r="D45" s="95" t="s">
        <v>20</v>
      </c>
      <c r="E45" s="95" t="str">
        <f ca="1">"(("&amp;TEXT(G42,"0,00")&amp;"+"&amp;TEXT(H42,"0,00")&amp;"+"&amp;TEXT(I42,"0,00")&amp;") / 3  +  2 x "&amp;TEXT(H35,"0,00")&amp;") / 3"</f>
        <v>((070+000+000) / 3  +  2 x 000) / 3</v>
      </c>
    </row>
    <row r="46" spans="2:13" ht="21">
      <c r="D46" s="95" t="s">
        <v>20</v>
      </c>
      <c r="E46" s="99">
        <f ca="1">(((IF(G42="~",0,G42)+IF(H42="~",0,IF(H42="~",0,H42))+IF(I42="~",0,I42))/3)+(2*J42))/3</f>
        <v>7.7777777777777777</v>
      </c>
    </row>
    <row r="47" spans="2:13" ht="21">
      <c r="D47" s="95"/>
      <c r="E47" s="99"/>
    </row>
    <row r="48" spans="2:13" ht="21">
      <c r="C48" s="14" t="s">
        <v>460</v>
      </c>
      <c r="D48" s="95"/>
      <c r="E48" s="99"/>
    </row>
    <row r="49" spans="3:13" ht="30.75" customHeight="1">
      <c r="E49" s="106">
        <f ca="1">E46</f>
        <v>7.7777777777777777</v>
      </c>
      <c r="F49" s="422" t="str">
        <f ca="1">UPPER(VLOOKUP(E46,P4:Q8,2,TRUE))</f>
        <v>KURANG</v>
      </c>
      <c r="G49" s="423"/>
      <c r="H49" s="423"/>
      <c r="I49" s="424"/>
    </row>
    <row r="50" spans="3:13" ht="33" customHeight="1"/>
    <row r="51" spans="3:13" ht="37.5" customHeight="1">
      <c r="C51" s="385" t="s">
        <v>349</v>
      </c>
      <c r="D51" s="386"/>
      <c r="E51" s="386"/>
      <c r="F51" s="386"/>
      <c r="G51" s="386" t="s">
        <v>441</v>
      </c>
      <c r="H51" s="386"/>
      <c r="I51" s="386"/>
      <c r="J51" s="386"/>
      <c r="K51" s="386"/>
      <c r="L51" s="386"/>
      <c r="M51" s="386"/>
    </row>
    <row r="52" spans="3:13" ht="60" customHeight="1"/>
    <row r="53" spans="3:13" ht="15.75">
      <c r="C53" s="439">
        <f ca="1">INDIRECT("'Sampul-Thn-"&amp;A1&amp;"'!E9")</f>
        <v>0</v>
      </c>
      <c r="D53" s="388"/>
      <c r="E53" s="388"/>
      <c r="F53" s="388"/>
      <c r="G53" s="389">
        <f>'Sampul-Thn-4'!C31</f>
        <v>0</v>
      </c>
      <c r="H53" s="389"/>
      <c r="I53" s="389"/>
      <c r="J53" s="389"/>
      <c r="K53" s="389"/>
      <c r="L53" s="389"/>
      <c r="M53" s="389"/>
    </row>
    <row r="54" spans="3:13">
      <c r="C54" s="425" t="str">
        <f ca="1">"NIP " &amp; INDIRECT("'Sampul-Thn-"&amp;A1&amp;"'!E10")</f>
        <v xml:space="preserve">NIP </v>
      </c>
      <c r="D54" s="391"/>
      <c r="E54" s="391"/>
      <c r="F54" s="391"/>
      <c r="G54" s="392">
        <f>'Sampul-Thn-4'!D31</f>
        <v>0</v>
      </c>
      <c r="H54" s="392"/>
      <c r="I54" s="392"/>
      <c r="J54" s="392"/>
      <c r="K54" s="392"/>
      <c r="L54" s="392"/>
      <c r="M54" s="392"/>
    </row>
    <row r="55" spans="3:13"/>
    <row r="56" spans="3:13" ht="15" customHeight="1"/>
    <row r="57" spans="3:13" ht="15" customHeight="1"/>
    <row r="58" spans="3:13" ht="15" customHeight="1"/>
    <row r="59" spans="3:13" ht="15" customHeight="1"/>
  </sheetData>
  <sheetProtection sheet="1" selectLockedCells="1"/>
  <mergeCells count="35">
    <mergeCell ref="C28:G28"/>
    <mergeCell ref="B2:M2"/>
    <mergeCell ref="E5:M5"/>
    <mergeCell ref="E12:G12"/>
    <mergeCell ref="B19:B21"/>
    <mergeCell ref="C19:G21"/>
    <mergeCell ref="C22:G22"/>
    <mergeCell ref="C23:G23"/>
    <mergeCell ref="C24:G24"/>
    <mergeCell ref="C25:G25"/>
    <mergeCell ref="C26:G26"/>
    <mergeCell ref="C27:G27"/>
    <mergeCell ref="C30:G30"/>
    <mergeCell ref="C31:G31"/>
    <mergeCell ref="B32:B35"/>
    <mergeCell ref="C32:G32"/>
    <mergeCell ref="C33:G33"/>
    <mergeCell ref="C35:G35"/>
    <mergeCell ref="C34:G34"/>
    <mergeCell ref="P3:Q3"/>
    <mergeCell ref="F49:I49"/>
    <mergeCell ref="C54:F54"/>
    <mergeCell ref="G54:M54"/>
    <mergeCell ref="H33:M33"/>
    <mergeCell ref="B42:F42"/>
    <mergeCell ref="G40:I40"/>
    <mergeCell ref="B40:F41"/>
    <mergeCell ref="J40:J41"/>
    <mergeCell ref="H35:M35"/>
    <mergeCell ref="B36:H36"/>
    <mergeCell ref="C51:F51"/>
    <mergeCell ref="G51:M51"/>
    <mergeCell ref="C53:F53"/>
    <mergeCell ref="G53:M53"/>
    <mergeCell ref="C29:G29"/>
  </mergeCells>
  <pageMargins left="0.7" right="0.7" top="0.75" bottom="0.75" header="0.3" footer="0.3"/>
  <pageSetup paperSize="9" scale="82" orientation="portrait" r:id="rId1"/>
</worksheet>
</file>

<file path=xl/worksheets/sheet24.xml><?xml version="1.0" encoding="utf-8"?>
<worksheet xmlns="http://schemas.openxmlformats.org/spreadsheetml/2006/main" xmlns:r="http://schemas.openxmlformats.org/officeDocument/2006/relationships">
  <sheetPr>
    <tabColor rgb="FFFFCC00"/>
    <pageSetUpPr fitToPage="1"/>
  </sheetPr>
  <dimension ref="A1:U397"/>
  <sheetViews>
    <sheetView showGridLines="0" workbookViewId="0">
      <selection activeCell="N1" sqref="N1"/>
    </sheetView>
  </sheetViews>
  <sheetFormatPr defaultColWidth="0" defaultRowHeight="15" zeroHeight="1"/>
  <cols>
    <col min="1" max="1" width="4.140625" customWidth="1"/>
    <col min="2" max="2" width="5.7109375" customWidth="1"/>
    <col min="3" max="3" width="3" customWidth="1"/>
    <col min="4" max="4" width="79.5703125" style="43" customWidth="1"/>
    <col min="5" max="5" width="8.42578125" bestFit="1" customWidth="1"/>
    <col min="6" max="13" width="8.42578125" customWidth="1"/>
    <col min="14" max="14" width="2.140625" customWidth="1"/>
    <col min="15" max="16" width="4" hidden="1" customWidth="1"/>
    <col min="17" max="21" width="0" hidden="1" customWidth="1"/>
    <col min="22" max="16384" width="9.140625" hidden="1"/>
  </cols>
  <sheetData>
    <row r="1" spans="1:16" s="55" customFormat="1" ht="18.75">
      <c r="A1" s="55" t="str">
        <f ca="1">RIGHT(MID(CELL("filename",A1),FIND("]",CELL("filename",A1))+1,255),1)</f>
        <v>l</v>
      </c>
      <c r="B1" s="55" t="str">
        <f ca="1">MID(CELL("filename",B1),FIND("]",CELL("filename",B1))+1,255)</f>
        <v>Rekap_Detil</v>
      </c>
      <c r="C1" s="55" t="str">
        <f ca="1">MID(B1,1,LEN(B1)-6)</f>
        <v>Rekap</v>
      </c>
      <c r="E1" s="55">
        <v>1</v>
      </c>
      <c r="F1" s="55">
        <v>2</v>
      </c>
      <c r="G1" s="55">
        <v>3</v>
      </c>
      <c r="H1" s="55">
        <v>4</v>
      </c>
      <c r="I1" s="55">
        <v>4</v>
      </c>
      <c r="J1" s="55">
        <v>4</v>
      </c>
      <c r="K1" s="55">
        <v>4</v>
      </c>
      <c r="L1" s="55">
        <v>4</v>
      </c>
      <c r="M1" s="55">
        <v>4</v>
      </c>
      <c r="N1" s="307" t="str">
        <f>HYPERLINK("#Menu!A1","↖")</f>
        <v>↖</v>
      </c>
    </row>
    <row r="2" spans="1:16" ht="23.25">
      <c r="B2" s="50" t="s">
        <v>468</v>
      </c>
      <c r="E2" s="460" t="s">
        <v>467</v>
      </c>
      <c r="F2" s="461"/>
      <c r="G2" s="461"/>
      <c r="H2" s="461"/>
      <c r="I2" s="461"/>
      <c r="J2" s="461"/>
      <c r="K2" s="461"/>
      <c r="L2" s="461"/>
      <c r="M2" s="462"/>
    </row>
    <row r="3" spans="1:16" ht="21">
      <c r="B3" s="304" t="str">
        <f ca="1">"Kamad yang dinilai : "&amp;INDIRECT("DATA"&amp;"!E3") &amp; " ("&amp;INDIRECT("DATA"&amp;"!E4")&amp;")"</f>
        <v>Kamad yang dinilai : SIDIQ MUSTAKIM, Lc (-)</v>
      </c>
      <c r="E3" s="116">
        <v>1</v>
      </c>
      <c r="F3" s="116">
        <v>2</v>
      </c>
      <c r="G3" s="116">
        <v>3</v>
      </c>
      <c r="H3" s="463">
        <v>4</v>
      </c>
      <c r="I3" s="464"/>
      <c r="J3" s="464"/>
      <c r="K3" s="464"/>
      <c r="L3" s="464"/>
      <c r="M3" s="465"/>
    </row>
    <row r="4" spans="1:16" ht="54" customHeight="1">
      <c r="B4" s="51"/>
      <c r="E4" s="114" t="s">
        <v>404</v>
      </c>
      <c r="F4" s="114" t="s">
        <v>404</v>
      </c>
      <c r="G4" s="114" t="s">
        <v>404</v>
      </c>
      <c r="H4" s="114" t="s">
        <v>402</v>
      </c>
      <c r="I4" s="114" t="s">
        <v>403</v>
      </c>
      <c r="J4" s="114" t="s">
        <v>404</v>
      </c>
      <c r="K4" s="114" t="s">
        <v>405</v>
      </c>
      <c r="L4" s="114" t="s">
        <v>406</v>
      </c>
      <c r="M4" s="114" t="s">
        <v>407</v>
      </c>
    </row>
    <row r="5" spans="1:16" s="108" customFormat="1" ht="22.5" customHeight="1">
      <c r="B5" s="466" t="s">
        <v>469</v>
      </c>
      <c r="C5" s="467"/>
      <c r="D5" s="467"/>
      <c r="E5" s="134">
        <f ca="1">IF(E1&lt;=3,SUBTOTAL(9,E7:E176)/($O5*4)*100,SUBTOTAL(9,E7:E237)/($P5*4)*100)</f>
        <v>70</v>
      </c>
      <c r="F5" s="135">
        <f t="shared" ref="F5:M5" ca="1" si="0">IF(F1&lt;=3,SUBTOTAL(9,F7:F176)/($O5*4)*100,SUBTOTAL(9,F7:F237)/($P5*4)*100)</f>
        <v>0</v>
      </c>
      <c r="G5" s="135">
        <f t="shared" ca="1" si="0"/>
        <v>0</v>
      </c>
      <c r="H5" s="135">
        <f ca="1">IF(H1&lt;=3,SUBTOTAL(9,H7:H176)/($O5*4)*100,SUBTOTAL(9,H7:H237)/($P5*4)*100)</f>
        <v>0</v>
      </c>
      <c r="I5" s="135">
        <f t="shared" ca="1" si="0"/>
        <v>0</v>
      </c>
      <c r="J5" s="135">
        <f t="shared" ca="1" si="0"/>
        <v>0</v>
      </c>
      <c r="K5" s="135">
        <f t="shared" ca="1" si="0"/>
        <v>0</v>
      </c>
      <c r="L5" s="135">
        <f t="shared" ca="1" si="0"/>
        <v>0</v>
      </c>
      <c r="M5" s="136">
        <f t="shared" ca="1" si="0"/>
        <v>0</v>
      </c>
      <c r="O5" s="108">
        <f>SUBTOTAL(9,O7:O172)</f>
        <v>115</v>
      </c>
      <c r="P5" s="108">
        <f>SUBTOTAL(9,O7:O239)</f>
        <v>129</v>
      </c>
    </row>
    <row r="6" spans="1:16" ht="3" customHeight="1">
      <c r="E6" s="43"/>
      <c r="F6" s="43"/>
      <c r="G6" s="43"/>
      <c r="H6" s="43"/>
      <c r="I6" s="43"/>
      <c r="J6" s="43"/>
      <c r="K6" s="43"/>
      <c r="L6" s="43"/>
      <c r="M6" s="43"/>
    </row>
    <row r="7" spans="1:16" s="108" customFormat="1" ht="18">
      <c r="B7" s="109" t="s">
        <v>412</v>
      </c>
      <c r="C7" s="110"/>
      <c r="D7" s="110"/>
      <c r="E7" s="137">
        <f ca="1">HYPERLINK("#'"&amp;E$4&amp;"-Thn-"&amp;E$1&amp;"'!"&amp;ADDRESS(ROW()+2,6),SUBTOTAL(9,INDIRECT(ADDRESS(ROW()+1+2,COLUMN())&amp;":"&amp;ADDRESS(ROW()+$O7+$P7+2,COLUMN())))/($O7*4)*100)</f>
        <v>61.458333333333336</v>
      </c>
      <c r="F7" s="137">
        <f t="shared" ref="F7:M7" ca="1" si="1">HYPERLINK("#'"&amp;F$4&amp;"-Thn-"&amp;F$1&amp;"'!"&amp;ADDRESS(ROW()+2,6),SUBTOTAL(9,INDIRECT(ADDRESS(ROW()+1+2,COLUMN())&amp;":"&amp;ADDRESS(ROW()+$O7+$P7+2,COLUMN())))/($O7*4)*100)</f>
        <v>0</v>
      </c>
      <c r="G7" s="137">
        <f t="shared" ca="1" si="1"/>
        <v>0</v>
      </c>
      <c r="H7" s="137">
        <f t="shared" ca="1" si="1"/>
        <v>0</v>
      </c>
      <c r="I7" s="137">
        <f t="shared" ca="1" si="1"/>
        <v>0</v>
      </c>
      <c r="J7" s="137">
        <f t="shared" ca="1" si="1"/>
        <v>0</v>
      </c>
      <c r="K7" s="137">
        <f t="shared" ca="1" si="1"/>
        <v>0</v>
      </c>
      <c r="L7" s="137">
        <f t="shared" ca="1" si="1"/>
        <v>0</v>
      </c>
      <c r="M7" s="143">
        <f t="shared" ca="1" si="1"/>
        <v>0</v>
      </c>
      <c r="O7" s="108">
        <f>SUBTOTAL(9,O10:O40)</f>
        <v>24</v>
      </c>
      <c r="P7" s="108">
        <v>7</v>
      </c>
    </row>
    <row r="8" spans="1:16" hidden="1">
      <c r="B8" s="381" t="s">
        <v>19</v>
      </c>
      <c r="C8" s="382" t="s">
        <v>70</v>
      </c>
      <c r="D8" s="382"/>
      <c r="E8" s="117"/>
      <c r="F8" s="117"/>
      <c r="G8" s="117"/>
      <c r="H8" s="117"/>
      <c r="I8" s="117"/>
      <c r="J8" s="117"/>
      <c r="K8" s="117"/>
      <c r="L8" s="117"/>
      <c r="M8" s="118"/>
    </row>
    <row r="9" spans="1:16" hidden="1">
      <c r="B9" s="381"/>
      <c r="C9" s="382"/>
      <c r="D9" s="382"/>
      <c r="E9" s="138"/>
      <c r="F9" s="138"/>
      <c r="G9" s="138"/>
      <c r="H9" s="138"/>
      <c r="I9" s="138"/>
      <c r="J9" s="138"/>
      <c r="K9" s="138"/>
      <c r="L9" s="138"/>
      <c r="M9" s="139"/>
    </row>
    <row r="10" spans="1:16" ht="27.75" customHeight="1">
      <c r="B10" s="38" t="s">
        <v>14</v>
      </c>
      <c r="C10" s="378" t="s">
        <v>73</v>
      </c>
      <c r="D10" s="379"/>
      <c r="E10" s="140">
        <f ca="1">HYPERLINK("#'"&amp;E$4&amp;"-Thn-"&amp;E$1&amp;"'!"&amp;ADDRESS(ROW()+1,6),SUBTOTAL(9,INDIRECT(ADDRESS(ROW()+1,COLUMN())&amp;":"&amp;ADDRESS(ROW()+$O10,COLUMN())))/($O10*4)*100)</f>
        <v>66.666666666666657</v>
      </c>
      <c r="F10" s="140">
        <f t="shared" ref="F10:M22" ca="1" si="2">HYPERLINK("#'"&amp;F$4&amp;"-Thn-"&amp;F$1&amp;"'!"&amp;ADDRESS(ROW()+1,6),SUBTOTAL(9,INDIRECT(ADDRESS(ROW()+1,COLUMN())&amp;":"&amp;ADDRESS(ROW()+$O10,COLUMN())))/($O10*4)*100)</f>
        <v>0</v>
      </c>
      <c r="G10" s="140">
        <f t="shared" ca="1" si="2"/>
        <v>0</v>
      </c>
      <c r="H10" s="140">
        <f t="shared" ca="1" si="2"/>
        <v>0</v>
      </c>
      <c r="I10" s="140">
        <f t="shared" ca="1" si="2"/>
        <v>0</v>
      </c>
      <c r="J10" s="140">
        <f t="shared" ca="1" si="2"/>
        <v>0</v>
      </c>
      <c r="K10" s="140">
        <f t="shared" ca="1" si="2"/>
        <v>0</v>
      </c>
      <c r="L10" s="140">
        <f t="shared" ca="1" si="2"/>
        <v>0</v>
      </c>
      <c r="M10" s="144">
        <f t="shared" ca="1" si="2"/>
        <v>0</v>
      </c>
      <c r="O10">
        <v>3</v>
      </c>
    </row>
    <row r="11" spans="1:16" ht="38.25">
      <c r="B11" s="6"/>
      <c r="C11" s="5" t="s">
        <v>74</v>
      </c>
      <c r="D11" s="44" t="s">
        <v>75</v>
      </c>
      <c r="E11" s="121">
        <f ca="1">HYPERLINK("#'"&amp;E$4&amp;"-Thn-"&amp;E$1&amp;"'!"&amp;ADDRESS(ROW(),6),IF(ISERROR(INDIRECT(ADDRESS(ROW(),6,1,1,E$4&amp;"-Thn-"&amp;E$1))),"~",INDIRECT(ADDRESS(ROW(),6,1,1,E$4&amp;"-Thn-"&amp;E$1))))</f>
        <v>2</v>
      </c>
      <c r="F11" s="121">
        <f t="shared" ref="F11:M28" ca="1" si="3">HYPERLINK("#'"&amp;F$4&amp;"-Thn-"&amp;F$1&amp;"'!"&amp;ADDRESS(ROW(),6),IF(ISERROR(INDIRECT(ADDRESS(ROW(),6,1,1,F$4&amp;"-Thn-"&amp;F$1))),"~",INDIRECT(ADDRESS(ROW(),6,1,1,F$4&amp;"-Thn-"&amp;F$1))))</f>
        <v>0</v>
      </c>
      <c r="G11" s="121">
        <f t="shared" ca="1" si="3"/>
        <v>0</v>
      </c>
      <c r="H11" s="121">
        <f t="shared" ca="1" si="3"/>
        <v>0</v>
      </c>
      <c r="I11" s="121">
        <f t="shared" ca="1" si="3"/>
        <v>0</v>
      </c>
      <c r="J11" s="121">
        <f t="shared" ca="1" si="3"/>
        <v>0</v>
      </c>
      <c r="K11" s="121">
        <f t="shared" ca="1" si="3"/>
        <v>0</v>
      </c>
      <c r="L11" s="121">
        <f t="shared" ca="1" si="3"/>
        <v>0</v>
      </c>
      <c r="M11" s="122">
        <f t="shared" ca="1" si="3"/>
        <v>0</v>
      </c>
    </row>
    <row r="12" spans="1:16" ht="25.5">
      <c r="B12" s="6"/>
      <c r="C12" s="5" t="s">
        <v>77</v>
      </c>
      <c r="D12" s="44" t="s">
        <v>78</v>
      </c>
      <c r="E12" s="121">
        <f t="shared" ref="E12:E13" ca="1" si="4">HYPERLINK("#'"&amp;E$4&amp;"-Thn-"&amp;E$1&amp;"'!"&amp;ADDRESS(ROW(),6),IF(ISERROR(INDIRECT(ADDRESS(ROW(),6,1,1,E$4&amp;"-Thn-"&amp;E$1))),"~",INDIRECT(ADDRESS(ROW(),6,1,1,E$4&amp;"-Thn-"&amp;E$1))))</f>
        <v>3</v>
      </c>
      <c r="F12" s="121">
        <f t="shared" ca="1" si="3"/>
        <v>0</v>
      </c>
      <c r="G12" s="121">
        <f t="shared" ca="1" si="3"/>
        <v>0</v>
      </c>
      <c r="H12" s="121">
        <f t="shared" ca="1" si="3"/>
        <v>0</v>
      </c>
      <c r="I12" s="121">
        <f t="shared" ca="1" si="3"/>
        <v>0</v>
      </c>
      <c r="J12" s="121">
        <f t="shared" ca="1" si="3"/>
        <v>0</v>
      </c>
      <c r="K12" s="121">
        <f t="shared" ca="1" si="3"/>
        <v>0</v>
      </c>
      <c r="L12" s="121">
        <f t="shared" ca="1" si="3"/>
        <v>0</v>
      </c>
      <c r="M12" s="122">
        <f t="shared" ca="1" si="3"/>
        <v>0</v>
      </c>
    </row>
    <row r="13" spans="1:16" ht="38.25">
      <c r="B13" s="6"/>
      <c r="C13" s="5" t="s">
        <v>80</v>
      </c>
      <c r="D13" s="44" t="s">
        <v>81</v>
      </c>
      <c r="E13" s="121">
        <f t="shared" ca="1" si="4"/>
        <v>3</v>
      </c>
      <c r="F13" s="121">
        <f t="shared" ca="1" si="3"/>
        <v>0</v>
      </c>
      <c r="G13" s="121">
        <f t="shared" ca="1" si="3"/>
        <v>0</v>
      </c>
      <c r="H13" s="121">
        <f t="shared" ca="1" si="3"/>
        <v>0</v>
      </c>
      <c r="I13" s="121">
        <f t="shared" ca="1" si="3"/>
        <v>0</v>
      </c>
      <c r="J13" s="121">
        <f t="shared" ca="1" si="3"/>
        <v>0</v>
      </c>
      <c r="K13" s="121">
        <f t="shared" ca="1" si="3"/>
        <v>0</v>
      </c>
      <c r="L13" s="121">
        <f t="shared" ca="1" si="3"/>
        <v>0</v>
      </c>
      <c r="M13" s="122">
        <f t="shared" ca="1" si="3"/>
        <v>0</v>
      </c>
    </row>
    <row r="14" spans="1:16" ht="27.75" customHeight="1">
      <c r="B14" s="38" t="s">
        <v>13</v>
      </c>
      <c r="C14" s="378" t="s">
        <v>82</v>
      </c>
      <c r="D14" s="380"/>
      <c r="E14" s="140">
        <f t="shared" ref="E14:M36" ca="1" si="5">HYPERLINK("#'"&amp;E$4&amp;"-Thn-"&amp;E$1&amp;"'!"&amp;ADDRESS(ROW()+1,6),SUBTOTAL(9,INDIRECT(ADDRESS(ROW()+1,COLUMN())&amp;":"&amp;ADDRESS(ROW()+$O14,COLUMN())))/($O14*4)*100)</f>
        <v>68.75</v>
      </c>
      <c r="F14" s="140">
        <f t="shared" ca="1" si="2"/>
        <v>0</v>
      </c>
      <c r="G14" s="140">
        <f t="shared" ca="1" si="2"/>
        <v>0</v>
      </c>
      <c r="H14" s="140">
        <f t="shared" ca="1" si="2"/>
        <v>0</v>
      </c>
      <c r="I14" s="140">
        <f t="shared" ca="1" si="2"/>
        <v>0</v>
      </c>
      <c r="J14" s="140">
        <f t="shared" ca="1" si="2"/>
        <v>0</v>
      </c>
      <c r="K14" s="140">
        <f t="shared" ca="1" si="2"/>
        <v>0</v>
      </c>
      <c r="L14" s="140">
        <f t="shared" ca="1" si="2"/>
        <v>0</v>
      </c>
      <c r="M14" s="144">
        <f t="shared" ca="1" si="2"/>
        <v>0</v>
      </c>
      <c r="O14">
        <v>4</v>
      </c>
    </row>
    <row r="15" spans="1:16" ht="25.5">
      <c r="B15" s="6"/>
      <c r="C15" s="5" t="s">
        <v>74</v>
      </c>
      <c r="D15" s="44" t="s">
        <v>83</v>
      </c>
      <c r="E15" s="121">
        <f t="shared" ref="E15:E18" ca="1" si="6">HYPERLINK("#'"&amp;E$4&amp;"-Thn-"&amp;E$1&amp;"'!"&amp;ADDRESS(ROW(),6),IF(ISERROR(INDIRECT(ADDRESS(ROW(),6,1,1,E$4&amp;"-Thn-"&amp;E$1))),"~",INDIRECT(ADDRESS(ROW(),6,1,1,E$4&amp;"-Thn-"&amp;E$1))))</f>
        <v>3</v>
      </c>
      <c r="F15" s="121">
        <f t="shared" ca="1" si="3"/>
        <v>0</v>
      </c>
      <c r="G15" s="121">
        <f t="shared" ca="1" si="3"/>
        <v>0</v>
      </c>
      <c r="H15" s="121">
        <f t="shared" ca="1" si="3"/>
        <v>0</v>
      </c>
      <c r="I15" s="121">
        <f t="shared" ca="1" si="3"/>
        <v>0</v>
      </c>
      <c r="J15" s="121">
        <f t="shared" ca="1" si="3"/>
        <v>0</v>
      </c>
      <c r="K15" s="121">
        <f t="shared" ca="1" si="3"/>
        <v>0</v>
      </c>
      <c r="L15" s="121">
        <f t="shared" ca="1" si="3"/>
        <v>0</v>
      </c>
      <c r="M15" s="122">
        <f t="shared" ca="1" si="3"/>
        <v>0</v>
      </c>
    </row>
    <row r="16" spans="1:16" ht="18" customHeight="1">
      <c r="B16" s="6"/>
      <c r="C16" s="5" t="s">
        <v>77</v>
      </c>
      <c r="D16" s="44" t="s">
        <v>393</v>
      </c>
      <c r="E16" s="121">
        <f t="shared" ca="1" si="6"/>
        <v>4</v>
      </c>
      <c r="F16" s="121">
        <f t="shared" ca="1" si="3"/>
        <v>0</v>
      </c>
      <c r="G16" s="121">
        <f t="shared" ca="1" si="3"/>
        <v>0</v>
      </c>
      <c r="H16" s="121">
        <f t="shared" ca="1" si="3"/>
        <v>0</v>
      </c>
      <c r="I16" s="121">
        <f t="shared" ca="1" si="3"/>
        <v>0</v>
      </c>
      <c r="J16" s="121">
        <f t="shared" ca="1" si="3"/>
        <v>0</v>
      </c>
      <c r="K16" s="121">
        <f t="shared" ca="1" si="3"/>
        <v>0</v>
      </c>
      <c r="L16" s="121">
        <f t="shared" ca="1" si="3"/>
        <v>0</v>
      </c>
      <c r="M16" s="122">
        <f t="shared" ca="1" si="3"/>
        <v>0</v>
      </c>
    </row>
    <row r="17" spans="2:15" ht="25.5">
      <c r="B17" s="6"/>
      <c r="C17" s="5" t="s">
        <v>80</v>
      </c>
      <c r="D17" s="44" t="s">
        <v>86</v>
      </c>
      <c r="E17" s="121">
        <f t="shared" ca="1" si="6"/>
        <v>2</v>
      </c>
      <c r="F17" s="121">
        <f t="shared" ca="1" si="3"/>
        <v>0</v>
      </c>
      <c r="G17" s="121">
        <f t="shared" ca="1" si="3"/>
        <v>0</v>
      </c>
      <c r="H17" s="121">
        <f t="shared" ca="1" si="3"/>
        <v>0</v>
      </c>
      <c r="I17" s="121">
        <f t="shared" ca="1" si="3"/>
        <v>0</v>
      </c>
      <c r="J17" s="121">
        <f t="shared" ca="1" si="3"/>
        <v>0</v>
      </c>
      <c r="K17" s="121">
        <f t="shared" ca="1" si="3"/>
        <v>0</v>
      </c>
      <c r="L17" s="121">
        <f t="shared" ca="1" si="3"/>
        <v>0</v>
      </c>
      <c r="M17" s="122">
        <f t="shared" ca="1" si="3"/>
        <v>0</v>
      </c>
    </row>
    <row r="18" spans="2:15">
      <c r="B18" s="6"/>
      <c r="C18" s="5" t="s">
        <v>88</v>
      </c>
      <c r="D18" s="44" t="s">
        <v>89</v>
      </c>
      <c r="E18" s="121">
        <f t="shared" ca="1" si="6"/>
        <v>2</v>
      </c>
      <c r="F18" s="121">
        <f t="shared" ca="1" si="3"/>
        <v>0</v>
      </c>
      <c r="G18" s="121">
        <f t="shared" ca="1" si="3"/>
        <v>0</v>
      </c>
      <c r="H18" s="121">
        <f t="shared" ca="1" si="3"/>
        <v>0</v>
      </c>
      <c r="I18" s="121">
        <f t="shared" ca="1" si="3"/>
        <v>0</v>
      </c>
      <c r="J18" s="121">
        <f t="shared" ca="1" si="3"/>
        <v>0</v>
      </c>
      <c r="K18" s="121">
        <f t="shared" ca="1" si="3"/>
        <v>0</v>
      </c>
      <c r="L18" s="121">
        <f t="shared" ca="1" si="3"/>
        <v>0</v>
      </c>
      <c r="M18" s="122">
        <f t="shared" ca="1" si="3"/>
        <v>0</v>
      </c>
    </row>
    <row r="19" spans="2:15" ht="27.75" customHeight="1">
      <c r="B19" s="38" t="s">
        <v>91</v>
      </c>
      <c r="C19" s="378" t="s">
        <v>92</v>
      </c>
      <c r="D19" s="379"/>
      <c r="E19" s="140">
        <f t="shared" ca="1" si="5"/>
        <v>62.5</v>
      </c>
      <c r="F19" s="140">
        <f t="shared" ca="1" si="2"/>
        <v>0</v>
      </c>
      <c r="G19" s="140">
        <f t="shared" ca="1" si="2"/>
        <v>0</v>
      </c>
      <c r="H19" s="140">
        <f t="shared" ca="1" si="2"/>
        <v>0</v>
      </c>
      <c r="I19" s="140">
        <f t="shared" ca="1" si="2"/>
        <v>0</v>
      </c>
      <c r="J19" s="140">
        <f t="shared" ca="1" si="2"/>
        <v>0</v>
      </c>
      <c r="K19" s="140">
        <f t="shared" ca="1" si="2"/>
        <v>0</v>
      </c>
      <c r="L19" s="140">
        <f t="shared" ca="1" si="2"/>
        <v>0</v>
      </c>
      <c r="M19" s="144">
        <f t="shared" ca="1" si="2"/>
        <v>0</v>
      </c>
      <c r="O19">
        <v>2</v>
      </c>
    </row>
    <row r="20" spans="2:15" ht="38.25">
      <c r="B20" s="6"/>
      <c r="C20" s="5" t="s">
        <v>74</v>
      </c>
      <c r="D20" s="44" t="s">
        <v>93</v>
      </c>
      <c r="E20" s="121">
        <f t="shared" ref="E20:E21" ca="1" si="7">HYPERLINK("#'"&amp;E$4&amp;"-Thn-"&amp;E$1&amp;"'!"&amp;ADDRESS(ROW(),6),IF(ISERROR(INDIRECT(ADDRESS(ROW(),6,1,1,E$4&amp;"-Thn-"&amp;E$1))),"~",INDIRECT(ADDRESS(ROW(),6,1,1,E$4&amp;"-Thn-"&amp;E$1))))</f>
        <v>3</v>
      </c>
      <c r="F20" s="121">
        <f t="shared" ca="1" si="3"/>
        <v>0</v>
      </c>
      <c r="G20" s="121">
        <f t="shared" ca="1" si="3"/>
        <v>0</v>
      </c>
      <c r="H20" s="121">
        <f t="shared" ca="1" si="3"/>
        <v>0</v>
      </c>
      <c r="I20" s="121">
        <f t="shared" ca="1" si="3"/>
        <v>0</v>
      </c>
      <c r="J20" s="121">
        <f t="shared" ca="1" si="3"/>
        <v>0</v>
      </c>
      <c r="K20" s="121">
        <f t="shared" ca="1" si="3"/>
        <v>0</v>
      </c>
      <c r="L20" s="121">
        <f t="shared" ca="1" si="3"/>
        <v>0</v>
      </c>
      <c r="M20" s="122">
        <f t="shared" ca="1" si="3"/>
        <v>0</v>
      </c>
    </row>
    <row r="21" spans="2:15">
      <c r="B21" s="6"/>
      <c r="C21" s="5" t="s">
        <v>77</v>
      </c>
      <c r="D21" s="44" t="s">
        <v>95</v>
      </c>
      <c r="E21" s="121">
        <f t="shared" ca="1" si="7"/>
        <v>2</v>
      </c>
      <c r="F21" s="121">
        <f t="shared" ca="1" si="3"/>
        <v>0</v>
      </c>
      <c r="G21" s="121">
        <f t="shared" ca="1" si="3"/>
        <v>0</v>
      </c>
      <c r="H21" s="121">
        <f t="shared" ca="1" si="3"/>
        <v>0</v>
      </c>
      <c r="I21" s="121">
        <f t="shared" ca="1" si="3"/>
        <v>0</v>
      </c>
      <c r="J21" s="121">
        <f t="shared" ca="1" si="3"/>
        <v>0</v>
      </c>
      <c r="K21" s="121">
        <f t="shared" ca="1" si="3"/>
        <v>0</v>
      </c>
      <c r="L21" s="121">
        <f t="shared" ca="1" si="3"/>
        <v>0</v>
      </c>
      <c r="M21" s="122">
        <f t="shared" ca="1" si="3"/>
        <v>0</v>
      </c>
    </row>
    <row r="22" spans="2:15" ht="27.75" customHeight="1">
      <c r="B22" s="38" t="s">
        <v>97</v>
      </c>
      <c r="C22" s="378" t="s">
        <v>98</v>
      </c>
      <c r="D22" s="379"/>
      <c r="E22" s="140">
        <f t="shared" ca="1" si="5"/>
        <v>68.75</v>
      </c>
      <c r="F22" s="140">
        <f t="shared" ca="1" si="2"/>
        <v>0</v>
      </c>
      <c r="G22" s="140">
        <f t="shared" ca="1" si="2"/>
        <v>0</v>
      </c>
      <c r="H22" s="140">
        <f t="shared" ca="1" si="2"/>
        <v>0</v>
      </c>
      <c r="I22" s="140">
        <f t="shared" ca="1" si="2"/>
        <v>0</v>
      </c>
      <c r="J22" s="140">
        <f t="shared" ca="1" si="2"/>
        <v>0</v>
      </c>
      <c r="K22" s="140">
        <f t="shared" ca="1" si="2"/>
        <v>0</v>
      </c>
      <c r="L22" s="140">
        <f t="shared" ca="1" si="2"/>
        <v>0</v>
      </c>
      <c r="M22" s="144">
        <f t="shared" ca="1" si="2"/>
        <v>0</v>
      </c>
      <c r="O22">
        <v>4</v>
      </c>
    </row>
    <row r="23" spans="2:15" ht="51">
      <c r="B23" s="6"/>
      <c r="C23" s="5" t="s">
        <v>74</v>
      </c>
      <c r="D23" s="44" t="s">
        <v>310</v>
      </c>
      <c r="E23" s="121">
        <f t="shared" ref="E23:E26" ca="1" si="8">HYPERLINK("#'"&amp;E$4&amp;"-Thn-"&amp;E$1&amp;"'!"&amp;ADDRESS(ROW(),6),IF(ISERROR(INDIRECT(ADDRESS(ROW(),6,1,1,E$4&amp;"-Thn-"&amp;E$1))),"~",INDIRECT(ADDRESS(ROW(),6,1,1,E$4&amp;"-Thn-"&amp;E$1))))</f>
        <v>2</v>
      </c>
      <c r="F23" s="121">
        <f t="shared" ca="1" si="3"/>
        <v>0</v>
      </c>
      <c r="G23" s="121">
        <f t="shared" ca="1" si="3"/>
        <v>0</v>
      </c>
      <c r="H23" s="121">
        <f t="shared" ca="1" si="3"/>
        <v>0</v>
      </c>
      <c r="I23" s="121">
        <f t="shared" ca="1" si="3"/>
        <v>0</v>
      </c>
      <c r="J23" s="121">
        <f t="shared" ca="1" si="3"/>
        <v>0</v>
      </c>
      <c r="K23" s="121">
        <f t="shared" ca="1" si="3"/>
        <v>0</v>
      </c>
      <c r="L23" s="121">
        <f t="shared" ca="1" si="3"/>
        <v>0</v>
      </c>
      <c r="M23" s="122">
        <f t="shared" ca="1" si="3"/>
        <v>0</v>
      </c>
    </row>
    <row r="24" spans="2:15" ht="38.25">
      <c r="B24" s="6"/>
      <c r="C24" s="5" t="s">
        <v>77</v>
      </c>
      <c r="D24" s="44" t="s">
        <v>311</v>
      </c>
      <c r="E24" s="121">
        <f t="shared" ca="1" si="8"/>
        <v>3</v>
      </c>
      <c r="F24" s="121">
        <f t="shared" ca="1" si="3"/>
        <v>0</v>
      </c>
      <c r="G24" s="121">
        <f t="shared" ca="1" si="3"/>
        <v>0</v>
      </c>
      <c r="H24" s="121">
        <f t="shared" ca="1" si="3"/>
        <v>0</v>
      </c>
      <c r="I24" s="121">
        <f t="shared" ca="1" si="3"/>
        <v>0</v>
      </c>
      <c r="J24" s="121">
        <f t="shared" ca="1" si="3"/>
        <v>0</v>
      </c>
      <c r="K24" s="121">
        <f t="shared" ca="1" si="3"/>
        <v>0</v>
      </c>
      <c r="L24" s="121">
        <f t="shared" ca="1" si="3"/>
        <v>0</v>
      </c>
      <c r="M24" s="122">
        <f t="shared" ca="1" si="3"/>
        <v>0</v>
      </c>
    </row>
    <row r="25" spans="2:15" ht="25.5">
      <c r="B25" s="6"/>
      <c r="C25" s="5" t="s">
        <v>80</v>
      </c>
      <c r="D25" s="44" t="s">
        <v>312</v>
      </c>
      <c r="E25" s="121">
        <f t="shared" ca="1" si="8"/>
        <v>3</v>
      </c>
      <c r="F25" s="121">
        <f t="shared" ca="1" si="3"/>
        <v>0</v>
      </c>
      <c r="G25" s="121">
        <f t="shared" ca="1" si="3"/>
        <v>0</v>
      </c>
      <c r="H25" s="121">
        <f t="shared" ca="1" si="3"/>
        <v>0</v>
      </c>
      <c r="I25" s="121">
        <f t="shared" ca="1" si="3"/>
        <v>0</v>
      </c>
      <c r="J25" s="121">
        <f t="shared" ca="1" si="3"/>
        <v>0</v>
      </c>
      <c r="K25" s="121">
        <f t="shared" ca="1" si="3"/>
        <v>0</v>
      </c>
      <c r="L25" s="121">
        <f t="shared" ca="1" si="3"/>
        <v>0</v>
      </c>
      <c r="M25" s="122">
        <f t="shared" ca="1" si="3"/>
        <v>0</v>
      </c>
    </row>
    <row r="26" spans="2:15" ht="25.5">
      <c r="B26" s="6"/>
      <c r="C26" s="5" t="s">
        <v>88</v>
      </c>
      <c r="D26" s="44" t="s">
        <v>313</v>
      </c>
      <c r="E26" s="121">
        <f t="shared" ca="1" si="8"/>
        <v>3</v>
      </c>
      <c r="F26" s="121">
        <f t="shared" ca="1" si="3"/>
        <v>0</v>
      </c>
      <c r="G26" s="121">
        <f t="shared" ca="1" si="3"/>
        <v>0</v>
      </c>
      <c r="H26" s="121">
        <f t="shared" ca="1" si="3"/>
        <v>0</v>
      </c>
      <c r="I26" s="121">
        <f t="shared" ca="1" si="3"/>
        <v>0</v>
      </c>
      <c r="J26" s="121">
        <f t="shared" ca="1" si="3"/>
        <v>0</v>
      </c>
      <c r="K26" s="121">
        <f t="shared" ca="1" si="3"/>
        <v>0</v>
      </c>
      <c r="L26" s="121">
        <f t="shared" ca="1" si="3"/>
        <v>0</v>
      </c>
      <c r="M26" s="122">
        <f t="shared" ca="1" si="3"/>
        <v>0</v>
      </c>
    </row>
    <row r="27" spans="2:15" ht="27.75" customHeight="1">
      <c r="B27" s="38" t="s">
        <v>103</v>
      </c>
      <c r="C27" s="378" t="s">
        <v>104</v>
      </c>
      <c r="D27" s="379"/>
      <c r="E27" s="140">
        <f t="shared" ca="1" si="5"/>
        <v>75</v>
      </c>
      <c r="F27" s="140">
        <f t="shared" ca="1" si="5"/>
        <v>0</v>
      </c>
      <c r="G27" s="140">
        <f t="shared" ca="1" si="5"/>
        <v>0</v>
      </c>
      <c r="H27" s="140">
        <f t="shared" ca="1" si="5"/>
        <v>0</v>
      </c>
      <c r="I27" s="140">
        <f t="shared" ca="1" si="5"/>
        <v>0</v>
      </c>
      <c r="J27" s="140">
        <f t="shared" ca="1" si="5"/>
        <v>0</v>
      </c>
      <c r="K27" s="140">
        <f t="shared" ca="1" si="5"/>
        <v>0</v>
      </c>
      <c r="L27" s="140">
        <f t="shared" ca="1" si="5"/>
        <v>0</v>
      </c>
      <c r="M27" s="144">
        <f t="shared" ca="1" si="5"/>
        <v>0</v>
      </c>
      <c r="O27">
        <v>3</v>
      </c>
    </row>
    <row r="28" spans="2:15" ht="38.25">
      <c r="B28" s="6"/>
      <c r="C28" s="5" t="s">
        <v>74</v>
      </c>
      <c r="D28" s="44" t="s">
        <v>105</v>
      </c>
      <c r="E28" s="121">
        <f t="shared" ref="E28:M30" ca="1" si="9">HYPERLINK("#'"&amp;E$4&amp;"-Thn-"&amp;E$1&amp;"'!"&amp;ADDRESS(ROW(),6),IF(ISERROR(INDIRECT(ADDRESS(ROW(),6,1,1,E$4&amp;"-Thn-"&amp;E$1))),"~",INDIRECT(ADDRESS(ROW(),6,1,1,E$4&amp;"-Thn-"&amp;E$1))))</f>
        <v>2</v>
      </c>
      <c r="F28" s="121">
        <f t="shared" ca="1" si="3"/>
        <v>0</v>
      </c>
      <c r="G28" s="121">
        <f t="shared" ca="1" si="3"/>
        <v>0</v>
      </c>
      <c r="H28" s="121">
        <f t="shared" ca="1" si="3"/>
        <v>0</v>
      </c>
      <c r="I28" s="121">
        <f t="shared" ca="1" si="3"/>
        <v>0</v>
      </c>
      <c r="J28" s="121">
        <f t="shared" ca="1" si="3"/>
        <v>0</v>
      </c>
      <c r="K28" s="121">
        <f t="shared" ca="1" si="3"/>
        <v>0</v>
      </c>
      <c r="L28" s="121">
        <f t="shared" ca="1" si="3"/>
        <v>0</v>
      </c>
      <c r="M28" s="122">
        <f t="shared" ca="1" si="3"/>
        <v>0</v>
      </c>
    </row>
    <row r="29" spans="2:15">
      <c r="B29" s="6"/>
      <c r="C29" s="5" t="s">
        <v>77</v>
      </c>
      <c r="D29" s="44" t="s">
        <v>107</v>
      </c>
      <c r="E29" s="121">
        <f t="shared" ca="1" si="9"/>
        <v>3</v>
      </c>
      <c r="F29" s="121">
        <f t="shared" ca="1" si="9"/>
        <v>0</v>
      </c>
      <c r="G29" s="121">
        <f t="shared" ca="1" si="9"/>
        <v>0</v>
      </c>
      <c r="H29" s="121">
        <f t="shared" ca="1" si="9"/>
        <v>0</v>
      </c>
      <c r="I29" s="121">
        <f t="shared" ca="1" si="9"/>
        <v>0</v>
      </c>
      <c r="J29" s="121">
        <f t="shared" ca="1" si="9"/>
        <v>0</v>
      </c>
      <c r="K29" s="121">
        <f t="shared" ca="1" si="9"/>
        <v>0</v>
      </c>
      <c r="L29" s="121">
        <f t="shared" ca="1" si="9"/>
        <v>0</v>
      </c>
      <c r="M29" s="122">
        <f t="shared" ca="1" si="9"/>
        <v>0</v>
      </c>
    </row>
    <row r="30" spans="2:15" ht="25.5">
      <c r="B30" s="6"/>
      <c r="C30" s="5" t="s">
        <v>80</v>
      </c>
      <c r="D30" s="44" t="s">
        <v>109</v>
      </c>
      <c r="E30" s="121">
        <f t="shared" ca="1" si="9"/>
        <v>4</v>
      </c>
      <c r="F30" s="121">
        <f t="shared" ca="1" si="9"/>
        <v>0</v>
      </c>
      <c r="G30" s="121">
        <f t="shared" ca="1" si="9"/>
        <v>0</v>
      </c>
      <c r="H30" s="121">
        <f t="shared" ca="1" si="9"/>
        <v>0</v>
      </c>
      <c r="I30" s="121">
        <f t="shared" ca="1" si="9"/>
        <v>0</v>
      </c>
      <c r="J30" s="121">
        <f t="shared" ca="1" si="9"/>
        <v>0</v>
      </c>
      <c r="K30" s="121">
        <f t="shared" ca="1" si="9"/>
        <v>0</v>
      </c>
      <c r="L30" s="121">
        <f t="shared" ca="1" si="9"/>
        <v>0</v>
      </c>
      <c r="M30" s="122">
        <f t="shared" ca="1" si="9"/>
        <v>0</v>
      </c>
    </row>
    <row r="31" spans="2:15" ht="27.75" customHeight="1">
      <c r="B31" s="38" t="s">
        <v>111</v>
      </c>
      <c r="C31" s="378" t="s">
        <v>112</v>
      </c>
      <c r="D31" s="379"/>
      <c r="E31" s="140">
        <f t="shared" ca="1" si="5"/>
        <v>68.75</v>
      </c>
      <c r="F31" s="140">
        <f t="shared" ca="1" si="5"/>
        <v>0</v>
      </c>
      <c r="G31" s="140">
        <f t="shared" ca="1" si="5"/>
        <v>0</v>
      </c>
      <c r="H31" s="140">
        <f t="shared" ca="1" si="5"/>
        <v>0</v>
      </c>
      <c r="I31" s="140">
        <f t="shared" ca="1" si="5"/>
        <v>0</v>
      </c>
      <c r="J31" s="140">
        <f t="shared" ca="1" si="5"/>
        <v>0</v>
      </c>
      <c r="K31" s="140">
        <f t="shared" ca="1" si="5"/>
        <v>0</v>
      </c>
      <c r="L31" s="140">
        <f t="shared" ca="1" si="5"/>
        <v>0</v>
      </c>
      <c r="M31" s="144">
        <f t="shared" ca="1" si="5"/>
        <v>0</v>
      </c>
      <c r="O31">
        <v>4</v>
      </c>
    </row>
    <row r="32" spans="2:15" ht="25.5">
      <c r="B32" s="6"/>
      <c r="C32" s="5" t="s">
        <v>74</v>
      </c>
      <c r="D32" s="44" t="s">
        <v>113</v>
      </c>
      <c r="E32" s="121">
        <f t="shared" ref="E32:M35" ca="1" si="10">HYPERLINK("#'"&amp;E$4&amp;"-Thn-"&amp;E$1&amp;"'!"&amp;ADDRESS(ROW(),6),IF(ISERROR(INDIRECT(ADDRESS(ROW(),6,1,1,E$4&amp;"-Thn-"&amp;E$1))),"~",INDIRECT(ADDRESS(ROW(),6,1,1,E$4&amp;"-Thn-"&amp;E$1))))</f>
        <v>2</v>
      </c>
      <c r="F32" s="121">
        <f t="shared" ca="1" si="10"/>
        <v>0</v>
      </c>
      <c r="G32" s="121">
        <f t="shared" ca="1" si="10"/>
        <v>0</v>
      </c>
      <c r="H32" s="121">
        <f t="shared" ca="1" si="10"/>
        <v>0</v>
      </c>
      <c r="I32" s="121">
        <f t="shared" ca="1" si="10"/>
        <v>0</v>
      </c>
      <c r="J32" s="121">
        <f t="shared" ca="1" si="10"/>
        <v>0</v>
      </c>
      <c r="K32" s="121">
        <f t="shared" ca="1" si="10"/>
        <v>0</v>
      </c>
      <c r="L32" s="121">
        <f t="shared" ca="1" si="10"/>
        <v>0</v>
      </c>
      <c r="M32" s="122">
        <f t="shared" ca="1" si="10"/>
        <v>0</v>
      </c>
    </row>
    <row r="33" spans="2:16" ht="15" customHeight="1">
      <c r="B33" s="6"/>
      <c r="C33" s="5" t="s">
        <v>77</v>
      </c>
      <c r="D33" s="44" t="s">
        <v>394</v>
      </c>
      <c r="E33" s="121">
        <f t="shared" ca="1" si="10"/>
        <v>3</v>
      </c>
      <c r="F33" s="121">
        <f t="shared" ca="1" si="10"/>
        <v>0</v>
      </c>
      <c r="G33" s="121">
        <f t="shared" ca="1" si="10"/>
        <v>0</v>
      </c>
      <c r="H33" s="121">
        <f t="shared" ca="1" si="10"/>
        <v>0</v>
      </c>
      <c r="I33" s="121">
        <f t="shared" ca="1" si="10"/>
        <v>0</v>
      </c>
      <c r="J33" s="121">
        <f t="shared" ca="1" si="10"/>
        <v>0</v>
      </c>
      <c r="K33" s="121">
        <f t="shared" ca="1" si="10"/>
        <v>0</v>
      </c>
      <c r="L33" s="121">
        <f t="shared" ca="1" si="10"/>
        <v>0</v>
      </c>
      <c r="M33" s="122">
        <f t="shared" ca="1" si="10"/>
        <v>0</v>
      </c>
    </row>
    <row r="34" spans="2:16" ht="15.75" customHeight="1">
      <c r="B34" s="6"/>
      <c r="C34" s="5" t="s">
        <v>80</v>
      </c>
      <c r="D34" s="44" t="s">
        <v>395</v>
      </c>
      <c r="E34" s="121">
        <f t="shared" ca="1" si="10"/>
        <v>3</v>
      </c>
      <c r="F34" s="121">
        <f t="shared" ca="1" si="10"/>
        <v>0</v>
      </c>
      <c r="G34" s="121">
        <f t="shared" ca="1" si="10"/>
        <v>0</v>
      </c>
      <c r="H34" s="121">
        <f t="shared" ca="1" si="10"/>
        <v>0</v>
      </c>
      <c r="I34" s="121">
        <f t="shared" ca="1" si="10"/>
        <v>0</v>
      </c>
      <c r="J34" s="121">
        <f t="shared" ca="1" si="10"/>
        <v>0</v>
      </c>
      <c r="K34" s="121">
        <f t="shared" ca="1" si="10"/>
        <v>0</v>
      </c>
      <c r="L34" s="121">
        <f t="shared" ca="1" si="10"/>
        <v>0</v>
      </c>
      <c r="M34" s="122">
        <f t="shared" ca="1" si="10"/>
        <v>0</v>
      </c>
    </row>
    <row r="35" spans="2:16" ht="25.5">
      <c r="B35" s="6"/>
      <c r="C35" s="5" t="s">
        <v>88</v>
      </c>
      <c r="D35" s="44" t="s">
        <v>117</v>
      </c>
      <c r="E35" s="121">
        <f t="shared" ca="1" si="10"/>
        <v>3</v>
      </c>
      <c r="F35" s="121">
        <f t="shared" ca="1" si="10"/>
        <v>0</v>
      </c>
      <c r="G35" s="121">
        <f t="shared" ca="1" si="10"/>
        <v>0</v>
      </c>
      <c r="H35" s="121">
        <f t="shared" ca="1" si="10"/>
        <v>0</v>
      </c>
      <c r="I35" s="121">
        <f t="shared" ca="1" si="10"/>
        <v>0</v>
      </c>
      <c r="J35" s="121">
        <f t="shared" ca="1" si="10"/>
        <v>0</v>
      </c>
      <c r="K35" s="121">
        <f t="shared" ca="1" si="10"/>
        <v>0</v>
      </c>
      <c r="L35" s="121">
        <f t="shared" ca="1" si="10"/>
        <v>0</v>
      </c>
      <c r="M35" s="122">
        <f t="shared" ca="1" si="10"/>
        <v>0</v>
      </c>
    </row>
    <row r="36" spans="2:16" ht="27.75" customHeight="1">
      <c r="B36" s="145" t="s">
        <v>119</v>
      </c>
      <c r="C36" s="468" t="s">
        <v>120</v>
      </c>
      <c r="D36" s="469"/>
      <c r="E36" s="146">
        <f t="shared" ca="1" si="5"/>
        <v>25</v>
      </c>
      <c r="F36" s="146">
        <f t="shared" ca="1" si="5"/>
        <v>0</v>
      </c>
      <c r="G36" s="146">
        <f t="shared" ca="1" si="5"/>
        <v>0</v>
      </c>
      <c r="H36" s="146">
        <f t="shared" ca="1" si="5"/>
        <v>0</v>
      </c>
      <c r="I36" s="146">
        <f t="shared" ca="1" si="5"/>
        <v>0</v>
      </c>
      <c r="J36" s="146">
        <f t="shared" ca="1" si="5"/>
        <v>0</v>
      </c>
      <c r="K36" s="146">
        <f t="shared" ca="1" si="5"/>
        <v>0</v>
      </c>
      <c r="L36" s="146">
        <f t="shared" ca="1" si="5"/>
        <v>0</v>
      </c>
      <c r="M36" s="147">
        <f t="shared" ca="1" si="5"/>
        <v>0</v>
      </c>
      <c r="O36">
        <v>4</v>
      </c>
    </row>
    <row r="37" spans="2:16" ht="51">
      <c r="B37" s="6"/>
      <c r="C37" s="141" t="s">
        <v>74</v>
      </c>
      <c r="D37" s="142" t="s">
        <v>121</v>
      </c>
      <c r="E37" s="121">
        <f t="shared" ref="E37:M40" ca="1" si="11">HYPERLINK("#'"&amp;E$4&amp;"-Thn-"&amp;E$1&amp;"'!"&amp;ADDRESS(ROW(),6),IF(ISERROR(INDIRECT(ADDRESS(ROW(),6,1,1,E$4&amp;"-Thn-"&amp;E$1))),"~",INDIRECT(ADDRESS(ROW(),6,1,1,E$4&amp;"-Thn-"&amp;E$1))))</f>
        <v>1</v>
      </c>
      <c r="F37" s="121">
        <f t="shared" ca="1" si="11"/>
        <v>0</v>
      </c>
      <c r="G37" s="121">
        <f t="shared" ca="1" si="11"/>
        <v>0</v>
      </c>
      <c r="H37" s="121">
        <f t="shared" ca="1" si="11"/>
        <v>0</v>
      </c>
      <c r="I37" s="121">
        <f t="shared" ca="1" si="11"/>
        <v>0</v>
      </c>
      <c r="J37" s="121">
        <f t="shared" ca="1" si="11"/>
        <v>0</v>
      </c>
      <c r="K37" s="121">
        <f t="shared" ca="1" si="11"/>
        <v>0</v>
      </c>
      <c r="L37" s="121">
        <f t="shared" ca="1" si="11"/>
        <v>0</v>
      </c>
      <c r="M37" s="122">
        <f t="shared" ca="1" si="11"/>
        <v>0</v>
      </c>
    </row>
    <row r="38" spans="2:16" ht="25.5">
      <c r="B38" s="6"/>
      <c r="C38" s="5" t="s">
        <v>77</v>
      </c>
      <c r="D38" s="44" t="s">
        <v>123</v>
      </c>
      <c r="E38" s="121">
        <f t="shared" ca="1" si="11"/>
        <v>1</v>
      </c>
      <c r="F38" s="121">
        <f t="shared" ca="1" si="11"/>
        <v>0</v>
      </c>
      <c r="G38" s="121">
        <f t="shared" ca="1" si="11"/>
        <v>0</v>
      </c>
      <c r="H38" s="121">
        <f t="shared" ca="1" si="11"/>
        <v>0</v>
      </c>
      <c r="I38" s="121">
        <f t="shared" ca="1" si="11"/>
        <v>0</v>
      </c>
      <c r="J38" s="121">
        <f t="shared" ca="1" si="11"/>
        <v>0</v>
      </c>
      <c r="K38" s="121">
        <f t="shared" ca="1" si="11"/>
        <v>0</v>
      </c>
      <c r="L38" s="121">
        <f t="shared" ca="1" si="11"/>
        <v>0</v>
      </c>
      <c r="M38" s="122">
        <f t="shared" ca="1" si="11"/>
        <v>0</v>
      </c>
    </row>
    <row r="39" spans="2:16" ht="25.5">
      <c r="B39" s="6"/>
      <c r="C39" s="5" t="s">
        <v>80</v>
      </c>
      <c r="D39" s="44" t="s">
        <v>125</v>
      </c>
      <c r="E39" s="121">
        <f t="shared" ca="1" si="11"/>
        <v>1</v>
      </c>
      <c r="F39" s="121">
        <f t="shared" ca="1" si="11"/>
        <v>0</v>
      </c>
      <c r="G39" s="121">
        <f t="shared" ca="1" si="11"/>
        <v>0</v>
      </c>
      <c r="H39" s="121">
        <f t="shared" ca="1" si="11"/>
        <v>0</v>
      </c>
      <c r="I39" s="121">
        <f t="shared" ca="1" si="11"/>
        <v>0</v>
      </c>
      <c r="J39" s="121">
        <f t="shared" ca="1" si="11"/>
        <v>0</v>
      </c>
      <c r="K39" s="121">
        <f t="shared" ca="1" si="11"/>
        <v>0</v>
      </c>
      <c r="L39" s="121">
        <f t="shared" ca="1" si="11"/>
        <v>0</v>
      </c>
      <c r="M39" s="122">
        <f t="shared" ca="1" si="11"/>
        <v>0</v>
      </c>
    </row>
    <row r="40" spans="2:16" ht="25.5">
      <c r="B40" s="111"/>
      <c r="C40" s="112" t="s">
        <v>88</v>
      </c>
      <c r="D40" s="113" t="s">
        <v>127</v>
      </c>
      <c r="E40" s="121">
        <f t="shared" ca="1" si="11"/>
        <v>1</v>
      </c>
      <c r="F40" s="121">
        <f t="shared" ca="1" si="11"/>
        <v>0</v>
      </c>
      <c r="G40" s="121">
        <f t="shared" ca="1" si="11"/>
        <v>0</v>
      </c>
      <c r="H40" s="121">
        <f t="shared" ca="1" si="11"/>
        <v>0</v>
      </c>
      <c r="I40" s="121">
        <f t="shared" ca="1" si="11"/>
        <v>0</v>
      </c>
      <c r="J40" s="121">
        <f t="shared" ca="1" si="11"/>
        <v>0</v>
      </c>
      <c r="K40" s="121">
        <f t="shared" ca="1" si="11"/>
        <v>0</v>
      </c>
      <c r="L40" s="121">
        <f t="shared" ca="1" si="11"/>
        <v>0</v>
      </c>
      <c r="M40" s="122">
        <f t="shared" ca="1" si="11"/>
        <v>0</v>
      </c>
    </row>
    <row r="41" spans="2:16" ht="15.75" hidden="1">
      <c r="B41" s="71">
        <v>24</v>
      </c>
      <c r="C41" s="350" t="s">
        <v>0</v>
      </c>
      <c r="D41" s="351"/>
      <c r="E41" s="133"/>
      <c r="F41" s="125"/>
      <c r="G41" s="125"/>
      <c r="H41" s="125"/>
      <c r="I41" s="125"/>
      <c r="J41" s="125"/>
      <c r="K41" s="125"/>
      <c r="L41" s="125"/>
      <c r="M41" s="126"/>
    </row>
    <row r="42" spans="2:16" ht="15.75" hidden="1">
      <c r="B42" s="346" t="str">
        <f>"NKT Pengembangan Madrasah (Nilai Kinerja Tahunan)"</f>
        <v>NKT Pengembangan Madrasah (Nilai Kinerja Tahunan)</v>
      </c>
      <c r="C42" s="347"/>
      <c r="D42" s="347"/>
      <c r="E42" s="127"/>
      <c r="F42" s="127"/>
      <c r="G42" s="127"/>
      <c r="H42" s="127"/>
      <c r="I42" s="127"/>
      <c r="J42" s="127"/>
      <c r="K42" s="127"/>
      <c r="L42" s="127"/>
      <c r="M42" s="128"/>
    </row>
    <row r="43" spans="2:16">
      <c r="E43" s="43"/>
      <c r="F43" s="43"/>
      <c r="G43" s="43"/>
      <c r="H43" s="43"/>
      <c r="I43" s="43"/>
      <c r="J43" s="43"/>
      <c r="K43" s="43"/>
      <c r="L43" s="43"/>
      <c r="M43" s="43"/>
    </row>
    <row r="44" spans="2:16">
      <c r="E44" s="43"/>
      <c r="F44" s="43"/>
      <c r="G44" s="43"/>
      <c r="H44" s="43"/>
      <c r="I44" s="43"/>
      <c r="J44" s="43"/>
      <c r="K44" s="43"/>
      <c r="L44" s="43"/>
      <c r="M44" s="43"/>
    </row>
    <row r="45" spans="2:16" s="108" customFormat="1" ht="18">
      <c r="B45" s="109" t="s">
        <v>413</v>
      </c>
      <c r="C45" s="110"/>
      <c r="D45" s="110"/>
      <c r="E45" s="137">
        <f ca="1">HYPERLINK("#'"&amp;E$4&amp;"-Thn-"&amp;E$1&amp;"'!"&amp;ADDRESS(ROW()+2,6),SUBTOTAL(9,INDIRECT(ADDRESS(ROW()+1+2,COLUMN())&amp;":"&amp;ADDRESS(ROW()+$O45+$P45+2,COLUMN())))/($O45*4)*100)</f>
        <v>75.403225806451616</v>
      </c>
      <c r="F45" s="137">
        <f t="shared" ref="F45:M45" ca="1" si="12">HYPERLINK("#'"&amp;F$4&amp;"-Thn-"&amp;F$1&amp;"'!"&amp;ADDRESS(ROW()+2,6),SUBTOTAL(9,INDIRECT(ADDRESS(ROW()+1+2,COLUMN())&amp;":"&amp;ADDRESS(ROW()+$O45+$P45+2,COLUMN())))/($O45*4)*100)</f>
        <v>0</v>
      </c>
      <c r="G45" s="137">
        <f t="shared" ca="1" si="12"/>
        <v>0</v>
      </c>
      <c r="H45" s="137">
        <f t="shared" ca="1" si="12"/>
        <v>0</v>
      </c>
      <c r="I45" s="137">
        <f t="shared" ca="1" si="12"/>
        <v>0</v>
      </c>
      <c r="J45" s="137">
        <f t="shared" ca="1" si="12"/>
        <v>0</v>
      </c>
      <c r="K45" s="137">
        <f t="shared" ca="1" si="12"/>
        <v>0</v>
      </c>
      <c r="L45" s="137">
        <f t="shared" ca="1" si="12"/>
        <v>0</v>
      </c>
      <c r="M45" s="143">
        <f t="shared" ca="1" si="12"/>
        <v>0</v>
      </c>
      <c r="O45" s="108">
        <f>SUBTOTAL(9,O48:O121)</f>
        <v>62</v>
      </c>
      <c r="P45" s="108">
        <v>16</v>
      </c>
    </row>
    <row r="46" spans="2:16" hidden="1">
      <c r="B46" s="381" t="s">
        <v>19</v>
      </c>
      <c r="C46" s="382" t="s">
        <v>70</v>
      </c>
      <c r="D46" s="382"/>
      <c r="E46" s="117"/>
      <c r="F46" s="117"/>
      <c r="G46" s="117"/>
      <c r="H46" s="117"/>
      <c r="I46" s="117"/>
      <c r="J46" s="117"/>
      <c r="K46" s="117"/>
      <c r="L46" s="117"/>
      <c r="M46" s="118"/>
    </row>
    <row r="47" spans="2:16" hidden="1">
      <c r="B47" s="381"/>
      <c r="C47" s="382"/>
      <c r="D47" s="382"/>
      <c r="E47" s="119"/>
      <c r="F47" s="119"/>
      <c r="G47" s="119"/>
      <c r="H47" s="119"/>
      <c r="I47" s="119"/>
      <c r="J47" s="119"/>
      <c r="K47" s="119"/>
      <c r="L47" s="119"/>
      <c r="M47" s="120"/>
    </row>
    <row r="48" spans="2:16" ht="27.75" customHeight="1">
      <c r="B48" s="38" t="s">
        <v>11</v>
      </c>
      <c r="C48" s="378" t="s">
        <v>130</v>
      </c>
      <c r="D48" s="379"/>
      <c r="E48" s="140">
        <f t="shared" ref="E48:M48" ca="1" si="13">HYPERLINK("#'"&amp;E$4&amp;"-Thn-"&amp;E$1&amp;"'!"&amp;ADDRESS(ROW()+1,6),SUBTOTAL(9,INDIRECT(ADDRESS(ROW()+1,COLUMN())&amp;":"&amp;ADDRESS(ROW()+$O48,COLUMN())))/($O48*4)*100)</f>
        <v>68.75</v>
      </c>
      <c r="F48" s="140">
        <f t="shared" ca="1" si="13"/>
        <v>0</v>
      </c>
      <c r="G48" s="140">
        <f t="shared" ca="1" si="13"/>
        <v>0</v>
      </c>
      <c r="H48" s="140">
        <f t="shared" ca="1" si="13"/>
        <v>0</v>
      </c>
      <c r="I48" s="140">
        <f t="shared" ca="1" si="13"/>
        <v>0</v>
      </c>
      <c r="J48" s="140">
        <f t="shared" ca="1" si="13"/>
        <v>0</v>
      </c>
      <c r="K48" s="140">
        <f t="shared" ca="1" si="13"/>
        <v>0</v>
      </c>
      <c r="L48" s="140">
        <f t="shared" ca="1" si="13"/>
        <v>0</v>
      </c>
      <c r="M48" s="144">
        <f t="shared" ca="1" si="13"/>
        <v>0</v>
      </c>
      <c r="O48">
        <v>4</v>
      </c>
    </row>
    <row r="49" spans="2:15" ht="25.5">
      <c r="B49" s="6"/>
      <c r="C49" s="5" t="s">
        <v>74</v>
      </c>
      <c r="D49" s="44" t="s">
        <v>131</v>
      </c>
      <c r="E49" s="121">
        <f t="shared" ref="E49:M52" ca="1" si="14">HYPERLINK("#'"&amp;E$4&amp;"-Thn-"&amp;E$1&amp;"'!"&amp;ADDRESS(ROW(),6),IF(ISERROR(INDIRECT(ADDRESS(ROW(),6,1,1,E$4&amp;"-Thn-"&amp;E$1))),"~",INDIRECT(ADDRESS(ROW(),6,1,1,E$4&amp;"-Thn-"&amp;E$1))))</f>
        <v>3</v>
      </c>
      <c r="F49" s="121">
        <f t="shared" ca="1" si="14"/>
        <v>0</v>
      </c>
      <c r="G49" s="121">
        <f t="shared" ca="1" si="14"/>
        <v>0</v>
      </c>
      <c r="H49" s="121">
        <f t="shared" ca="1" si="14"/>
        <v>0</v>
      </c>
      <c r="I49" s="121">
        <f t="shared" ca="1" si="14"/>
        <v>0</v>
      </c>
      <c r="J49" s="121">
        <f t="shared" ca="1" si="14"/>
        <v>0</v>
      </c>
      <c r="K49" s="121">
        <f t="shared" ca="1" si="14"/>
        <v>0</v>
      </c>
      <c r="L49" s="121">
        <f t="shared" ca="1" si="14"/>
        <v>0</v>
      </c>
      <c r="M49" s="122">
        <f t="shared" ca="1" si="14"/>
        <v>0</v>
      </c>
    </row>
    <row r="50" spans="2:15" ht="25.5">
      <c r="B50" s="6"/>
      <c r="C50" s="5" t="s">
        <v>77</v>
      </c>
      <c r="D50" s="44" t="s">
        <v>133</v>
      </c>
      <c r="E50" s="121">
        <f t="shared" ca="1" si="14"/>
        <v>3</v>
      </c>
      <c r="F50" s="121">
        <f t="shared" ca="1" si="14"/>
        <v>0</v>
      </c>
      <c r="G50" s="121">
        <f t="shared" ca="1" si="14"/>
        <v>0</v>
      </c>
      <c r="H50" s="121">
        <f t="shared" ca="1" si="14"/>
        <v>0</v>
      </c>
      <c r="I50" s="121">
        <f t="shared" ca="1" si="14"/>
        <v>0</v>
      </c>
      <c r="J50" s="121">
        <f t="shared" ca="1" si="14"/>
        <v>0</v>
      </c>
      <c r="K50" s="121">
        <f t="shared" ca="1" si="14"/>
        <v>0</v>
      </c>
      <c r="L50" s="121">
        <f t="shared" ca="1" si="14"/>
        <v>0</v>
      </c>
      <c r="M50" s="122">
        <f t="shared" ca="1" si="14"/>
        <v>0</v>
      </c>
    </row>
    <row r="51" spans="2:15" ht="25.5">
      <c r="B51" s="6"/>
      <c r="C51" s="5" t="s">
        <v>80</v>
      </c>
      <c r="D51" s="44" t="s">
        <v>135</v>
      </c>
      <c r="E51" s="121">
        <f t="shared" ca="1" si="14"/>
        <v>3</v>
      </c>
      <c r="F51" s="121">
        <f t="shared" ca="1" si="14"/>
        <v>0</v>
      </c>
      <c r="G51" s="121">
        <f t="shared" ca="1" si="14"/>
        <v>0</v>
      </c>
      <c r="H51" s="121">
        <f t="shared" ca="1" si="14"/>
        <v>0</v>
      </c>
      <c r="I51" s="121">
        <f t="shared" ca="1" si="14"/>
        <v>0</v>
      </c>
      <c r="J51" s="121">
        <f t="shared" ca="1" si="14"/>
        <v>0</v>
      </c>
      <c r="K51" s="121">
        <f t="shared" ca="1" si="14"/>
        <v>0</v>
      </c>
      <c r="L51" s="121">
        <f t="shared" ca="1" si="14"/>
        <v>0</v>
      </c>
      <c r="M51" s="122">
        <f t="shared" ca="1" si="14"/>
        <v>0</v>
      </c>
    </row>
    <row r="52" spans="2:15" ht="15" customHeight="1">
      <c r="B52" s="6"/>
      <c r="C52" s="5" t="s">
        <v>88</v>
      </c>
      <c r="D52" s="44" t="s">
        <v>391</v>
      </c>
      <c r="E52" s="121">
        <f t="shared" ca="1" si="14"/>
        <v>2</v>
      </c>
      <c r="F52" s="121">
        <f t="shared" ca="1" si="14"/>
        <v>0</v>
      </c>
      <c r="G52" s="121">
        <f t="shared" ca="1" si="14"/>
        <v>0</v>
      </c>
      <c r="H52" s="121">
        <f t="shared" ca="1" si="14"/>
        <v>0</v>
      </c>
      <c r="I52" s="121">
        <f t="shared" ca="1" si="14"/>
        <v>0</v>
      </c>
      <c r="J52" s="121">
        <f t="shared" ca="1" si="14"/>
        <v>0</v>
      </c>
      <c r="K52" s="121">
        <f t="shared" ca="1" si="14"/>
        <v>0</v>
      </c>
      <c r="L52" s="121">
        <f t="shared" ca="1" si="14"/>
        <v>0</v>
      </c>
      <c r="M52" s="122">
        <f t="shared" ca="1" si="14"/>
        <v>0</v>
      </c>
    </row>
    <row r="53" spans="2:15" ht="27.75" customHeight="1">
      <c r="B53" s="38" t="s">
        <v>9</v>
      </c>
      <c r="C53" s="378" t="s">
        <v>138</v>
      </c>
      <c r="D53" s="379"/>
      <c r="E53" s="140">
        <f t="shared" ref="E53:M53" ca="1" si="15">HYPERLINK("#'"&amp;E$4&amp;"-Thn-"&amp;E$1&amp;"'!"&amp;ADDRESS(ROW()+1,6),SUBTOTAL(9,INDIRECT(ADDRESS(ROW()+1,COLUMN())&amp;":"&amp;ADDRESS(ROW()+$O53,COLUMN())))/($O53*4)*100)</f>
        <v>75</v>
      </c>
      <c r="F53" s="140">
        <f t="shared" ca="1" si="15"/>
        <v>0</v>
      </c>
      <c r="G53" s="140">
        <f t="shared" ca="1" si="15"/>
        <v>0</v>
      </c>
      <c r="H53" s="140">
        <f t="shared" ca="1" si="15"/>
        <v>0</v>
      </c>
      <c r="I53" s="140">
        <f t="shared" ca="1" si="15"/>
        <v>0</v>
      </c>
      <c r="J53" s="140">
        <f t="shared" ca="1" si="15"/>
        <v>0</v>
      </c>
      <c r="K53" s="140">
        <f t="shared" ca="1" si="15"/>
        <v>0</v>
      </c>
      <c r="L53" s="140">
        <f t="shared" ca="1" si="15"/>
        <v>0</v>
      </c>
      <c r="M53" s="144">
        <f t="shared" ca="1" si="15"/>
        <v>0</v>
      </c>
      <c r="O53">
        <v>3</v>
      </c>
    </row>
    <row r="54" spans="2:15">
      <c r="B54" s="6"/>
      <c r="C54" s="5" t="s">
        <v>74</v>
      </c>
      <c r="D54" s="44" t="s">
        <v>139</v>
      </c>
      <c r="E54" s="121">
        <f t="shared" ref="E54:M56" ca="1" si="16">HYPERLINK("#'"&amp;E$4&amp;"-Thn-"&amp;E$1&amp;"'!"&amp;ADDRESS(ROW(),6),IF(ISERROR(INDIRECT(ADDRESS(ROW(),6,1,1,E$4&amp;"-Thn-"&amp;E$1))),"~",INDIRECT(ADDRESS(ROW(),6,1,1,E$4&amp;"-Thn-"&amp;E$1))))</f>
        <v>3</v>
      </c>
      <c r="F54" s="121">
        <f t="shared" ca="1" si="16"/>
        <v>0</v>
      </c>
      <c r="G54" s="121">
        <f t="shared" ca="1" si="16"/>
        <v>0</v>
      </c>
      <c r="H54" s="121">
        <f t="shared" ca="1" si="16"/>
        <v>0</v>
      </c>
      <c r="I54" s="121">
        <f t="shared" ca="1" si="16"/>
        <v>0</v>
      </c>
      <c r="J54" s="121">
        <f t="shared" ca="1" si="16"/>
        <v>0</v>
      </c>
      <c r="K54" s="121">
        <f t="shared" ca="1" si="16"/>
        <v>0</v>
      </c>
      <c r="L54" s="121">
        <f t="shared" ca="1" si="16"/>
        <v>0</v>
      </c>
      <c r="M54" s="122">
        <f t="shared" ca="1" si="16"/>
        <v>0</v>
      </c>
    </row>
    <row r="55" spans="2:15">
      <c r="B55" s="6"/>
      <c r="C55" s="5" t="s">
        <v>77</v>
      </c>
      <c r="D55" s="44" t="s">
        <v>141</v>
      </c>
      <c r="E55" s="121">
        <f t="shared" ca="1" si="16"/>
        <v>3</v>
      </c>
      <c r="F55" s="121">
        <f t="shared" ca="1" si="16"/>
        <v>0</v>
      </c>
      <c r="G55" s="121">
        <f t="shared" ca="1" si="16"/>
        <v>0</v>
      </c>
      <c r="H55" s="121">
        <f t="shared" ca="1" si="16"/>
        <v>0</v>
      </c>
      <c r="I55" s="121">
        <f t="shared" ca="1" si="16"/>
        <v>0</v>
      </c>
      <c r="J55" s="121">
        <f t="shared" ca="1" si="16"/>
        <v>0</v>
      </c>
      <c r="K55" s="121">
        <f t="shared" ca="1" si="16"/>
        <v>0</v>
      </c>
      <c r="L55" s="121">
        <f t="shared" ca="1" si="16"/>
        <v>0</v>
      </c>
      <c r="M55" s="122">
        <f t="shared" ca="1" si="16"/>
        <v>0</v>
      </c>
    </row>
    <row r="56" spans="2:15" ht="15.75" customHeight="1">
      <c r="B56" s="6"/>
      <c r="C56" s="5" t="s">
        <v>80</v>
      </c>
      <c r="D56" s="44" t="s">
        <v>390</v>
      </c>
      <c r="E56" s="121">
        <f t="shared" ca="1" si="16"/>
        <v>3</v>
      </c>
      <c r="F56" s="121">
        <f t="shared" ca="1" si="16"/>
        <v>0</v>
      </c>
      <c r="G56" s="121">
        <f t="shared" ca="1" si="16"/>
        <v>0</v>
      </c>
      <c r="H56" s="121">
        <f t="shared" ca="1" si="16"/>
        <v>0</v>
      </c>
      <c r="I56" s="121">
        <f t="shared" ca="1" si="16"/>
        <v>0</v>
      </c>
      <c r="J56" s="121">
        <f t="shared" ca="1" si="16"/>
        <v>0</v>
      </c>
      <c r="K56" s="121">
        <f t="shared" ca="1" si="16"/>
        <v>0</v>
      </c>
      <c r="L56" s="121">
        <f t="shared" ca="1" si="16"/>
        <v>0</v>
      </c>
      <c r="M56" s="122">
        <f t="shared" ca="1" si="16"/>
        <v>0</v>
      </c>
    </row>
    <row r="57" spans="2:15" ht="27.75" customHeight="1">
      <c r="B57" s="38" t="s">
        <v>144</v>
      </c>
      <c r="C57" s="378" t="s">
        <v>145</v>
      </c>
      <c r="D57" s="379"/>
      <c r="E57" s="140">
        <f t="shared" ref="E57:M57" ca="1" si="17">HYPERLINK("#'"&amp;E$4&amp;"-Thn-"&amp;E$1&amp;"'!"&amp;ADDRESS(ROW()+1,6),SUBTOTAL(9,INDIRECT(ADDRESS(ROW()+1,COLUMN())&amp;":"&amp;ADDRESS(ROW()+$O57,COLUMN())))/($O57*4)*100)</f>
        <v>81.25</v>
      </c>
      <c r="F57" s="140">
        <f t="shared" ca="1" si="17"/>
        <v>0</v>
      </c>
      <c r="G57" s="140">
        <f t="shared" ca="1" si="17"/>
        <v>0</v>
      </c>
      <c r="H57" s="140">
        <f t="shared" ca="1" si="17"/>
        <v>0</v>
      </c>
      <c r="I57" s="140">
        <f t="shared" ca="1" si="17"/>
        <v>0</v>
      </c>
      <c r="J57" s="140">
        <f t="shared" ca="1" si="17"/>
        <v>0</v>
      </c>
      <c r="K57" s="140">
        <f t="shared" ca="1" si="17"/>
        <v>0</v>
      </c>
      <c r="L57" s="140">
        <f t="shared" ca="1" si="17"/>
        <v>0</v>
      </c>
      <c r="M57" s="144">
        <f t="shared" ca="1" si="17"/>
        <v>0</v>
      </c>
      <c r="O57">
        <v>4</v>
      </c>
    </row>
    <row r="58" spans="2:15" ht="25.5">
      <c r="B58" s="6"/>
      <c r="C58" s="5" t="s">
        <v>74</v>
      </c>
      <c r="D58" s="44" t="s">
        <v>314</v>
      </c>
      <c r="E58" s="121">
        <f t="shared" ref="E58:M61" ca="1" si="18">HYPERLINK("#'"&amp;E$4&amp;"-Thn-"&amp;E$1&amp;"'!"&amp;ADDRESS(ROW(),6),IF(ISERROR(INDIRECT(ADDRESS(ROW(),6,1,1,E$4&amp;"-Thn-"&amp;E$1))),"~",INDIRECT(ADDRESS(ROW(),6,1,1,E$4&amp;"-Thn-"&amp;E$1))))</f>
        <v>3</v>
      </c>
      <c r="F58" s="121">
        <f t="shared" ca="1" si="18"/>
        <v>0</v>
      </c>
      <c r="G58" s="121">
        <f t="shared" ca="1" si="18"/>
        <v>0</v>
      </c>
      <c r="H58" s="121">
        <f t="shared" ca="1" si="18"/>
        <v>0</v>
      </c>
      <c r="I58" s="121">
        <f t="shared" ca="1" si="18"/>
        <v>0</v>
      </c>
      <c r="J58" s="121">
        <f t="shared" ca="1" si="18"/>
        <v>0</v>
      </c>
      <c r="K58" s="121">
        <f t="shared" ca="1" si="18"/>
        <v>0</v>
      </c>
      <c r="L58" s="121">
        <f t="shared" ca="1" si="18"/>
        <v>0</v>
      </c>
      <c r="M58" s="122">
        <f t="shared" ca="1" si="18"/>
        <v>0</v>
      </c>
    </row>
    <row r="59" spans="2:15">
      <c r="B59" s="6"/>
      <c r="C59" s="5" t="s">
        <v>77</v>
      </c>
      <c r="D59" s="44" t="s">
        <v>147</v>
      </c>
      <c r="E59" s="121">
        <f t="shared" ca="1" si="18"/>
        <v>3</v>
      </c>
      <c r="F59" s="121">
        <f t="shared" ca="1" si="18"/>
        <v>0</v>
      </c>
      <c r="G59" s="121">
        <f t="shared" ca="1" si="18"/>
        <v>0</v>
      </c>
      <c r="H59" s="121">
        <f t="shared" ca="1" si="18"/>
        <v>0</v>
      </c>
      <c r="I59" s="121">
        <f t="shared" ca="1" si="18"/>
        <v>0</v>
      </c>
      <c r="J59" s="121">
        <f t="shared" ca="1" si="18"/>
        <v>0</v>
      </c>
      <c r="K59" s="121">
        <f t="shared" ca="1" si="18"/>
        <v>0</v>
      </c>
      <c r="L59" s="121">
        <f t="shared" ca="1" si="18"/>
        <v>0</v>
      </c>
      <c r="M59" s="122">
        <f t="shared" ca="1" si="18"/>
        <v>0</v>
      </c>
    </row>
    <row r="60" spans="2:15" ht="25.5">
      <c r="B60" s="6"/>
      <c r="C60" s="5" t="s">
        <v>80</v>
      </c>
      <c r="D60" s="44" t="s">
        <v>149</v>
      </c>
      <c r="E60" s="121">
        <f t="shared" ca="1" si="18"/>
        <v>3</v>
      </c>
      <c r="F60" s="121">
        <f t="shared" ca="1" si="18"/>
        <v>0</v>
      </c>
      <c r="G60" s="121">
        <f t="shared" ca="1" si="18"/>
        <v>0</v>
      </c>
      <c r="H60" s="121">
        <f t="shared" ca="1" si="18"/>
        <v>0</v>
      </c>
      <c r="I60" s="121">
        <f t="shared" ca="1" si="18"/>
        <v>0</v>
      </c>
      <c r="J60" s="121">
        <f t="shared" ca="1" si="18"/>
        <v>0</v>
      </c>
      <c r="K60" s="121">
        <f t="shared" ca="1" si="18"/>
        <v>0</v>
      </c>
      <c r="L60" s="121">
        <f t="shared" ca="1" si="18"/>
        <v>0</v>
      </c>
      <c r="M60" s="122">
        <f t="shared" ca="1" si="18"/>
        <v>0</v>
      </c>
    </row>
    <row r="61" spans="2:15">
      <c r="B61" s="6"/>
      <c r="C61" s="5" t="s">
        <v>88</v>
      </c>
      <c r="D61" s="44" t="s">
        <v>151</v>
      </c>
      <c r="E61" s="121">
        <f t="shared" ca="1" si="18"/>
        <v>4</v>
      </c>
      <c r="F61" s="121">
        <f t="shared" ca="1" si="18"/>
        <v>0</v>
      </c>
      <c r="G61" s="121">
        <f t="shared" ca="1" si="18"/>
        <v>0</v>
      </c>
      <c r="H61" s="121">
        <f t="shared" ca="1" si="18"/>
        <v>0</v>
      </c>
      <c r="I61" s="121">
        <f t="shared" ca="1" si="18"/>
        <v>0</v>
      </c>
      <c r="J61" s="121">
        <f t="shared" ca="1" si="18"/>
        <v>0</v>
      </c>
      <c r="K61" s="121">
        <f t="shared" ca="1" si="18"/>
        <v>0</v>
      </c>
      <c r="L61" s="121">
        <f t="shared" ca="1" si="18"/>
        <v>0</v>
      </c>
      <c r="M61" s="122">
        <f t="shared" ca="1" si="18"/>
        <v>0</v>
      </c>
    </row>
    <row r="62" spans="2:15" ht="27.75" customHeight="1">
      <c r="B62" s="38" t="s">
        <v>153</v>
      </c>
      <c r="C62" s="378" t="s">
        <v>154</v>
      </c>
      <c r="D62" s="379"/>
      <c r="E62" s="140">
        <f t="shared" ref="E62:M62" ca="1" si="19">HYPERLINK("#'"&amp;E$4&amp;"-Thn-"&amp;E$1&amp;"'!"&amp;ADDRESS(ROW()+1,6),SUBTOTAL(9,INDIRECT(ADDRESS(ROW()+1,COLUMN())&amp;":"&amp;ADDRESS(ROW()+$O62,COLUMN())))/($O62*4)*100)</f>
        <v>75</v>
      </c>
      <c r="F62" s="140">
        <f t="shared" ca="1" si="19"/>
        <v>0</v>
      </c>
      <c r="G62" s="140">
        <f t="shared" ca="1" si="19"/>
        <v>0</v>
      </c>
      <c r="H62" s="140">
        <f t="shared" ca="1" si="19"/>
        <v>0</v>
      </c>
      <c r="I62" s="140">
        <f t="shared" ca="1" si="19"/>
        <v>0</v>
      </c>
      <c r="J62" s="140">
        <f t="shared" ca="1" si="19"/>
        <v>0</v>
      </c>
      <c r="K62" s="140">
        <f t="shared" ca="1" si="19"/>
        <v>0</v>
      </c>
      <c r="L62" s="140">
        <f t="shared" ca="1" si="19"/>
        <v>0</v>
      </c>
      <c r="M62" s="144">
        <f t="shared" ca="1" si="19"/>
        <v>0</v>
      </c>
      <c r="O62">
        <v>4</v>
      </c>
    </row>
    <row r="63" spans="2:15" ht="25.5">
      <c r="B63" s="6"/>
      <c r="C63" s="5" t="s">
        <v>74</v>
      </c>
      <c r="D63" s="44" t="s">
        <v>155</v>
      </c>
      <c r="E63" s="121">
        <f t="shared" ref="E63:M66" ca="1" si="20">HYPERLINK("#'"&amp;E$4&amp;"-Thn-"&amp;E$1&amp;"'!"&amp;ADDRESS(ROW(),6),IF(ISERROR(INDIRECT(ADDRESS(ROW(),6,1,1,E$4&amp;"-Thn-"&amp;E$1))),"~",INDIRECT(ADDRESS(ROW(),6,1,1,E$4&amp;"-Thn-"&amp;E$1))))</f>
        <v>3</v>
      </c>
      <c r="F63" s="121">
        <f t="shared" ca="1" si="20"/>
        <v>0</v>
      </c>
      <c r="G63" s="121">
        <f t="shared" ca="1" si="20"/>
        <v>0</v>
      </c>
      <c r="H63" s="121">
        <f t="shared" ca="1" si="20"/>
        <v>0</v>
      </c>
      <c r="I63" s="121">
        <f t="shared" ca="1" si="20"/>
        <v>0</v>
      </c>
      <c r="J63" s="121">
        <f t="shared" ca="1" si="20"/>
        <v>0</v>
      </c>
      <c r="K63" s="121">
        <f t="shared" ca="1" si="20"/>
        <v>0</v>
      </c>
      <c r="L63" s="121">
        <f t="shared" ca="1" si="20"/>
        <v>0</v>
      </c>
      <c r="M63" s="122">
        <f t="shared" ca="1" si="20"/>
        <v>0</v>
      </c>
    </row>
    <row r="64" spans="2:15" ht="25.5">
      <c r="B64" s="6"/>
      <c r="C64" s="5" t="s">
        <v>77</v>
      </c>
      <c r="D64" s="44" t="s">
        <v>157</v>
      </c>
      <c r="E64" s="121">
        <f t="shared" ca="1" si="20"/>
        <v>3</v>
      </c>
      <c r="F64" s="121">
        <f t="shared" ca="1" si="20"/>
        <v>0</v>
      </c>
      <c r="G64" s="121">
        <f t="shared" ca="1" si="20"/>
        <v>0</v>
      </c>
      <c r="H64" s="121">
        <f t="shared" ca="1" si="20"/>
        <v>0</v>
      </c>
      <c r="I64" s="121">
        <f t="shared" ca="1" si="20"/>
        <v>0</v>
      </c>
      <c r="J64" s="121">
        <f t="shared" ca="1" si="20"/>
        <v>0</v>
      </c>
      <c r="K64" s="121">
        <f t="shared" ca="1" si="20"/>
        <v>0</v>
      </c>
      <c r="L64" s="121">
        <f t="shared" ca="1" si="20"/>
        <v>0</v>
      </c>
      <c r="M64" s="122">
        <f t="shared" ca="1" si="20"/>
        <v>0</v>
      </c>
    </row>
    <row r="65" spans="2:15">
      <c r="B65" s="6"/>
      <c r="C65" s="5" t="s">
        <v>80</v>
      </c>
      <c r="D65" s="44" t="s">
        <v>159</v>
      </c>
      <c r="E65" s="121">
        <f t="shared" ca="1" si="20"/>
        <v>3</v>
      </c>
      <c r="F65" s="121">
        <f t="shared" ca="1" si="20"/>
        <v>0</v>
      </c>
      <c r="G65" s="121">
        <f t="shared" ca="1" si="20"/>
        <v>0</v>
      </c>
      <c r="H65" s="121">
        <f t="shared" ca="1" si="20"/>
        <v>0</v>
      </c>
      <c r="I65" s="121">
        <f t="shared" ca="1" si="20"/>
        <v>0</v>
      </c>
      <c r="J65" s="121">
        <f t="shared" ca="1" si="20"/>
        <v>0</v>
      </c>
      <c r="K65" s="121">
        <f t="shared" ca="1" si="20"/>
        <v>0</v>
      </c>
      <c r="L65" s="121">
        <f t="shared" ca="1" si="20"/>
        <v>0</v>
      </c>
      <c r="M65" s="122">
        <f t="shared" ca="1" si="20"/>
        <v>0</v>
      </c>
    </row>
    <row r="66" spans="2:15">
      <c r="B66" s="6"/>
      <c r="C66" s="5" t="s">
        <v>88</v>
      </c>
      <c r="D66" s="44" t="s">
        <v>161</v>
      </c>
      <c r="E66" s="121">
        <f t="shared" ca="1" si="20"/>
        <v>3</v>
      </c>
      <c r="F66" s="121">
        <f t="shared" ca="1" si="20"/>
        <v>0</v>
      </c>
      <c r="G66" s="121">
        <f t="shared" ca="1" si="20"/>
        <v>0</v>
      </c>
      <c r="H66" s="121">
        <f t="shared" ca="1" si="20"/>
        <v>0</v>
      </c>
      <c r="I66" s="121">
        <f t="shared" ca="1" si="20"/>
        <v>0</v>
      </c>
      <c r="J66" s="121">
        <f t="shared" ca="1" si="20"/>
        <v>0</v>
      </c>
      <c r="K66" s="121">
        <f t="shared" ca="1" si="20"/>
        <v>0</v>
      </c>
      <c r="L66" s="121">
        <f t="shared" ca="1" si="20"/>
        <v>0</v>
      </c>
      <c r="M66" s="122">
        <f t="shared" ca="1" si="20"/>
        <v>0</v>
      </c>
    </row>
    <row r="67" spans="2:15" ht="27.75" customHeight="1">
      <c r="B67" s="38" t="s">
        <v>163</v>
      </c>
      <c r="C67" s="378" t="s">
        <v>164</v>
      </c>
      <c r="D67" s="379"/>
      <c r="E67" s="140">
        <f t="shared" ref="E67:M67" ca="1" si="21">HYPERLINK("#'"&amp;E$4&amp;"-Thn-"&amp;E$1&amp;"'!"&amp;ADDRESS(ROW()+1,6),SUBTOTAL(9,INDIRECT(ADDRESS(ROW()+1,COLUMN())&amp;":"&amp;ADDRESS(ROW()+$O67,COLUMN())))/($O67*4)*100)</f>
        <v>93.75</v>
      </c>
      <c r="F67" s="140">
        <f t="shared" ca="1" si="21"/>
        <v>0</v>
      </c>
      <c r="G67" s="140">
        <f t="shared" ca="1" si="21"/>
        <v>0</v>
      </c>
      <c r="H67" s="140">
        <f t="shared" ca="1" si="21"/>
        <v>0</v>
      </c>
      <c r="I67" s="140">
        <f t="shared" ca="1" si="21"/>
        <v>0</v>
      </c>
      <c r="J67" s="140">
        <f t="shared" ca="1" si="21"/>
        <v>0</v>
      </c>
      <c r="K67" s="140">
        <f t="shared" ca="1" si="21"/>
        <v>0</v>
      </c>
      <c r="L67" s="140">
        <f t="shared" ca="1" si="21"/>
        <v>0</v>
      </c>
      <c r="M67" s="144">
        <f t="shared" ca="1" si="21"/>
        <v>0</v>
      </c>
      <c r="O67">
        <v>4</v>
      </c>
    </row>
    <row r="68" spans="2:15" ht="25.5">
      <c r="B68" s="6"/>
      <c r="C68" s="5" t="s">
        <v>74</v>
      </c>
      <c r="D68" s="44" t="s">
        <v>165</v>
      </c>
      <c r="E68" s="121">
        <f t="shared" ref="E68:M71" ca="1" si="22">HYPERLINK("#'"&amp;E$4&amp;"-Thn-"&amp;E$1&amp;"'!"&amp;ADDRESS(ROW(),6),IF(ISERROR(INDIRECT(ADDRESS(ROW(),6,1,1,E$4&amp;"-Thn-"&amp;E$1))),"~",INDIRECT(ADDRESS(ROW(),6,1,1,E$4&amp;"-Thn-"&amp;E$1))))</f>
        <v>4</v>
      </c>
      <c r="F68" s="121">
        <f t="shared" ca="1" si="22"/>
        <v>0</v>
      </c>
      <c r="G68" s="121">
        <f t="shared" ca="1" si="22"/>
        <v>0</v>
      </c>
      <c r="H68" s="121">
        <f t="shared" ca="1" si="22"/>
        <v>0</v>
      </c>
      <c r="I68" s="121">
        <f t="shared" ca="1" si="22"/>
        <v>0</v>
      </c>
      <c r="J68" s="121">
        <f t="shared" ca="1" si="22"/>
        <v>0</v>
      </c>
      <c r="K68" s="121">
        <f t="shared" ca="1" si="22"/>
        <v>0</v>
      </c>
      <c r="L68" s="121">
        <f t="shared" ca="1" si="22"/>
        <v>0</v>
      </c>
      <c r="M68" s="122">
        <f t="shared" ca="1" si="22"/>
        <v>0</v>
      </c>
    </row>
    <row r="69" spans="2:15" ht="25.5">
      <c r="B69" s="6"/>
      <c r="C69" s="5" t="s">
        <v>77</v>
      </c>
      <c r="D69" s="44" t="s">
        <v>167</v>
      </c>
      <c r="E69" s="121">
        <f t="shared" ca="1" si="22"/>
        <v>4</v>
      </c>
      <c r="F69" s="121">
        <f t="shared" ca="1" si="22"/>
        <v>0</v>
      </c>
      <c r="G69" s="121">
        <f t="shared" ca="1" si="22"/>
        <v>0</v>
      </c>
      <c r="H69" s="121">
        <f t="shared" ca="1" si="22"/>
        <v>0</v>
      </c>
      <c r="I69" s="121">
        <f t="shared" ca="1" si="22"/>
        <v>0</v>
      </c>
      <c r="J69" s="121">
        <f t="shared" ca="1" si="22"/>
        <v>0</v>
      </c>
      <c r="K69" s="121">
        <f t="shared" ca="1" si="22"/>
        <v>0</v>
      </c>
      <c r="L69" s="121">
        <f t="shared" ca="1" si="22"/>
        <v>0</v>
      </c>
      <c r="M69" s="122">
        <f t="shared" ca="1" si="22"/>
        <v>0</v>
      </c>
    </row>
    <row r="70" spans="2:15" ht="25.5">
      <c r="B70" s="6"/>
      <c r="C70" s="5" t="s">
        <v>80</v>
      </c>
      <c r="D70" s="44" t="s">
        <v>169</v>
      </c>
      <c r="E70" s="121">
        <f t="shared" ca="1" si="22"/>
        <v>4</v>
      </c>
      <c r="F70" s="121">
        <f t="shared" ca="1" si="22"/>
        <v>0</v>
      </c>
      <c r="G70" s="121">
        <f t="shared" ca="1" si="22"/>
        <v>0</v>
      </c>
      <c r="H70" s="121">
        <f t="shared" ca="1" si="22"/>
        <v>0</v>
      </c>
      <c r="I70" s="121">
        <f t="shared" ca="1" si="22"/>
        <v>0</v>
      </c>
      <c r="J70" s="121">
        <f t="shared" ca="1" si="22"/>
        <v>0</v>
      </c>
      <c r="K70" s="121">
        <f t="shared" ca="1" si="22"/>
        <v>0</v>
      </c>
      <c r="L70" s="121">
        <f t="shared" ca="1" si="22"/>
        <v>0</v>
      </c>
      <c r="M70" s="122">
        <f t="shared" ca="1" si="22"/>
        <v>0</v>
      </c>
    </row>
    <row r="71" spans="2:15" ht="25.5">
      <c r="B71" s="6"/>
      <c r="C71" s="5" t="s">
        <v>88</v>
      </c>
      <c r="D71" s="44" t="s">
        <v>171</v>
      </c>
      <c r="E71" s="121">
        <f t="shared" ca="1" si="22"/>
        <v>3</v>
      </c>
      <c r="F71" s="121">
        <f t="shared" ca="1" si="22"/>
        <v>0</v>
      </c>
      <c r="G71" s="121">
        <f t="shared" ca="1" si="22"/>
        <v>0</v>
      </c>
      <c r="H71" s="121">
        <f t="shared" ca="1" si="22"/>
        <v>0</v>
      </c>
      <c r="I71" s="121">
        <f t="shared" ca="1" si="22"/>
        <v>0</v>
      </c>
      <c r="J71" s="121">
        <f t="shared" ca="1" si="22"/>
        <v>0</v>
      </c>
      <c r="K71" s="121">
        <f t="shared" ca="1" si="22"/>
        <v>0</v>
      </c>
      <c r="L71" s="121">
        <f t="shared" ca="1" si="22"/>
        <v>0</v>
      </c>
      <c r="M71" s="122">
        <f t="shared" ca="1" si="22"/>
        <v>0</v>
      </c>
    </row>
    <row r="72" spans="2:15" ht="27.75" customHeight="1">
      <c r="B72" s="38" t="s">
        <v>173</v>
      </c>
      <c r="C72" s="378" t="s">
        <v>174</v>
      </c>
      <c r="D72" s="379"/>
      <c r="E72" s="140">
        <f t="shared" ref="E72:M72" ca="1" si="23">HYPERLINK("#'"&amp;E$4&amp;"-Thn-"&amp;E$1&amp;"'!"&amp;ADDRESS(ROW()+1,6),SUBTOTAL(9,INDIRECT(ADDRESS(ROW()+1,COLUMN())&amp;":"&amp;ADDRESS(ROW()+$O72,COLUMN())))/($O72*4)*100)</f>
        <v>62.5</v>
      </c>
      <c r="F72" s="140">
        <f t="shared" ca="1" si="23"/>
        <v>0</v>
      </c>
      <c r="G72" s="140">
        <f t="shared" ca="1" si="23"/>
        <v>0</v>
      </c>
      <c r="H72" s="140">
        <f t="shared" ca="1" si="23"/>
        <v>0</v>
      </c>
      <c r="I72" s="140">
        <f t="shared" ca="1" si="23"/>
        <v>0</v>
      </c>
      <c r="J72" s="140">
        <f t="shared" ca="1" si="23"/>
        <v>0</v>
      </c>
      <c r="K72" s="140">
        <f t="shared" ca="1" si="23"/>
        <v>0</v>
      </c>
      <c r="L72" s="140">
        <f t="shared" ca="1" si="23"/>
        <v>0</v>
      </c>
      <c r="M72" s="144">
        <f t="shared" ca="1" si="23"/>
        <v>0</v>
      </c>
      <c r="O72">
        <v>4</v>
      </c>
    </row>
    <row r="73" spans="2:15">
      <c r="B73" s="6"/>
      <c r="C73" s="5" t="s">
        <v>74</v>
      </c>
      <c r="D73" s="44" t="s">
        <v>175</v>
      </c>
      <c r="E73" s="121">
        <f t="shared" ref="E73:M76" ca="1" si="24">HYPERLINK("#'"&amp;E$4&amp;"-Thn-"&amp;E$1&amp;"'!"&amp;ADDRESS(ROW(),6),IF(ISERROR(INDIRECT(ADDRESS(ROW(),6,1,1,E$4&amp;"-Thn-"&amp;E$1))),"~",INDIRECT(ADDRESS(ROW(),6,1,1,E$4&amp;"-Thn-"&amp;E$1))))</f>
        <v>3</v>
      </c>
      <c r="F73" s="121">
        <f t="shared" ca="1" si="24"/>
        <v>0</v>
      </c>
      <c r="G73" s="121">
        <f t="shared" ca="1" si="24"/>
        <v>0</v>
      </c>
      <c r="H73" s="121">
        <f t="shared" ca="1" si="24"/>
        <v>0</v>
      </c>
      <c r="I73" s="121">
        <f t="shared" ca="1" si="24"/>
        <v>0</v>
      </c>
      <c r="J73" s="121">
        <f t="shared" ca="1" si="24"/>
        <v>0</v>
      </c>
      <c r="K73" s="121">
        <f t="shared" ca="1" si="24"/>
        <v>0</v>
      </c>
      <c r="L73" s="121">
        <f t="shared" ca="1" si="24"/>
        <v>0</v>
      </c>
      <c r="M73" s="122">
        <f t="shared" ca="1" si="24"/>
        <v>0</v>
      </c>
    </row>
    <row r="74" spans="2:15">
      <c r="B74" s="6"/>
      <c r="C74" s="5" t="s">
        <v>77</v>
      </c>
      <c r="D74" s="44" t="s">
        <v>177</v>
      </c>
      <c r="E74" s="121">
        <f t="shared" ca="1" si="24"/>
        <v>2</v>
      </c>
      <c r="F74" s="121">
        <f t="shared" ca="1" si="24"/>
        <v>0</v>
      </c>
      <c r="G74" s="121">
        <f t="shared" ca="1" si="24"/>
        <v>0</v>
      </c>
      <c r="H74" s="121">
        <f t="shared" ca="1" si="24"/>
        <v>0</v>
      </c>
      <c r="I74" s="121">
        <f t="shared" ca="1" si="24"/>
        <v>0</v>
      </c>
      <c r="J74" s="121">
        <f t="shared" ca="1" si="24"/>
        <v>0</v>
      </c>
      <c r="K74" s="121">
        <f t="shared" ca="1" si="24"/>
        <v>0</v>
      </c>
      <c r="L74" s="121">
        <f t="shared" ca="1" si="24"/>
        <v>0</v>
      </c>
      <c r="M74" s="122">
        <f t="shared" ca="1" si="24"/>
        <v>0</v>
      </c>
    </row>
    <row r="75" spans="2:15" ht="17.25" customHeight="1">
      <c r="B75" s="6"/>
      <c r="C75" s="5" t="s">
        <v>80</v>
      </c>
      <c r="D75" s="44" t="s">
        <v>179</v>
      </c>
      <c r="E75" s="121">
        <f t="shared" ca="1" si="24"/>
        <v>2</v>
      </c>
      <c r="F75" s="121">
        <f t="shared" ca="1" si="24"/>
        <v>0</v>
      </c>
      <c r="G75" s="121">
        <f t="shared" ca="1" si="24"/>
        <v>0</v>
      </c>
      <c r="H75" s="121">
        <f t="shared" ca="1" si="24"/>
        <v>0</v>
      </c>
      <c r="I75" s="121">
        <f t="shared" ca="1" si="24"/>
        <v>0</v>
      </c>
      <c r="J75" s="121">
        <f t="shared" ca="1" si="24"/>
        <v>0</v>
      </c>
      <c r="K75" s="121">
        <f t="shared" ca="1" si="24"/>
        <v>0</v>
      </c>
      <c r="L75" s="121">
        <f t="shared" ca="1" si="24"/>
        <v>0</v>
      </c>
      <c r="M75" s="122">
        <f t="shared" ca="1" si="24"/>
        <v>0</v>
      </c>
    </row>
    <row r="76" spans="2:15" ht="18" customHeight="1">
      <c r="B76" s="6"/>
      <c r="C76" s="5" t="s">
        <v>88</v>
      </c>
      <c r="D76" s="44" t="s">
        <v>389</v>
      </c>
      <c r="E76" s="121">
        <f t="shared" ca="1" si="24"/>
        <v>3</v>
      </c>
      <c r="F76" s="121">
        <f t="shared" ca="1" si="24"/>
        <v>0</v>
      </c>
      <c r="G76" s="121">
        <f t="shared" ca="1" si="24"/>
        <v>0</v>
      </c>
      <c r="H76" s="121">
        <f t="shared" ca="1" si="24"/>
        <v>0</v>
      </c>
      <c r="I76" s="121">
        <f t="shared" ca="1" si="24"/>
        <v>0</v>
      </c>
      <c r="J76" s="121">
        <f t="shared" ca="1" si="24"/>
        <v>0</v>
      </c>
      <c r="K76" s="121">
        <f t="shared" ca="1" si="24"/>
        <v>0</v>
      </c>
      <c r="L76" s="121">
        <f t="shared" ca="1" si="24"/>
        <v>0</v>
      </c>
      <c r="M76" s="122">
        <f t="shared" ca="1" si="24"/>
        <v>0</v>
      </c>
    </row>
    <row r="77" spans="2:15" ht="27.75" customHeight="1">
      <c r="B77" s="38" t="s">
        <v>181</v>
      </c>
      <c r="C77" s="378" t="s">
        <v>182</v>
      </c>
      <c r="D77" s="379"/>
      <c r="E77" s="140">
        <f t="shared" ref="E77:M77" ca="1" si="25">HYPERLINK("#'"&amp;E$4&amp;"-Thn-"&amp;E$1&amp;"'!"&amp;ADDRESS(ROW()+1,6),SUBTOTAL(9,INDIRECT(ADDRESS(ROW()+1,COLUMN())&amp;":"&amp;ADDRESS(ROW()+$O77,COLUMN())))/($O77*4)*100)</f>
        <v>93.75</v>
      </c>
      <c r="F77" s="140">
        <f t="shared" ca="1" si="25"/>
        <v>0</v>
      </c>
      <c r="G77" s="140">
        <f t="shared" ca="1" si="25"/>
        <v>0</v>
      </c>
      <c r="H77" s="140">
        <f t="shared" ca="1" si="25"/>
        <v>0</v>
      </c>
      <c r="I77" s="140">
        <f t="shared" ca="1" si="25"/>
        <v>0</v>
      </c>
      <c r="J77" s="140">
        <f t="shared" ca="1" si="25"/>
        <v>0</v>
      </c>
      <c r="K77" s="140">
        <f t="shared" ca="1" si="25"/>
        <v>0</v>
      </c>
      <c r="L77" s="140">
        <f t="shared" ca="1" si="25"/>
        <v>0</v>
      </c>
      <c r="M77" s="144">
        <f t="shared" ca="1" si="25"/>
        <v>0</v>
      </c>
      <c r="O77">
        <v>4</v>
      </c>
    </row>
    <row r="78" spans="2:15" ht="25.5">
      <c r="B78" s="6"/>
      <c r="C78" s="5" t="s">
        <v>74</v>
      </c>
      <c r="D78" s="44" t="s">
        <v>183</v>
      </c>
      <c r="E78" s="121">
        <f t="shared" ref="E78:M81" ca="1" si="26">HYPERLINK("#'"&amp;E$4&amp;"-Thn-"&amp;E$1&amp;"'!"&amp;ADDRESS(ROW(),6),IF(ISERROR(INDIRECT(ADDRESS(ROW(),6,1,1,E$4&amp;"-Thn-"&amp;E$1))),"~",INDIRECT(ADDRESS(ROW(),6,1,1,E$4&amp;"-Thn-"&amp;E$1))))</f>
        <v>4</v>
      </c>
      <c r="F78" s="121">
        <f t="shared" ca="1" si="26"/>
        <v>0</v>
      </c>
      <c r="G78" s="121">
        <f t="shared" ca="1" si="26"/>
        <v>0</v>
      </c>
      <c r="H78" s="121">
        <f t="shared" ca="1" si="26"/>
        <v>0</v>
      </c>
      <c r="I78" s="121">
        <f t="shared" ca="1" si="26"/>
        <v>0</v>
      </c>
      <c r="J78" s="121">
        <f t="shared" ca="1" si="26"/>
        <v>0</v>
      </c>
      <c r="K78" s="121">
        <f t="shared" ca="1" si="26"/>
        <v>0</v>
      </c>
      <c r="L78" s="121">
        <f t="shared" ca="1" si="26"/>
        <v>0</v>
      </c>
      <c r="M78" s="122">
        <f t="shared" ca="1" si="26"/>
        <v>0</v>
      </c>
    </row>
    <row r="79" spans="2:15" ht="17.25" customHeight="1">
      <c r="B79" s="6"/>
      <c r="C79" s="5" t="s">
        <v>77</v>
      </c>
      <c r="D79" s="44" t="s">
        <v>387</v>
      </c>
      <c r="E79" s="121">
        <f t="shared" ca="1" si="26"/>
        <v>3</v>
      </c>
      <c r="F79" s="121">
        <f t="shared" ca="1" si="26"/>
        <v>0</v>
      </c>
      <c r="G79" s="121">
        <f t="shared" ca="1" si="26"/>
        <v>0</v>
      </c>
      <c r="H79" s="121">
        <f t="shared" ca="1" si="26"/>
        <v>0</v>
      </c>
      <c r="I79" s="121">
        <f t="shared" ca="1" si="26"/>
        <v>0</v>
      </c>
      <c r="J79" s="121">
        <f t="shared" ca="1" si="26"/>
        <v>0</v>
      </c>
      <c r="K79" s="121">
        <f t="shared" ca="1" si="26"/>
        <v>0</v>
      </c>
      <c r="L79" s="121">
        <f t="shared" ca="1" si="26"/>
        <v>0</v>
      </c>
      <c r="M79" s="122">
        <f t="shared" ca="1" si="26"/>
        <v>0</v>
      </c>
    </row>
    <row r="80" spans="2:15" ht="16.5" customHeight="1">
      <c r="B80" s="6"/>
      <c r="C80" s="5" t="s">
        <v>80</v>
      </c>
      <c r="D80" s="44" t="s">
        <v>388</v>
      </c>
      <c r="E80" s="121">
        <f t="shared" ca="1" si="26"/>
        <v>4</v>
      </c>
      <c r="F80" s="121">
        <f t="shared" ca="1" si="26"/>
        <v>0</v>
      </c>
      <c r="G80" s="121">
        <f t="shared" ca="1" si="26"/>
        <v>0</v>
      </c>
      <c r="H80" s="121">
        <f t="shared" ca="1" si="26"/>
        <v>0</v>
      </c>
      <c r="I80" s="121">
        <f t="shared" ca="1" si="26"/>
        <v>0</v>
      </c>
      <c r="J80" s="121">
        <f t="shared" ca="1" si="26"/>
        <v>0</v>
      </c>
      <c r="K80" s="121">
        <f t="shared" ca="1" si="26"/>
        <v>0</v>
      </c>
      <c r="L80" s="121">
        <f t="shared" ca="1" si="26"/>
        <v>0</v>
      </c>
      <c r="M80" s="122">
        <f t="shared" ca="1" si="26"/>
        <v>0</v>
      </c>
    </row>
    <row r="81" spans="2:15" ht="12.75" customHeight="1">
      <c r="B81" s="6"/>
      <c r="C81" s="5" t="s">
        <v>88</v>
      </c>
      <c r="D81" s="44" t="s">
        <v>187</v>
      </c>
      <c r="E81" s="121">
        <f t="shared" ca="1" si="26"/>
        <v>4</v>
      </c>
      <c r="F81" s="121">
        <f t="shared" ca="1" si="26"/>
        <v>0</v>
      </c>
      <c r="G81" s="121">
        <f t="shared" ca="1" si="26"/>
        <v>0</v>
      </c>
      <c r="H81" s="121">
        <f t="shared" ca="1" si="26"/>
        <v>0</v>
      </c>
      <c r="I81" s="121">
        <f t="shared" ca="1" si="26"/>
        <v>0</v>
      </c>
      <c r="J81" s="121">
        <f t="shared" ca="1" si="26"/>
        <v>0</v>
      </c>
      <c r="K81" s="121">
        <f t="shared" ca="1" si="26"/>
        <v>0</v>
      </c>
      <c r="L81" s="121">
        <f t="shared" ca="1" si="26"/>
        <v>0</v>
      </c>
      <c r="M81" s="122">
        <f t="shared" ca="1" si="26"/>
        <v>0</v>
      </c>
    </row>
    <row r="82" spans="2:15" ht="27.75" customHeight="1">
      <c r="B82" s="38" t="s">
        <v>189</v>
      </c>
      <c r="C82" s="378" t="s">
        <v>190</v>
      </c>
      <c r="D82" s="379"/>
      <c r="E82" s="140">
        <f t="shared" ref="E82:M82" ca="1" si="27">HYPERLINK("#'"&amp;E$4&amp;"-Thn-"&amp;E$1&amp;"'!"&amp;ADDRESS(ROW()+1,6),SUBTOTAL(9,INDIRECT(ADDRESS(ROW()+1,COLUMN())&amp;":"&amp;ADDRESS(ROW()+$O82,COLUMN())))/($O82*4)*100)</f>
        <v>75</v>
      </c>
      <c r="F82" s="140">
        <f t="shared" ca="1" si="27"/>
        <v>0</v>
      </c>
      <c r="G82" s="140">
        <f t="shared" ca="1" si="27"/>
        <v>0</v>
      </c>
      <c r="H82" s="140">
        <f t="shared" ca="1" si="27"/>
        <v>0</v>
      </c>
      <c r="I82" s="140">
        <f t="shared" ca="1" si="27"/>
        <v>0</v>
      </c>
      <c r="J82" s="140">
        <f t="shared" ca="1" si="27"/>
        <v>0</v>
      </c>
      <c r="K82" s="140">
        <f t="shared" ca="1" si="27"/>
        <v>0</v>
      </c>
      <c r="L82" s="140">
        <f t="shared" ca="1" si="27"/>
        <v>0</v>
      </c>
      <c r="M82" s="144">
        <f t="shared" ca="1" si="27"/>
        <v>0</v>
      </c>
      <c r="O82">
        <v>3</v>
      </c>
    </row>
    <row r="83" spans="2:15">
      <c r="B83" s="6"/>
      <c r="C83" s="5" t="s">
        <v>74</v>
      </c>
      <c r="D83" s="44" t="s">
        <v>315</v>
      </c>
      <c r="E83" s="121">
        <f t="shared" ref="E83:M85" ca="1" si="28">HYPERLINK("#'"&amp;E$4&amp;"-Thn-"&amp;E$1&amp;"'!"&amp;ADDRESS(ROW(),6),IF(ISERROR(INDIRECT(ADDRESS(ROW(),6,1,1,E$4&amp;"-Thn-"&amp;E$1))),"~",INDIRECT(ADDRESS(ROW(),6,1,1,E$4&amp;"-Thn-"&amp;E$1))))</f>
        <v>3</v>
      </c>
      <c r="F83" s="121">
        <f t="shared" ca="1" si="28"/>
        <v>0</v>
      </c>
      <c r="G83" s="121">
        <f t="shared" ca="1" si="28"/>
        <v>0</v>
      </c>
      <c r="H83" s="121">
        <f t="shared" ca="1" si="28"/>
        <v>0</v>
      </c>
      <c r="I83" s="121">
        <f t="shared" ca="1" si="28"/>
        <v>0</v>
      </c>
      <c r="J83" s="121">
        <f t="shared" ca="1" si="28"/>
        <v>0</v>
      </c>
      <c r="K83" s="121">
        <f t="shared" ca="1" si="28"/>
        <v>0</v>
      </c>
      <c r="L83" s="121">
        <f t="shared" ca="1" si="28"/>
        <v>0</v>
      </c>
      <c r="M83" s="122">
        <f t="shared" ca="1" si="28"/>
        <v>0</v>
      </c>
    </row>
    <row r="84" spans="2:15" ht="25.5">
      <c r="B84" s="6"/>
      <c r="C84" s="5" t="s">
        <v>77</v>
      </c>
      <c r="D84" s="44" t="s">
        <v>316</v>
      </c>
      <c r="E84" s="121">
        <f t="shared" ca="1" si="28"/>
        <v>3</v>
      </c>
      <c r="F84" s="121">
        <f t="shared" ca="1" si="28"/>
        <v>0</v>
      </c>
      <c r="G84" s="121">
        <f t="shared" ca="1" si="28"/>
        <v>0</v>
      </c>
      <c r="H84" s="121">
        <f t="shared" ca="1" si="28"/>
        <v>0</v>
      </c>
      <c r="I84" s="121">
        <f t="shared" ca="1" si="28"/>
        <v>0</v>
      </c>
      <c r="J84" s="121">
        <f t="shared" ca="1" si="28"/>
        <v>0</v>
      </c>
      <c r="K84" s="121">
        <f t="shared" ca="1" si="28"/>
        <v>0</v>
      </c>
      <c r="L84" s="121">
        <f t="shared" ca="1" si="28"/>
        <v>0</v>
      </c>
      <c r="M84" s="122">
        <f t="shared" ca="1" si="28"/>
        <v>0</v>
      </c>
    </row>
    <row r="85" spans="2:15" ht="25.5">
      <c r="B85" s="6"/>
      <c r="C85" s="5" t="s">
        <v>80</v>
      </c>
      <c r="D85" s="44" t="s">
        <v>193</v>
      </c>
      <c r="E85" s="121">
        <f t="shared" ca="1" si="28"/>
        <v>3</v>
      </c>
      <c r="F85" s="121">
        <f t="shared" ca="1" si="28"/>
        <v>0</v>
      </c>
      <c r="G85" s="121">
        <f t="shared" ca="1" si="28"/>
        <v>0</v>
      </c>
      <c r="H85" s="121">
        <f t="shared" ca="1" si="28"/>
        <v>0</v>
      </c>
      <c r="I85" s="121">
        <f t="shared" ca="1" si="28"/>
        <v>0</v>
      </c>
      <c r="J85" s="121">
        <f t="shared" ca="1" si="28"/>
        <v>0</v>
      </c>
      <c r="K85" s="121">
        <f t="shared" ca="1" si="28"/>
        <v>0</v>
      </c>
      <c r="L85" s="121">
        <f t="shared" ca="1" si="28"/>
        <v>0</v>
      </c>
      <c r="M85" s="122">
        <f t="shared" ca="1" si="28"/>
        <v>0</v>
      </c>
    </row>
    <row r="86" spans="2:15" ht="27.75" customHeight="1">
      <c r="B86" s="38" t="s">
        <v>195</v>
      </c>
      <c r="C86" s="378" t="s">
        <v>196</v>
      </c>
      <c r="D86" s="379"/>
      <c r="E86" s="140">
        <f t="shared" ref="E86:M86" ca="1" si="29">HYPERLINK("#'"&amp;E$4&amp;"-Thn-"&amp;E$1&amp;"'!"&amp;ADDRESS(ROW()+1,6),SUBTOTAL(9,INDIRECT(ADDRESS(ROW()+1,COLUMN())&amp;":"&amp;ADDRESS(ROW()+$O86,COLUMN())))/($O86*4)*100)</f>
        <v>81.25</v>
      </c>
      <c r="F86" s="140">
        <f t="shared" ca="1" si="29"/>
        <v>0</v>
      </c>
      <c r="G86" s="140">
        <f t="shared" ca="1" si="29"/>
        <v>0</v>
      </c>
      <c r="H86" s="140">
        <f t="shared" ca="1" si="29"/>
        <v>0</v>
      </c>
      <c r="I86" s="140">
        <f t="shared" ca="1" si="29"/>
        <v>0</v>
      </c>
      <c r="J86" s="140">
        <f t="shared" ca="1" si="29"/>
        <v>0</v>
      </c>
      <c r="K86" s="140">
        <f t="shared" ca="1" si="29"/>
        <v>0</v>
      </c>
      <c r="L86" s="140">
        <f t="shared" ca="1" si="29"/>
        <v>0</v>
      </c>
      <c r="M86" s="144">
        <f t="shared" ca="1" si="29"/>
        <v>0</v>
      </c>
      <c r="O86">
        <v>4</v>
      </c>
    </row>
    <row r="87" spans="2:15" ht="25.5">
      <c r="B87" s="6"/>
      <c r="C87" s="5" t="s">
        <v>74</v>
      </c>
      <c r="D87" s="44" t="s">
        <v>197</v>
      </c>
      <c r="E87" s="121">
        <f t="shared" ref="E87:M90" ca="1" si="30">HYPERLINK("#'"&amp;E$4&amp;"-Thn-"&amp;E$1&amp;"'!"&amp;ADDRESS(ROW(),6),IF(ISERROR(INDIRECT(ADDRESS(ROW(),6,1,1,E$4&amp;"-Thn-"&amp;E$1))),"~",INDIRECT(ADDRESS(ROW(),6,1,1,E$4&amp;"-Thn-"&amp;E$1))))</f>
        <v>3</v>
      </c>
      <c r="F87" s="121">
        <f t="shared" ca="1" si="30"/>
        <v>0</v>
      </c>
      <c r="G87" s="121">
        <f t="shared" ca="1" si="30"/>
        <v>0</v>
      </c>
      <c r="H87" s="121">
        <f t="shared" ca="1" si="30"/>
        <v>0</v>
      </c>
      <c r="I87" s="121">
        <f t="shared" ca="1" si="30"/>
        <v>0</v>
      </c>
      <c r="J87" s="121">
        <f t="shared" ca="1" si="30"/>
        <v>0</v>
      </c>
      <c r="K87" s="121">
        <f t="shared" ca="1" si="30"/>
        <v>0</v>
      </c>
      <c r="L87" s="121">
        <f t="shared" ca="1" si="30"/>
        <v>0</v>
      </c>
      <c r="M87" s="122">
        <f t="shared" ca="1" si="30"/>
        <v>0</v>
      </c>
    </row>
    <row r="88" spans="2:15">
      <c r="B88" s="6"/>
      <c r="C88" s="5" t="s">
        <v>77</v>
      </c>
      <c r="D88" s="44" t="s">
        <v>199</v>
      </c>
      <c r="E88" s="121">
        <f t="shared" ca="1" si="30"/>
        <v>3</v>
      </c>
      <c r="F88" s="121">
        <f t="shared" ca="1" si="30"/>
        <v>0</v>
      </c>
      <c r="G88" s="121">
        <f t="shared" ca="1" si="30"/>
        <v>0</v>
      </c>
      <c r="H88" s="121">
        <f t="shared" ca="1" si="30"/>
        <v>0</v>
      </c>
      <c r="I88" s="121">
        <f t="shared" ca="1" si="30"/>
        <v>0</v>
      </c>
      <c r="J88" s="121">
        <f t="shared" ca="1" si="30"/>
        <v>0</v>
      </c>
      <c r="K88" s="121">
        <f t="shared" ca="1" si="30"/>
        <v>0</v>
      </c>
      <c r="L88" s="121">
        <f t="shared" ca="1" si="30"/>
        <v>0</v>
      </c>
      <c r="M88" s="122">
        <f t="shared" ca="1" si="30"/>
        <v>0</v>
      </c>
    </row>
    <row r="89" spans="2:15" ht="25.5">
      <c r="B89" s="6"/>
      <c r="C89" s="5" t="s">
        <v>80</v>
      </c>
      <c r="D89" s="44" t="s">
        <v>201</v>
      </c>
      <c r="E89" s="121">
        <f t="shared" ca="1" si="30"/>
        <v>3</v>
      </c>
      <c r="F89" s="121">
        <f t="shared" ca="1" si="30"/>
        <v>0</v>
      </c>
      <c r="G89" s="121">
        <f t="shared" ca="1" si="30"/>
        <v>0</v>
      </c>
      <c r="H89" s="121">
        <f t="shared" ca="1" si="30"/>
        <v>0</v>
      </c>
      <c r="I89" s="121">
        <f t="shared" ca="1" si="30"/>
        <v>0</v>
      </c>
      <c r="J89" s="121">
        <f t="shared" ca="1" si="30"/>
        <v>0</v>
      </c>
      <c r="K89" s="121">
        <f t="shared" ca="1" si="30"/>
        <v>0</v>
      </c>
      <c r="L89" s="121">
        <f t="shared" ca="1" si="30"/>
        <v>0</v>
      </c>
      <c r="M89" s="122">
        <f t="shared" ca="1" si="30"/>
        <v>0</v>
      </c>
    </row>
    <row r="90" spans="2:15" ht="25.5">
      <c r="B90" s="6"/>
      <c r="C90" s="5" t="s">
        <v>88</v>
      </c>
      <c r="D90" s="44" t="s">
        <v>202</v>
      </c>
      <c r="E90" s="121">
        <f t="shared" ca="1" si="30"/>
        <v>4</v>
      </c>
      <c r="F90" s="121">
        <f t="shared" ca="1" si="30"/>
        <v>0</v>
      </c>
      <c r="G90" s="121">
        <f t="shared" ca="1" si="30"/>
        <v>0</v>
      </c>
      <c r="H90" s="121">
        <f t="shared" ca="1" si="30"/>
        <v>0</v>
      </c>
      <c r="I90" s="121">
        <f t="shared" ca="1" si="30"/>
        <v>0</v>
      </c>
      <c r="J90" s="121">
        <f t="shared" ca="1" si="30"/>
        <v>0</v>
      </c>
      <c r="K90" s="121">
        <f t="shared" ca="1" si="30"/>
        <v>0</v>
      </c>
      <c r="L90" s="121">
        <f t="shared" ca="1" si="30"/>
        <v>0</v>
      </c>
      <c r="M90" s="122">
        <f t="shared" ca="1" si="30"/>
        <v>0</v>
      </c>
    </row>
    <row r="91" spans="2:15" ht="27.75" customHeight="1">
      <c r="B91" s="38" t="s">
        <v>204</v>
      </c>
      <c r="C91" s="378" t="s">
        <v>205</v>
      </c>
      <c r="D91" s="379"/>
      <c r="E91" s="140">
        <f ca="1">HYPERLINK("#'"&amp;E$4&amp;"-Thn-"&amp;E$1&amp;"'!"&amp;ADDRESS(ROW()+1,6),SUBTOTAL(9,INDIRECT(ADDRESS(ROW()+1,COLUMN())&amp;":"&amp;ADDRESS(ROW()+$O91,COLUMN())))/($O91*4)*100)</f>
        <v>60</v>
      </c>
      <c r="F91" s="140">
        <f t="shared" ref="F91:M91" ca="1" si="31">HYPERLINK("#'"&amp;F$4&amp;"-Thn-"&amp;F$1&amp;"'!"&amp;ADDRESS(ROW()+1,6),SUBTOTAL(9,INDIRECT(ADDRESS(ROW()+1,COLUMN())&amp;":"&amp;ADDRESS(ROW()+$O91,COLUMN())))/($O91*4)*100)</f>
        <v>0</v>
      </c>
      <c r="G91" s="140">
        <f t="shared" ca="1" si="31"/>
        <v>0</v>
      </c>
      <c r="H91" s="140">
        <f t="shared" ca="1" si="31"/>
        <v>0</v>
      </c>
      <c r="I91" s="140">
        <f t="shared" ca="1" si="31"/>
        <v>0</v>
      </c>
      <c r="J91" s="140">
        <f t="shared" ca="1" si="31"/>
        <v>0</v>
      </c>
      <c r="K91" s="140">
        <f t="shared" ca="1" si="31"/>
        <v>0</v>
      </c>
      <c r="L91" s="140">
        <f t="shared" ca="1" si="31"/>
        <v>0</v>
      </c>
      <c r="M91" s="144">
        <f t="shared" ca="1" si="31"/>
        <v>0</v>
      </c>
      <c r="O91">
        <v>5</v>
      </c>
    </row>
    <row r="92" spans="2:15" ht="25.5">
      <c r="B92" s="6"/>
      <c r="C92" s="5" t="s">
        <v>74</v>
      </c>
      <c r="D92" s="44" t="s">
        <v>206</v>
      </c>
      <c r="E92" s="121">
        <f t="shared" ref="E92:M108" ca="1" si="32">HYPERLINK("#'"&amp;E$4&amp;"-Thn-"&amp;E$1&amp;"'!"&amp;ADDRESS(ROW(),6),IF(ISERROR(INDIRECT(ADDRESS(ROW(),6,1,1,E$4&amp;"-Thn-"&amp;E$1))),"~",INDIRECT(ADDRESS(ROW(),6,1,1,E$4&amp;"-Thn-"&amp;E$1))))</f>
        <v>3</v>
      </c>
      <c r="F92" s="121">
        <f t="shared" ca="1" si="32"/>
        <v>0</v>
      </c>
      <c r="G92" s="121">
        <f t="shared" ca="1" si="32"/>
        <v>0</v>
      </c>
      <c r="H92" s="121">
        <f t="shared" ca="1" si="32"/>
        <v>0</v>
      </c>
      <c r="I92" s="121">
        <f t="shared" ca="1" si="32"/>
        <v>0</v>
      </c>
      <c r="J92" s="121">
        <f t="shared" ca="1" si="32"/>
        <v>0</v>
      </c>
      <c r="K92" s="121">
        <f t="shared" ca="1" si="32"/>
        <v>0</v>
      </c>
      <c r="L92" s="121">
        <f t="shared" ca="1" si="32"/>
        <v>0</v>
      </c>
      <c r="M92" s="122">
        <f t="shared" ca="1" si="32"/>
        <v>0</v>
      </c>
    </row>
    <row r="93" spans="2:15" ht="25.5">
      <c r="B93" s="6"/>
      <c r="C93" s="5" t="s">
        <v>77</v>
      </c>
      <c r="D93" s="44" t="s">
        <v>207</v>
      </c>
      <c r="E93" s="121">
        <f t="shared" ca="1" si="32"/>
        <v>3</v>
      </c>
      <c r="F93" s="121">
        <f t="shared" ca="1" si="32"/>
        <v>0</v>
      </c>
      <c r="G93" s="121">
        <f t="shared" ca="1" si="32"/>
        <v>0</v>
      </c>
      <c r="H93" s="121">
        <f t="shared" ca="1" si="32"/>
        <v>0</v>
      </c>
      <c r="I93" s="121">
        <f t="shared" ca="1" si="32"/>
        <v>0</v>
      </c>
      <c r="J93" s="121">
        <f t="shared" ca="1" si="32"/>
        <v>0</v>
      </c>
      <c r="K93" s="121">
        <f t="shared" ca="1" si="32"/>
        <v>0</v>
      </c>
      <c r="L93" s="121">
        <f t="shared" ca="1" si="32"/>
        <v>0</v>
      </c>
      <c r="M93" s="122">
        <f t="shared" ca="1" si="32"/>
        <v>0</v>
      </c>
    </row>
    <row r="94" spans="2:15">
      <c r="B94" s="6"/>
      <c r="C94" s="5" t="s">
        <v>80</v>
      </c>
      <c r="D94" s="44" t="s">
        <v>209</v>
      </c>
      <c r="E94" s="121">
        <f t="shared" ca="1" si="32"/>
        <v>2</v>
      </c>
      <c r="F94" s="121">
        <f t="shared" ca="1" si="32"/>
        <v>0</v>
      </c>
      <c r="G94" s="121">
        <f t="shared" ca="1" si="32"/>
        <v>0</v>
      </c>
      <c r="H94" s="121">
        <f t="shared" ca="1" si="32"/>
        <v>0</v>
      </c>
      <c r="I94" s="121">
        <f t="shared" ca="1" si="32"/>
        <v>0</v>
      </c>
      <c r="J94" s="121">
        <f t="shared" ca="1" si="32"/>
        <v>0</v>
      </c>
      <c r="K94" s="121">
        <f t="shared" ca="1" si="32"/>
        <v>0</v>
      </c>
      <c r="L94" s="121">
        <f t="shared" ca="1" si="32"/>
        <v>0</v>
      </c>
      <c r="M94" s="122">
        <f t="shared" ca="1" si="32"/>
        <v>0</v>
      </c>
    </row>
    <row r="95" spans="2:15" ht="25.5">
      <c r="B95" s="6"/>
      <c r="C95" s="5" t="s">
        <v>88</v>
      </c>
      <c r="D95" s="44" t="s">
        <v>211</v>
      </c>
      <c r="E95" s="121">
        <f t="shared" ca="1" si="32"/>
        <v>2</v>
      </c>
      <c r="F95" s="121">
        <f t="shared" ca="1" si="32"/>
        <v>0</v>
      </c>
      <c r="G95" s="121">
        <f t="shared" ca="1" si="32"/>
        <v>0</v>
      </c>
      <c r="H95" s="121">
        <f t="shared" ca="1" si="32"/>
        <v>0</v>
      </c>
      <c r="I95" s="121">
        <f t="shared" ca="1" si="32"/>
        <v>0</v>
      </c>
      <c r="J95" s="121">
        <f t="shared" ca="1" si="32"/>
        <v>0</v>
      </c>
      <c r="K95" s="121">
        <f t="shared" ca="1" si="32"/>
        <v>0</v>
      </c>
      <c r="L95" s="121">
        <f t="shared" ca="1" si="32"/>
        <v>0</v>
      </c>
      <c r="M95" s="122">
        <f t="shared" ca="1" si="32"/>
        <v>0</v>
      </c>
    </row>
    <row r="96" spans="2:15" ht="25.5">
      <c r="B96" s="6"/>
      <c r="C96" s="5" t="s">
        <v>213</v>
      </c>
      <c r="D96" s="44" t="s">
        <v>214</v>
      </c>
      <c r="E96" s="121">
        <f t="shared" ca="1" si="32"/>
        <v>2</v>
      </c>
      <c r="F96" s="121">
        <f t="shared" ca="1" si="32"/>
        <v>0</v>
      </c>
      <c r="G96" s="121">
        <f t="shared" ca="1" si="32"/>
        <v>0</v>
      </c>
      <c r="H96" s="121">
        <f t="shared" ca="1" si="32"/>
        <v>0</v>
      </c>
      <c r="I96" s="121">
        <f t="shared" ca="1" si="32"/>
        <v>0</v>
      </c>
      <c r="J96" s="121">
        <f t="shared" ca="1" si="32"/>
        <v>0</v>
      </c>
      <c r="K96" s="121">
        <f t="shared" ca="1" si="32"/>
        <v>0</v>
      </c>
      <c r="L96" s="121">
        <f t="shared" ca="1" si="32"/>
        <v>0</v>
      </c>
      <c r="M96" s="122">
        <f t="shared" ca="1" si="32"/>
        <v>0</v>
      </c>
    </row>
    <row r="97" spans="2:15" ht="27.75" customHeight="1">
      <c r="B97" s="38" t="s">
        <v>216</v>
      </c>
      <c r="C97" s="378" t="s">
        <v>217</v>
      </c>
      <c r="D97" s="379"/>
      <c r="E97" s="140">
        <f t="shared" ref="E97:M97" ca="1" si="33">HYPERLINK("#'"&amp;E$4&amp;"-Thn-"&amp;E$1&amp;"'!"&amp;ADDRESS(ROW()+1,6),SUBTOTAL(9,INDIRECT(ADDRESS(ROW()+1,COLUMN())&amp;":"&amp;ADDRESS(ROW()+$O97,COLUMN())))/($O97*4)*100)</f>
        <v>93.75</v>
      </c>
      <c r="F97" s="140">
        <f t="shared" ca="1" si="33"/>
        <v>0</v>
      </c>
      <c r="G97" s="140">
        <f t="shared" ca="1" si="33"/>
        <v>0</v>
      </c>
      <c r="H97" s="140">
        <f t="shared" ca="1" si="33"/>
        <v>0</v>
      </c>
      <c r="I97" s="140">
        <f t="shared" ca="1" si="33"/>
        <v>0</v>
      </c>
      <c r="J97" s="140">
        <f t="shared" ca="1" si="33"/>
        <v>0</v>
      </c>
      <c r="K97" s="140">
        <f t="shared" ca="1" si="33"/>
        <v>0</v>
      </c>
      <c r="L97" s="140">
        <f t="shared" ca="1" si="33"/>
        <v>0</v>
      </c>
      <c r="M97" s="144">
        <f t="shared" ca="1" si="33"/>
        <v>0</v>
      </c>
      <c r="O97">
        <v>4</v>
      </c>
    </row>
    <row r="98" spans="2:15" ht="25.5">
      <c r="B98" s="6"/>
      <c r="C98" s="5" t="s">
        <v>74</v>
      </c>
      <c r="D98" s="44" t="s">
        <v>478</v>
      </c>
      <c r="E98" s="121">
        <f t="shared" ca="1" si="32"/>
        <v>3</v>
      </c>
      <c r="F98" s="121">
        <f t="shared" ca="1" si="32"/>
        <v>0</v>
      </c>
      <c r="G98" s="121">
        <f t="shared" ca="1" si="32"/>
        <v>0</v>
      </c>
      <c r="H98" s="121">
        <f t="shared" ca="1" si="32"/>
        <v>0</v>
      </c>
      <c r="I98" s="121">
        <f t="shared" ca="1" si="32"/>
        <v>0</v>
      </c>
      <c r="J98" s="121">
        <f t="shared" ca="1" si="32"/>
        <v>0</v>
      </c>
      <c r="K98" s="121">
        <f t="shared" ca="1" si="32"/>
        <v>0</v>
      </c>
      <c r="L98" s="121">
        <f t="shared" ca="1" si="32"/>
        <v>0</v>
      </c>
      <c r="M98" s="122">
        <f t="shared" ca="1" si="32"/>
        <v>0</v>
      </c>
    </row>
    <row r="99" spans="2:15" ht="25.5">
      <c r="B99" s="6"/>
      <c r="C99" s="5" t="s">
        <v>77</v>
      </c>
      <c r="D99" s="44" t="s">
        <v>477</v>
      </c>
      <c r="E99" s="121">
        <f t="shared" ca="1" si="32"/>
        <v>4</v>
      </c>
      <c r="F99" s="121">
        <f t="shared" ca="1" si="32"/>
        <v>0</v>
      </c>
      <c r="G99" s="121">
        <f t="shared" ca="1" si="32"/>
        <v>0</v>
      </c>
      <c r="H99" s="121">
        <f t="shared" ca="1" si="32"/>
        <v>0</v>
      </c>
      <c r="I99" s="121">
        <f t="shared" ca="1" si="32"/>
        <v>0</v>
      </c>
      <c r="J99" s="121">
        <f t="shared" ca="1" si="32"/>
        <v>0</v>
      </c>
      <c r="K99" s="121">
        <f t="shared" ca="1" si="32"/>
        <v>0</v>
      </c>
      <c r="L99" s="121">
        <f t="shared" ca="1" si="32"/>
        <v>0</v>
      </c>
      <c r="M99" s="122">
        <f t="shared" ca="1" si="32"/>
        <v>0</v>
      </c>
    </row>
    <row r="100" spans="2:15" ht="25.5">
      <c r="B100" s="6"/>
      <c r="C100" s="5" t="s">
        <v>80</v>
      </c>
      <c r="D100" s="44" t="s">
        <v>479</v>
      </c>
      <c r="E100" s="121">
        <f t="shared" ca="1" si="32"/>
        <v>4</v>
      </c>
      <c r="F100" s="121">
        <f t="shared" ca="1" si="32"/>
        <v>0</v>
      </c>
      <c r="G100" s="121">
        <f t="shared" ca="1" si="32"/>
        <v>0</v>
      </c>
      <c r="H100" s="121">
        <f t="shared" ca="1" si="32"/>
        <v>0</v>
      </c>
      <c r="I100" s="121">
        <f t="shared" ca="1" si="32"/>
        <v>0</v>
      </c>
      <c r="J100" s="121">
        <f t="shared" ca="1" si="32"/>
        <v>0</v>
      </c>
      <c r="K100" s="121">
        <f t="shared" ca="1" si="32"/>
        <v>0</v>
      </c>
      <c r="L100" s="121">
        <f t="shared" ca="1" si="32"/>
        <v>0</v>
      </c>
      <c r="M100" s="122">
        <f t="shared" ca="1" si="32"/>
        <v>0</v>
      </c>
    </row>
    <row r="101" spans="2:15" ht="25.5">
      <c r="B101" s="6"/>
      <c r="C101" s="5" t="s">
        <v>88</v>
      </c>
      <c r="D101" s="44" t="s">
        <v>480</v>
      </c>
      <c r="E101" s="121">
        <f t="shared" ca="1" si="32"/>
        <v>4</v>
      </c>
      <c r="F101" s="121">
        <f t="shared" ca="1" si="32"/>
        <v>0</v>
      </c>
      <c r="G101" s="121">
        <f t="shared" ca="1" si="32"/>
        <v>0</v>
      </c>
      <c r="H101" s="121">
        <f t="shared" ca="1" si="32"/>
        <v>0</v>
      </c>
      <c r="I101" s="121">
        <f t="shared" ca="1" si="32"/>
        <v>0</v>
      </c>
      <c r="J101" s="121">
        <f t="shared" ca="1" si="32"/>
        <v>0</v>
      </c>
      <c r="K101" s="121">
        <f t="shared" ca="1" si="32"/>
        <v>0</v>
      </c>
      <c r="L101" s="121">
        <f t="shared" ca="1" si="32"/>
        <v>0</v>
      </c>
      <c r="M101" s="122">
        <f t="shared" ca="1" si="32"/>
        <v>0</v>
      </c>
    </row>
    <row r="102" spans="2:15" ht="21.75" customHeight="1">
      <c r="B102" s="38" t="s">
        <v>218</v>
      </c>
      <c r="C102" s="378" t="s">
        <v>219</v>
      </c>
      <c r="D102" s="379"/>
      <c r="E102" s="140">
        <f t="shared" ref="E102:M102" ca="1" si="34">HYPERLINK("#'"&amp;E$4&amp;"-Thn-"&amp;E$1&amp;"'!"&amp;ADDRESS(ROW()+1,6),SUBTOTAL(9,INDIRECT(ADDRESS(ROW()+1,COLUMN())&amp;":"&amp;ADDRESS(ROW()+$O102,COLUMN())))/($O102*4)*100)</f>
        <v>75</v>
      </c>
      <c r="F102" s="140">
        <f t="shared" ca="1" si="34"/>
        <v>0</v>
      </c>
      <c r="G102" s="140">
        <f t="shared" ca="1" si="34"/>
        <v>0</v>
      </c>
      <c r="H102" s="140">
        <f t="shared" ca="1" si="34"/>
        <v>0</v>
      </c>
      <c r="I102" s="140">
        <f t="shared" ca="1" si="34"/>
        <v>0</v>
      </c>
      <c r="J102" s="140">
        <f t="shared" ca="1" si="34"/>
        <v>0</v>
      </c>
      <c r="K102" s="140">
        <f t="shared" ca="1" si="34"/>
        <v>0</v>
      </c>
      <c r="L102" s="140">
        <f t="shared" ca="1" si="34"/>
        <v>0</v>
      </c>
      <c r="M102" s="144">
        <f t="shared" ca="1" si="34"/>
        <v>0</v>
      </c>
      <c r="O102">
        <v>4</v>
      </c>
    </row>
    <row r="103" spans="2:15" ht="25.5">
      <c r="B103" s="6"/>
      <c r="C103" s="5" t="s">
        <v>74</v>
      </c>
      <c r="D103" s="44" t="s">
        <v>481</v>
      </c>
      <c r="E103" s="121">
        <f t="shared" ca="1" si="32"/>
        <v>4</v>
      </c>
      <c r="F103" s="121">
        <f t="shared" ca="1" si="32"/>
        <v>0</v>
      </c>
      <c r="G103" s="121">
        <f t="shared" ca="1" si="32"/>
        <v>0</v>
      </c>
      <c r="H103" s="121">
        <f t="shared" ca="1" si="32"/>
        <v>0</v>
      </c>
      <c r="I103" s="121">
        <f t="shared" ca="1" si="32"/>
        <v>0</v>
      </c>
      <c r="J103" s="121">
        <f t="shared" ca="1" si="32"/>
        <v>0</v>
      </c>
      <c r="K103" s="121">
        <f t="shared" ca="1" si="32"/>
        <v>0</v>
      </c>
      <c r="L103" s="121">
        <f t="shared" ca="1" si="32"/>
        <v>0</v>
      </c>
      <c r="M103" s="122">
        <f t="shared" ca="1" si="32"/>
        <v>0</v>
      </c>
    </row>
    <row r="104" spans="2:15" ht="25.5">
      <c r="B104" s="6"/>
      <c r="C104" s="5" t="s">
        <v>77</v>
      </c>
      <c r="D104" s="44" t="s">
        <v>482</v>
      </c>
      <c r="E104" s="121">
        <f t="shared" ca="1" si="32"/>
        <v>3</v>
      </c>
      <c r="F104" s="121">
        <f t="shared" ca="1" si="32"/>
        <v>0</v>
      </c>
      <c r="G104" s="121">
        <f t="shared" ca="1" si="32"/>
        <v>0</v>
      </c>
      <c r="H104" s="121">
        <f t="shared" ca="1" si="32"/>
        <v>0</v>
      </c>
      <c r="I104" s="121">
        <f t="shared" ca="1" si="32"/>
        <v>0</v>
      </c>
      <c r="J104" s="121">
        <f t="shared" ca="1" si="32"/>
        <v>0</v>
      </c>
      <c r="K104" s="121">
        <f t="shared" ca="1" si="32"/>
        <v>0</v>
      </c>
      <c r="L104" s="121">
        <f t="shared" ca="1" si="32"/>
        <v>0</v>
      </c>
      <c r="M104" s="122">
        <f t="shared" ca="1" si="32"/>
        <v>0</v>
      </c>
    </row>
    <row r="105" spans="2:15">
      <c r="B105" s="6"/>
      <c r="C105" s="5" t="s">
        <v>80</v>
      </c>
      <c r="D105" s="44" t="s">
        <v>483</v>
      </c>
      <c r="E105" s="121">
        <f t="shared" ca="1" si="32"/>
        <v>2</v>
      </c>
      <c r="F105" s="121">
        <f t="shared" ca="1" si="32"/>
        <v>0</v>
      </c>
      <c r="G105" s="121">
        <f t="shared" ca="1" si="32"/>
        <v>0</v>
      </c>
      <c r="H105" s="121">
        <f t="shared" ca="1" si="32"/>
        <v>0</v>
      </c>
      <c r="I105" s="121">
        <f t="shared" ca="1" si="32"/>
        <v>0</v>
      </c>
      <c r="J105" s="121">
        <f t="shared" ca="1" si="32"/>
        <v>0</v>
      </c>
      <c r="K105" s="121">
        <f t="shared" ca="1" si="32"/>
        <v>0</v>
      </c>
      <c r="L105" s="121">
        <f t="shared" ca="1" si="32"/>
        <v>0</v>
      </c>
      <c r="M105" s="122">
        <f t="shared" ca="1" si="32"/>
        <v>0</v>
      </c>
    </row>
    <row r="106" spans="2:15" ht="25.5">
      <c r="B106" s="6"/>
      <c r="C106" s="5" t="s">
        <v>88</v>
      </c>
      <c r="D106" s="44" t="s">
        <v>484</v>
      </c>
      <c r="E106" s="121">
        <f t="shared" ca="1" si="32"/>
        <v>3</v>
      </c>
      <c r="F106" s="121">
        <f t="shared" ca="1" si="32"/>
        <v>0</v>
      </c>
      <c r="G106" s="121">
        <f t="shared" ca="1" si="32"/>
        <v>0</v>
      </c>
      <c r="H106" s="121">
        <f t="shared" ca="1" si="32"/>
        <v>0</v>
      </c>
      <c r="I106" s="121">
        <f t="shared" ca="1" si="32"/>
        <v>0</v>
      </c>
      <c r="J106" s="121">
        <f t="shared" ca="1" si="32"/>
        <v>0</v>
      </c>
      <c r="K106" s="121">
        <f t="shared" ca="1" si="32"/>
        <v>0</v>
      </c>
      <c r="L106" s="121">
        <f t="shared" ca="1" si="32"/>
        <v>0</v>
      </c>
      <c r="M106" s="122">
        <f t="shared" ca="1" si="32"/>
        <v>0</v>
      </c>
    </row>
    <row r="107" spans="2:15" ht="27.75" customHeight="1">
      <c r="B107" s="38" t="s">
        <v>220</v>
      </c>
      <c r="C107" s="378" t="s">
        <v>221</v>
      </c>
      <c r="D107" s="379"/>
      <c r="E107" s="140">
        <f t="shared" ref="E107:M107" ca="1" si="35">HYPERLINK("#'"&amp;E$4&amp;"-Thn-"&amp;E$1&amp;"'!"&amp;ADDRESS(ROW()+1,6),SUBTOTAL(9,INDIRECT(ADDRESS(ROW()+1,COLUMN())&amp;":"&amp;ADDRESS(ROW()+$O107,COLUMN())))/($O107*4)*100)</f>
        <v>68.75</v>
      </c>
      <c r="F107" s="140">
        <f t="shared" ca="1" si="35"/>
        <v>0</v>
      </c>
      <c r="G107" s="140">
        <f t="shared" ca="1" si="35"/>
        <v>0</v>
      </c>
      <c r="H107" s="140">
        <f t="shared" ca="1" si="35"/>
        <v>0</v>
      </c>
      <c r="I107" s="140">
        <f t="shared" ca="1" si="35"/>
        <v>0</v>
      </c>
      <c r="J107" s="140">
        <f t="shared" ca="1" si="35"/>
        <v>0</v>
      </c>
      <c r="K107" s="140">
        <f t="shared" ca="1" si="35"/>
        <v>0</v>
      </c>
      <c r="L107" s="140">
        <f t="shared" ca="1" si="35"/>
        <v>0</v>
      </c>
      <c r="M107" s="144">
        <f t="shared" ca="1" si="35"/>
        <v>0</v>
      </c>
      <c r="O107">
        <v>4</v>
      </c>
    </row>
    <row r="108" spans="2:15" ht="25.5">
      <c r="B108" s="6"/>
      <c r="C108" s="5" t="s">
        <v>74</v>
      </c>
      <c r="D108" s="44" t="s">
        <v>485</v>
      </c>
      <c r="E108" s="121">
        <f t="shared" ca="1" si="32"/>
        <v>2</v>
      </c>
      <c r="F108" s="121">
        <f t="shared" ca="1" si="32"/>
        <v>0</v>
      </c>
      <c r="G108" s="121">
        <f t="shared" ca="1" si="32"/>
        <v>0</v>
      </c>
      <c r="H108" s="121">
        <f t="shared" ca="1" si="32"/>
        <v>0</v>
      </c>
      <c r="I108" s="121">
        <f t="shared" ca="1" si="32"/>
        <v>0</v>
      </c>
      <c r="J108" s="121">
        <f t="shared" ca="1" si="32"/>
        <v>0</v>
      </c>
      <c r="K108" s="121">
        <f t="shared" ca="1" si="32"/>
        <v>0</v>
      </c>
      <c r="L108" s="121">
        <f t="shared" ca="1" si="32"/>
        <v>0</v>
      </c>
      <c r="M108" s="122">
        <f t="shared" ca="1" si="32"/>
        <v>0</v>
      </c>
    </row>
    <row r="109" spans="2:15" ht="25.5">
      <c r="B109" s="6"/>
      <c r="C109" s="5" t="s">
        <v>77</v>
      </c>
      <c r="D109" s="44" t="s">
        <v>486</v>
      </c>
      <c r="E109" s="121">
        <f t="shared" ref="E109:M111" ca="1" si="36">HYPERLINK("#'"&amp;E$4&amp;"-Thn-"&amp;E$1&amp;"'!"&amp;ADDRESS(ROW(),6),IF(ISERROR(INDIRECT(ADDRESS(ROW(),6,1,1,E$4&amp;"-Thn-"&amp;E$1))),"~",INDIRECT(ADDRESS(ROW(),6,1,1,E$4&amp;"-Thn-"&amp;E$1))))</f>
        <v>2</v>
      </c>
      <c r="F109" s="121">
        <f t="shared" ca="1" si="36"/>
        <v>0</v>
      </c>
      <c r="G109" s="121">
        <f t="shared" ca="1" si="36"/>
        <v>0</v>
      </c>
      <c r="H109" s="121">
        <f t="shared" ca="1" si="36"/>
        <v>0</v>
      </c>
      <c r="I109" s="121">
        <f t="shared" ca="1" si="36"/>
        <v>0</v>
      </c>
      <c r="J109" s="121">
        <f t="shared" ca="1" si="36"/>
        <v>0</v>
      </c>
      <c r="K109" s="121">
        <f t="shared" ca="1" si="36"/>
        <v>0</v>
      </c>
      <c r="L109" s="121">
        <f t="shared" ca="1" si="36"/>
        <v>0</v>
      </c>
      <c r="M109" s="122">
        <f t="shared" ca="1" si="36"/>
        <v>0</v>
      </c>
    </row>
    <row r="110" spans="2:15" ht="25.5">
      <c r="B110" s="6"/>
      <c r="C110" s="5" t="s">
        <v>80</v>
      </c>
      <c r="D110" s="44" t="s">
        <v>487</v>
      </c>
      <c r="E110" s="121">
        <f t="shared" ca="1" si="36"/>
        <v>3</v>
      </c>
      <c r="F110" s="121">
        <f t="shared" ca="1" si="36"/>
        <v>0</v>
      </c>
      <c r="G110" s="121">
        <f t="shared" ca="1" si="36"/>
        <v>0</v>
      </c>
      <c r="H110" s="121">
        <f t="shared" ca="1" si="36"/>
        <v>0</v>
      </c>
      <c r="I110" s="121">
        <f t="shared" ca="1" si="36"/>
        <v>0</v>
      </c>
      <c r="J110" s="121">
        <f t="shared" ca="1" si="36"/>
        <v>0</v>
      </c>
      <c r="K110" s="121">
        <f t="shared" ca="1" si="36"/>
        <v>0</v>
      </c>
      <c r="L110" s="121">
        <f t="shared" ca="1" si="36"/>
        <v>0</v>
      </c>
      <c r="M110" s="122">
        <f t="shared" ca="1" si="36"/>
        <v>0</v>
      </c>
    </row>
    <row r="111" spans="2:15" ht="25.5">
      <c r="B111" s="6"/>
      <c r="C111" s="5" t="s">
        <v>88</v>
      </c>
      <c r="D111" s="44" t="s">
        <v>488</v>
      </c>
      <c r="E111" s="121">
        <f t="shared" ca="1" si="36"/>
        <v>4</v>
      </c>
      <c r="F111" s="121">
        <f t="shared" ca="1" si="36"/>
        <v>0</v>
      </c>
      <c r="G111" s="121">
        <f t="shared" ca="1" si="36"/>
        <v>0</v>
      </c>
      <c r="H111" s="121">
        <f t="shared" ca="1" si="36"/>
        <v>0</v>
      </c>
      <c r="I111" s="121">
        <f t="shared" ca="1" si="36"/>
        <v>0</v>
      </c>
      <c r="J111" s="121">
        <f t="shared" ca="1" si="36"/>
        <v>0</v>
      </c>
      <c r="K111" s="121">
        <f t="shared" ca="1" si="36"/>
        <v>0</v>
      </c>
      <c r="L111" s="121">
        <f t="shared" ca="1" si="36"/>
        <v>0</v>
      </c>
      <c r="M111" s="122">
        <f t="shared" ca="1" si="36"/>
        <v>0</v>
      </c>
    </row>
    <row r="112" spans="2:15" ht="27.75" customHeight="1">
      <c r="B112" s="38" t="s">
        <v>222</v>
      </c>
      <c r="C112" s="378" t="s">
        <v>223</v>
      </c>
      <c r="D112" s="379"/>
      <c r="E112" s="140">
        <f t="shared" ref="E112:M112" ca="1" si="37">HYPERLINK("#'"&amp;E$4&amp;"-Thn-"&amp;E$1&amp;"'!"&amp;ADDRESS(ROW()+1,6),SUBTOTAL(9,INDIRECT(ADDRESS(ROW()+1,COLUMN())&amp;":"&amp;ADDRESS(ROW()+$O112,COLUMN())))/($O112*4)*100)</f>
        <v>75</v>
      </c>
      <c r="F112" s="140">
        <f t="shared" ca="1" si="37"/>
        <v>0</v>
      </c>
      <c r="G112" s="140">
        <f t="shared" ca="1" si="37"/>
        <v>0</v>
      </c>
      <c r="H112" s="140">
        <f t="shared" ca="1" si="37"/>
        <v>0</v>
      </c>
      <c r="I112" s="140">
        <f t="shared" ca="1" si="37"/>
        <v>0</v>
      </c>
      <c r="J112" s="140">
        <f t="shared" ca="1" si="37"/>
        <v>0</v>
      </c>
      <c r="K112" s="140">
        <f t="shared" ca="1" si="37"/>
        <v>0</v>
      </c>
      <c r="L112" s="140">
        <f t="shared" ca="1" si="37"/>
        <v>0</v>
      </c>
      <c r="M112" s="144">
        <f t="shared" ca="1" si="37"/>
        <v>0</v>
      </c>
      <c r="O112">
        <v>4</v>
      </c>
    </row>
    <row r="113" spans="2:15">
      <c r="B113" s="6"/>
      <c r="C113" s="5" t="s">
        <v>74</v>
      </c>
      <c r="D113" s="44" t="s">
        <v>224</v>
      </c>
      <c r="E113" s="121">
        <f t="shared" ref="E113:M116" ca="1" si="38">HYPERLINK("#'"&amp;E$4&amp;"-Thn-"&amp;E$1&amp;"'!"&amp;ADDRESS(ROW(),6),IF(ISERROR(INDIRECT(ADDRESS(ROW(),6,1,1,E$4&amp;"-Thn-"&amp;E$1))),"~",INDIRECT(ADDRESS(ROW(),6,1,1,E$4&amp;"-Thn-"&amp;E$1))))</f>
        <v>3</v>
      </c>
      <c r="F113" s="121">
        <f t="shared" ca="1" si="38"/>
        <v>0</v>
      </c>
      <c r="G113" s="121">
        <f t="shared" ca="1" si="38"/>
        <v>0</v>
      </c>
      <c r="H113" s="121">
        <f t="shared" ca="1" si="38"/>
        <v>0</v>
      </c>
      <c r="I113" s="121">
        <f t="shared" ca="1" si="38"/>
        <v>0</v>
      </c>
      <c r="J113" s="121">
        <f t="shared" ca="1" si="38"/>
        <v>0</v>
      </c>
      <c r="K113" s="121">
        <f t="shared" ca="1" si="38"/>
        <v>0</v>
      </c>
      <c r="L113" s="121">
        <f t="shared" ca="1" si="38"/>
        <v>0</v>
      </c>
      <c r="M113" s="122">
        <f t="shared" ca="1" si="38"/>
        <v>0</v>
      </c>
    </row>
    <row r="114" spans="2:15" ht="25.5">
      <c r="B114" s="6"/>
      <c r="C114" s="5" t="s">
        <v>77</v>
      </c>
      <c r="D114" s="44" t="s">
        <v>226</v>
      </c>
      <c r="E114" s="121">
        <f t="shared" ca="1" si="38"/>
        <v>3</v>
      </c>
      <c r="F114" s="121">
        <f t="shared" ca="1" si="38"/>
        <v>0</v>
      </c>
      <c r="G114" s="121">
        <f t="shared" ca="1" si="38"/>
        <v>0</v>
      </c>
      <c r="H114" s="121">
        <f t="shared" ca="1" si="38"/>
        <v>0</v>
      </c>
      <c r="I114" s="121">
        <f t="shared" ca="1" si="38"/>
        <v>0</v>
      </c>
      <c r="J114" s="121">
        <f t="shared" ca="1" si="38"/>
        <v>0</v>
      </c>
      <c r="K114" s="121">
        <f t="shared" ca="1" si="38"/>
        <v>0</v>
      </c>
      <c r="L114" s="121">
        <f t="shared" ca="1" si="38"/>
        <v>0</v>
      </c>
      <c r="M114" s="122">
        <f t="shared" ca="1" si="38"/>
        <v>0</v>
      </c>
    </row>
    <row r="115" spans="2:15" ht="25.5">
      <c r="B115" s="6"/>
      <c r="C115" s="5" t="s">
        <v>80</v>
      </c>
      <c r="D115" s="44" t="s">
        <v>228</v>
      </c>
      <c r="E115" s="121">
        <f t="shared" ca="1" si="38"/>
        <v>3</v>
      </c>
      <c r="F115" s="121">
        <f t="shared" ca="1" si="38"/>
        <v>0</v>
      </c>
      <c r="G115" s="121">
        <f t="shared" ca="1" si="38"/>
        <v>0</v>
      </c>
      <c r="H115" s="121">
        <f t="shared" ca="1" si="38"/>
        <v>0</v>
      </c>
      <c r="I115" s="121">
        <f t="shared" ca="1" si="38"/>
        <v>0</v>
      </c>
      <c r="J115" s="121">
        <f t="shared" ca="1" si="38"/>
        <v>0</v>
      </c>
      <c r="K115" s="121">
        <f t="shared" ca="1" si="38"/>
        <v>0</v>
      </c>
      <c r="L115" s="121">
        <f t="shared" ca="1" si="38"/>
        <v>0</v>
      </c>
      <c r="M115" s="122">
        <f t="shared" ca="1" si="38"/>
        <v>0</v>
      </c>
    </row>
    <row r="116" spans="2:15" ht="25.5">
      <c r="B116" s="6"/>
      <c r="C116" s="5" t="s">
        <v>88</v>
      </c>
      <c r="D116" s="44" t="s">
        <v>230</v>
      </c>
      <c r="E116" s="121">
        <f t="shared" ca="1" si="38"/>
        <v>3</v>
      </c>
      <c r="F116" s="121">
        <f t="shared" ca="1" si="38"/>
        <v>0</v>
      </c>
      <c r="G116" s="121">
        <f t="shared" ca="1" si="38"/>
        <v>0</v>
      </c>
      <c r="H116" s="121">
        <f t="shared" ca="1" si="38"/>
        <v>0</v>
      </c>
      <c r="I116" s="121">
        <f t="shared" ca="1" si="38"/>
        <v>0</v>
      </c>
      <c r="J116" s="121">
        <f t="shared" ca="1" si="38"/>
        <v>0</v>
      </c>
      <c r="K116" s="121">
        <f t="shared" ca="1" si="38"/>
        <v>0</v>
      </c>
      <c r="L116" s="121">
        <f t="shared" ca="1" si="38"/>
        <v>0</v>
      </c>
      <c r="M116" s="122">
        <f t="shared" ca="1" si="38"/>
        <v>0</v>
      </c>
    </row>
    <row r="117" spans="2:15" ht="27.75" customHeight="1">
      <c r="B117" s="38" t="s">
        <v>232</v>
      </c>
      <c r="C117" s="378" t="s">
        <v>233</v>
      </c>
      <c r="D117" s="379"/>
      <c r="E117" s="140">
        <f t="shared" ref="E117:M117" ca="1" si="39">HYPERLINK("#'"&amp;E$4&amp;"-Thn-"&amp;E$1&amp;"'!"&amp;ADDRESS(ROW()+1,6),SUBTOTAL(9,INDIRECT(ADDRESS(ROW()+1,COLUMN())&amp;":"&amp;ADDRESS(ROW()+$O117,COLUMN())))/($O117*4)*100)</f>
        <v>66.666666666666657</v>
      </c>
      <c r="F117" s="140">
        <f t="shared" ca="1" si="39"/>
        <v>0</v>
      </c>
      <c r="G117" s="140">
        <f t="shared" ca="1" si="39"/>
        <v>0</v>
      </c>
      <c r="H117" s="140">
        <f t="shared" ca="1" si="39"/>
        <v>0</v>
      </c>
      <c r="I117" s="140">
        <f t="shared" ca="1" si="39"/>
        <v>0</v>
      </c>
      <c r="J117" s="140">
        <f t="shared" ca="1" si="39"/>
        <v>0</v>
      </c>
      <c r="K117" s="140">
        <f t="shared" ca="1" si="39"/>
        <v>0</v>
      </c>
      <c r="L117" s="140">
        <f t="shared" ca="1" si="39"/>
        <v>0</v>
      </c>
      <c r="M117" s="144">
        <f t="shared" ca="1" si="39"/>
        <v>0</v>
      </c>
      <c r="O117">
        <v>3</v>
      </c>
    </row>
    <row r="118" spans="2:15" ht="25.5">
      <c r="B118" s="6"/>
      <c r="C118" s="5" t="s">
        <v>74</v>
      </c>
      <c r="D118" s="44" t="s">
        <v>234</v>
      </c>
      <c r="E118" s="121">
        <f t="shared" ref="E118:M120" ca="1" si="40">HYPERLINK("#'"&amp;E$4&amp;"-Thn-"&amp;E$1&amp;"'!"&amp;ADDRESS(ROW(),6),IF(ISERROR(INDIRECT(ADDRESS(ROW(),6,1,1,E$4&amp;"-Thn-"&amp;E$1))),"~",INDIRECT(ADDRESS(ROW(),6,1,1,E$4&amp;"-Thn-"&amp;E$1))))</f>
        <v>3</v>
      </c>
      <c r="F118" s="121">
        <f t="shared" ca="1" si="40"/>
        <v>0</v>
      </c>
      <c r="G118" s="121">
        <f t="shared" ca="1" si="40"/>
        <v>0</v>
      </c>
      <c r="H118" s="121">
        <f t="shared" ca="1" si="40"/>
        <v>0</v>
      </c>
      <c r="I118" s="121">
        <f t="shared" ca="1" si="40"/>
        <v>0</v>
      </c>
      <c r="J118" s="121">
        <f t="shared" ca="1" si="40"/>
        <v>0</v>
      </c>
      <c r="K118" s="121">
        <f t="shared" ca="1" si="40"/>
        <v>0</v>
      </c>
      <c r="L118" s="121">
        <f t="shared" ca="1" si="40"/>
        <v>0</v>
      </c>
      <c r="M118" s="122">
        <f t="shared" ca="1" si="40"/>
        <v>0</v>
      </c>
    </row>
    <row r="119" spans="2:15" ht="25.5">
      <c r="B119" s="6"/>
      <c r="C119" s="5" t="s">
        <v>77</v>
      </c>
      <c r="D119" s="44" t="s">
        <v>236</v>
      </c>
      <c r="E119" s="121">
        <f t="shared" ca="1" si="40"/>
        <v>2</v>
      </c>
      <c r="F119" s="121">
        <f t="shared" ca="1" si="40"/>
        <v>0</v>
      </c>
      <c r="G119" s="121">
        <f t="shared" ca="1" si="40"/>
        <v>0</v>
      </c>
      <c r="H119" s="121">
        <f t="shared" ca="1" si="40"/>
        <v>0</v>
      </c>
      <c r="I119" s="121">
        <f t="shared" ca="1" si="40"/>
        <v>0</v>
      </c>
      <c r="J119" s="121">
        <f t="shared" ca="1" si="40"/>
        <v>0</v>
      </c>
      <c r="K119" s="121">
        <f t="shared" ca="1" si="40"/>
        <v>0</v>
      </c>
      <c r="L119" s="121">
        <f t="shared" ca="1" si="40"/>
        <v>0</v>
      </c>
      <c r="M119" s="122">
        <f t="shared" ca="1" si="40"/>
        <v>0</v>
      </c>
    </row>
    <row r="120" spans="2:15" ht="25.5">
      <c r="B120" s="6"/>
      <c r="C120" s="5" t="s">
        <v>80</v>
      </c>
      <c r="D120" s="44" t="s">
        <v>238</v>
      </c>
      <c r="E120" s="121">
        <f t="shared" ca="1" si="40"/>
        <v>3</v>
      </c>
      <c r="F120" s="121">
        <f t="shared" ca="1" si="40"/>
        <v>0</v>
      </c>
      <c r="G120" s="121">
        <f t="shared" ca="1" si="40"/>
        <v>0</v>
      </c>
      <c r="H120" s="121">
        <f t="shared" ca="1" si="40"/>
        <v>0</v>
      </c>
      <c r="I120" s="121">
        <f t="shared" ca="1" si="40"/>
        <v>0</v>
      </c>
      <c r="J120" s="121">
        <f t="shared" ca="1" si="40"/>
        <v>0</v>
      </c>
      <c r="K120" s="121">
        <f t="shared" ca="1" si="40"/>
        <v>0</v>
      </c>
      <c r="L120" s="121">
        <f t="shared" ca="1" si="40"/>
        <v>0</v>
      </c>
      <c r="M120" s="122">
        <f t="shared" ca="1" si="40"/>
        <v>0</v>
      </c>
    </row>
    <row r="121" spans="2:15" ht="27.75" customHeight="1">
      <c r="B121" s="145" t="s">
        <v>240</v>
      </c>
      <c r="C121" s="468" t="s">
        <v>241</v>
      </c>
      <c r="D121" s="469"/>
      <c r="E121" s="146">
        <f t="shared" ref="E121:M121" ca="1" si="41">HYPERLINK("#'"&amp;E$4&amp;"-Thn-"&amp;E$1&amp;"'!"&amp;ADDRESS(ROW()+1,6),SUBTOTAL(9,INDIRECT(ADDRESS(ROW()+1,COLUMN())&amp;":"&amp;ADDRESS(ROW()+$O121,COLUMN())))/($O121*4)*100)</f>
        <v>62.5</v>
      </c>
      <c r="F121" s="146">
        <f t="shared" ca="1" si="41"/>
        <v>0</v>
      </c>
      <c r="G121" s="146">
        <f t="shared" ca="1" si="41"/>
        <v>0</v>
      </c>
      <c r="H121" s="146">
        <f t="shared" ca="1" si="41"/>
        <v>0</v>
      </c>
      <c r="I121" s="146">
        <f t="shared" ca="1" si="41"/>
        <v>0</v>
      </c>
      <c r="J121" s="146">
        <f t="shared" ca="1" si="41"/>
        <v>0</v>
      </c>
      <c r="K121" s="146">
        <f t="shared" ca="1" si="41"/>
        <v>0</v>
      </c>
      <c r="L121" s="146">
        <f t="shared" ca="1" si="41"/>
        <v>0</v>
      </c>
      <c r="M121" s="147">
        <f t="shared" ca="1" si="41"/>
        <v>0</v>
      </c>
      <c r="O121">
        <v>4</v>
      </c>
    </row>
    <row r="122" spans="2:15" ht="18" customHeight="1">
      <c r="B122" s="6"/>
      <c r="C122" s="141" t="s">
        <v>74</v>
      </c>
      <c r="D122" s="142" t="s">
        <v>383</v>
      </c>
      <c r="E122" s="121">
        <f t="shared" ref="E122:M125" ca="1" si="42">HYPERLINK("#'"&amp;E$4&amp;"-Thn-"&amp;E$1&amp;"'!"&amp;ADDRESS(ROW(),6),IF(ISERROR(INDIRECT(ADDRESS(ROW(),6,1,1,E$4&amp;"-Thn-"&amp;E$1))),"~",INDIRECT(ADDRESS(ROW(),6,1,1,E$4&amp;"-Thn-"&amp;E$1))))</f>
        <v>3</v>
      </c>
      <c r="F122" s="121">
        <f t="shared" ca="1" si="42"/>
        <v>0</v>
      </c>
      <c r="G122" s="121">
        <f t="shared" ca="1" si="42"/>
        <v>0</v>
      </c>
      <c r="H122" s="121">
        <f t="shared" ca="1" si="42"/>
        <v>0</v>
      </c>
      <c r="I122" s="121">
        <f t="shared" ca="1" si="42"/>
        <v>0</v>
      </c>
      <c r="J122" s="121">
        <f t="shared" ca="1" si="42"/>
        <v>0</v>
      </c>
      <c r="K122" s="121">
        <f t="shared" ca="1" si="42"/>
        <v>0</v>
      </c>
      <c r="L122" s="121">
        <f t="shared" ca="1" si="42"/>
        <v>0</v>
      </c>
      <c r="M122" s="122">
        <f t="shared" ca="1" si="42"/>
        <v>0</v>
      </c>
    </row>
    <row r="123" spans="2:15" ht="25.5">
      <c r="B123" s="6"/>
      <c r="C123" s="5" t="s">
        <v>77</v>
      </c>
      <c r="D123" s="44" t="s">
        <v>243</v>
      </c>
      <c r="E123" s="121">
        <f t="shared" ca="1" si="42"/>
        <v>2</v>
      </c>
      <c r="F123" s="121">
        <f t="shared" ca="1" si="42"/>
        <v>0</v>
      </c>
      <c r="G123" s="121">
        <f t="shared" ca="1" si="42"/>
        <v>0</v>
      </c>
      <c r="H123" s="121">
        <f t="shared" ca="1" si="42"/>
        <v>0</v>
      </c>
      <c r="I123" s="121">
        <f t="shared" ca="1" si="42"/>
        <v>0</v>
      </c>
      <c r="J123" s="121">
        <f t="shared" ca="1" si="42"/>
        <v>0</v>
      </c>
      <c r="K123" s="121">
        <f t="shared" ca="1" si="42"/>
        <v>0</v>
      </c>
      <c r="L123" s="121">
        <f t="shared" ca="1" si="42"/>
        <v>0</v>
      </c>
      <c r="M123" s="122">
        <f t="shared" ca="1" si="42"/>
        <v>0</v>
      </c>
    </row>
    <row r="124" spans="2:15">
      <c r="B124" s="6"/>
      <c r="C124" s="5" t="s">
        <v>80</v>
      </c>
      <c r="D124" s="44" t="s">
        <v>245</v>
      </c>
      <c r="E124" s="121">
        <f t="shared" ca="1" si="42"/>
        <v>3</v>
      </c>
      <c r="F124" s="121">
        <f t="shared" ca="1" si="42"/>
        <v>0</v>
      </c>
      <c r="G124" s="121">
        <f t="shared" ca="1" si="42"/>
        <v>0</v>
      </c>
      <c r="H124" s="121">
        <f t="shared" ca="1" si="42"/>
        <v>0</v>
      </c>
      <c r="I124" s="121">
        <f t="shared" ca="1" si="42"/>
        <v>0</v>
      </c>
      <c r="J124" s="121">
        <f t="shared" ca="1" si="42"/>
        <v>0</v>
      </c>
      <c r="K124" s="121">
        <f t="shared" ca="1" si="42"/>
        <v>0</v>
      </c>
      <c r="L124" s="121">
        <f t="shared" ca="1" si="42"/>
        <v>0</v>
      </c>
      <c r="M124" s="122">
        <f t="shared" ca="1" si="42"/>
        <v>0</v>
      </c>
    </row>
    <row r="125" spans="2:15" ht="25.5">
      <c r="B125" s="111"/>
      <c r="C125" s="112" t="s">
        <v>88</v>
      </c>
      <c r="D125" s="113" t="s">
        <v>247</v>
      </c>
      <c r="E125" s="123">
        <f t="shared" ca="1" si="42"/>
        <v>2</v>
      </c>
      <c r="F125" s="123">
        <f t="shared" ca="1" si="42"/>
        <v>0</v>
      </c>
      <c r="G125" s="123">
        <f t="shared" ca="1" si="42"/>
        <v>0</v>
      </c>
      <c r="H125" s="123">
        <f t="shared" ca="1" si="42"/>
        <v>0</v>
      </c>
      <c r="I125" s="123">
        <f t="shared" ca="1" si="42"/>
        <v>0</v>
      </c>
      <c r="J125" s="123">
        <f t="shared" ca="1" si="42"/>
        <v>0</v>
      </c>
      <c r="K125" s="123">
        <f t="shared" ca="1" si="42"/>
        <v>0</v>
      </c>
      <c r="L125" s="123">
        <f t="shared" ca="1" si="42"/>
        <v>0</v>
      </c>
      <c r="M125" s="124">
        <f t="shared" ca="1" si="42"/>
        <v>0</v>
      </c>
    </row>
    <row r="126" spans="2:15" ht="15.75" hidden="1">
      <c r="B126" s="71">
        <v>62</v>
      </c>
      <c r="C126" s="350" t="s">
        <v>0</v>
      </c>
      <c r="D126" s="351"/>
      <c r="E126" s="125"/>
      <c r="F126" s="125"/>
      <c r="G126" s="125"/>
      <c r="H126" s="125"/>
      <c r="I126" s="125"/>
      <c r="J126" s="125"/>
      <c r="K126" s="125"/>
      <c r="L126" s="125"/>
      <c r="M126" s="126"/>
    </row>
    <row r="127" spans="2:15" ht="15.75" hidden="1">
      <c r="B127" s="346" t="str">
        <f>"NKT (Nilai Kinerja Tahunan)"</f>
        <v>NKT (Nilai Kinerja Tahunan)</v>
      </c>
      <c r="C127" s="347"/>
      <c r="D127" s="347"/>
      <c r="E127" s="129"/>
      <c r="F127" s="129"/>
      <c r="G127" s="129"/>
      <c r="H127" s="129"/>
      <c r="I127" s="129"/>
      <c r="J127" s="129"/>
      <c r="K127" s="129"/>
      <c r="L127" s="129"/>
      <c r="M127" s="130"/>
    </row>
    <row r="128" spans="2:15">
      <c r="E128" s="43"/>
      <c r="F128" s="43"/>
      <c r="G128" s="43"/>
      <c r="H128" s="43"/>
      <c r="I128" s="43"/>
      <c r="J128" s="43"/>
      <c r="K128" s="43"/>
      <c r="L128" s="43"/>
      <c r="M128" s="43"/>
    </row>
    <row r="129" spans="2:16">
      <c r="E129" s="43"/>
      <c r="F129" s="43"/>
      <c r="G129" s="43"/>
      <c r="H129" s="43"/>
      <c r="I129" s="43"/>
      <c r="J129" s="43"/>
      <c r="K129" s="43"/>
      <c r="L129" s="43"/>
      <c r="M129" s="43"/>
    </row>
    <row r="130" spans="2:16" s="108" customFormat="1" ht="18">
      <c r="B130" s="109" t="s">
        <v>414</v>
      </c>
      <c r="C130" s="110"/>
      <c r="D130" s="110"/>
      <c r="E130" s="137">
        <f ca="1">HYPERLINK("#'"&amp;E$4&amp;"-Thn-"&amp;E$1&amp;"'!"&amp;ADDRESS(ROW()+2,6),SUBTOTAL(9,INDIRECT(ADDRESS(ROW()+1+2,COLUMN())&amp;":"&amp;ADDRESS(ROW()+$O130+$P130+2,COLUMN())))/($O130*4)*100)</f>
        <v>61.111111111111114</v>
      </c>
      <c r="F130" s="137">
        <f t="shared" ref="F130:M130" ca="1" si="43">HYPERLINK("#'"&amp;F$4&amp;"-Thn-"&amp;F$1&amp;"'!"&amp;ADDRESS(ROW()+2,6),SUBTOTAL(9,INDIRECT(ADDRESS(ROW()+1+2,COLUMN())&amp;":"&amp;ADDRESS(ROW()+$O130+$P130+2,COLUMN())))/($O130*4)*100)</f>
        <v>0</v>
      </c>
      <c r="G130" s="137">
        <f t="shared" ca="1" si="43"/>
        <v>0</v>
      </c>
      <c r="H130" s="137">
        <f t="shared" ca="1" si="43"/>
        <v>0</v>
      </c>
      <c r="I130" s="137">
        <f t="shared" ca="1" si="43"/>
        <v>0</v>
      </c>
      <c r="J130" s="137">
        <f t="shared" ca="1" si="43"/>
        <v>0</v>
      </c>
      <c r="K130" s="137">
        <f t="shared" ca="1" si="43"/>
        <v>0</v>
      </c>
      <c r="L130" s="137">
        <f t="shared" ca="1" si="43"/>
        <v>0</v>
      </c>
      <c r="M130" s="143">
        <f t="shared" ca="1" si="43"/>
        <v>0</v>
      </c>
      <c r="O130" s="108">
        <f>SUBTOTAL(9,O133:O151)</f>
        <v>18</v>
      </c>
      <c r="P130" s="108">
        <v>5</v>
      </c>
    </row>
    <row r="131" spans="2:16" hidden="1">
      <c r="B131" s="381" t="s">
        <v>19</v>
      </c>
      <c r="C131" s="382" t="s">
        <v>70</v>
      </c>
      <c r="D131" s="382"/>
      <c r="E131" s="117"/>
      <c r="F131" s="117"/>
      <c r="G131" s="117"/>
      <c r="H131" s="117"/>
      <c r="I131" s="117"/>
      <c r="J131" s="117"/>
      <c r="K131" s="117"/>
      <c r="L131" s="117"/>
      <c r="M131" s="118"/>
    </row>
    <row r="132" spans="2:16" hidden="1">
      <c r="B132" s="381"/>
      <c r="C132" s="382"/>
      <c r="D132" s="382"/>
      <c r="E132" s="119"/>
      <c r="F132" s="119"/>
      <c r="G132" s="119"/>
      <c r="H132" s="119"/>
      <c r="I132" s="119"/>
      <c r="J132" s="119"/>
      <c r="K132" s="119"/>
      <c r="L132" s="119"/>
      <c r="M132" s="120"/>
    </row>
    <row r="133" spans="2:16" ht="27.75" customHeight="1">
      <c r="B133" s="38" t="s">
        <v>7</v>
      </c>
      <c r="C133" s="378" t="s">
        <v>248</v>
      </c>
      <c r="D133" s="379"/>
      <c r="E133" s="140">
        <f t="shared" ref="E133:M133" ca="1" si="44">HYPERLINK("#'"&amp;E$4&amp;"-Thn-"&amp;E$1&amp;"'!"&amp;ADDRESS(ROW()+1,6),SUBTOTAL(9,INDIRECT(ADDRESS(ROW()+1,COLUMN())&amp;":"&amp;ADDRESS(ROW()+$O133,COLUMN())))/($O133*4)*100)</f>
        <v>62.5</v>
      </c>
      <c r="F133" s="140">
        <f t="shared" ca="1" si="44"/>
        <v>0</v>
      </c>
      <c r="G133" s="140">
        <f t="shared" ca="1" si="44"/>
        <v>0</v>
      </c>
      <c r="H133" s="140">
        <f t="shared" ca="1" si="44"/>
        <v>0</v>
      </c>
      <c r="I133" s="140">
        <f t="shared" ca="1" si="44"/>
        <v>0</v>
      </c>
      <c r="J133" s="140">
        <f t="shared" ca="1" si="44"/>
        <v>0</v>
      </c>
      <c r="K133" s="140">
        <f t="shared" ca="1" si="44"/>
        <v>0</v>
      </c>
      <c r="L133" s="140">
        <f t="shared" ca="1" si="44"/>
        <v>0</v>
      </c>
      <c r="M133" s="144">
        <f t="shared" ca="1" si="44"/>
        <v>0</v>
      </c>
      <c r="O133">
        <v>4</v>
      </c>
    </row>
    <row r="134" spans="2:16">
      <c r="B134" s="6"/>
      <c r="C134" s="5" t="s">
        <v>74</v>
      </c>
      <c r="D134" s="44" t="s">
        <v>249</v>
      </c>
      <c r="E134" s="121">
        <f t="shared" ref="E134:M137" ca="1" si="45">HYPERLINK("#'"&amp;E$4&amp;"-Thn-"&amp;E$1&amp;"'!"&amp;ADDRESS(ROW(),6),IF(ISERROR(INDIRECT(ADDRESS(ROW(),6,1,1,E$4&amp;"-Thn-"&amp;E$1))),"~",INDIRECT(ADDRESS(ROW(),6,1,1,E$4&amp;"-Thn-"&amp;E$1))))</f>
        <v>3</v>
      </c>
      <c r="F134" s="121">
        <f t="shared" ca="1" si="45"/>
        <v>0</v>
      </c>
      <c r="G134" s="121">
        <f t="shared" ca="1" si="45"/>
        <v>0</v>
      </c>
      <c r="H134" s="121">
        <f t="shared" ca="1" si="45"/>
        <v>0</v>
      </c>
      <c r="I134" s="121">
        <f t="shared" ca="1" si="45"/>
        <v>0</v>
      </c>
      <c r="J134" s="121">
        <f t="shared" ca="1" si="45"/>
        <v>0</v>
      </c>
      <c r="K134" s="121">
        <f t="shared" ca="1" si="45"/>
        <v>0</v>
      </c>
      <c r="L134" s="121">
        <f t="shared" ca="1" si="45"/>
        <v>0</v>
      </c>
      <c r="M134" s="122">
        <f t="shared" ca="1" si="45"/>
        <v>0</v>
      </c>
    </row>
    <row r="135" spans="2:16">
      <c r="B135" s="6"/>
      <c r="C135" s="5" t="s">
        <v>77</v>
      </c>
      <c r="D135" s="44" t="s">
        <v>251</v>
      </c>
      <c r="E135" s="121">
        <f t="shared" ca="1" si="45"/>
        <v>2</v>
      </c>
      <c r="F135" s="121">
        <f t="shared" ca="1" si="45"/>
        <v>0</v>
      </c>
      <c r="G135" s="121">
        <f t="shared" ca="1" si="45"/>
        <v>0</v>
      </c>
      <c r="H135" s="121">
        <f t="shared" ca="1" si="45"/>
        <v>0</v>
      </c>
      <c r="I135" s="121">
        <f t="shared" ca="1" si="45"/>
        <v>0</v>
      </c>
      <c r="J135" s="121">
        <f t="shared" ca="1" si="45"/>
        <v>0</v>
      </c>
      <c r="K135" s="121">
        <f t="shared" ca="1" si="45"/>
        <v>0</v>
      </c>
      <c r="L135" s="121">
        <f t="shared" ca="1" si="45"/>
        <v>0</v>
      </c>
      <c r="M135" s="122">
        <f t="shared" ca="1" si="45"/>
        <v>0</v>
      </c>
    </row>
    <row r="136" spans="2:16" ht="25.5">
      <c r="B136" s="6"/>
      <c r="C136" s="5" t="s">
        <v>80</v>
      </c>
      <c r="D136" s="44" t="s">
        <v>252</v>
      </c>
      <c r="E136" s="121">
        <f t="shared" ca="1" si="45"/>
        <v>3</v>
      </c>
      <c r="F136" s="121">
        <f t="shared" ca="1" si="45"/>
        <v>0</v>
      </c>
      <c r="G136" s="121">
        <f t="shared" ca="1" si="45"/>
        <v>0</v>
      </c>
      <c r="H136" s="121">
        <f t="shared" ca="1" si="45"/>
        <v>0</v>
      </c>
      <c r="I136" s="121">
        <f t="shared" ca="1" si="45"/>
        <v>0</v>
      </c>
      <c r="J136" s="121">
        <f t="shared" ca="1" si="45"/>
        <v>0</v>
      </c>
      <c r="K136" s="121">
        <f t="shared" ca="1" si="45"/>
        <v>0</v>
      </c>
      <c r="L136" s="121">
        <f t="shared" ca="1" si="45"/>
        <v>0</v>
      </c>
      <c r="M136" s="122">
        <f t="shared" ca="1" si="45"/>
        <v>0</v>
      </c>
    </row>
    <row r="137" spans="2:16" ht="25.5">
      <c r="B137" s="6"/>
      <c r="C137" s="5" t="s">
        <v>88</v>
      </c>
      <c r="D137" s="44" t="s">
        <v>254</v>
      </c>
      <c r="E137" s="121">
        <f t="shared" ca="1" si="45"/>
        <v>2</v>
      </c>
      <c r="F137" s="121">
        <f t="shared" ca="1" si="45"/>
        <v>0</v>
      </c>
      <c r="G137" s="121">
        <f t="shared" ca="1" si="45"/>
        <v>0</v>
      </c>
      <c r="H137" s="121">
        <f t="shared" ca="1" si="45"/>
        <v>0</v>
      </c>
      <c r="I137" s="121">
        <f t="shared" ca="1" si="45"/>
        <v>0</v>
      </c>
      <c r="J137" s="121">
        <f t="shared" ca="1" si="45"/>
        <v>0</v>
      </c>
      <c r="K137" s="121">
        <f t="shared" ca="1" si="45"/>
        <v>0</v>
      </c>
      <c r="L137" s="121">
        <f t="shared" ca="1" si="45"/>
        <v>0</v>
      </c>
      <c r="M137" s="122">
        <f t="shared" ca="1" si="45"/>
        <v>0</v>
      </c>
    </row>
    <row r="138" spans="2:16" ht="27.75" customHeight="1">
      <c r="B138" s="38" t="s">
        <v>6</v>
      </c>
      <c r="C138" s="378" t="s">
        <v>256</v>
      </c>
      <c r="D138" s="379"/>
      <c r="E138" s="140">
        <f t="shared" ref="E138:M138" ca="1" si="46">HYPERLINK("#'"&amp;E$4&amp;"-Thn-"&amp;E$1&amp;"'!"&amp;ADDRESS(ROW()+1,6),SUBTOTAL(9,INDIRECT(ADDRESS(ROW()+1,COLUMN())&amp;":"&amp;ADDRESS(ROW()+$O138,COLUMN())))/($O138*4)*100)</f>
        <v>68.75</v>
      </c>
      <c r="F138" s="140">
        <f t="shared" ca="1" si="46"/>
        <v>0</v>
      </c>
      <c r="G138" s="140">
        <f t="shared" ca="1" si="46"/>
        <v>0</v>
      </c>
      <c r="H138" s="140">
        <f t="shared" ca="1" si="46"/>
        <v>0</v>
      </c>
      <c r="I138" s="140">
        <f t="shared" ca="1" si="46"/>
        <v>0</v>
      </c>
      <c r="J138" s="140">
        <f t="shared" ca="1" si="46"/>
        <v>0</v>
      </c>
      <c r="K138" s="140">
        <f t="shared" ca="1" si="46"/>
        <v>0</v>
      </c>
      <c r="L138" s="140">
        <f t="shared" ca="1" si="46"/>
        <v>0</v>
      </c>
      <c r="M138" s="144">
        <f t="shared" ca="1" si="46"/>
        <v>0</v>
      </c>
      <c r="O138">
        <v>4</v>
      </c>
    </row>
    <row r="139" spans="2:16" ht="25.5">
      <c r="B139" s="6"/>
      <c r="C139" s="5" t="s">
        <v>74</v>
      </c>
      <c r="D139" s="44" t="s">
        <v>257</v>
      </c>
      <c r="E139" s="121">
        <f t="shared" ref="E139:M142" ca="1" si="47">HYPERLINK("#'"&amp;E$4&amp;"-Thn-"&amp;E$1&amp;"'!"&amp;ADDRESS(ROW(),6),IF(ISERROR(INDIRECT(ADDRESS(ROW(),6,1,1,E$4&amp;"-Thn-"&amp;E$1))),"~",INDIRECT(ADDRESS(ROW(),6,1,1,E$4&amp;"-Thn-"&amp;E$1))))</f>
        <v>3</v>
      </c>
      <c r="F139" s="121">
        <f t="shared" ca="1" si="47"/>
        <v>0</v>
      </c>
      <c r="G139" s="121">
        <f t="shared" ca="1" si="47"/>
        <v>0</v>
      </c>
      <c r="H139" s="121">
        <f t="shared" ca="1" si="47"/>
        <v>0</v>
      </c>
      <c r="I139" s="121">
        <f t="shared" ca="1" si="47"/>
        <v>0</v>
      </c>
      <c r="J139" s="121">
        <f t="shared" ca="1" si="47"/>
        <v>0</v>
      </c>
      <c r="K139" s="121">
        <f t="shared" ca="1" si="47"/>
        <v>0</v>
      </c>
      <c r="L139" s="121">
        <f t="shared" ca="1" si="47"/>
        <v>0</v>
      </c>
      <c r="M139" s="122">
        <f t="shared" ca="1" si="47"/>
        <v>0</v>
      </c>
    </row>
    <row r="140" spans="2:16" ht="25.5">
      <c r="B140" s="6"/>
      <c r="C140" s="5" t="s">
        <v>77</v>
      </c>
      <c r="D140" s="44" t="s">
        <v>259</v>
      </c>
      <c r="E140" s="121">
        <f t="shared" ca="1" si="47"/>
        <v>2</v>
      </c>
      <c r="F140" s="121">
        <f t="shared" ca="1" si="47"/>
        <v>0</v>
      </c>
      <c r="G140" s="121">
        <f t="shared" ca="1" si="47"/>
        <v>0</v>
      </c>
      <c r="H140" s="121">
        <f t="shared" ca="1" si="47"/>
        <v>0</v>
      </c>
      <c r="I140" s="121">
        <f t="shared" ca="1" si="47"/>
        <v>0</v>
      </c>
      <c r="J140" s="121">
        <f t="shared" ca="1" si="47"/>
        <v>0</v>
      </c>
      <c r="K140" s="121">
        <f t="shared" ca="1" si="47"/>
        <v>0</v>
      </c>
      <c r="L140" s="121">
        <f t="shared" ca="1" si="47"/>
        <v>0</v>
      </c>
      <c r="M140" s="122">
        <f t="shared" ca="1" si="47"/>
        <v>0</v>
      </c>
    </row>
    <row r="141" spans="2:16" ht="25.5">
      <c r="B141" s="6"/>
      <c r="C141" s="5" t="s">
        <v>80</v>
      </c>
      <c r="D141" s="44" t="s">
        <v>261</v>
      </c>
      <c r="E141" s="121">
        <f t="shared" ca="1" si="47"/>
        <v>4</v>
      </c>
      <c r="F141" s="121">
        <f t="shared" ca="1" si="47"/>
        <v>0</v>
      </c>
      <c r="G141" s="121">
        <f t="shared" ca="1" si="47"/>
        <v>0</v>
      </c>
      <c r="H141" s="121">
        <f t="shared" ca="1" si="47"/>
        <v>0</v>
      </c>
      <c r="I141" s="121">
        <f t="shared" ca="1" si="47"/>
        <v>0</v>
      </c>
      <c r="J141" s="121">
        <f t="shared" ca="1" si="47"/>
        <v>0</v>
      </c>
      <c r="K141" s="121">
        <f t="shared" ca="1" si="47"/>
        <v>0</v>
      </c>
      <c r="L141" s="121">
        <f t="shared" ca="1" si="47"/>
        <v>0</v>
      </c>
      <c r="M141" s="122">
        <f t="shared" ca="1" si="47"/>
        <v>0</v>
      </c>
    </row>
    <row r="142" spans="2:16">
      <c r="B142" s="6"/>
      <c r="C142" s="5" t="s">
        <v>88</v>
      </c>
      <c r="D142" s="44" t="s">
        <v>263</v>
      </c>
      <c r="E142" s="121">
        <f t="shared" ca="1" si="47"/>
        <v>2</v>
      </c>
      <c r="F142" s="121">
        <f t="shared" ca="1" si="47"/>
        <v>0</v>
      </c>
      <c r="G142" s="121">
        <f t="shared" ca="1" si="47"/>
        <v>0</v>
      </c>
      <c r="H142" s="121">
        <f t="shared" ca="1" si="47"/>
        <v>0</v>
      </c>
      <c r="I142" s="121">
        <f t="shared" ca="1" si="47"/>
        <v>0</v>
      </c>
      <c r="J142" s="121">
        <f t="shared" ca="1" si="47"/>
        <v>0</v>
      </c>
      <c r="K142" s="121">
        <f t="shared" ca="1" si="47"/>
        <v>0</v>
      </c>
      <c r="L142" s="121">
        <f t="shared" ca="1" si="47"/>
        <v>0</v>
      </c>
      <c r="M142" s="122">
        <f t="shared" ca="1" si="47"/>
        <v>0</v>
      </c>
    </row>
    <row r="143" spans="2:16" ht="27.75" customHeight="1">
      <c r="B143" s="38" t="s">
        <v>5</v>
      </c>
      <c r="C143" s="378" t="s">
        <v>265</v>
      </c>
      <c r="D143" s="379"/>
      <c r="E143" s="140">
        <f t="shared" ref="E143:M143" ca="1" si="48">HYPERLINK("#'"&amp;E$4&amp;"-Thn-"&amp;E$1&amp;"'!"&amp;ADDRESS(ROW()+1,6),SUBTOTAL(9,INDIRECT(ADDRESS(ROW()+1,COLUMN())&amp;":"&amp;ADDRESS(ROW()+$O143,COLUMN())))/($O143*4)*100)</f>
        <v>58.333333333333336</v>
      </c>
      <c r="F143" s="140">
        <f t="shared" ca="1" si="48"/>
        <v>0</v>
      </c>
      <c r="G143" s="140">
        <f t="shared" ca="1" si="48"/>
        <v>0</v>
      </c>
      <c r="H143" s="140">
        <f t="shared" ca="1" si="48"/>
        <v>0</v>
      </c>
      <c r="I143" s="140">
        <f t="shared" ca="1" si="48"/>
        <v>0</v>
      </c>
      <c r="J143" s="140">
        <f t="shared" ca="1" si="48"/>
        <v>0</v>
      </c>
      <c r="K143" s="140">
        <f t="shared" ca="1" si="48"/>
        <v>0</v>
      </c>
      <c r="L143" s="140">
        <f t="shared" ca="1" si="48"/>
        <v>0</v>
      </c>
      <c r="M143" s="144">
        <f t="shared" ca="1" si="48"/>
        <v>0</v>
      </c>
      <c r="O143">
        <v>3</v>
      </c>
    </row>
    <row r="144" spans="2:16">
      <c r="B144" s="6"/>
      <c r="C144" s="5" t="s">
        <v>74</v>
      </c>
      <c r="D144" s="44" t="s">
        <v>266</v>
      </c>
      <c r="E144" s="121">
        <f t="shared" ref="E144:M146" ca="1" si="49">HYPERLINK("#'"&amp;E$4&amp;"-Thn-"&amp;E$1&amp;"'!"&amp;ADDRESS(ROW(),6),IF(ISERROR(INDIRECT(ADDRESS(ROW(),6,1,1,E$4&amp;"-Thn-"&amp;E$1))),"~",INDIRECT(ADDRESS(ROW(),6,1,1,E$4&amp;"-Thn-"&amp;E$1))))</f>
        <v>2</v>
      </c>
      <c r="F144" s="121">
        <f t="shared" ca="1" si="49"/>
        <v>0</v>
      </c>
      <c r="G144" s="121">
        <f t="shared" ca="1" si="49"/>
        <v>0</v>
      </c>
      <c r="H144" s="121">
        <f t="shared" ca="1" si="49"/>
        <v>0</v>
      </c>
      <c r="I144" s="121">
        <f t="shared" ca="1" si="49"/>
        <v>0</v>
      </c>
      <c r="J144" s="121">
        <f t="shared" ca="1" si="49"/>
        <v>0</v>
      </c>
      <c r="K144" s="121">
        <f t="shared" ca="1" si="49"/>
        <v>0</v>
      </c>
      <c r="L144" s="121">
        <f t="shared" ca="1" si="49"/>
        <v>0</v>
      </c>
      <c r="M144" s="122">
        <f t="shared" ca="1" si="49"/>
        <v>0</v>
      </c>
    </row>
    <row r="145" spans="2:16">
      <c r="B145" s="6"/>
      <c r="C145" s="5" t="s">
        <v>77</v>
      </c>
      <c r="D145" s="44" t="s">
        <v>268</v>
      </c>
      <c r="E145" s="121">
        <f t="shared" ca="1" si="49"/>
        <v>2</v>
      </c>
      <c r="F145" s="121">
        <f t="shared" ca="1" si="49"/>
        <v>0</v>
      </c>
      <c r="G145" s="121">
        <f t="shared" ca="1" si="49"/>
        <v>0</v>
      </c>
      <c r="H145" s="121">
        <f t="shared" ca="1" si="49"/>
        <v>0</v>
      </c>
      <c r="I145" s="121">
        <f t="shared" ca="1" si="49"/>
        <v>0</v>
      </c>
      <c r="J145" s="121">
        <f t="shared" ca="1" si="49"/>
        <v>0</v>
      </c>
      <c r="K145" s="121">
        <f t="shared" ca="1" si="49"/>
        <v>0</v>
      </c>
      <c r="L145" s="121">
        <f t="shared" ca="1" si="49"/>
        <v>0</v>
      </c>
      <c r="M145" s="122">
        <f t="shared" ca="1" si="49"/>
        <v>0</v>
      </c>
    </row>
    <row r="146" spans="2:16" ht="25.5">
      <c r="B146" s="6"/>
      <c r="C146" s="5" t="s">
        <v>80</v>
      </c>
      <c r="D146" s="44" t="s">
        <v>386</v>
      </c>
      <c r="E146" s="121">
        <f t="shared" ca="1" si="49"/>
        <v>3</v>
      </c>
      <c r="F146" s="121">
        <f t="shared" ca="1" si="49"/>
        <v>0</v>
      </c>
      <c r="G146" s="121">
        <f t="shared" ca="1" si="49"/>
        <v>0</v>
      </c>
      <c r="H146" s="121">
        <f t="shared" ca="1" si="49"/>
        <v>0</v>
      </c>
      <c r="I146" s="121">
        <f t="shared" ca="1" si="49"/>
        <v>0</v>
      </c>
      <c r="J146" s="121">
        <f t="shared" ca="1" si="49"/>
        <v>0</v>
      </c>
      <c r="K146" s="121">
        <f t="shared" ca="1" si="49"/>
        <v>0</v>
      </c>
      <c r="L146" s="121">
        <f t="shared" ca="1" si="49"/>
        <v>0</v>
      </c>
      <c r="M146" s="122">
        <f t="shared" ca="1" si="49"/>
        <v>0</v>
      </c>
    </row>
    <row r="147" spans="2:16" ht="27.75" customHeight="1">
      <c r="B147" s="38" t="s">
        <v>271</v>
      </c>
      <c r="C147" s="378" t="s">
        <v>272</v>
      </c>
      <c r="D147" s="379"/>
      <c r="E147" s="140">
        <f t="shared" ref="E147:M147" ca="1" si="50">HYPERLINK("#'"&amp;E$4&amp;"-Thn-"&amp;E$1&amp;"'!"&amp;ADDRESS(ROW()+1,6),SUBTOTAL(9,INDIRECT(ADDRESS(ROW()+1,COLUMN())&amp;":"&amp;ADDRESS(ROW()+$O147,COLUMN())))/($O147*4)*100)</f>
        <v>58.333333333333336</v>
      </c>
      <c r="F147" s="140">
        <f t="shared" ca="1" si="50"/>
        <v>0</v>
      </c>
      <c r="G147" s="140">
        <f t="shared" ca="1" si="50"/>
        <v>0</v>
      </c>
      <c r="H147" s="140">
        <f t="shared" ca="1" si="50"/>
        <v>0</v>
      </c>
      <c r="I147" s="140">
        <f t="shared" ca="1" si="50"/>
        <v>0</v>
      </c>
      <c r="J147" s="140">
        <f t="shared" ca="1" si="50"/>
        <v>0</v>
      </c>
      <c r="K147" s="140">
        <f t="shared" ca="1" si="50"/>
        <v>0</v>
      </c>
      <c r="L147" s="140">
        <f t="shared" ca="1" si="50"/>
        <v>0</v>
      </c>
      <c r="M147" s="144">
        <f t="shared" ca="1" si="50"/>
        <v>0</v>
      </c>
      <c r="O147">
        <v>3</v>
      </c>
    </row>
    <row r="148" spans="2:16" ht="25.5">
      <c r="B148" s="6"/>
      <c r="C148" s="5" t="s">
        <v>74</v>
      </c>
      <c r="D148" s="44" t="s">
        <v>273</v>
      </c>
      <c r="E148" s="121">
        <f t="shared" ref="E148:M150" ca="1" si="51">HYPERLINK("#'"&amp;E$4&amp;"-Thn-"&amp;E$1&amp;"'!"&amp;ADDRESS(ROW(),6),IF(ISERROR(INDIRECT(ADDRESS(ROW(),6,1,1,E$4&amp;"-Thn-"&amp;E$1))),"~",INDIRECT(ADDRESS(ROW(),6,1,1,E$4&amp;"-Thn-"&amp;E$1))))</f>
        <v>2</v>
      </c>
      <c r="F148" s="121">
        <f t="shared" ca="1" si="51"/>
        <v>0</v>
      </c>
      <c r="G148" s="121">
        <f t="shared" ca="1" si="51"/>
        <v>0</v>
      </c>
      <c r="H148" s="121">
        <f t="shared" ca="1" si="51"/>
        <v>0</v>
      </c>
      <c r="I148" s="121">
        <f t="shared" ca="1" si="51"/>
        <v>0</v>
      </c>
      <c r="J148" s="121">
        <f t="shared" ca="1" si="51"/>
        <v>0</v>
      </c>
      <c r="K148" s="121">
        <f t="shared" ca="1" si="51"/>
        <v>0</v>
      </c>
      <c r="L148" s="121">
        <f t="shared" ca="1" si="51"/>
        <v>0</v>
      </c>
      <c r="M148" s="122">
        <f t="shared" ca="1" si="51"/>
        <v>0</v>
      </c>
    </row>
    <row r="149" spans="2:16" ht="15" customHeight="1">
      <c r="B149" s="6"/>
      <c r="C149" s="5" t="s">
        <v>77</v>
      </c>
      <c r="D149" s="44" t="s">
        <v>384</v>
      </c>
      <c r="E149" s="121">
        <f t="shared" ca="1" si="51"/>
        <v>2</v>
      </c>
      <c r="F149" s="121">
        <f t="shared" ca="1" si="51"/>
        <v>0</v>
      </c>
      <c r="G149" s="121">
        <f t="shared" ca="1" si="51"/>
        <v>0</v>
      </c>
      <c r="H149" s="121">
        <f t="shared" ca="1" si="51"/>
        <v>0</v>
      </c>
      <c r="I149" s="121">
        <f t="shared" ca="1" si="51"/>
        <v>0</v>
      </c>
      <c r="J149" s="121">
        <f t="shared" ca="1" si="51"/>
        <v>0</v>
      </c>
      <c r="K149" s="121">
        <f t="shared" ca="1" si="51"/>
        <v>0</v>
      </c>
      <c r="L149" s="121">
        <f t="shared" ca="1" si="51"/>
        <v>0</v>
      </c>
      <c r="M149" s="122">
        <f t="shared" ca="1" si="51"/>
        <v>0</v>
      </c>
    </row>
    <row r="150" spans="2:16" ht="15" customHeight="1">
      <c r="B150" s="6"/>
      <c r="C150" s="5" t="s">
        <v>80</v>
      </c>
      <c r="D150" s="44" t="s">
        <v>385</v>
      </c>
      <c r="E150" s="121">
        <f t="shared" ca="1" si="51"/>
        <v>3</v>
      </c>
      <c r="F150" s="121">
        <f t="shared" ca="1" si="51"/>
        <v>0</v>
      </c>
      <c r="G150" s="121">
        <f t="shared" ca="1" si="51"/>
        <v>0</v>
      </c>
      <c r="H150" s="121">
        <f t="shared" ca="1" si="51"/>
        <v>0</v>
      </c>
      <c r="I150" s="121">
        <f t="shared" ca="1" si="51"/>
        <v>0</v>
      </c>
      <c r="J150" s="121">
        <f t="shared" ca="1" si="51"/>
        <v>0</v>
      </c>
      <c r="K150" s="121">
        <f t="shared" ca="1" si="51"/>
        <v>0</v>
      </c>
      <c r="L150" s="121">
        <f t="shared" ca="1" si="51"/>
        <v>0</v>
      </c>
      <c r="M150" s="122">
        <f t="shared" ca="1" si="51"/>
        <v>0</v>
      </c>
    </row>
    <row r="151" spans="2:16" ht="27.75" customHeight="1">
      <c r="B151" s="145" t="s">
        <v>277</v>
      </c>
      <c r="C151" s="468" t="s">
        <v>278</v>
      </c>
      <c r="D151" s="469"/>
      <c r="E151" s="146">
        <f t="shared" ref="E151:M151" ca="1" si="52">HYPERLINK("#'"&amp;E$4&amp;"-Thn-"&amp;E$1&amp;"'!"&amp;ADDRESS(ROW()+1,6),SUBTOTAL(9,INDIRECT(ADDRESS(ROW()+1,COLUMN())&amp;":"&amp;ADDRESS(ROW()+$O151,COLUMN())))/($O151*4)*100)</f>
        <v>56.25</v>
      </c>
      <c r="F151" s="146">
        <f t="shared" ca="1" si="52"/>
        <v>0</v>
      </c>
      <c r="G151" s="146">
        <f t="shared" ca="1" si="52"/>
        <v>0</v>
      </c>
      <c r="H151" s="146">
        <f t="shared" ca="1" si="52"/>
        <v>0</v>
      </c>
      <c r="I151" s="146">
        <f t="shared" ca="1" si="52"/>
        <v>0</v>
      </c>
      <c r="J151" s="146">
        <f t="shared" ca="1" si="52"/>
        <v>0</v>
      </c>
      <c r="K151" s="146">
        <f t="shared" ca="1" si="52"/>
        <v>0</v>
      </c>
      <c r="L151" s="146">
        <f t="shared" ca="1" si="52"/>
        <v>0</v>
      </c>
      <c r="M151" s="147">
        <f t="shared" ca="1" si="52"/>
        <v>0</v>
      </c>
      <c r="O151">
        <v>4</v>
      </c>
    </row>
    <row r="152" spans="2:16">
      <c r="B152" s="6"/>
      <c r="C152" s="141" t="s">
        <v>74</v>
      </c>
      <c r="D152" s="142" t="s">
        <v>279</v>
      </c>
      <c r="E152" s="121">
        <f t="shared" ref="E152:M155" ca="1" si="53">HYPERLINK("#'"&amp;E$4&amp;"-Thn-"&amp;E$1&amp;"'!"&amp;ADDRESS(ROW(),6),IF(ISERROR(INDIRECT(ADDRESS(ROW(),6,1,1,E$4&amp;"-Thn-"&amp;E$1))),"~",INDIRECT(ADDRESS(ROW(),6,1,1,E$4&amp;"-Thn-"&amp;E$1))))</f>
        <v>3</v>
      </c>
      <c r="F152" s="121">
        <f t="shared" ca="1" si="53"/>
        <v>0</v>
      </c>
      <c r="G152" s="121">
        <f t="shared" ca="1" si="53"/>
        <v>0</v>
      </c>
      <c r="H152" s="121">
        <f t="shared" ca="1" si="53"/>
        <v>0</v>
      </c>
      <c r="I152" s="121">
        <f t="shared" ca="1" si="53"/>
        <v>0</v>
      </c>
      <c r="J152" s="121">
        <f t="shared" ca="1" si="53"/>
        <v>0</v>
      </c>
      <c r="K152" s="121">
        <f t="shared" ca="1" si="53"/>
        <v>0</v>
      </c>
      <c r="L152" s="121">
        <f t="shared" ca="1" si="53"/>
        <v>0</v>
      </c>
      <c r="M152" s="122">
        <f t="shared" ca="1" si="53"/>
        <v>0</v>
      </c>
    </row>
    <row r="153" spans="2:16" ht="25.5">
      <c r="B153" s="6"/>
      <c r="C153" s="5" t="s">
        <v>77</v>
      </c>
      <c r="D153" s="44" t="s">
        <v>281</v>
      </c>
      <c r="E153" s="121">
        <f t="shared" ca="1" si="53"/>
        <v>2</v>
      </c>
      <c r="F153" s="121">
        <f t="shared" ca="1" si="53"/>
        <v>0</v>
      </c>
      <c r="G153" s="121">
        <f t="shared" ca="1" si="53"/>
        <v>0</v>
      </c>
      <c r="H153" s="121">
        <f t="shared" ca="1" si="53"/>
        <v>0</v>
      </c>
      <c r="I153" s="121">
        <f t="shared" ca="1" si="53"/>
        <v>0</v>
      </c>
      <c r="J153" s="121">
        <f t="shared" ca="1" si="53"/>
        <v>0</v>
      </c>
      <c r="K153" s="121">
        <f t="shared" ca="1" si="53"/>
        <v>0</v>
      </c>
      <c r="L153" s="121">
        <f t="shared" ca="1" si="53"/>
        <v>0</v>
      </c>
      <c r="M153" s="122">
        <f t="shared" ca="1" si="53"/>
        <v>0</v>
      </c>
    </row>
    <row r="154" spans="2:16">
      <c r="B154" s="6"/>
      <c r="C154" s="5" t="s">
        <v>80</v>
      </c>
      <c r="D154" s="44" t="s">
        <v>283</v>
      </c>
      <c r="E154" s="121">
        <f t="shared" ca="1" si="53"/>
        <v>2</v>
      </c>
      <c r="F154" s="121">
        <f t="shared" ca="1" si="53"/>
        <v>0</v>
      </c>
      <c r="G154" s="121">
        <f t="shared" ca="1" si="53"/>
        <v>0</v>
      </c>
      <c r="H154" s="121">
        <f t="shared" ca="1" si="53"/>
        <v>0</v>
      </c>
      <c r="I154" s="121">
        <f t="shared" ca="1" si="53"/>
        <v>0</v>
      </c>
      <c r="J154" s="121">
        <f t="shared" ca="1" si="53"/>
        <v>0</v>
      </c>
      <c r="K154" s="121">
        <f t="shared" ca="1" si="53"/>
        <v>0</v>
      </c>
      <c r="L154" s="121">
        <f t="shared" ca="1" si="53"/>
        <v>0</v>
      </c>
      <c r="M154" s="122">
        <f t="shared" ca="1" si="53"/>
        <v>0</v>
      </c>
    </row>
    <row r="155" spans="2:16">
      <c r="B155" s="111"/>
      <c r="C155" s="112" t="s">
        <v>88</v>
      </c>
      <c r="D155" s="113" t="s">
        <v>285</v>
      </c>
      <c r="E155" s="123">
        <f t="shared" ca="1" si="53"/>
        <v>2</v>
      </c>
      <c r="F155" s="123">
        <f t="shared" ca="1" si="53"/>
        <v>0</v>
      </c>
      <c r="G155" s="123">
        <f t="shared" ca="1" si="53"/>
        <v>0</v>
      </c>
      <c r="H155" s="123">
        <f t="shared" ca="1" si="53"/>
        <v>0</v>
      </c>
      <c r="I155" s="123">
        <f t="shared" ca="1" si="53"/>
        <v>0</v>
      </c>
      <c r="J155" s="123">
        <f t="shared" ca="1" si="53"/>
        <v>0</v>
      </c>
      <c r="K155" s="123">
        <f t="shared" ca="1" si="53"/>
        <v>0</v>
      </c>
      <c r="L155" s="123">
        <f t="shared" ca="1" si="53"/>
        <v>0</v>
      </c>
      <c r="M155" s="124">
        <f t="shared" ca="1" si="53"/>
        <v>0</v>
      </c>
    </row>
    <row r="156" spans="2:16" ht="15.75" hidden="1">
      <c r="B156" s="71">
        <v>18</v>
      </c>
      <c r="C156" s="350" t="s">
        <v>0</v>
      </c>
      <c r="D156" s="351"/>
      <c r="E156" s="125"/>
      <c r="F156" s="125"/>
      <c r="G156" s="125"/>
      <c r="H156" s="125"/>
      <c r="I156" s="125"/>
      <c r="J156" s="125"/>
      <c r="K156" s="125"/>
      <c r="L156" s="125"/>
      <c r="M156" s="126"/>
    </row>
    <row r="157" spans="2:16" ht="15.75" hidden="1">
      <c r="B157" s="346" t="str">
        <f>"NKT Manajerial (Nilai Kinerja Tahunan)"</f>
        <v>NKT Manajerial (Nilai Kinerja Tahunan)</v>
      </c>
      <c r="C157" s="347"/>
      <c r="D157" s="347"/>
      <c r="E157" s="129"/>
      <c r="F157" s="129"/>
      <c r="G157" s="129"/>
      <c r="H157" s="129"/>
      <c r="I157" s="129"/>
      <c r="J157" s="129"/>
      <c r="K157" s="129"/>
      <c r="L157" s="129"/>
      <c r="M157" s="130"/>
    </row>
    <row r="158" spans="2:16">
      <c r="E158" s="43"/>
      <c r="F158" s="43"/>
      <c r="G158" s="43"/>
      <c r="H158" s="43"/>
      <c r="I158" s="43"/>
      <c r="J158" s="43"/>
      <c r="K158" s="43"/>
      <c r="L158" s="43"/>
      <c r="M158" s="43"/>
    </row>
    <row r="159" spans="2:16">
      <c r="E159" s="43"/>
      <c r="F159" s="43"/>
      <c r="G159" s="43"/>
      <c r="H159" s="43"/>
      <c r="I159" s="43"/>
      <c r="J159" s="43"/>
      <c r="K159" s="43"/>
      <c r="L159" s="43"/>
      <c r="M159" s="43"/>
    </row>
    <row r="160" spans="2:16" s="108" customFormat="1" ht="18">
      <c r="B160" s="109" t="s">
        <v>415</v>
      </c>
      <c r="C160" s="110"/>
      <c r="D160" s="110"/>
      <c r="E160" s="137">
        <f ca="1">HYPERLINK("#'"&amp;E$4&amp;"-Thn-"&amp;E$1&amp;"'!"&amp;ADDRESS(ROW()+2,6),SUBTOTAL(9,INDIRECT(ADDRESS(ROW()+1+2,COLUMN())&amp;":"&amp;ADDRESS(ROW()+$O160+$P160+2,COLUMN())))/($O160*4)*100)</f>
        <v>72.727272727272734</v>
      </c>
      <c r="F160" s="137">
        <f t="shared" ref="F160:M160" ca="1" si="54">HYPERLINK("#'"&amp;F$4&amp;"-Thn-"&amp;F$1&amp;"'!"&amp;ADDRESS(ROW()+2,6),SUBTOTAL(9,INDIRECT(ADDRESS(ROW()+1+2,COLUMN())&amp;":"&amp;ADDRESS(ROW()+$O160+$P160+2,COLUMN())))/($O160*4)*100)</f>
        <v>0</v>
      </c>
      <c r="G160" s="137">
        <f t="shared" ca="1" si="54"/>
        <v>0</v>
      </c>
      <c r="H160" s="137">
        <f t="shared" ca="1" si="54"/>
        <v>0</v>
      </c>
      <c r="I160" s="137">
        <f t="shared" ca="1" si="54"/>
        <v>0</v>
      </c>
      <c r="J160" s="137">
        <f t="shared" ca="1" si="54"/>
        <v>0</v>
      </c>
      <c r="K160" s="137">
        <f t="shared" ca="1" si="54"/>
        <v>0</v>
      </c>
      <c r="L160" s="137">
        <f t="shared" ca="1" si="54"/>
        <v>0</v>
      </c>
      <c r="M160" s="143">
        <f t="shared" ca="1" si="54"/>
        <v>0</v>
      </c>
      <c r="O160" s="108">
        <f>SUBTOTAL(9,O163:O172)</f>
        <v>11</v>
      </c>
      <c r="P160" s="108">
        <v>3</v>
      </c>
    </row>
    <row r="161" spans="2:15" hidden="1">
      <c r="B161" s="381" t="s">
        <v>19</v>
      </c>
      <c r="C161" s="382" t="s">
        <v>70</v>
      </c>
      <c r="D161" s="382"/>
      <c r="E161" s="117"/>
      <c r="F161" s="117"/>
      <c r="G161" s="117"/>
      <c r="H161" s="117"/>
      <c r="I161" s="117"/>
      <c r="J161" s="117"/>
      <c r="K161" s="117"/>
      <c r="L161" s="117"/>
      <c r="M161" s="118"/>
    </row>
    <row r="162" spans="2:15" hidden="1">
      <c r="B162" s="381"/>
      <c r="C162" s="382"/>
      <c r="D162" s="382"/>
      <c r="E162" s="119"/>
      <c r="F162" s="119"/>
      <c r="G162" s="119"/>
      <c r="H162" s="119"/>
      <c r="I162" s="119"/>
      <c r="J162" s="119"/>
      <c r="K162" s="119"/>
      <c r="L162" s="119"/>
      <c r="M162" s="120"/>
    </row>
    <row r="163" spans="2:15" ht="27.75" customHeight="1">
      <c r="B163" s="38" t="s">
        <v>3</v>
      </c>
      <c r="C163" s="378" t="s">
        <v>287</v>
      </c>
      <c r="D163" s="379"/>
      <c r="E163" s="140">
        <f t="shared" ref="E163:M163" ca="1" si="55">HYPERLINK("#'"&amp;E$4&amp;"-Thn-"&amp;E$1&amp;"'!"&amp;ADDRESS(ROW()+1,6),SUBTOTAL(9,INDIRECT(ADDRESS(ROW()+1,COLUMN())&amp;":"&amp;ADDRESS(ROW()+$O163,COLUMN())))/($O163*4)*100)</f>
        <v>66.666666666666657</v>
      </c>
      <c r="F163" s="140">
        <f t="shared" ca="1" si="55"/>
        <v>0</v>
      </c>
      <c r="G163" s="140">
        <f t="shared" ca="1" si="55"/>
        <v>0</v>
      </c>
      <c r="H163" s="140">
        <f t="shared" ca="1" si="55"/>
        <v>0</v>
      </c>
      <c r="I163" s="140">
        <f t="shared" ca="1" si="55"/>
        <v>0</v>
      </c>
      <c r="J163" s="140">
        <f t="shared" ca="1" si="55"/>
        <v>0</v>
      </c>
      <c r="K163" s="140">
        <f t="shared" ca="1" si="55"/>
        <v>0</v>
      </c>
      <c r="L163" s="140">
        <f t="shared" ca="1" si="55"/>
        <v>0</v>
      </c>
      <c r="M163" s="144">
        <f t="shared" ca="1" si="55"/>
        <v>0</v>
      </c>
      <c r="O163">
        <v>3</v>
      </c>
    </row>
    <row r="164" spans="2:15">
      <c r="B164" s="6"/>
      <c r="C164" s="5" t="s">
        <v>74</v>
      </c>
      <c r="D164" s="44" t="s">
        <v>288</v>
      </c>
      <c r="E164" s="121">
        <f t="shared" ref="E164:M166" ca="1" si="56">HYPERLINK("#'"&amp;E$4&amp;"-Thn-"&amp;E$1&amp;"'!"&amp;ADDRESS(ROW(),6),IF(ISERROR(INDIRECT(ADDRESS(ROW(),6,1,1,E$4&amp;"-Thn-"&amp;E$1))),"~",INDIRECT(ADDRESS(ROW(),6,1,1,E$4&amp;"-Thn-"&amp;E$1))))</f>
        <v>3</v>
      </c>
      <c r="F164" s="121">
        <f t="shared" ca="1" si="56"/>
        <v>0</v>
      </c>
      <c r="G164" s="121">
        <f t="shared" ca="1" si="56"/>
        <v>0</v>
      </c>
      <c r="H164" s="121">
        <f t="shared" ca="1" si="56"/>
        <v>0</v>
      </c>
      <c r="I164" s="121">
        <f t="shared" ca="1" si="56"/>
        <v>0</v>
      </c>
      <c r="J164" s="121">
        <f t="shared" ca="1" si="56"/>
        <v>0</v>
      </c>
      <c r="K164" s="121">
        <f t="shared" ca="1" si="56"/>
        <v>0</v>
      </c>
      <c r="L164" s="121">
        <f t="shared" ca="1" si="56"/>
        <v>0</v>
      </c>
      <c r="M164" s="122">
        <f t="shared" ca="1" si="56"/>
        <v>0</v>
      </c>
    </row>
    <row r="165" spans="2:15" ht="18.75" customHeight="1">
      <c r="B165" s="6"/>
      <c r="C165" s="5" t="s">
        <v>77</v>
      </c>
      <c r="D165" s="44" t="s">
        <v>317</v>
      </c>
      <c r="E165" s="121">
        <f t="shared" ca="1" si="56"/>
        <v>3</v>
      </c>
      <c r="F165" s="121">
        <f t="shared" ca="1" si="56"/>
        <v>0</v>
      </c>
      <c r="G165" s="121">
        <f t="shared" ca="1" si="56"/>
        <v>0</v>
      </c>
      <c r="H165" s="121">
        <f t="shared" ca="1" si="56"/>
        <v>0</v>
      </c>
      <c r="I165" s="121">
        <f t="shared" ca="1" si="56"/>
        <v>0</v>
      </c>
      <c r="J165" s="121">
        <f t="shared" ca="1" si="56"/>
        <v>0</v>
      </c>
      <c r="K165" s="121">
        <f t="shared" ca="1" si="56"/>
        <v>0</v>
      </c>
      <c r="L165" s="121">
        <f t="shared" ca="1" si="56"/>
        <v>0</v>
      </c>
      <c r="M165" s="122">
        <f t="shared" ca="1" si="56"/>
        <v>0</v>
      </c>
    </row>
    <row r="166" spans="2:15" ht="25.5">
      <c r="B166" s="6"/>
      <c r="C166" s="5" t="s">
        <v>80</v>
      </c>
      <c r="D166" s="44" t="s">
        <v>290</v>
      </c>
      <c r="E166" s="121">
        <f t="shared" ca="1" si="56"/>
        <v>2</v>
      </c>
      <c r="F166" s="121">
        <f t="shared" ca="1" si="56"/>
        <v>0</v>
      </c>
      <c r="G166" s="121">
        <f t="shared" ca="1" si="56"/>
        <v>0</v>
      </c>
      <c r="H166" s="121">
        <f t="shared" ca="1" si="56"/>
        <v>0</v>
      </c>
      <c r="I166" s="121">
        <f t="shared" ca="1" si="56"/>
        <v>0</v>
      </c>
      <c r="J166" s="121">
        <f t="shared" ca="1" si="56"/>
        <v>0</v>
      </c>
      <c r="K166" s="121">
        <f t="shared" ca="1" si="56"/>
        <v>0</v>
      </c>
      <c r="L166" s="121">
        <f t="shared" ca="1" si="56"/>
        <v>0</v>
      </c>
      <c r="M166" s="122">
        <f t="shared" ca="1" si="56"/>
        <v>0</v>
      </c>
    </row>
    <row r="167" spans="2:15" ht="27.75" customHeight="1">
      <c r="B167" s="38" t="s">
        <v>2</v>
      </c>
      <c r="C167" s="378" t="s">
        <v>292</v>
      </c>
      <c r="D167" s="379"/>
      <c r="E167" s="140">
        <f t="shared" ref="E167:M167" ca="1" si="57">HYPERLINK("#'"&amp;E$4&amp;"-Thn-"&amp;E$1&amp;"'!"&amp;ADDRESS(ROW()+1,6),SUBTOTAL(9,INDIRECT(ADDRESS(ROW()+1,COLUMN())&amp;":"&amp;ADDRESS(ROW()+$O167,COLUMN())))/($O167*4)*100)</f>
        <v>75</v>
      </c>
      <c r="F167" s="140">
        <f t="shared" ca="1" si="57"/>
        <v>0</v>
      </c>
      <c r="G167" s="140">
        <f t="shared" ca="1" si="57"/>
        <v>0</v>
      </c>
      <c r="H167" s="140">
        <f t="shared" ca="1" si="57"/>
        <v>0</v>
      </c>
      <c r="I167" s="140">
        <f t="shared" ca="1" si="57"/>
        <v>0</v>
      </c>
      <c r="J167" s="140">
        <f t="shared" ca="1" si="57"/>
        <v>0</v>
      </c>
      <c r="K167" s="140">
        <f t="shared" ca="1" si="57"/>
        <v>0</v>
      </c>
      <c r="L167" s="140">
        <f t="shared" ca="1" si="57"/>
        <v>0</v>
      </c>
      <c r="M167" s="144">
        <f t="shared" ca="1" si="57"/>
        <v>0</v>
      </c>
      <c r="O167">
        <v>4</v>
      </c>
    </row>
    <row r="168" spans="2:15" ht="25.5">
      <c r="B168" s="6"/>
      <c r="C168" s="5" t="s">
        <v>74</v>
      </c>
      <c r="D168" s="44" t="s">
        <v>293</v>
      </c>
      <c r="E168" s="121">
        <f t="shared" ref="E168:M171" ca="1" si="58">HYPERLINK("#'"&amp;E$4&amp;"-Thn-"&amp;E$1&amp;"'!"&amp;ADDRESS(ROW(),6),IF(ISERROR(INDIRECT(ADDRESS(ROW(),6,1,1,E$4&amp;"-Thn-"&amp;E$1))),"~",INDIRECT(ADDRESS(ROW(),6,1,1,E$4&amp;"-Thn-"&amp;E$1))))</f>
        <v>3</v>
      </c>
      <c r="F168" s="121">
        <f t="shared" ca="1" si="58"/>
        <v>0</v>
      </c>
      <c r="G168" s="121">
        <f t="shared" ca="1" si="58"/>
        <v>0</v>
      </c>
      <c r="H168" s="121">
        <f t="shared" ca="1" si="58"/>
        <v>0</v>
      </c>
      <c r="I168" s="121">
        <f t="shared" ca="1" si="58"/>
        <v>0</v>
      </c>
      <c r="J168" s="121">
        <f t="shared" ca="1" si="58"/>
        <v>0</v>
      </c>
      <c r="K168" s="121">
        <f t="shared" ca="1" si="58"/>
        <v>0</v>
      </c>
      <c r="L168" s="121">
        <f t="shared" ca="1" si="58"/>
        <v>0</v>
      </c>
      <c r="M168" s="122">
        <f t="shared" ca="1" si="58"/>
        <v>0</v>
      </c>
    </row>
    <row r="169" spans="2:15" ht="25.5">
      <c r="B169" s="6"/>
      <c r="C169" s="5" t="s">
        <v>77</v>
      </c>
      <c r="D169" s="44" t="s">
        <v>295</v>
      </c>
      <c r="E169" s="121">
        <f t="shared" ca="1" si="58"/>
        <v>3</v>
      </c>
      <c r="F169" s="121">
        <f t="shared" ca="1" si="58"/>
        <v>0</v>
      </c>
      <c r="G169" s="121">
        <f t="shared" ca="1" si="58"/>
        <v>0</v>
      </c>
      <c r="H169" s="121">
        <f t="shared" ca="1" si="58"/>
        <v>0</v>
      </c>
      <c r="I169" s="121">
        <f t="shared" ca="1" si="58"/>
        <v>0</v>
      </c>
      <c r="J169" s="121">
        <f t="shared" ca="1" si="58"/>
        <v>0</v>
      </c>
      <c r="K169" s="121">
        <f t="shared" ca="1" si="58"/>
        <v>0</v>
      </c>
      <c r="L169" s="121">
        <f t="shared" ca="1" si="58"/>
        <v>0</v>
      </c>
      <c r="M169" s="122">
        <f t="shared" ca="1" si="58"/>
        <v>0</v>
      </c>
    </row>
    <row r="170" spans="2:15" ht="25.5">
      <c r="B170" s="6"/>
      <c r="C170" s="5" t="s">
        <v>80</v>
      </c>
      <c r="D170" s="44" t="s">
        <v>297</v>
      </c>
      <c r="E170" s="121">
        <f t="shared" ca="1" si="58"/>
        <v>3</v>
      </c>
      <c r="F170" s="121">
        <f t="shared" ca="1" si="58"/>
        <v>0</v>
      </c>
      <c r="G170" s="121">
        <f t="shared" ca="1" si="58"/>
        <v>0</v>
      </c>
      <c r="H170" s="121">
        <f t="shared" ca="1" si="58"/>
        <v>0</v>
      </c>
      <c r="I170" s="121">
        <f t="shared" ca="1" si="58"/>
        <v>0</v>
      </c>
      <c r="J170" s="121">
        <f t="shared" ca="1" si="58"/>
        <v>0</v>
      </c>
      <c r="K170" s="121">
        <f t="shared" ca="1" si="58"/>
        <v>0</v>
      </c>
      <c r="L170" s="121">
        <f t="shared" ca="1" si="58"/>
        <v>0</v>
      </c>
      <c r="M170" s="122">
        <f t="shared" ca="1" si="58"/>
        <v>0</v>
      </c>
    </row>
    <row r="171" spans="2:15" ht="25.5">
      <c r="B171" s="6"/>
      <c r="C171" s="5" t="s">
        <v>88</v>
      </c>
      <c r="D171" s="44" t="s">
        <v>318</v>
      </c>
      <c r="E171" s="121">
        <f t="shared" ca="1" si="58"/>
        <v>3</v>
      </c>
      <c r="F171" s="121">
        <f t="shared" ca="1" si="58"/>
        <v>0</v>
      </c>
      <c r="G171" s="121">
        <f t="shared" ca="1" si="58"/>
        <v>0</v>
      </c>
      <c r="H171" s="121">
        <f t="shared" ca="1" si="58"/>
        <v>0</v>
      </c>
      <c r="I171" s="121">
        <f t="shared" ca="1" si="58"/>
        <v>0</v>
      </c>
      <c r="J171" s="121">
        <f t="shared" ca="1" si="58"/>
        <v>0</v>
      </c>
      <c r="K171" s="121">
        <f t="shared" ca="1" si="58"/>
        <v>0</v>
      </c>
      <c r="L171" s="121">
        <f t="shared" ca="1" si="58"/>
        <v>0</v>
      </c>
      <c r="M171" s="122">
        <f t="shared" ca="1" si="58"/>
        <v>0</v>
      </c>
    </row>
    <row r="172" spans="2:15" ht="27.75" customHeight="1">
      <c r="B172" s="38" t="s">
        <v>1</v>
      </c>
      <c r="C172" s="378" t="s">
        <v>299</v>
      </c>
      <c r="D172" s="379"/>
      <c r="E172" s="140">
        <f t="shared" ref="E172:M172" ca="1" si="59">HYPERLINK("#'"&amp;E$4&amp;"-Thn-"&amp;E$1&amp;"'!"&amp;ADDRESS(ROW()+1,6),SUBTOTAL(9,INDIRECT(ADDRESS(ROW()+1,COLUMN())&amp;":"&amp;ADDRESS(ROW()+$O172,COLUMN())))/($O172*4)*100)</f>
        <v>75</v>
      </c>
      <c r="F172" s="140">
        <f t="shared" ca="1" si="59"/>
        <v>0</v>
      </c>
      <c r="G172" s="140">
        <f t="shared" ca="1" si="59"/>
        <v>0</v>
      </c>
      <c r="H172" s="140">
        <f t="shared" ca="1" si="59"/>
        <v>0</v>
      </c>
      <c r="I172" s="140">
        <f t="shared" ca="1" si="59"/>
        <v>0</v>
      </c>
      <c r="J172" s="140">
        <f t="shared" ca="1" si="59"/>
        <v>0</v>
      </c>
      <c r="K172" s="140">
        <f t="shared" ca="1" si="59"/>
        <v>0</v>
      </c>
      <c r="L172" s="140">
        <f t="shared" ca="1" si="59"/>
        <v>0</v>
      </c>
      <c r="M172" s="144">
        <f t="shared" ca="1" si="59"/>
        <v>0</v>
      </c>
      <c r="O172">
        <v>4</v>
      </c>
    </row>
    <row r="173" spans="2:15" ht="18" customHeight="1">
      <c r="B173" s="6"/>
      <c r="C173" s="5" t="s">
        <v>74</v>
      </c>
      <c r="D173" s="44" t="s">
        <v>300</v>
      </c>
      <c r="E173" s="121">
        <f t="shared" ref="E173:M176" ca="1" si="60">HYPERLINK("#'"&amp;E$4&amp;"-Thn-"&amp;E$1&amp;"'!"&amp;ADDRESS(ROW(),6),IF(ISERROR(INDIRECT(ADDRESS(ROW(),6,1,1,E$4&amp;"-Thn-"&amp;E$1))),"~",INDIRECT(ADDRESS(ROW(),6,1,1,E$4&amp;"-Thn-"&amp;E$1))))</f>
        <v>3</v>
      </c>
      <c r="F173" s="121">
        <f t="shared" ca="1" si="60"/>
        <v>0</v>
      </c>
      <c r="G173" s="121">
        <f t="shared" ca="1" si="60"/>
        <v>0</v>
      </c>
      <c r="H173" s="121">
        <f t="shared" ca="1" si="60"/>
        <v>0</v>
      </c>
      <c r="I173" s="121">
        <f t="shared" ca="1" si="60"/>
        <v>0</v>
      </c>
      <c r="J173" s="121">
        <f t="shared" ca="1" si="60"/>
        <v>0</v>
      </c>
      <c r="K173" s="121">
        <f t="shared" ca="1" si="60"/>
        <v>0</v>
      </c>
      <c r="L173" s="121">
        <f t="shared" ca="1" si="60"/>
        <v>0</v>
      </c>
      <c r="M173" s="122">
        <f t="shared" ca="1" si="60"/>
        <v>0</v>
      </c>
    </row>
    <row r="174" spans="2:15">
      <c r="B174" s="6"/>
      <c r="C174" s="5" t="s">
        <v>77</v>
      </c>
      <c r="D174" s="44" t="s">
        <v>302</v>
      </c>
      <c r="E174" s="121">
        <f t="shared" ca="1" si="60"/>
        <v>3</v>
      </c>
      <c r="F174" s="121">
        <f t="shared" ca="1" si="60"/>
        <v>0</v>
      </c>
      <c r="G174" s="121">
        <f t="shared" ca="1" si="60"/>
        <v>0</v>
      </c>
      <c r="H174" s="121">
        <f t="shared" ca="1" si="60"/>
        <v>0</v>
      </c>
      <c r="I174" s="121">
        <f t="shared" ca="1" si="60"/>
        <v>0</v>
      </c>
      <c r="J174" s="121">
        <f t="shared" ca="1" si="60"/>
        <v>0</v>
      </c>
      <c r="K174" s="121">
        <f t="shared" ca="1" si="60"/>
        <v>0</v>
      </c>
      <c r="L174" s="121">
        <f t="shared" ca="1" si="60"/>
        <v>0</v>
      </c>
      <c r="M174" s="122">
        <f t="shared" ca="1" si="60"/>
        <v>0</v>
      </c>
    </row>
    <row r="175" spans="2:15">
      <c r="B175" s="6"/>
      <c r="C175" s="5" t="s">
        <v>80</v>
      </c>
      <c r="D175" s="44" t="s">
        <v>304</v>
      </c>
      <c r="E175" s="121">
        <f t="shared" ca="1" si="60"/>
        <v>3</v>
      </c>
      <c r="F175" s="121">
        <f t="shared" ca="1" si="60"/>
        <v>0</v>
      </c>
      <c r="G175" s="121">
        <f t="shared" ca="1" si="60"/>
        <v>0</v>
      </c>
      <c r="H175" s="121">
        <f t="shared" ca="1" si="60"/>
        <v>0</v>
      </c>
      <c r="I175" s="121">
        <f t="shared" ca="1" si="60"/>
        <v>0</v>
      </c>
      <c r="J175" s="121">
        <f t="shared" ca="1" si="60"/>
        <v>0</v>
      </c>
      <c r="K175" s="121">
        <f t="shared" ca="1" si="60"/>
        <v>0</v>
      </c>
      <c r="L175" s="121">
        <f t="shared" ca="1" si="60"/>
        <v>0</v>
      </c>
      <c r="M175" s="122">
        <f t="shared" ca="1" si="60"/>
        <v>0</v>
      </c>
    </row>
    <row r="176" spans="2:15" ht="25.5">
      <c r="B176" s="111"/>
      <c r="C176" s="112" t="s">
        <v>88</v>
      </c>
      <c r="D176" s="113" t="s">
        <v>306</v>
      </c>
      <c r="E176" s="123">
        <f t="shared" ca="1" si="60"/>
        <v>3</v>
      </c>
      <c r="F176" s="123">
        <f t="shared" ca="1" si="60"/>
        <v>0</v>
      </c>
      <c r="G176" s="123">
        <f t="shared" ca="1" si="60"/>
        <v>0</v>
      </c>
      <c r="H176" s="123">
        <f t="shared" ca="1" si="60"/>
        <v>0</v>
      </c>
      <c r="I176" s="123">
        <f t="shared" ca="1" si="60"/>
        <v>0</v>
      </c>
      <c r="J176" s="123">
        <f t="shared" ca="1" si="60"/>
        <v>0</v>
      </c>
      <c r="K176" s="123">
        <f t="shared" ca="1" si="60"/>
        <v>0</v>
      </c>
      <c r="L176" s="123">
        <f t="shared" ca="1" si="60"/>
        <v>0</v>
      </c>
      <c r="M176" s="124">
        <f t="shared" ca="1" si="60"/>
        <v>0</v>
      </c>
    </row>
    <row r="177" spans="1:16" ht="15.75" hidden="1">
      <c r="B177" s="71">
        <v>11</v>
      </c>
      <c r="C177" s="350" t="s">
        <v>0</v>
      </c>
      <c r="D177" s="351"/>
      <c r="E177" s="125"/>
      <c r="F177" s="125"/>
      <c r="G177" s="125"/>
      <c r="H177" s="125"/>
      <c r="I177" s="125"/>
      <c r="J177" s="125"/>
      <c r="K177" s="125"/>
      <c r="L177" s="125"/>
      <c r="M177" s="126"/>
    </row>
    <row r="178" spans="1:16" ht="15.75" hidden="1">
      <c r="B178" s="346" t="str">
        <f>"NKT Supervisi (Nilai Kinerja Tahunan)"</f>
        <v>NKT Supervisi (Nilai Kinerja Tahunan)</v>
      </c>
      <c r="C178" s="347"/>
      <c r="D178" s="347"/>
      <c r="E178" s="129"/>
      <c r="F178" s="129"/>
      <c r="G178" s="129"/>
      <c r="H178" s="129"/>
      <c r="I178" s="129"/>
      <c r="J178" s="129"/>
      <c r="K178" s="129"/>
      <c r="L178" s="129"/>
      <c r="M178" s="130"/>
    </row>
    <row r="179" spans="1:16">
      <c r="E179" s="43"/>
      <c r="F179" s="43"/>
      <c r="G179" s="43"/>
      <c r="H179" s="43"/>
      <c r="I179" s="43"/>
      <c r="J179" s="43"/>
      <c r="K179" s="43"/>
      <c r="L179" s="43"/>
      <c r="M179" s="43"/>
    </row>
    <row r="180" spans="1:16">
      <c r="A180" s="55" t="str">
        <f ca="1">RIGHT(MID(CELL("filename",A180),FIND("]",CELL("filename",A180))+1,255),1)</f>
        <v>l</v>
      </c>
      <c r="E180" s="43"/>
      <c r="F180" s="43"/>
      <c r="G180" s="43"/>
      <c r="H180" s="43"/>
      <c r="I180" s="43"/>
      <c r="J180" s="43"/>
      <c r="K180" s="43"/>
      <c r="L180" s="43"/>
      <c r="M180" s="43"/>
    </row>
    <row r="181" spans="1:16" ht="23.25">
      <c r="B181" s="50" t="str">
        <f>"B. Instrumen Penilaian Kinerja 4 Tahunan Kepala Madrasah"</f>
        <v>B. Instrumen Penilaian Kinerja 4 Tahunan Kepala Madrasah</v>
      </c>
      <c r="E181" s="43"/>
      <c r="F181" s="43"/>
      <c r="G181" s="43"/>
      <c r="H181" s="43"/>
      <c r="I181" s="43"/>
      <c r="J181" s="43"/>
      <c r="K181" s="43"/>
      <c r="L181" s="43"/>
      <c r="M181" s="43"/>
    </row>
    <row r="182" spans="1:16" ht="15.75" hidden="1">
      <c r="B182" s="51"/>
      <c r="E182" s="43"/>
      <c r="F182" s="43"/>
      <c r="G182" s="43"/>
      <c r="H182" s="43"/>
      <c r="I182" s="43"/>
      <c r="J182" s="43"/>
      <c r="K182" s="43"/>
      <c r="L182" s="43"/>
      <c r="M182" s="43"/>
    </row>
    <row r="183" spans="1:16" ht="15.75" hidden="1">
      <c r="B183" s="51"/>
      <c r="E183" s="43"/>
      <c r="F183" s="43"/>
      <c r="G183" s="43"/>
      <c r="H183" s="43"/>
      <c r="I183" s="43"/>
      <c r="J183" s="43"/>
      <c r="K183" s="43"/>
      <c r="L183" s="43"/>
      <c r="M183" s="43"/>
    </row>
    <row r="184" spans="1:16" ht="15.75" hidden="1">
      <c r="B184" s="51"/>
      <c r="E184" s="43"/>
      <c r="F184" s="43"/>
      <c r="G184" s="43"/>
      <c r="H184" s="43"/>
      <c r="I184" s="43"/>
      <c r="J184" s="43"/>
      <c r="K184" s="43"/>
      <c r="L184" s="43"/>
      <c r="M184" s="43"/>
    </row>
    <row r="185" spans="1:16" hidden="1">
      <c r="E185" s="43"/>
      <c r="F185" s="43"/>
      <c r="G185" s="43"/>
      <c r="H185" s="43"/>
      <c r="I185" s="43"/>
      <c r="J185" s="43"/>
      <c r="K185" s="43"/>
      <c r="L185" s="43"/>
      <c r="M185" s="43"/>
    </row>
    <row r="186" spans="1:16" s="108" customFormat="1" ht="18">
      <c r="B186" s="109" t="s">
        <v>416</v>
      </c>
      <c r="C186" s="110"/>
      <c r="D186" s="110"/>
      <c r="E186" s="137">
        <f ca="1">HYPERLINK("#'"&amp;E$4&amp;"-Thn-"&amp;E$1&amp;"'!"&amp;ADDRESS(ROW()+2,6),SUBTOTAL(9,INDIRECT(ADDRESS(ROW()+1+2,COLUMN())&amp;":"&amp;ADDRESS(ROW()+$O186+$P186+2,COLUMN())))/($O186*4)*100)</f>
        <v>0</v>
      </c>
      <c r="F186" s="137">
        <f t="shared" ref="F186:M186" ca="1" si="61">HYPERLINK("#'"&amp;F$4&amp;"-Thn-"&amp;F$1&amp;"'!"&amp;ADDRESS(ROW()+2,6),SUBTOTAL(9,INDIRECT(ADDRESS(ROW()+1+2,COLUMN())&amp;":"&amp;ADDRESS(ROW()+$O186+$P186+2,COLUMN())))/($O186*4)*100)</f>
        <v>12.5</v>
      </c>
      <c r="G186" s="137">
        <f t="shared" ca="1" si="61"/>
        <v>0</v>
      </c>
      <c r="H186" s="137">
        <f t="shared" ca="1" si="61"/>
        <v>0</v>
      </c>
      <c r="I186" s="137">
        <f t="shared" ca="1" si="61"/>
        <v>0</v>
      </c>
      <c r="J186" s="137">
        <f t="shared" ca="1" si="61"/>
        <v>0</v>
      </c>
      <c r="K186" s="137">
        <f t="shared" ca="1" si="61"/>
        <v>0</v>
      </c>
      <c r="L186" s="137">
        <f t="shared" ca="1" si="61"/>
        <v>0</v>
      </c>
      <c r="M186" s="143">
        <f t="shared" ca="1" si="61"/>
        <v>0</v>
      </c>
      <c r="O186" s="108">
        <f>SUBTOTAL(9,O189:O192)</f>
        <v>2</v>
      </c>
      <c r="P186" s="108">
        <v>2</v>
      </c>
    </row>
    <row r="187" spans="1:16" s="1" customFormat="1" hidden="1">
      <c r="B187" s="368" t="s">
        <v>19</v>
      </c>
      <c r="C187" s="370" t="s">
        <v>18</v>
      </c>
      <c r="D187" s="371"/>
      <c r="E187" s="131"/>
      <c r="F187" s="131"/>
      <c r="G187" s="131"/>
      <c r="H187" s="131"/>
      <c r="I187" s="131"/>
      <c r="J187" s="131"/>
      <c r="K187" s="131"/>
      <c r="L187" s="131"/>
      <c r="M187" s="132"/>
    </row>
    <row r="188" spans="1:16" hidden="1">
      <c r="B188" s="369"/>
      <c r="C188" s="372"/>
      <c r="D188" s="373"/>
      <c r="E188" s="138"/>
      <c r="F188" s="138"/>
      <c r="G188" s="138"/>
      <c r="H188" s="138"/>
      <c r="I188" s="138"/>
      <c r="J188" s="138"/>
      <c r="K188" s="138"/>
      <c r="L188" s="138"/>
      <c r="M188" s="139"/>
    </row>
    <row r="189" spans="1:16">
      <c r="B189" s="38" t="s">
        <v>352</v>
      </c>
      <c r="C189" s="378" t="s">
        <v>351</v>
      </c>
      <c r="D189" s="379"/>
      <c r="E189" s="140">
        <f ca="1">HYPERLINK("#'"&amp;E$4&amp;"-Thn-"&amp;E$1&amp;"'!"&amp;ADDRESS(ROW()+1,6),SUBTOTAL(9,INDIRECT(ADDRESS(ROW()+1,COLUMN())&amp;":"&amp;ADDRESS(ROW()+$O189,COLUMN())))/($O189*4)*100)</f>
        <v>0</v>
      </c>
      <c r="F189" s="140">
        <f t="shared" ref="F189:M191" ca="1" si="62">HYPERLINK("#'"&amp;F$4&amp;"-Thn-"&amp;F$1&amp;"'!"&amp;ADDRESS(ROW()+1,6),SUBTOTAL(9,INDIRECT(ADDRESS(ROW()+1,COLUMN())&amp;":"&amp;ADDRESS(ROW()+$O189,COLUMN())))/($O189*4)*100)</f>
        <v>25</v>
      </c>
      <c r="G189" s="140">
        <f t="shared" ca="1" si="62"/>
        <v>0</v>
      </c>
      <c r="H189" s="140">
        <f t="shared" ca="1" si="62"/>
        <v>0</v>
      </c>
      <c r="I189" s="140">
        <f t="shared" ca="1" si="62"/>
        <v>0</v>
      </c>
      <c r="J189" s="140">
        <f t="shared" ca="1" si="62"/>
        <v>0</v>
      </c>
      <c r="K189" s="140">
        <f t="shared" ca="1" si="62"/>
        <v>0</v>
      </c>
      <c r="L189" s="140">
        <f t="shared" ca="1" si="62"/>
        <v>0</v>
      </c>
      <c r="M189" s="144">
        <f t="shared" ca="1" si="62"/>
        <v>0</v>
      </c>
      <c r="O189">
        <v>1</v>
      </c>
    </row>
    <row r="190" spans="1:16" s="1" customFormat="1" ht="63.75">
      <c r="B190" s="6"/>
      <c r="C190" s="5"/>
      <c r="D190" s="64" t="s">
        <v>354</v>
      </c>
      <c r="E190" s="121">
        <f t="shared" ref="E190:M192" ca="1" si="63">HYPERLINK("#'"&amp;E$4&amp;"-Thn-"&amp;E$1&amp;"'!"&amp;ADDRESS(ROW(),6),IF(ISERROR(INDIRECT(ADDRESS(ROW(),6,1,1,E$4&amp;"-Thn-"&amp;E$1))),"~",INDIRECT(ADDRESS(ROW(),6,1,1,E$4&amp;"-Thn-"&amp;E$1))))</f>
        <v>0</v>
      </c>
      <c r="F190" s="121">
        <f t="shared" ca="1" si="63"/>
        <v>1</v>
      </c>
      <c r="G190" s="121">
        <f t="shared" ca="1" si="63"/>
        <v>0</v>
      </c>
      <c r="H190" s="121">
        <f t="shared" ca="1" si="63"/>
        <v>0</v>
      </c>
      <c r="I190" s="121">
        <f t="shared" ca="1" si="63"/>
        <v>0</v>
      </c>
      <c r="J190" s="121">
        <f t="shared" ca="1" si="63"/>
        <v>0</v>
      </c>
      <c r="K190" s="121">
        <f t="shared" ca="1" si="63"/>
        <v>0</v>
      </c>
      <c r="L190" s="121">
        <f t="shared" ca="1" si="63"/>
        <v>0</v>
      </c>
      <c r="M190" s="122">
        <f t="shared" ca="1" si="63"/>
        <v>0</v>
      </c>
    </row>
    <row r="191" spans="1:16">
      <c r="B191" s="38" t="s">
        <v>355</v>
      </c>
      <c r="C191" s="378" t="s">
        <v>353</v>
      </c>
      <c r="D191" s="379"/>
      <c r="E191" s="140">
        <f ca="1">HYPERLINK("#'"&amp;E$4&amp;"-Thn-"&amp;E$1&amp;"'!"&amp;ADDRESS(ROW()+1,6),SUBTOTAL(9,INDIRECT(ADDRESS(ROW()+1,COLUMN())&amp;":"&amp;ADDRESS(ROW()+$O191,COLUMN())))/($O191*4)*100)</f>
        <v>0</v>
      </c>
      <c r="F191" s="140">
        <f t="shared" ca="1" si="62"/>
        <v>0</v>
      </c>
      <c r="G191" s="140">
        <f t="shared" ca="1" si="62"/>
        <v>0</v>
      </c>
      <c r="H191" s="140">
        <f t="shared" ca="1" si="62"/>
        <v>0</v>
      </c>
      <c r="I191" s="140">
        <f t="shared" ca="1" si="62"/>
        <v>0</v>
      </c>
      <c r="J191" s="140">
        <f t="shared" ca="1" si="62"/>
        <v>0</v>
      </c>
      <c r="K191" s="140">
        <f t="shared" ca="1" si="62"/>
        <v>0</v>
      </c>
      <c r="L191" s="140">
        <f t="shared" ca="1" si="62"/>
        <v>0</v>
      </c>
      <c r="M191" s="144">
        <f t="shared" ca="1" si="62"/>
        <v>0</v>
      </c>
      <c r="O191">
        <v>1</v>
      </c>
    </row>
    <row r="192" spans="1:16" s="1" customFormat="1" ht="51">
      <c r="B192" s="111"/>
      <c r="C192" s="112"/>
      <c r="D192" s="115" t="s">
        <v>359</v>
      </c>
      <c r="E192" s="123">
        <f t="shared" ca="1" si="63"/>
        <v>0</v>
      </c>
      <c r="F192" s="123">
        <f t="shared" ca="1" si="63"/>
        <v>0</v>
      </c>
      <c r="G192" s="123">
        <f t="shared" ca="1" si="63"/>
        <v>0</v>
      </c>
      <c r="H192" s="123">
        <f t="shared" ca="1" si="63"/>
        <v>0</v>
      </c>
      <c r="I192" s="123">
        <f t="shared" ca="1" si="63"/>
        <v>0</v>
      </c>
      <c r="J192" s="123">
        <f t="shared" ca="1" si="63"/>
        <v>0</v>
      </c>
      <c r="K192" s="123">
        <f t="shared" ca="1" si="63"/>
        <v>0</v>
      </c>
      <c r="L192" s="123">
        <f t="shared" ca="1" si="63"/>
        <v>0</v>
      </c>
      <c r="M192" s="124">
        <f t="shared" ca="1" si="63"/>
        <v>0</v>
      </c>
    </row>
    <row r="193" spans="2:21" ht="15.75" hidden="1">
      <c r="B193" s="71">
        <v>2</v>
      </c>
      <c r="C193" s="350" t="s">
        <v>0</v>
      </c>
      <c r="D193" s="351"/>
      <c r="E193" s="125"/>
      <c r="F193" s="125"/>
      <c r="G193" s="125"/>
      <c r="H193" s="125"/>
      <c r="I193" s="125"/>
      <c r="J193" s="125"/>
      <c r="K193" s="125"/>
      <c r="L193" s="125"/>
      <c r="M193" s="126"/>
    </row>
    <row r="194" spans="2:21" ht="15.75" hidden="1">
      <c r="B194" s="346" t="s">
        <v>398</v>
      </c>
      <c r="C194" s="347"/>
      <c r="D194" s="347"/>
      <c r="E194" s="129"/>
      <c r="F194" s="129"/>
      <c r="G194" s="129"/>
      <c r="H194" s="129"/>
      <c r="I194" s="129"/>
      <c r="J194" s="129"/>
      <c r="K194" s="129"/>
      <c r="L194" s="129"/>
      <c r="M194" s="130"/>
    </row>
    <row r="195" spans="2:21" hidden="1">
      <c r="E195" s="43"/>
      <c r="F195" s="43"/>
      <c r="G195" s="43"/>
      <c r="H195" s="43"/>
      <c r="I195" s="43"/>
      <c r="J195" s="43"/>
      <c r="K195" s="43"/>
      <c r="L195" s="43"/>
      <c r="M195" s="43"/>
    </row>
    <row r="196" spans="2:21">
      <c r="E196" s="43"/>
      <c r="F196" s="43"/>
      <c r="G196" s="43"/>
      <c r="H196" s="43"/>
      <c r="I196" s="43"/>
      <c r="J196" s="43"/>
      <c r="K196" s="43"/>
      <c r="L196" s="43"/>
      <c r="M196" s="43"/>
    </row>
    <row r="197" spans="2:21" s="108" customFormat="1" ht="18">
      <c r="B197" s="109" t="s">
        <v>417</v>
      </c>
      <c r="C197" s="110"/>
      <c r="D197" s="110"/>
      <c r="E197" s="137">
        <f ca="1">HYPERLINK("#'"&amp;E$4&amp;"-Thn-"&amp;E$1&amp;"'!"&amp;ADDRESS(ROW()+2,6),SUBTOTAL(9,INDIRECT(ADDRESS(ROW()+1+2,COLUMN())&amp;":"&amp;ADDRESS(ROW()+$O197+$P197+2,COLUMN())))/($O197*4)*100)</f>
        <v>0</v>
      </c>
      <c r="F197" s="137">
        <f t="shared" ref="F197:M197" ca="1" si="64">HYPERLINK("#'"&amp;F$4&amp;"-Thn-"&amp;F$1&amp;"'!"&amp;ADDRESS(ROW()+2,6),SUBTOTAL(9,INDIRECT(ADDRESS(ROW()+1+2,COLUMN())&amp;":"&amp;ADDRESS(ROW()+$O197+$P197+2,COLUMN())))/($O197*4)*100)</f>
        <v>0</v>
      </c>
      <c r="G197" s="137">
        <f t="shared" ca="1" si="64"/>
        <v>0</v>
      </c>
      <c r="H197" s="137">
        <f t="shared" ca="1" si="64"/>
        <v>0</v>
      </c>
      <c r="I197" s="137">
        <f t="shared" ca="1" si="64"/>
        <v>0</v>
      </c>
      <c r="J197" s="137">
        <f t="shared" ca="1" si="64"/>
        <v>0</v>
      </c>
      <c r="K197" s="137">
        <f t="shared" ca="1" si="64"/>
        <v>0</v>
      </c>
      <c r="L197" s="137">
        <f t="shared" ca="1" si="64"/>
        <v>0</v>
      </c>
      <c r="M197" s="143">
        <f t="shared" ca="1" si="64"/>
        <v>0</v>
      </c>
      <c r="O197" s="108">
        <f>SUBTOTAL(9,O200:O202)</f>
        <v>2</v>
      </c>
      <c r="P197" s="108">
        <v>2</v>
      </c>
    </row>
    <row r="198" spans="2:21" s="1" customFormat="1" hidden="1">
      <c r="B198" s="368" t="s">
        <v>19</v>
      </c>
      <c r="C198" s="370" t="s">
        <v>18</v>
      </c>
      <c r="D198" s="371"/>
      <c r="E198" s="131"/>
      <c r="F198" s="131"/>
      <c r="G198" s="131"/>
      <c r="H198" s="131"/>
      <c r="I198" s="131"/>
      <c r="J198" s="131"/>
      <c r="K198" s="131"/>
      <c r="L198" s="131"/>
      <c r="M198" s="132"/>
    </row>
    <row r="199" spans="2:21" hidden="1">
      <c r="B199" s="369"/>
      <c r="C199" s="372"/>
      <c r="D199" s="373"/>
      <c r="E199" s="119"/>
      <c r="F199" s="119"/>
      <c r="G199" s="119"/>
      <c r="H199" s="119"/>
      <c r="I199" s="119"/>
      <c r="J199" s="119"/>
      <c r="K199" s="119"/>
      <c r="L199" s="119"/>
      <c r="M199" s="120"/>
    </row>
    <row r="200" spans="2:21">
      <c r="B200" s="38" t="s">
        <v>356</v>
      </c>
      <c r="C200" s="378" t="s">
        <v>357</v>
      </c>
      <c r="D200" s="379"/>
      <c r="E200" s="140">
        <f ca="1">HYPERLINK("#'"&amp;E$4&amp;"-Thn-"&amp;E$1&amp;"'!"&amp;ADDRESS(ROW()+1,6),SUBTOTAL(9,INDIRECT(ADDRESS(ROW()+1,COLUMN())&amp;":"&amp;ADDRESS(ROW()+$O200,COLUMN())))/($O200*4)*100)</f>
        <v>0</v>
      </c>
      <c r="F200" s="140">
        <f t="shared" ref="F200:M200" ca="1" si="65">HYPERLINK("#'"&amp;F$4&amp;"-Thn-"&amp;F$1&amp;"'!"&amp;ADDRESS(ROW()+1,6),SUBTOTAL(9,INDIRECT(ADDRESS(ROW()+1,COLUMN())&amp;":"&amp;ADDRESS(ROW()+$O200,COLUMN())))/($O200*4)*100)</f>
        <v>0</v>
      </c>
      <c r="G200" s="140">
        <f t="shared" ca="1" si="65"/>
        <v>0</v>
      </c>
      <c r="H200" s="140">
        <f t="shared" ca="1" si="65"/>
        <v>0</v>
      </c>
      <c r="I200" s="140">
        <f t="shared" ca="1" si="65"/>
        <v>0</v>
      </c>
      <c r="J200" s="140">
        <f t="shared" ca="1" si="65"/>
        <v>0</v>
      </c>
      <c r="K200" s="140">
        <f t="shared" ca="1" si="65"/>
        <v>0</v>
      </c>
      <c r="L200" s="140">
        <f t="shared" ca="1" si="65"/>
        <v>0</v>
      </c>
      <c r="M200" s="144">
        <f t="shared" ca="1" si="65"/>
        <v>0</v>
      </c>
      <c r="O200">
        <v>1</v>
      </c>
    </row>
    <row r="201" spans="2:21" s="1" customFormat="1" ht="51">
      <c r="B201" s="6"/>
      <c r="C201" s="5"/>
      <c r="D201" s="64" t="s">
        <v>359</v>
      </c>
      <c r="E201" s="121">
        <f t="shared" ref="E201:M201" ca="1" si="66">HYPERLINK("#'"&amp;E$4&amp;"-Thn-"&amp;E$1&amp;"'!"&amp;ADDRESS(ROW(),6),IF(ISERROR(INDIRECT(ADDRESS(ROW(),6,1,1,E$4&amp;"-Thn-"&amp;E$1))),"~",INDIRECT(ADDRESS(ROW(),6,1,1,E$4&amp;"-Thn-"&amp;E$1))))</f>
        <v>0</v>
      </c>
      <c r="F201" s="121">
        <f t="shared" ca="1" si="66"/>
        <v>0</v>
      </c>
      <c r="G201" s="121">
        <f t="shared" ca="1" si="66"/>
        <v>0</v>
      </c>
      <c r="H201" s="121">
        <f t="shared" ca="1" si="66"/>
        <v>0</v>
      </c>
      <c r="I201" s="121">
        <f t="shared" ca="1" si="66"/>
        <v>0</v>
      </c>
      <c r="J201" s="121">
        <f t="shared" ca="1" si="66"/>
        <v>0</v>
      </c>
      <c r="K201" s="121">
        <f t="shared" ca="1" si="66"/>
        <v>0</v>
      </c>
      <c r="L201" s="121">
        <f t="shared" ca="1" si="66"/>
        <v>0</v>
      </c>
      <c r="M201" s="122">
        <f t="shared" ca="1" si="66"/>
        <v>0</v>
      </c>
      <c r="U201" s="1" t="s">
        <v>10</v>
      </c>
    </row>
    <row r="202" spans="2:21">
      <c r="B202" s="38" t="s">
        <v>360</v>
      </c>
      <c r="C202" s="378" t="s">
        <v>358</v>
      </c>
      <c r="D202" s="379"/>
      <c r="E202" s="140">
        <f ca="1">HYPERLINK("#'"&amp;E$4&amp;"-Thn-"&amp;E$1&amp;"'!"&amp;ADDRESS(ROW()+1,6),SUBTOTAL(9,INDIRECT(ADDRESS(ROW()+1,COLUMN())&amp;":"&amp;ADDRESS(ROW()+$O202,COLUMN())))/($O202*4)*100)</f>
        <v>0</v>
      </c>
      <c r="F202" s="140">
        <f t="shared" ref="F202:M202" ca="1" si="67">HYPERLINK("#'"&amp;F$4&amp;"-Thn-"&amp;F$1&amp;"'!"&amp;ADDRESS(ROW()+1,6),SUBTOTAL(9,INDIRECT(ADDRESS(ROW()+1,COLUMN())&amp;":"&amp;ADDRESS(ROW()+$O202,COLUMN())))/($O202*4)*100)</f>
        <v>0</v>
      </c>
      <c r="G202" s="140">
        <f t="shared" ca="1" si="67"/>
        <v>0</v>
      </c>
      <c r="H202" s="140">
        <f t="shared" ca="1" si="67"/>
        <v>0</v>
      </c>
      <c r="I202" s="140">
        <f t="shared" ca="1" si="67"/>
        <v>0</v>
      </c>
      <c r="J202" s="140">
        <f t="shared" ca="1" si="67"/>
        <v>0</v>
      </c>
      <c r="K202" s="140">
        <f t="shared" ca="1" si="67"/>
        <v>0</v>
      </c>
      <c r="L202" s="140">
        <f t="shared" ca="1" si="67"/>
        <v>0</v>
      </c>
      <c r="M202" s="144">
        <f t="shared" ca="1" si="67"/>
        <v>0</v>
      </c>
      <c r="O202">
        <v>1</v>
      </c>
    </row>
    <row r="203" spans="2:21" s="1" customFormat="1" ht="51">
      <c r="B203" s="111"/>
      <c r="C203" s="112"/>
      <c r="D203" s="115" t="s">
        <v>359</v>
      </c>
      <c r="E203" s="123">
        <f t="shared" ref="E203:M203" ca="1" si="68">HYPERLINK("#'"&amp;E$4&amp;"-Thn-"&amp;E$1&amp;"'!"&amp;ADDRESS(ROW(),6),IF(ISERROR(INDIRECT(ADDRESS(ROW(),6,1,1,E$4&amp;"-Thn-"&amp;E$1))),"~",INDIRECT(ADDRESS(ROW(),6,1,1,E$4&amp;"-Thn-"&amp;E$1))))</f>
        <v>0</v>
      </c>
      <c r="F203" s="123">
        <f t="shared" ca="1" si="68"/>
        <v>0</v>
      </c>
      <c r="G203" s="123">
        <f t="shared" ca="1" si="68"/>
        <v>0</v>
      </c>
      <c r="H203" s="123">
        <f t="shared" ca="1" si="68"/>
        <v>0</v>
      </c>
      <c r="I203" s="123">
        <f t="shared" ca="1" si="68"/>
        <v>0</v>
      </c>
      <c r="J203" s="123">
        <f t="shared" ca="1" si="68"/>
        <v>0</v>
      </c>
      <c r="K203" s="123">
        <f t="shared" ca="1" si="68"/>
        <v>0</v>
      </c>
      <c r="L203" s="123">
        <f t="shared" ca="1" si="68"/>
        <v>0</v>
      </c>
      <c r="M203" s="124">
        <f t="shared" ca="1" si="68"/>
        <v>0</v>
      </c>
    </row>
    <row r="204" spans="2:21" ht="15.75" hidden="1">
      <c r="B204" s="71">
        <v>2</v>
      </c>
      <c r="C204" s="350" t="s">
        <v>0</v>
      </c>
      <c r="D204" s="351"/>
      <c r="E204" s="470"/>
      <c r="F204" s="470"/>
      <c r="G204" s="470"/>
      <c r="H204" s="470"/>
      <c r="I204" s="470"/>
      <c r="J204" s="470"/>
      <c r="K204" s="470"/>
      <c r="L204" s="470"/>
      <c r="M204" s="471"/>
    </row>
    <row r="205" spans="2:21" ht="15.75" hidden="1">
      <c r="B205" s="346" t="s">
        <v>397</v>
      </c>
      <c r="C205" s="347"/>
      <c r="D205" s="347"/>
      <c r="E205" s="472"/>
      <c r="F205" s="472"/>
      <c r="G205" s="472"/>
      <c r="H205" s="472"/>
      <c r="I205" s="472"/>
      <c r="J205" s="472"/>
      <c r="K205" s="472"/>
      <c r="L205" s="472"/>
      <c r="M205" s="473"/>
    </row>
    <row r="206" spans="2:21" hidden="1">
      <c r="E206" s="43"/>
      <c r="F206" s="43"/>
      <c r="G206" s="43"/>
      <c r="H206" s="43"/>
      <c r="I206" s="43"/>
      <c r="J206" s="43"/>
      <c r="K206" s="43"/>
      <c r="L206" s="43"/>
      <c r="M206" s="43"/>
    </row>
    <row r="207" spans="2:21">
      <c r="E207" s="43"/>
      <c r="F207" s="43"/>
      <c r="G207" s="43"/>
      <c r="H207" s="43"/>
      <c r="I207" s="43"/>
      <c r="J207" s="43"/>
      <c r="K207" s="43"/>
      <c r="L207" s="43"/>
      <c r="M207" s="43"/>
    </row>
    <row r="208" spans="2:21" s="108" customFormat="1" ht="18">
      <c r="B208" s="109" t="s">
        <v>418</v>
      </c>
      <c r="C208" s="110"/>
      <c r="D208" s="110"/>
      <c r="E208" s="137">
        <f ca="1">HYPERLINK("#'"&amp;E$4&amp;"-Thn-"&amp;E$1&amp;"'!"&amp;ADDRESS(ROW()+2,6),SUBTOTAL(9,INDIRECT(ADDRESS(ROW()+1+2,COLUMN())&amp;":"&amp;ADDRESS(ROW()+$O208+$P208+2,COLUMN())))/($O208*4)*100)</f>
        <v>0</v>
      </c>
      <c r="F208" s="137">
        <f t="shared" ref="F208:M208" ca="1" si="69">HYPERLINK("#'"&amp;F$4&amp;"-Thn-"&amp;F$1&amp;"'!"&amp;ADDRESS(ROW()+2,6),SUBTOTAL(9,INDIRECT(ADDRESS(ROW()+1+2,COLUMN())&amp;":"&amp;ADDRESS(ROW()+$O208+$P208+2,COLUMN())))/($O208*4)*100)</f>
        <v>0</v>
      </c>
      <c r="G208" s="137">
        <f t="shared" ca="1" si="69"/>
        <v>0</v>
      </c>
      <c r="H208" s="137">
        <f t="shared" ca="1" si="69"/>
        <v>0</v>
      </c>
      <c r="I208" s="137">
        <f t="shared" ca="1" si="69"/>
        <v>0</v>
      </c>
      <c r="J208" s="137">
        <f t="shared" ca="1" si="69"/>
        <v>0</v>
      </c>
      <c r="K208" s="137">
        <f t="shared" ca="1" si="69"/>
        <v>0</v>
      </c>
      <c r="L208" s="137">
        <f t="shared" ca="1" si="69"/>
        <v>0</v>
      </c>
      <c r="M208" s="143">
        <f t="shared" ca="1" si="69"/>
        <v>0</v>
      </c>
      <c r="O208" s="108">
        <f>SUBTOTAL(9,O211:O215)</f>
        <v>3</v>
      </c>
      <c r="P208" s="108">
        <v>3</v>
      </c>
    </row>
    <row r="209" spans="2:16" s="1" customFormat="1" hidden="1">
      <c r="B209" s="368" t="s">
        <v>19</v>
      </c>
      <c r="C209" s="370" t="s">
        <v>18</v>
      </c>
      <c r="D209" s="371"/>
      <c r="E209" s="131"/>
      <c r="F209" s="131"/>
      <c r="G209" s="131"/>
      <c r="H209" s="131"/>
      <c r="I209" s="131"/>
      <c r="J209" s="131"/>
      <c r="K209" s="131"/>
      <c r="L209" s="131"/>
      <c r="M209" s="132"/>
    </row>
    <row r="210" spans="2:16" hidden="1">
      <c r="B210" s="369"/>
      <c r="C210" s="372"/>
      <c r="D210" s="373"/>
      <c r="E210" s="119"/>
      <c r="F210" s="119"/>
      <c r="G210" s="119"/>
      <c r="H210" s="119"/>
      <c r="I210" s="119"/>
      <c r="J210" s="119"/>
      <c r="K210" s="119"/>
      <c r="L210" s="119"/>
      <c r="M210" s="120"/>
    </row>
    <row r="211" spans="2:16">
      <c r="B211" s="38" t="s">
        <v>363</v>
      </c>
      <c r="C211" s="378" t="s">
        <v>361</v>
      </c>
      <c r="D211" s="379"/>
      <c r="E211" s="140">
        <f ca="1">HYPERLINK("#'"&amp;E$4&amp;"-Thn-"&amp;E$1&amp;"'!"&amp;ADDRESS(ROW()+1,6),SUBTOTAL(9,INDIRECT(ADDRESS(ROW()+1,COLUMN())&amp;":"&amp;ADDRESS(ROW()+$O211,COLUMN())))/($O211*4)*100)</f>
        <v>0</v>
      </c>
      <c r="F211" s="140">
        <f t="shared" ref="F211:M211" ca="1" si="70">HYPERLINK("#'"&amp;F$4&amp;"-Thn-"&amp;F$1&amp;"'!"&amp;ADDRESS(ROW()+1,6),SUBTOTAL(9,INDIRECT(ADDRESS(ROW()+1,COLUMN())&amp;":"&amp;ADDRESS(ROW()+$O211,COLUMN())))/($O211*4)*100)</f>
        <v>0</v>
      </c>
      <c r="G211" s="140">
        <f t="shared" ca="1" si="70"/>
        <v>0</v>
      </c>
      <c r="H211" s="140">
        <f t="shared" ca="1" si="70"/>
        <v>0</v>
      </c>
      <c r="I211" s="140">
        <f t="shared" ca="1" si="70"/>
        <v>0</v>
      </c>
      <c r="J211" s="140">
        <f t="shared" ca="1" si="70"/>
        <v>0</v>
      </c>
      <c r="K211" s="140">
        <f t="shared" ca="1" si="70"/>
        <v>0</v>
      </c>
      <c r="L211" s="140">
        <f t="shared" ca="1" si="70"/>
        <v>0</v>
      </c>
      <c r="M211" s="144">
        <f t="shared" ca="1" si="70"/>
        <v>0</v>
      </c>
      <c r="O211">
        <v>1</v>
      </c>
    </row>
    <row r="212" spans="2:16" s="1" customFormat="1" ht="51">
      <c r="B212" s="6"/>
      <c r="C212" s="5"/>
      <c r="D212" s="64" t="s">
        <v>362</v>
      </c>
      <c r="E212" s="121">
        <f t="shared" ref="E212:M212" ca="1" si="71">HYPERLINK("#'"&amp;E$4&amp;"-Thn-"&amp;E$1&amp;"'!"&amp;ADDRESS(ROW(),6),IF(ISERROR(INDIRECT(ADDRESS(ROW(),6,1,1,E$4&amp;"-Thn-"&amp;E$1))),"~",INDIRECT(ADDRESS(ROW(),6,1,1,E$4&amp;"-Thn-"&amp;E$1))))</f>
        <v>0</v>
      </c>
      <c r="F212" s="121">
        <f t="shared" ca="1" si="71"/>
        <v>0</v>
      </c>
      <c r="G212" s="121">
        <f t="shared" ca="1" si="71"/>
        <v>0</v>
      </c>
      <c r="H212" s="121">
        <f t="shared" ca="1" si="71"/>
        <v>0</v>
      </c>
      <c r="I212" s="121">
        <f t="shared" ca="1" si="71"/>
        <v>0</v>
      </c>
      <c r="J212" s="121">
        <f t="shared" ca="1" si="71"/>
        <v>0</v>
      </c>
      <c r="K212" s="121">
        <f t="shared" ca="1" si="71"/>
        <v>0</v>
      </c>
      <c r="L212" s="121">
        <f t="shared" ca="1" si="71"/>
        <v>0</v>
      </c>
      <c r="M212" s="122">
        <f t="shared" ca="1" si="71"/>
        <v>0</v>
      </c>
    </row>
    <row r="213" spans="2:16">
      <c r="B213" s="38" t="s">
        <v>364</v>
      </c>
      <c r="C213" s="378" t="s">
        <v>366</v>
      </c>
      <c r="D213" s="379"/>
      <c r="E213" s="140">
        <f ca="1">HYPERLINK("#'"&amp;E$4&amp;"-Thn-"&amp;E$1&amp;"'!"&amp;ADDRESS(ROW()+1,6),SUBTOTAL(9,INDIRECT(ADDRESS(ROW()+1,COLUMN())&amp;":"&amp;ADDRESS(ROW()+$O213,COLUMN())))/($O213*4)*100)</f>
        <v>0</v>
      </c>
      <c r="F213" s="140">
        <f t="shared" ref="F213:M213" ca="1" si="72">HYPERLINK("#'"&amp;F$4&amp;"-Thn-"&amp;F$1&amp;"'!"&amp;ADDRESS(ROW()+1,6),SUBTOTAL(9,INDIRECT(ADDRESS(ROW()+1,COLUMN())&amp;":"&amp;ADDRESS(ROW()+$O213,COLUMN())))/($O213*4)*100)</f>
        <v>0</v>
      </c>
      <c r="G213" s="140">
        <f t="shared" ca="1" si="72"/>
        <v>0</v>
      </c>
      <c r="H213" s="140">
        <f t="shared" ca="1" si="72"/>
        <v>0</v>
      </c>
      <c r="I213" s="140">
        <f t="shared" ca="1" si="72"/>
        <v>0</v>
      </c>
      <c r="J213" s="140">
        <f t="shared" ca="1" si="72"/>
        <v>0</v>
      </c>
      <c r="K213" s="140">
        <f t="shared" ca="1" si="72"/>
        <v>0</v>
      </c>
      <c r="L213" s="140">
        <f t="shared" ca="1" si="72"/>
        <v>0</v>
      </c>
      <c r="M213" s="144">
        <f t="shared" ca="1" si="72"/>
        <v>0</v>
      </c>
      <c r="O213">
        <v>1</v>
      </c>
    </row>
    <row r="214" spans="2:16" s="1" customFormat="1" ht="63.75">
      <c r="B214" s="6"/>
      <c r="C214" s="5"/>
      <c r="D214" s="64" t="s">
        <v>365</v>
      </c>
      <c r="E214" s="121">
        <f t="shared" ref="E214:M214" ca="1" si="73">HYPERLINK("#'"&amp;E$4&amp;"-Thn-"&amp;E$1&amp;"'!"&amp;ADDRESS(ROW(),6),IF(ISERROR(INDIRECT(ADDRESS(ROW(),6,1,1,E$4&amp;"-Thn-"&amp;E$1))),"~",INDIRECT(ADDRESS(ROW(),6,1,1,E$4&amp;"-Thn-"&amp;E$1))))</f>
        <v>0</v>
      </c>
      <c r="F214" s="121">
        <f t="shared" ca="1" si="73"/>
        <v>0</v>
      </c>
      <c r="G214" s="121">
        <f t="shared" ca="1" si="73"/>
        <v>0</v>
      </c>
      <c r="H214" s="121">
        <f t="shared" ca="1" si="73"/>
        <v>0</v>
      </c>
      <c r="I214" s="121">
        <f t="shared" ca="1" si="73"/>
        <v>0</v>
      </c>
      <c r="J214" s="121">
        <f t="shared" ca="1" si="73"/>
        <v>0</v>
      </c>
      <c r="K214" s="121">
        <f t="shared" ca="1" si="73"/>
        <v>0</v>
      </c>
      <c r="L214" s="121">
        <f t="shared" ca="1" si="73"/>
        <v>0</v>
      </c>
      <c r="M214" s="122">
        <f t="shared" ca="1" si="73"/>
        <v>0</v>
      </c>
    </row>
    <row r="215" spans="2:16">
      <c r="B215" s="38" t="s">
        <v>364</v>
      </c>
      <c r="C215" s="378" t="s">
        <v>367</v>
      </c>
      <c r="D215" s="379"/>
      <c r="E215" s="140">
        <f ca="1">HYPERLINK("#'"&amp;E$4&amp;"-Thn-"&amp;E$1&amp;"'!"&amp;ADDRESS(ROW()+1,6),SUBTOTAL(9,INDIRECT(ADDRESS(ROW()+1,COLUMN())&amp;":"&amp;ADDRESS(ROW()+$O215,COLUMN())))/($O215*4)*100)</f>
        <v>0</v>
      </c>
      <c r="F215" s="140">
        <f t="shared" ref="F215:M215" ca="1" si="74">HYPERLINK("#'"&amp;F$4&amp;"-Thn-"&amp;F$1&amp;"'!"&amp;ADDRESS(ROW()+1,6),SUBTOTAL(9,INDIRECT(ADDRESS(ROW()+1,COLUMN())&amp;":"&amp;ADDRESS(ROW()+$O215,COLUMN())))/($O215*4)*100)</f>
        <v>0</v>
      </c>
      <c r="G215" s="140">
        <f t="shared" ca="1" si="74"/>
        <v>0</v>
      </c>
      <c r="H215" s="140">
        <f t="shared" ca="1" si="74"/>
        <v>0</v>
      </c>
      <c r="I215" s="140">
        <f t="shared" ca="1" si="74"/>
        <v>0</v>
      </c>
      <c r="J215" s="140">
        <f t="shared" ca="1" si="74"/>
        <v>0</v>
      </c>
      <c r="K215" s="140">
        <f t="shared" ca="1" si="74"/>
        <v>0</v>
      </c>
      <c r="L215" s="140">
        <f t="shared" ca="1" si="74"/>
        <v>0</v>
      </c>
      <c r="M215" s="144">
        <f t="shared" ca="1" si="74"/>
        <v>0</v>
      </c>
      <c r="O215">
        <v>1</v>
      </c>
    </row>
    <row r="216" spans="2:16" s="1" customFormat="1" ht="51">
      <c r="B216" s="111"/>
      <c r="C216" s="112"/>
      <c r="D216" s="115" t="s">
        <v>362</v>
      </c>
      <c r="E216" s="123">
        <f t="shared" ref="E216:M216" ca="1" si="75">HYPERLINK("#'"&amp;E$4&amp;"-Thn-"&amp;E$1&amp;"'!"&amp;ADDRESS(ROW(),6),IF(ISERROR(INDIRECT(ADDRESS(ROW(),6,1,1,E$4&amp;"-Thn-"&amp;E$1))),"~",INDIRECT(ADDRESS(ROW(),6,1,1,E$4&amp;"-Thn-"&amp;E$1))))</f>
        <v>0</v>
      </c>
      <c r="F216" s="123">
        <f t="shared" ca="1" si="75"/>
        <v>0</v>
      </c>
      <c r="G216" s="123">
        <f t="shared" ca="1" si="75"/>
        <v>0</v>
      </c>
      <c r="H216" s="123">
        <f t="shared" ca="1" si="75"/>
        <v>0</v>
      </c>
      <c r="I216" s="123">
        <f t="shared" ca="1" si="75"/>
        <v>0</v>
      </c>
      <c r="J216" s="123">
        <f t="shared" ca="1" si="75"/>
        <v>0</v>
      </c>
      <c r="K216" s="123">
        <f t="shared" ca="1" si="75"/>
        <v>0</v>
      </c>
      <c r="L216" s="123">
        <f t="shared" ca="1" si="75"/>
        <v>0</v>
      </c>
      <c r="M216" s="124">
        <f t="shared" ca="1" si="75"/>
        <v>0</v>
      </c>
    </row>
    <row r="217" spans="2:16" ht="15.75" hidden="1">
      <c r="B217" s="71">
        <v>3</v>
      </c>
      <c r="C217" s="350" t="s">
        <v>0</v>
      </c>
      <c r="D217" s="351"/>
      <c r="E217" s="125"/>
      <c r="F217" s="125"/>
      <c r="G217" s="125"/>
      <c r="H217" s="125"/>
      <c r="I217" s="125"/>
      <c r="J217" s="125"/>
      <c r="K217" s="125"/>
      <c r="L217" s="125"/>
      <c r="M217" s="126"/>
    </row>
    <row r="218" spans="2:16" ht="15.75" hidden="1">
      <c r="B218" s="346" t="s">
        <v>399</v>
      </c>
      <c r="C218" s="347"/>
      <c r="D218" s="347"/>
      <c r="E218" s="129"/>
      <c r="F218" s="129"/>
      <c r="G218" s="129"/>
      <c r="H218" s="129"/>
      <c r="I218" s="129"/>
      <c r="J218" s="129"/>
      <c r="K218" s="129"/>
      <c r="L218" s="129"/>
      <c r="M218" s="130"/>
    </row>
    <row r="219" spans="2:16" hidden="1">
      <c r="E219" s="43"/>
      <c r="F219" s="43"/>
      <c r="G219" s="43"/>
      <c r="H219" s="43"/>
      <c r="I219" s="43"/>
      <c r="J219" s="43"/>
      <c r="K219" s="43"/>
      <c r="L219" s="43"/>
      <c r="M219" s="43"/>
    </row>
    <row r="220" spans="2:16">
      <c r="E220" s="43"/>
      <c r="F220" s="43"/>
      <c r="G220" s="43"/>
      <c r="H220" s="43"/>
      <c r="I220" s="43"/>
      <c r="J220" s="43"/>
      <c r="K220" s="43"/>
      <c r="L220" s="43"/>
      <c r="M220" s="43"/>
    </row>
    <row r="221" spans="2:16" s="108" customFormat="1" ht="18">
      <c r="B221" s="109" t="s">
        <v>419</v>
      </c>
      <c r="C221" s="110"/>
      <c r="D221" s="110"/>
      <c r="E221" s="137">
        <f ca="1">HYPERLINK("#'"&amp;E$4&amp;"-Thn-"&amp;E$1&amp;"'!"&amp;ADDRESS(ROW()+2,6),SUBTOTAL(9,INDIRECT(ADDRESS(ROW()+1+2,COLUMN())&amp;":"&amp;ADDRESS(ROW()+$O221+$P221+2,COLUMN())))/($O221*4)*100)</f>
        <v>0</v>
      </c>
      <c r="F221" s="137">
        <f t="shared" ref="F221:M221" ca="1" si="76">HYPERLINK("#'"&amp;F$4&amp;"-Thn-"&amp;F$1&amp;"'!"&amp;ADDRESS(ROW()+2,6),SUBTOTAL(9,INDIRECT(ADDRESS(ROW()+1+2,COLUMN())&amp;":"&amp;ADDRESS(ROW()+$O221+$P221+2,COLUMN())))/($O221*4)*100)</f>
        <v>0</v>
      </c>
      <c r="G221" s="137">
        <f t="shared" ca="1" si="76"/>
        <v>0</v>
      </c>
      <c r="H221" s="137">
        <f t="shared" ca="1" si="76"/>
        <v>0</v>
      </c>
      <c r="I221" s="137">
        <f t="shared" ca="1" si="76"/>
        <v>0</v>
      </c>
      <c r="J221" s="137">
        <f t="shared" ca="1" si="76"/>
        <v>0</v>
      </c>
      <c r="K221" s="137">
        <f t="shared" ca="1" si="76"/>
        <v>0</v>
      </c>
      <c r="L221" s="137">
        <f t="shared" ca="1" si="76"/>
        <v>0</v>
      </c>
      <c r="M221" s="143">
        <f t="shared" ca="1" si="76"/>
        <v>0</v>
      </c>
      <c r="O221" s="108">
        <f>SUBTOTAL(9,O224:O232)</f>
        <v>5</v>
      </c>
      <c r="P221" s="108">
        <v>7</v>
      </c>
    </row>
    <row r="222" spans="2:16" s="1" customFormat="1" hidden="1">
      <c r="B222" s="368" t="s">
        <v>19</v>
      </c>
      <c r="C222" s="370" t="s">
        <v>18</v>
      </c>
      <c r="D222" s="371"/>
      <c r="E222" s="131"/>
      <c r="F222" s="131"/>
      <c r="G222" s="131"/>
      <c r="H222" s="131"/>
      <c r="I222" s="131"/>
      <c r="J222" s="131"/>
      <c r="K222" s="131"/>
      <c r="L222" s="131"/>
      <c r="M222" s="132"/>
    </row>
    <row r="223" spans="2:16" hidden="1">
      <c r="B223" s="369"/>
      <c r="C223" s="372"/>
      <c r="D223" s="373"/>
      <c r="E223" s="119"/>
      <c r="F223" s="119"/>
      <c r="G223" s="119"/>
      <c r="H223" s="119"/>
      <c r="I223" s="119"/>
      <c r="J223" s="119"/>
      <c r="K223" s="119"/>
      <c r="L223" s="119"/>
      <c r="M223" s="120"/>
    </row>
    <row r="224" spans="2:16">
      <c r="B224" s="38" t="s">
        <v>371</v>
      </c>
      <c r="C224" s="378" t="s">
        <v>368</v>
      </c>
      <c r="D224" s="379"/>
      <c r="E224" s="140">
        <f ca="1">HYPERLINK("#'"&amp;E$4&amp;"-Thn-"&amp;E$1&amp;"'!"&amp;ADDRESS(ROW()+1,6),SUBTOTAL(9,INDIRECT(ADDRESS(ROW()+1,COLUMN())&amp;":"&amp;ADDRESS(ROW()+$O224,COLUMN())))/($O224*4)*100)</f>
        <v>0</v>
      </c>
      <c r="F224" s="140">
        <f t="shared" ref="F224:M224" ca="1" si="77">HYPERLINK("#'"&amp;F$4&amp;"-Thn-"&amp;F$1&amp;"'!"&amp;ADDRESS(ROW()+1,6),SUBTOTAL(9,INDIRECT(ADDRESS(ROW()+1,COLUMN())&amp;":"&amp;ADDRESS(ROW()+$O224,COLUMN())))/($O224*4)*100)</f>
        <v>0</v>
      </c>
      <c r="G224" s="140">
        <f t="shared" ca="1" si="77"/>
        <v>0</v>
      </c>
      <c r="H224" s="140">
        <f t="shared" ca="1" si="77"/>
        <v>0</v>
      </c>
      <c r="I224" s="140">
        <f t="shared" ca="1" si="77"/>
        <v>0</v>
      </c>
      <c r="J224" s="140">
        <f t="shared" ca="1" si="77"/>
        <v>0</v>
      </c>
      <c r="K224" s="140">
        <f t="shared" ca="1" si="77"/>
        <v>0</v>
      </c>
      <c r="L224" s="140">
        <f t="shared" ca="1" si="77"/>
        <v>0</v>
      </c>
      <c r="M224" s="144">
        <f t="shared" ca="1" si="77"/>
        <v>0</v>
      </c>
      <c r="O224">
        <v>1</v>
      </c>
    </row>
    <row r="225" spans="2:15" s="1" customFormat="1" ht="51">
      <c r="B225" s="6"/>
      <c r="C225" s="5"/>
      <c r="D225" s="64" t="s">
        <v>369</v>
      </c>
      <c r="E225" s="121">
        <f t="shared" ref="E225:M225" ca="1" si="78">HYPERLINK("#'"&amp;E$4&amp;"-Thn-"&amp;E$1&amp;"'!"&amp;ADDRESS(ROW(),6),IF(ISERROR(INDIRECT(ADDRESS(ROW(),6,1,1,E$4&amp;"-Thn-"&amp;E$1))),"~",INDIRECT(ADDRESS(ROW(),6,1,1,E$4&amp;"-Thn-"&amp;E$1))))</f>
        <v>0</v>
      </c>
      <c r="F225" s="121">
        <f t="shared" ca="1" si="78"/>
        <v>0</v>
      </c>
      <c r="G225" s="121">
        <f t="shared" ca="1" si="78"/>
        <v>0</v>
      </c>
      <c r="H225" s="121">
        <f t="shared" ca="1" si="78"/>
        <v>0</v>
      </c>
      <c r="I225" s="121">
        <f t="shared" ca="1" si="78"/>
        <v>0</v>
      </c>
      <c r="J225" s="121">
        <f t="shared" ca="1" si="78"/>
        <v>0</v>
      </c>
      <c r="K225" s="121">
        <f t="shared" ca="1" si="78"/>
        <v>0</v>
      </c>
      <c r="L225" s="121">
        <f t="shared" ca="1" si="78"/>
        <v>0</v>
      </c>
      <c r="M225" s="122">
        <f t="shared" ca="1" si="78"/>
        <v>0</v>
      </c>
    </row>
    <row r="226" spans="2:15">
      <c r="B226" s="38" t="s">
        <v>372</v>
      </c>
      <c r="C226" s="378" t="s">
        <v>370</v>
      </c>
      <c r="D226" s="379"/>
      <c r="E226" s="140">
        <f ca="1">HYPERLINK("#'"&amp;E$4&amp;"-Thn-"&amp;E$1&amp;"'!"&amp;ADDRESS(ROW()+1,6),SUBTOTAL(9,INDIRECT(ADDRESS(ROW()+1,COLUMN())&amp;":"&amp;ADDRESS(ROW()+$O226,COLUMN())))/($O226*4)*100)</f>
        <v>0</v>
      </c>
      <c r="F226" s="140">
        <f t="shared" ref="F226:M226" ca="1" si="79">HYPERLINK("#'"&amp;F$4&amp;"-Thn-"&amp;F$1&amp;"'!"&amp;ADDRESS(ROW()+1,6),SUBTOTAL(9,INDIRECT(ADDRESS(ROW()+1,COLUMN())&amp;":"&amp;ADDRESS(ROW()+$O226,COLUMN())))/($O226*4)*100)</f>
        <v>0</v>
      </c>
      <c r="G226" s="140">
        <f t="shared" ca="1" si="79"/>
        <v>0</v>
      </c>
      <c r="H226" s="140">
        <f t="shared" ca="1" si="79"/>
        <v>0</v>
      </c>
      <c r="I226" s="140">
        <f t="shared" ca="1" si="79"/>
        <v>0</v>
      </c>
      <c r="J226" s="140">
        <f t="shared" ca="1" si="79"/>
        <v>0</v>
      </c>
      <c r="K226" s="140">
        <f t="shared" ca="1" si="79"/>
        <v>0</v>
      </c>
      <c r="L226" s="140">
        <f t="shared" ca="1" si="79"/>
        <v>0</v>
      </c>
      <c r="M226" s="144">
        <f t="shared" ca="1" si="79"/>
        <v>0</v>
      </c>
      <c r="O226">
        <v>1</v>
      </c>
    </row>
    <row r="227" spans="2:15" s="1" customFormat="1" ht="51">
      <c r="B227" s="6"/>
      <c r="C227" s="5"/>
      <c r="D227" s="64" t="s">
        <v>493</v>
      </c>
      <c r="E227" s="121">
        <f t="shared" ref="E227:M227" ca="1" si="80">HYPERLINK("#'"&amp;E$4&amp;"-Thn-"&amp;E$1&amp;"'!"&amp;ADDRESS(ROW(),6),IF(ISERROR(INDIRECT(ADDRESS(ROW(),6,1,1,E$4&amp;"-Thn-"&amp;E$1))),"~",INDIRECT(ADDRESS(ROW(),6,1,1,E$4&amp;"-Thn-"&amp;E$1))))</f>
        <v>0</v>
      </c>
      <c r="F227" s="121">
        <f t="shared" ca="1" si="80"/>
        <v>0</v>
      </c>
      <c r="G227" s="121">
        <f t="shared" ca="1" si="80"/>
        <v>0</v>
      </c>
      <c r="H227" s="121">
        <f t="shared" ca="1" si="80"/>
        <v>0</v>
      </c>
      <c r="I227" s="121">
        <f t="shared" ca="1" si="80"/>
        <v>0</v>
      </c>
      <c r="J227" s="121">
        <f t="shared" ca="1" si="80"/>
        <v>0</v>
      </c>
      <c r="K227" s="121">
        <f t="shared" ca="1" si="80"/>
        <v>0</v>
      </c>
      <c r="L227" s="121">
        <f t="shared" ca="1" si="80"/>
        <v>0</v>
      </c>
      <c r="M227" s="122">
        <f t="shared" ca="1" si="80"/>
        <v>0</v>
      </c>
    </row>
    <row r="228" spans="2:15">
      <c r="B228" s="38" t="s">
        <v>376</v>
      </c>
      <c r="C228" s="378" t="s">
        <v>375</v>
      </c>
      <c r="D228" s="379"/>
      <c r="E228" s="140">
        <f ca="1">HYPERLINK("#'"&amp;E$4&amp;"-Thn-"&amp;E$1&amp;"'!"&amp;ADDRESS(ROW()+1,6),SUBTOTAL(9,INDIRECT(ADDRESS(ROW()+1,COLUMN())&amp;":"&amp;ADDRESS(ROW()+$O228,COLUMN())))/($O228*4)*100)</f>
        <v>0</v>
      </c>
      <c r="F228" s="140">
        <f t="shared" ref="F228:M228" ca="1" si="81">HYPERLINK("#'"&amp;F$4&amp;"-Thn-"&amp;F$1&amp;"'!"&amp;ADDRESS(ROW()+1,6),SUBTOTAL(9,INDIRECT(ADDRESS(ROW()+1,COLUMN())&amp;":"&amp;ADDRESS(ROW()+$O228,COLUMN())))/($O228*4)*100)</f>
        <v>0</v>
      </c>
      <c r="G228" s="140">
        <f t="shared" ca="1" si="81"/>
        <v>0</v>
      </c>
      <c r="H228" s="140">
        <f t="shared" ca="1" si="81"/>
        <v>0</v>
      </c>
      <c r="I228" s="140">
        <f t="shared" ca="1" si="81"/>
        <v>0</v>
      </c>
      <c r="J228" s="140">
        <f t="shared" ca="1" si="81"/>
        <v>0</v>
      </c>
      <c r="K228" s="140">
        <f t="shared" ca="1" si="81"/>
        <v>0</v>
      </c>
      <c r="L228" s="140">
        <f t="shared" ca="1" si="81"/>
        <v>0</v>
      </c>
      <c r="M228" s="144">
        <f t="shared" ca="1" si="81"/>
        <v>0</v>
      </c>
      <c r="O228">
        <v>1</v>
      </c>
    </row>
    <row r="229" spans="2:15" s="1" customFormat="1" ht="51">
      <c r="B229" s="6"/>
      <c r="C229" s="5"/>
      <c r="D229" s="64" t="s">
        <v>492</v>
      </c>
      <c r="E229" s="121">
        <f t="shared" ref="E229:M229" ca="1" si="82">HYPERLINK("#'"&amp;E$4&amp;"-Thn-"&amp;E$1&amp;"'!"&amp;ADDRESS(ROW(),6),IF(ISERROR(INDIRECT(ADDRESS(ROW(),6,1,1,E$4&amp;"-Thn-"&amp;E$1))),"~",INDIRECT(ADDRESS(ROW(),6,1,1,E$4&amp;"-Thn-"&amp;E$1))))</f>
        <v>0</v>
      </c>
      <c r="F229" s="121">
        <f t="shared" ca="1" si="82"/>
        <v>0</v>
      </c>
      <c r="G229" s="121">
        <f t="shared" ca="1" si="82"/>
        <v>0</v>
      </c>
      <c r="H229" s="121">
        <f t="shared" ca="1" si="82"/>
        <v>0</v>
      </c>
      <c r="I229" s="121">
        <f t="shared" ca="1" si="82"/>
        <v>0</v>
      </c>
      <c r="J229" s="121">
        <f t="shared" ca="1" si="82"/>
        <v>0</v>
      </c>
      <c r="K229" s="121">
        <f t="shared" ca="1" si="82"/>
        <v>0</v>
      </c>
      <c r="L229" s="121">
        <f t="shared" ca="1" si="82"/>
        <v>0</v>
      </c>
      <c r="M229" s="122">
        <f t="shared" ca="1" si="82"/>
        <v>0</v>
      </c>
    </row>
    <row r="230" spans="2:15">
      <c r="B230" s="38" t="s">
        <v>377</v>
      </c>
      <c r="C230" s="378" t="s">
        <v>380</v>
      </c>
      <c r="D230" s="379"/>
      <c r="E230" s="140">
        <f ca="1">HYPERLINK("#'"&amp;E$4&amp;"-Thn-"&amp;E$1&amp;"'!"&amp;ADDRESS(ROW()+1,6),SUBTOTAL(9,INDIRECT(ADDRESS(ROW()+1,COLUMN())&amp;":"&amp;ADDRESS(ROW()+$O230,COLUMN())))/($O230*4)*100)</f>
        <v>0</v>
      </c>
      <c r="F230" s="140">
        <f t="shared" ref="F230:M230" ca="1" si="83">HYPERLINK("#'"&amp;F$4&amp;"-Thn-"&amp;F$1&amp;"'!"&amp;ADDRESS(ROW()+1,6),SUBTOTAL(9,INDIRECT(ADDRESS(ROW()+1,COLUMN())&amp;":"&amp;ADDRESS(ROW()+$O230,COLUMN())))/($O230*4)*100)</f>
        <v>0</v>
      </c>
      <c r="G230" s="140">
        <f t="shared" ca="1" si="83"/>
        <v>0</v>
      </c>
      <c r="H230" s="140">
        <f t="shared" ca="1" si="83"/>
        <v>0</v>
      </c>
      <c r="I230" s="140">
        <f t="shared" ca="1" si="83"/>
        <v>0</v>
      </c>
      <c r="J230" s="140">
        <f t="shared" ca="1" si="83"/>
        <v>0</v>
      </c>
      <c r="K230" s="140">
        <f t="shared" ca="1" si="83"/>
        <v>0</v>
      </c>
      <c r="L230" s="140">
        <f t="shared" ca="1" si="83"/>
        <v>0</v>
      </c>
      <c r="M230" s="144">
        <f t="shared" ca="1" si="83"/>
        <v>0</v>
      </c>
      <c r="O230">
        <v>1</v>
      </c>
    </row>
    <row r="231" spans="2:15" s="1" customFormat="1" ht="51">
      <c r="B231" s="6"/>
      <c r="C231" s="5"/>
      <c r="D231" s="64" t="s">
        <v>491</v>
      </c>
      <c r="E231" s="121">
        <f t="shared" ref="E231:M231" ca="1" si="84">HYPERLINK("#'"&amp;E$4&amp;"-Thn-"&amp;E$1&amp;"'!"&amp;ADDRESS(ROW(),6),IF(ISERROR(INDIRECT(ADDRESS(ROW(),6,1,1,E$4&amp;"-Thn-"&amp;E$1))),"~",INDIRECT(ADDRESS(ROW(),6,1,1,E$4&amp;"-Thn-"&amp;E$1))))</f>
        <v>0</v>
      </c>
      <c r="F231" s="121">
        <f t="shared" ca="1" si="84"/>
        <v>0</v>
      </c>
      <c r="G231" s="121">
        <f t="shared" ca="1" si="84"/>
        <v>0</v>
      </c>
      <c r="H231" s="121">
        <f t="shared" ca="1" si="84"/>
        <v>0</v>
      </c>
      <c r="I231" s="121">
        <f t="shared" ca="1" si="84"/>
        <v>0</v>
      </c>
      <c r="J231" s="121">
        <f t="shared" ca="1" si="84"/>
        <v>0</v>
      </c>
      <c r="K231" s="121">
        <f t="shared" ca="1" si="84"/>
        <v>0</v>
      </c>
      <c r="L231" s="121">
        <f t="shared" ca="1" si="84"/>
        <v>0</v>
      </c>
      <c r="M231" s="122">
        <f t="shared" ca="1" si="84"/>
        <v>0</v>
      </c>
    </row>
    <row r="232" spans="2:15">
      <c r="B232" s="38" t="s">
        <v>378</v>
      </c>
      <c r="C232" s="378" t="s">
        <v>382</v>
      </c>
      <c r="D232" s="379"/>
      <c r="E232" s="140">
        <f ca="1">HYPERLINK("#'"&amp;E$4&amp;"-Thn-"&amp;E$1&amp;"'!"&amp;ADDRESS(ROW()+1,6),SUBTOTAL(9,INDIRECT(ADDRESS(ROW()+1,COLUMN())&amp;":"&amp;ADDRESS(ROW()+$O232,COLUMN())))/($O232*4)*100)</f>
        <v>0</v>
      </c>
      <c r="F232" s="140">
        <f t="shared" ref="F232:M232" ca="1" si="85">HYPERLINK("#'"&amp;F$4&amp;"-Thn-"&amp;F$1&amp;"'!"&amp;ADDRESS(ROW()+1,6),SUBTOTAL(9,INDIRECT(ADDRESS(ROW()+1,COLUMN())&amp;":"&amp;ADDRESS(ROW()+$O232,COLUMN())))/($O232*4)*100)</f>
        <v>0</v>
      </c>
      <c r="G232" s="140">
        <f t="shared" ca="1" si="85"/>
        <v>0</v>
      </c>
      <c r="H232" s="140">
        <f t="shared" ca="1" si="85"/>
        <v>0</v>
      </c>
      <c r="I232" s="140">
        <f t="shared" ca="1" si="85"/>
        <v>0</v>
      </c>
      <c r="J232" s="140">
        <f t="shared" ca="1" si="85"/>
        <v>0</v>
      </c>
      <c r="K232" s="140">
        <f t="shared" ca="1" si="85"/>
        <v>0</v>
      </c>
      <c r="L232" s="140">
        <f t="shared" ca="1" si="85"/>
        <v>0</v>
      </c>
      <c r="M232" s="144">
        <f t="shared" ca="1" si="85"/>
        <v>0</v>
      </c>
      <c r="O232">
        <v>1</v>
      </c>
    </row>
    <row r="233" spans="2:15" s="1" customFormat="1" ht="51">
      <c r="B233" s="6"/>
      <c r="C233" s="5"/>
      <c r="D233" s="64" t="s">
        <v>490</v>
      </c>
      <c r="E233" s="121">
        <f t="shared" ref="E233:M233" ca="1" si="86">HYPERLINK("#'"&amp;E$4&amp;"-Thn-"&amp;E$1&amp;"'!"&amp;ADDRESS(ROW(),6),IF(ISERROR(INDIRECT(ADDRESS(ROW(),6,1,1,E$4&amp;"-Thn-"&amp;E$1))),"~",INDIRECT(ADDRESS(ROW(),6,1,1,E$4&amp;"-Thn-"&amp;E$1))))</f>
        <v>0</v>
      </c>
      <c r="F233" s="121">
        <f t="shared" ca="1" si="86"/>
        <v>0</v>
      </c>
      <c r="G233" s="121">
        <f t="shared" ca="1" si="86"/>
        <v>0</v>
      </c>
      <c r="H233" s="121">
        <f t="shared" ca="1" si="86"/>
        <v>0</v>
      </c>
      <c r="I233" s="121">
        <f t="shared" ca="1" si="86"/>
        <v>0</v>
      </c>
      <c r="J233" s="121">
        <f t="shared" ca="1" si="86"/>
        <v>0</v>
      </c>
      <c r="K233" s="121">
        <f t="shared" ca="1" si="86"/>
        <v>0</v>
      </c>
      <c r="L233" s="121">
        <f t="shared" ca="1" si="86"/>
        <v>0</v>
      </c>
      <c r="M233" s="122">
        <f t="shared" ca="1" si="86"/>
        <v>0</v>
      </c>
    </row>
    <row r="234" spans="2:15">
      <c r="B234" s="38" t="s">
        <v>470</v>
      </c>
      <c r="C234" s="378" t="s">
        <v>472</v>
      </c>
      <c r="D234" s="379"/>
      <c r="E234" s="140">
        <f ca="1">HYPERLINK("#'"&amp;E$4&amp;"-Thn-"&amp;E$1&amp;"'!"&amp;ADDRESS(ROW()+1,6),SUBTOTAL(9,INDIRECT(ADDRESS(ROW()+1,COLUMN())&amp;":"&amp;ADDRESS(ROW()+$O234,COLUMN())))/($O234*4)*100)</f>
        <v>0</v>
      </c>
      <c r="F234" s="140">
        <f t="shared" ref="F234:M234" ca="1" si="87">HYPERLINK("#'"&amp;F$4&amp;"-Thn-"&amp;F$1&amp;"'!"&amp;ADDRESS(ROW()+1,6),SUBTOTAL(9,INDIRECT(ADDRESS(ROW()+1,COLUMN())&amp;":"&amp;ADDRESS(ROW()+$O234,COLUMN())))/($O234*4)*100)</f>
        <v>0</v>
      </c>
      <c r="G234" s="140">
        <f t="shared" ca="1" si="87"/>
        <v>0</v>
      </c>
      <c r="H234" s="140">
        <f t="shared" ca="1" si="87"/>
        <v>0</v>
      </c>
      <c r="I234" s="140">
        <f t="shared" ca="1" si="87"/>
        <v>0</v>
      </c>
      <c r="J234" s="140">
        <f t="shared" ca="1" si="87"/>
        <v>0</v>
      </c>
      <c r="K234" s="140">
        <f t="shared" ca="1" si="87"/>
        <v>0</v>
      </c>
      <c r="L234" s="140">
        <f t="shared" ca="1" si="87"/>
        <v>0</v>
      </c>
      <c r="M234" s="144">
        <f t="shared" ca="1" si="87"/>
        <v>0</v>
      </c>
      <c r="O234">
        <v>1</v>
      </c>
    </row>
    <row r="235" spans="2:15" s="1" customFormat="1" ht="102">
      <c r="B235" s="6"/>
      <c r="C235" s="5"/>
      <c r="D235" s="64" t="s">
        <v>489</v>
      </c>
      <c r="E235" s="121">
        <f t="shared" ref="E235:M235" ca="1" si="88">HYPERLINK("#'"&amp;E$4&amp;"-Thn-"&amp;E$1&amp;"'!"&amp;ADDRESS(ROW(),6),IF(ISERROR(INDIRECT(ADDRESS(ROW(),6,1,1,E$4&amp;"-Thn-"&amp;E$1))),"~",INDIRECT(ADDRESS(ROW(),6,1,1,E$4&amp;"-Thn-"&amp;E$1))))</f>
        <v>0</v>
      </c>
      <c r="F235" s="121">
        <f t="shared" ca="1" si="88"/>
        <v>0</v>
      </c>
      <c r="G235" s="121">
        <f t="shared" ca="1" si="88"/>
        <v>0</v>
      </c>
      <c r="H235" s="121">
        <f t="shared" ca="1" si="88"/>
        <v>0</v>
      </c>
      <c r="I235" s="121">
        <f t="shared" ca="1" si="88"/>
        <v>0</v>
      </c>
      <c r="J235" s="121">
        <f t="shared" ca="1" si="88"/>
        <v>0</v>
      </c>
      <c r="K235" s="121">
        <f t="shared" ca="1" si="88"/>
        <v>0</v>
      </c>
      <c r="L235" s="121">
        <f t="shared" ca="1" si="88"/>
        <v>0</v>
      </c>
      <c r="M235" s="122">
        <f t="shared" ca="1" si="88"/>
        <v>0</v>
      </c>
    </row>
    <row r="236" spans="2:15">
      <c r="B236" s="38" t="s">
        <v>471</v>
      </c>
      <c r="C236" s="378" t="s">
        <v>473</v>
      </c>
      <c r="D236" s="379"/>
      <c r="E236" s="140">
        <f ca="1">HYPERLINK("#'"&amp;E$4&amp;"-Thn-"&amp;E$1&amp;"'!"&amp;ADDRESS(ROW()+1,6),SUBTOTAL(9,INDIRECT(ADDRESS(ROW()+1,COLUMN())&amp;":"&amp;ADDRESS(ROW()+$O236,COLUMN())))/($O236*4)*100)</f>
        <v>0</v>
      </c>
      <c r="F236" s="140">
        <f t="shared" ref="F236:M236" ca="1" si="89">HYPERLINK("#'"&amp;F$4&amp;"-Thn-"&amp;F$1&amp;"'!"&amp;ADDRESS(ROW()+1,6),SUBTOTAL(9,INDIRECT(ADDRESS(ROW()+1,COLUMN())&amp;":"&amp;ADDRESS(ROW()+$O236,COLUMN())))/($O236*4)*100)</f>
        <v>0</v>
      </c>
      <c r="G236" s="140">
        <f t="shared" ca="1" si="89"/>
        <v>0</v>
      </c>
      <c r="H236" s="140">
        <f t="shared" ca="1" si="89"/>
        <v>0</v>
      </c>
      <c r="I236" s="140">
        <f t="shared" ca="1" si="89"/>
        <v>0</v>
      </c>
      <c r="J236" s="140">
        <f t="shared" ca="1" si="89"/>
        <v>0</v>
      </c>
      <c r="K236" s="140">
        <f t="shared" ca="1" si="89"/>
        <v>0</v>
      </c>
      <c r="L236" s="140">
        <f t="shared" ca="1" si="89"/>
        <v>0</v>
      </c>
      <c r="M236" s="144">
        <f t="shared" ca="1" si="89"/>
        <v>0</v>
      </c>
      <c r="O236">
        <v>1</v>
      </c>
    </row>
    <row r="237" spans="2:15" s="1" customFormat="1" ht="140.25">
      <c r="B237" s="111"/>
      <c r="C237" s="112"/>
      <c r="D237" s="115" t="s">
        <v>476</v>
      </c>
      <c r="E237" s="123">
        <f t="shared" ref="E237:M237" ca="1" si="90">HYPERLINK("#'"&amp;E$4&amp;"-Thn-"&amp;E$1&amp;"'!"&amp;ADDRESS(ROW(),6),IF(ISERROR(INDIRECT(ADDRESS(ROW(),6,1,1,E$4&amp;"-Thn-"&amp;E$1))),"~",INDIRECT(ADDRESS(ROW(),6,1,1,E$4&amp;"-Thn-"&amp;E$1))))</f>
        <v>0</v>
      </c>
      <c r="F237" s="123">
        <f t="shared" ca="1" si="90"/>
        <v>0</v>
      </c>
      <c r="G237" s="123">
        <f t="shared" ca="1" si="90"/>
        <v>0</v>
      </c>
      <c r="H237" s="123">
        <f t="shared" ca="1" si="90"/>
        <v>0</v>
      </c>
      <c r="I237" s="123">
        <f t="shared" ca="1" si="90"/>
        <v>0</v>
      </c>
      <c r="J237" s="123">
        <f t="shared" ca="1" si="90"/>
        <v>0</v>
      </c>
      <c r="K237" s="123">
        <f t="shared" ca="1" si="90"/>
        <v>0</v>
      </c>
      <c r="L237" s="123">
        <f t="shared" ca="1" si="90"/>
        <v>0</v>
      </c>
      <c r="M237" s="124">
        <f t="shared" ca="1" si="90"/>
        <v>0</v>
      </c>
    </row>
    <row r="238" spans="2:15" ht="15.75" hidden="1">
      <c r="B238" s="71">
        <v>5</v>
      </c>
      <c r="C238" s="350" t="s">
        <v>0</v>
      </c>
      <c r="D238" s="351"/>
      <c r="E238" s="475"/>
      <c r="F238" s="475"/>
      <c r="G238" s="475"/>
      <c r="H238" s="475"/>
      <c r="I238" s="475"/>
      <c r="J238" s="475"/>
      <c r="K238" s="475"/>
      <c r="L238" s="475"/>
      <c r="M238" s="353"/>
    </row>
    <row r="239" spans="2:15" ht="15.75" hidden="1">
      <c r="B239" s="346" t="s">
        <v>400</v>
      </c>
      <c r="C239" s="347"/>
      <c r="D239" s="347"/>
      <c r="E239" s="474"/>
      <c r="F239" s="474"/>
      <c r="G239" s="474"/>
      <c r="H239" s="474"/>
      <c r="I239" s="474"/>
      <c r="J239" s="474"/>
      <c r="K239" s="474"/>
      <c r="L239" s="474"/>
      <c r="M239" s="349"/>
    </row>
    <row r="240" spans="2:15">
      <c r="E240" s="9"/>
    </row>
    <row r="241" spans="2:13" ht="15.75" hidden="1">
      <c r="B241" s="71">
        <v>115</v>
      </c>
      <c r="C241" s="350" t="s">
        <v>436</v>
      </c>
      <c r="D241" s="351"/>
      <c r="E241" s="372"/>
      <c r="F241" s="475"/>
      <c r="G241" s="475"/>
      <c r="H241" s="475"/>
      <c r="I241" s="475"/>
      <c r="J241" s="475"/>
      <c r="K241" s="475"/>
      <c r="L241" s="475"/>
      <c r="M241" s="353"/>
    </row>
    <row r="242" spans="2:13" ht="15.75" hidden="1">
      <c r="B242" s="90">
        <f>B241+12</f>
        <v>127</v>
      </c>
      <c r="C242" s="354" t="str">
        <f ca="1">IF(A1="4","Total NKET (Nilai Kinerja 4 Tahunan)","Total NKT (Nilai Kinerja Tahunan)"&amp;" Tahun Ke : " &amp; A1)</f>
        <v>Total NKT (Nilai Kinerja Tahunan) Tahun Ke : l</v>
      </c>
      <c r="D242" s="355"/>
      <c r="E242" s="474"/>
      <c r="F242" s="474"/>
      <c r="G242" s="474"/>
      <c r="H242" s="474"/>
      <c r="I242" s="474"/>
      <c r="J242" s="474"/>
      <c r="K242" s="474"/>
      <c r="L242" s="474"/>
      <c r="M242" s="349"/>
    </row>
    <row r="243" spans="2:13" hidden="1"/>
    <row r="244" spans="2:13" hidden="1"/>
    <row r="245" spans="2:13" hidden="1"/>
    <row r="246" spans="2:13" hidden="1"/>
    <row r="247" spans="2:13" hidden="1"/>
    <row r="248" spans="2:13" hidden="1"/>
    <row r="249" spans="2:13" hidden="1"/>
    <row r="250" spans="2:13" hidden="1"/>
    <row r="251" spans="2:13" hidden="1"/>
    <row r="252" spans="2:13" hidden="1"/>
    <row r="253" spans="2:13" hidden="1"/>
    <row r="254" spans="2:13" hidden="1"/>
    <row r="255" spans="2:13" hidden="1"/>
    <row r="256" spans="2:13"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sheetData>
  <sheetProtection sheet="1" objects="1" scenarios="1"/>
  <mergeCells count="88">
    <mergeCell ref="C242:D242"/>
    <mergeCell ref="E242:M242"/>
    <mergeCell ref="C224:D224"/>
    <mergeCell ref="C226:D226"/>
    <mergeCell ref="C228:D228"/>
    <mergeCell ref="C230:D230"/>
    <mergeCell ref="C232:D232"/>
    <mergeCell ref="C238:D238"/>
    <mergeCell ref="E238:M238"/>
    <mergeCell ref="B239:D239"/>
    <mergeCell ref="E239:M239"/>
    <mergeCell ref="C241:D241"/>
    <mergeCell ref="E241:M241"/>
    <mergeCell ref="B222:B223"/>
    <mergeCell ref="C222:D223"/>
    <mergeCell ref="C204:D204"/>
    <mergeCell ref="E204:M204"/>
    <mergeCell ref="B205:D205"/>
    <mergeCell ref="E205:M205"/>
    <mergeCell ref="B209:B210"/>
    <mergeCell ref="C209:D210"/>
    <mergeCell ref="C211:D211"/>
    <mergeCell ref="C213:D213"/>
    <mergeCell ref="C215:D215"/>
    <mergeCell ref="C217:D217"/>
    <mergeCell ref="B218:D218"/>
    <mergeCell ref="C202:D202"/>
    <mergeCell ref="C177:D177"/>
    <mergeCell ref="B178:D178"/>
    <mergeCell ref="B187:B188"/>
    <mergeCell ref="C187:D188"/>
    <mergeCell ref="C189:D189"/>
    <mergeCell ref="C191:D191"/>
    <mergeCell ref="C193:D193"/>
    <mergeCell ref="B194:D194"/>
    <mergeCell ref="B198:B199"/>
    <mergeCell ref="C198:D199"/>
    <mergeCell ref="C200:D200"/>
    <mergeCell ref="C172:D172"/>
    <mergeCell ref="C133:D133"/>
    <mergeCell ref="C138:D138"/>
    <mergeCell ref="C143:D143"/>
    <mergeCell ref="C147:D147"/>
    <mergeCell ref="C151:D151"/>
    <mergeCell ref="C156:D156"/>
    <mergeCell ref="B157:D157"/>
    <mergeCell ref="B161:B162"/>
    <mergeCell ref="C161:D162"/>
    <mergeCell ref="C163:D163"/>
    <mergeCell ref="C167:D167"/>
    <mergeCell ref="C117:D117"/>
    <mergeCell ref="C121:D121"/>
    <mergeCell ref="C126:D126"/>
    <mergeCell ref="B127:D127"/>
    <mergeCell ref="B131:B132"/>
    <mergeCell ref="C131:D132"/>
    <mergeCell ref="B42:D42"/>
    <mergeCell ref="B46:B47"/>
    <mergeCell ref="C46:D47"/>
    <mergeCell ref="C48:D48"/>
    <mergeCell ref="C112:D112"/>
    <mergeCell ref="C57:D57"/>
    <mergeCell ref="C62:D62"/>
    <mergeCell ref="C67:D67"/>
    <mergeCell ref="C72:D72"/>
    <mergeCell ref="C77:D77"/>
    <mergeCell ref="C82:D82"/>
    <mergeCell ref="C86:D86"/>
    <mergeCell ref="C91:D91"/>
    <mergeCell ref="C97:D97"/>
    <mergeCell ref="C102:D102"/>
    <mergeCell ref="C107:D107"/>
    <mergeCell ref="C10:D10"/>
    <mergeCell ref="C234:D234"/>
    <mergeCell ref="C236:D236"/>
    <mergeCell ref="E2:M2"/>
    <mergeCell ref="H3:M3"/>
    <mergeCell ref="B5:D5"/>
    <mergeCell ref="B8:B9"/>
    <mergeCell ref="C8:D9"/>
    <mergeCell ref="C53:D53"/>
    <mergeCell ref="C14:D14"/>
    <mergeCell ref="C19:D19"/>
    <mergeCell ref="C22:D22"/>
    <mergeCell ref="C27:D27"/>
    <mergeCell ref="C31:D31"/>
    <mergeCell ref="C36:D36"/>
    <mergeCell ref="C41:D41"/>
  </mergeCells>
  <conditionalFormatting sqref="E7:M7">
    <cfRule type="expression" dxfId="551" priority="360" stopIfTrue="1">
      <formula>IF(E7&lt;51,TRUE,FALSE)</formula>
    </cfRule>
    <cfRule type="expression" dxfId="550" priority="361" stopIfTrue="1">
      <formula>IF(AND(E7&gt;=51,E7&lt;60),TRUE,FALSE)</formula>
    </cfRule>
    <cfRule type="expression" dxfId="549" priority="362" stopIfTrue="1">
      <formula>IF(AND(E7&gt;=60,E7&lt;75),TRUE,FALSE)</formula>
    </cfRule>
    <cfRule type="expression" dxfId="548" priority="363" stopIfTrue="1">
      <formula>IF(AND(E7&gt;=75,E7&lt;90),TRUE,FALSE)</formula>
    </cfRule>
    <cfRule type="expression" dxfId="547" priority="364">
      <formula>IF(E7&gt;=90,TRUE,FALSE)</formula>
    </cfRule>
  </conditionalFormatting>
  <conditionalFormatting sqref="E5:M5">
    <cfRule type="expression" dxfId="546" priority="355" stopIfTrue="1">
      <formula>IF(E5&lt;51,TRUE,FALSE)</formula>
    </cfRule>
    <cfRule type="expression" dxfId="545" priority="356" stopIfTrue="1">
      <formula>IF(AND(E5&gt;=51,E5&lt;60),TRUE,FALSE)</formula>
    </cfRule>
    <cfRule type="expression" dxfId="544" priority="357" stopIfTrue="1">
      <formula>IF(AND(E5&gt;=60,E5&lt;75),TRUE,FALSE)</formula>
    </cfRule>
    <cfRule type="expression" dxfId="543" priority="358" stopIfTrue="1">
      <formula>IF(AND(E5&gt;=75,E5&lt;90),TRUE,FALSE)</formula>
    </cfRule>
    <cfRule type="expression" dxfId="542" priority="359">
      <formula>IF(E5&gt;=90,TRUE,FALSE)</formula>
    </cfRule>
  </conditionalFormatting>
  <conditionalFormatting sqref="E10:M10 E19:M19 E36:M36 E31:M31 E27:M27 E22:M22">
    <cfRule type="expression" dxfId="541" priority="350" stopIfTrue="1">
      <formula>IF(E10&lt;51,TRUE,FALSE)</formula>
    </cfRule>
    <cfRule type="expression" dxfId="540" priority="351" stopIfTrue="1">
      <formula>IF(AND(E10&gt;=51,E10&lt;60),TRUE,FALSE)</formula>
    </cfRule>
    <cfRule type="expression" dxfId="539" priority="352" stopIfTrue="1">
      <formula>IF(AND(E10&gt;=60,E10&lt;75),TRUE,FALSE)</formula>
    </cfRule>
    <cfRule type="expression" dxfId="538" priority="353" stopIfTrue="1">
      <formula>IF(AND(E10&gt;=75,E10&lt;90),TRUE,FALSE)</formula>
    </cfRule>
    <cfRule type="expression" dxfId="537" priority="354">
      <formula>IF(E10&gt;=90,TRUE,FALSE)</formula>
    </cfRule>
  </conditionalFormatting>
  <conditionalFormatting sqref="E189:M189 E236:M236 E238:M239">
    <cfRule type="expression" dxfId="536" priority="131" stopIfTrue="1">
      <formula>IF(E$1&lt;4,TRUE,FALSE)</formula>
    </cfRule>
    <cfRule type="expression" priority="344" stopIfTrue="1">
      <formula>IF(E189=0,TRUE,FALSE)</formula>
    </cfRule>
    <cfRule type="expression" dxfId="535" priority="345" stopIfTrue="1">
      <formula>IF(E189&lt;51,TRUE,FALSE)</formula>
    </cfRule>
    <cfRule type="expression" dxfId="534" priority="346" stopIfTrue="1">
      <formula>IF(AND(E189&gt;=51,E189&lt;60),TRUE,FALSE)</formula>
    </cfRule>
    <cfRule type="expression" dxfId="533" priority="347" stopIfTrue="1">
      <formula>IF(AND(E189&gt;=60,E189&lt;75),TRUE,FALSE)</formula>
    </cfRule>
    <cfRule type="expression" dxfId="532" priority="348" stopIfTrue="1">
      <formula>IF(AND(E189&gt;=75,E189&lt;90),TRUE,FALSE)</formula>
    </cfRule>
    <cfRule type="expression" dxfId="531" priority="349">
      <formula>IF(E189&gt;=90,TRUE,FALSE)</formula>
    </cfRule>
  </conditionalFormatting>
  <conditionalFormatting sqref="E5:M5">
    <cfRule type="expression" dxfId="530" priority="343" stopIfTrue="1">
      <formula>IF(E5=0,TRUE,FALSE)</formula>
    </cfRule>
  </conditionalFormatting>
  <conditionalFormatting sqref="E7:M7">
    <cfRule type="expression" priority="342" stopIfTrue="1">
      <formula>IF(E7=0,TRUE,FALSE)</formula>
    </cfRule>
  </conditionalFormatting>
  <conditionalFormatting sqref="F7:M7">
    <cfRule type="expression" priority="341" stopIfTrue="1">
      <formula>IF(F7=0,TRUE,FALSE)</formula>
    </cfRule>
  </conditionalFormatting>
  <conditionalFormatting sqref="E10:M10 E19:M19 E36:M36 E31:M31 E27:M27 E22:M22">
    <cfRule type="expression" priority="340" stopIfTrue="1">
      <formula>IF(E10=0,TRUE,FALSE)</formula>
    </cfRule>
  </conditionalFormatting>
  <conditionalFormatting sqref="E19:M19">
    <cfRule type="expression" dxfId="529" priority="335" stopIfTrue="1">
      <formula>IF(E19&lt;51,TRUE,FALSE)</formula>
    </cfRule>
    <cfRule type="expression" dxfId="528" priority="336" stopIfTrue="1">
      <formula>IF(AND(E19&gt;=51,E19&lt;60),TRUE,FALSE)</formula>
    </cfRule>
    <cfRule type="expression" dxfId="527" priority="337" stopIfTrue="1">
      <formula>IF(AND(E19&gt;=60,E19&lt;75),TRUE,FALSE)</formula>
    </cfRule>
    <cfRule type="expression" dxfId="526" priority="338" stopIfTrue="1">
      <formula>IF(AND(E19&gt;=75,E19&lt;90),TRUE,FALSE)</formula>
    </cfRule>
    <cfRule type="expression" dxfId="525" priority="339">
      <formula>IF(E19&gt;=90,TRUE,FALSE)</formula>
    </cfRule>
  </conditionalFormatting>
  <conditionalFormatting sqref="E19:M19">
    <cfRule type="expression" priority="334" stopIfTrue="1">
      <formula>IF(E19=0,TRUE,FALSE)</formula>
    </cfRule>
  </conditionalFormatting>
  <conditionalFormatting sqref="E22:M22">
    <cfRule type="expression" dxfId="524" priority="329" stopIfTrue="1">
      <formula>IF(E22&lt;51,TRUE,FALSE)</formula>
    </cfRule>
    <cfRule type="expression" dxfId="523" priority="330" stopIfTrue="1">
      <formula>IF(AND(E22&gt;=51,E22&lt;60),TRUE,FALSE)</formula>
    </cfRule>
    <cfRule type="expression" dxfId="522" priority="331" stopIfTrue="1">
      <formula>IF(AND(E22&gt;=60,E22&lt;75),TRUE,FALSE)</formula>
    </cfRule>
    <cfRule type="expression" dxfId="521" priority="332" stopIfTrue="1">
      <formula>IF(AND(E22&gt;=75,E22&lt;90),TRUE,FALSE)</formula>
    </cfRule>
    <cfRule type="expression" dxfId="520" priority="333">
      <formula>IF(E22&gt;=90,TRUE,FALSE)</formula>
    </cfRule>
  </conditionalFormatting>
  <conditionalFormatting sqref="E22:M22">
    <cfRule type="expression" priority="328" stopIfTrue="1">
      <formula>IF(E22=0,TRUE,FALSE)</formula>
    </cfRule>
  </conditionalFormatting>
  <conditionalFormatting sqref="E27:M27">
    <cfRule type="expression" dxfId="519" priority="323" stopIfTrue="1">
      <formula>IF(E27&lt;51,TRUE,FALSE)</formula>
    </cfRule>
    <cfRule type="expression" dxfId="518" priority="324" stopIfTrue="1">
      <formula>IF(AND(E27&gt;=51,E27&lt;60),TRUE,FALSE)</formula>
    </cfRule>
    <cfRule type="expression" dxfId="517" priority="325" stopIfTrue="1">
      <formula>IF(AND(E27&gt;=60,E27&lt;75),TRUE,FALSE)</formula>
    </cfRule>
    <cfRule type="expression" dxfId="516" priority="326" stopIfTrue="1">
      <formula>IF(AND(E27&gt;=75,E27&lt;90),TRUE,FALSE)</formula>
    </cfRule>
    <cfRule type="expression" dxfId="515" priority="327">
      <formula>IF(E27&gt;=90,TRUE,FALSE)</formula>
    </cfRule>
  </conditionalFormatting>
  <conditionalFormatting sqref="E27:M27">
    <cfRule type="expression" priority="322" stopIfTrue="1">
      <formula>IF(E27=0,TRUE,FALSE)</formula>
    </cfRule>
  </conditionalFormatting>
  <conditionalFormatting sqref="E31:M31">
    <cfRule type="expression" dxfId="514" priority="317" stopIfTrue="1">
      <formula>IF(E31&lt;51,TRUE,FALSE)</formula>
    </cfRule>
    <cfRule type="expression" dxfId="513" priority="318" stopIfTrue="1">
      <formula>IF(AND(E31&gt;=51,E31&lt;60),TRUE,FALSE)</formula>
    </cfRule>
    <cfRule type="expression" dxfId="512" priority="319" stopIfTrue="1">
      <formula>IF(AND(E31&gt;=60,E31&lt;75),TRUE,FALSE)</formula>
    </cfRule>
    <cfRule type="expression" dxfId="511" priority="320" stopIfTrue="1">
      <formula>IF(AND(E31&gt;=75,E31&lt;90),TRUE,FALSE)</formula>
    </cfRule>
    <cfRule type="expression" dxfId="510" priority="321">
      <formula>IF(E31&gt;=90,TRUE,FALSE)</formula>
    </cfRule>
  </conditionalFormatting>
  <conditionalFormatting sqref="E31:M31">
    <cfRule type="expression" priority="316" stopIfTrue="1">
      <formula>IF(E31=0,TRUE,FALSE)</formula>
    </cfRule>
  </conditionalFormatting>
  <conditionalFormatting sqref="E36:M36">
    <cfRule type="expression" dxfId="509" priority="311" stopIfTrue="1">
      <formula>IF(E36&lt;51,TRUE,FALSE)</formula>
    </cfRule>
    <cfRule type="expression" dxfId="508" priority="312" stopIfTrue="1">
      <formula>IF(AND(E36&gt;=51,E36&lt;60),TRUE,FALSE)</formula>
    </cfRule>
    <cfRule type="expression" dxfId="507" priority="313" stopIfTrue="1">
      <formula>IF(AND(E36&gt;=60,E36&lt;75),TRUE,FALSE)</formula>
    </cfRule>
    <cfRule type="expression" dxfId="506" priority="314" stopIfTrue="1">
      <formula>IF(AND(E36&gt;=75,E36&lt;90),TRUE,FALSE)</formula>
    </cfRule>
    <cfRule type="expression" dxfId="505" priority="315">
      <formula>IF(E36&gt;=90,TRUE,FALSE)</formula>
    </cfRule>
  </conditionalFormatting>
  <conditionalFormatting sqref="E36:M36">
    <cfRule type="expression" priority="310" stopIfTrue="1">
      <formula>IF(E36=0,TRUE,FALSE)</formula>
    </cfRule>
  </conditionalFormatting>
  <conditionalFormatting sqref="E14:M14">
    <cfRule type="expression" dxfId="504" priority="305" stopIfTrue="1">
      <formula>IF(E14&lt;51,TRUE,FALSE)</formula>
    </cfRule>
    <cfRule type="expression" dxfId="503" priority="306" stopIfTrue="1">
      <formula>IF(AND(E14&gt;=51,E14&lt;60),TRUE,FALSE)</formula>
    </cfRule>
    <cfRule type="expression" dxfId="502" priority="307" stopIfTrue="1">
      <formula>IF(AND(E14&gt;=60,E14&lt;75),TRUE,FALSE)</formula>
    </cfRule>
    <cfRule type="expression" dxfId="501" priority="308" stopIfTrue="1">
      <formula>IF(AND(E14&gt;=75,E14&lt;90),TRUE,FALSE)</formula>
    </cfRule>
    <cfRule type="expression" dxfId="500" priority="309">
      <formula>IF(E14&gt;=90,TRUE,FALSE)</formula>
    </cfRule>
  </conditionalFormatting>
  <conditionalFormatting sqref="E14:M14">
    <cfRule type="expression" priority="304" stopIfTrue="1">
      <formula>IF(E14=0,TRUE,FALSE)</formula>
    </cfRule>
  </conditionalFormatting>
  <conditionalFormatting sqref="E48:M48">
    <cfRule type="expression" dxfId="499" priority="299" stopIfTrue="1">
      <formula>IF(E48&lt;51,TRUE,FALSE)</formula>
    </cfRule>
    <cfRule type="expression" dxfId="498" priority="300" stopIfTrue="1">
      <formula>IF(AND(E48&gt;=51,E48&lt;60),TRUE,FALSE)</formula>
    </cfRule>
    <cfRule type="expression" dxfId="497" priority="301" stopIfTrue="1">
      <formula>IF(AND(E48&gt;=60,E48&lt;75),TRUE,FALSE)</formula>
    </cfRule>
    <cfRule type="expression" dxfId="496" priority="302" stopIfTrue="1">
      <formula>IF(AND(E48&gt;=75,E48&lt;90),TRUE,FALSE)</formula>
    </cfRule>
    <cfRule type="expression" dxfId="495" priority="303">
      <formula>IF(E48&gt;=90,TRUE,FALSE)</formula>
    </cfRule>
  </conditionalFormatting>
  <conditionalFormatting sqref="E48:M48">
    <cfRule type="expression" priority="298" stopIfTrue="1">
      <formula>IF(E48=0,TRUE,FALSE)</formula>
    </cfRule>
  </conditionalFormatting>
  <conditionalFormatting sqref="E53:M53">
    <cfRule type="expression" dxfId="494" priority="293" stopIfTrue="1">
      <formula>IF(E53&lt;51,TRUE,FALSE)</formula>
    </cfRule>
    <cfRule type="expression" dxfId="493" priority="294" stopIfTrue="1">
      <formula>IF(AND(E53&gt;=51,E53&lt;60),TRUE,FALSE)</formula>
    </cfRule>
    <cfRule type="expression" dxfId="492" priority="295" stopIfTrue="1">
      <formula>IF(AND(E53&gt;=60,E53&lt;75),TRUE,FALSE)</formula>
    </cfRule>
    <cfRule type="expression" dxfId="491" priority="296" stopIfTrue="1">
      <formula>IF(AND(E53&gt;=75,E53&lt;90),TRUE,FALSE)</formula>
    </cfRule>
    <cfRule type="expression" dxfId="490" priority="297">
      <formula>IF(E53&gt;=90,TRUE,FALSE)</formula>
    </cfRule>
  </conditionalFormatting>
  <conditionalFormatting sqref="E53:M53">
    <cfRule type="expression" priority="292" stopIfTrue="1">
      <formula>IF(E53=0,TRUE,FALSE)</formula>
    </cfRule>
  </conditionalFormatting>
  <conditionalFormatting sqref="E57:M57">
    <cfRule type="expression" dxfId="489" priority="287" stopIfTrue="1">
      <formula>IF(E57&lt;51,TRUE,FALSE)</formula>
    </cfRule>
    <cfRule type="expression" dxfId="488" priority="288" stopIfTrue="1">
      <formula>IF(AND(E57&gt;=51,E57&lt;60),TRUE,FALSE)</formula>
    </cfRule>
    <cfRule type="expression" dxfId="487" priority="289" stopIfTrue="1">
      <formula>IF(AND(E57&gt;=60,E57&lt;75),TRUE,FALSE)</formula>
    </cfRule>
    <cfRule type="expression" dxfId="486" priority="290" stopIfTrue="1">
      <formula>IF(AND(E57&gt;=75,E57&lt;90),TRUE,FALSE)</formula>
    </cfRule>
    <cfRule type="expression" dxfId="485" priority="291">
      <formula>IF(E57&gt;=90,TRUE,FALSE)</formula>
    </cfRule>
  </conditionalFormatting>
  <conditionalFormatting sqref="E57:M57">
    <cfRule type="expression" priority="286" stopIfTrue="1">
      <formula>IF(E57=0,TRUE,FALSE)</formula>
    </cfRule>
  </conditionalFormatting>
  <conditionalFormatting sqref="E62:M62">
    <cfRule type="expression" dxfId="484" priority="281" stopIfTrue="1">
      <formula>IF(E62&lt;51,TRUE,FALSE)</formula>
    </cfRule>
    <cfRule type="expression" dxfId="483" priority="282" stopIfTrue="1">
      <formula>IF(AND(E62&gt;=51,E62&lt;60),TRUE,FALSE)</formula>
    </cfRule>
    <cfRule type="expression" dxfId="482" priority="283" stopIfTrue="1">
      <formula>IF(AND(E62&gt;=60,E62&lt;75),TRUE,FALSE)</formula>
    </cfRule>
    <cfRule type="expression" dxfId="481" priority="284" stopIfTrue="1">
      <formula>IF(AND(E62&gt;=75,E62&lt;90),TRUE,FALSE)</formula>
    </cfRule>
    <cfRule type="expression" dxfId="480" priority="285">
      <formula>IF(E62&gt;=90,TRUE,FALSE)</formula>
    </cfRule>
  </conditionalFormatting>
  <conditionalFormatting sqref="E62:M62">
    <cfRule type="expression" priority="280" stopIfTrue="1">
      <formula>IF(E62=0,TRUE,FALSE)</formula>
    </cfRule>
  </conditionalFormatting>
  <conditionalFormatting sqref="E67:M67">
    <cfRule type="expression" dxfId="479" priority="275" stopIfTrue="1">
      <formula>IF(E67&lt;51,TRUE,FALSE)</formula>
    </cfRule>
    <cfRule type="expression" dxfId="478" priority="276" stopIfTrue="1">
      <formula>IF(AND(E67&gt;=51,E67&lt;60),TRUE,FALSE)</formula>
    </cfRule>
    <cfRule type="expression" dxfId="477" priority="277" stopIfTrue="1">
      <formula>IF(AND(E67&gt;=60,E67&lt;75),TRUE,FALSE)</formula>
    </cfRule>
    <cfRule type="expression" dxfId="476" priority="278" stopIfTrue="1">
      <formula>IF(AND(E67&gt;=75,E67&lt;90),TRUE,FALSE)</formula>
    </cfRule>
    <cfRule type="expression" dxfId="475" priority="279">
      <formula>IF(E67&gt;=90,TRUE,FALSE)</formula>
    </cfRule>
  </conditionalFormatting>
  <conditionalFormatting sqref="E67:M67">
    <cfRule type="expression" priority="274" stopIfTrue="1">
      <formula>IF(E67=0,TRUE,FALSE)</formula>
    </cfRule>
  </conditionalFormatting>
  <conditionalFormatting sqref="E72:M72">
    <cfRule type="expression" dxfId="474" priority="269" stopIfTrue="1">
      <formula>IF(E72&lt;51,TRUE,FALSE)</formula>
    </cfRule>
    <cfRule type="expression" dxfId="473" priority="270" stopIfTrue="1">
      <formula>IF(AND(E72&gt;=51,E72&lt;60),TRUE,FALSE)</formula>
    </cfRule>
    <cfRule type="expression" dxfId="472" priority="271" stopIfTrue="1">
      <formula>IF(AND(E72&gt;=60,E72&lt;75),TRUE,FALSE)</formula>
    </cfRule>
    <cfRule type="expression" dxfId="471" priority="272" stopIfTrue="1">
      <formula>IF(AND(E72&gt;=75,E72&lt;90),TRUE,FALSE)</formula>
    </cfRule>
    <cfRule type="expression" dxfId="470" priority="273">
      <formula>IF(E72&gt;=90,TRUE,FALSE)</formula>
    </cfRule>
  </conditionalFormatting>
  <conditionalFormatting sqref="E72:M72">
    <cfRule type="expression" priority="268" stopIfTrue="1">
      <formula>IF(E72=0,TRUE,FALSE)</formula>
    </cfRule>
  </conditionalFormatting>
  <conditionalFormatting sqref="E77:M77">
    <cfRule type="expression" dxfId="469" priority="263" stopIfTrue="1">
      <formula>IF(E77&lt;51,TRUE,FALSE)</formula>
    </cfRule>
    <cfRule type="expression" dxfId="468" priority="264" stopIfTrue="1">
      <formula>IF(AND(E77&gt;=51,E77&lt;60),TRUE,FALSE)</formula>
    </cfRule>
    <cfRule type="expression" dxfId="467" priority="265" stopIfTrue="1">
      <formula>IF(AND(E77&gt;=60,E77&lt;75),TRUE,FALSE)</formula>
    </cfRule>
    <cfRule type="expression" dxfId="466" priority="266" stopIfTrue="1">
      <formula>IF(AND(E77&gt;=75,E77&lt;90),TRUE,FALSE)</formula>
    </cfRule>
    <cfRule type="expression" dxfId="465" priority="267">
      <formula>IF(E77&gt;=90,TRUE,FALSE)</formula>
    </cfRule>
  </conditionalFormatting>
  <conditionalFormatting sqref="E77:M77">
    <cfRule type="expression" priority="262" stopIfTrue="1">
      <formula>IF(E77=0,TRUE,FALSE)</formula>
    </cfRule>
  </conditionalFormatting>
  <conditionalFormatting sqref="E82:M82">
    <cfRule type="expression" dxfId="464" priority="257" stopIfTrue="1">
      <formula>IF(E82&lt;51,TRUE,FALSE)</formula>
    </cfRule>
    <cfRule type="expression" dxfId="463" priority="258" stopIfTrue="1">
      <formula>IF(AND(E82&gt;=51,E82&lt;60),TRUE,FALSE)</formula>
    </cfRule>
    <cfRule type="expression" dxfId="462" priority="259" stopIfTrue="1">
      <formula>IF(AND(E82&gt;=60,E82&lt;75),TRUE,FALSE)</formula>
    </cfRule>
    <cfRule type="expression" dxfId="461" priority="260" stopIfTrue="1">
      <formula>IF(AND(E82&gt;=75,E82&lt;90),TRUE,FALSE)</formula>
    </cfRule>
    <cfRule type="expression" dxfId="460" priority="261">
      <formula>IF(E82&gt;=90,TRUE,FALSE)</formula>
    </cfRule>
  </conditionalFormatting>
  <conditionalFormatting sqref="E82:M82">
    <cfRule type="expression" priority="256" stopIfTrue="1">
      <formula>IF(E82=0,TRUE,FALSE)</formula>
    </cfRule>
  </conditionalFormatting>
  <conditionalFormatting sqref="E86:M86">
    <cfRule type="expression" dxfId="459" priority="251" stopIfTrue="1">
      <formula>IF(E86&lt;51,TRUE,FALSE)</formula>
    </cfRule>
    <cfRule type="expression" dxfId="458" priority="252" stopIfTrue="1">
      <formula>IF(AND(E86&gt;=51,E86&lt;60),TRUE,FALSE)</formula>
    </cfRule>
    <cfRule type="expression" dxfId="457" priority="253" stopIfTrue="1">
      <formula>IF(AND(E86&gt;=60,E86&lt;75),TRUE,FALSE)</formula>
    </cfRule>
    <cfRule type="expression" dxfId="456" priority="254" stopIfTrue="1">
      <formula>IF(AND(E86&gt;=75,E86&lt;90),TRUE,FALSE)</formula>
    </cfRule>
    <cfRule type="expression" dxfId="455" priority="255">
      <formula>IF(E86&gt;=90,TRUE,FALSE)</formula>
    </cfRule>
  </conditionalFormatting>
  <conditionalFormatting sqref="E86:M86">
    <cfRule type="expression" priority="250" stopIfTrue="1">
      <formula>IF(E86=0,TRUE,FALSE)</formula>
    </cfRule>
  </conditionalFormatting>
  <conditionalFormatting sqref="E91:M91">
    <cfRule type="expression" dxfId="454" priority="245" stopIfTrue="1">
      <formula>IF(E91&lt;51,TRUE,FALSE)</formula>
    </cfRule>
    <cfRule type="expression" dxfId="453" priority="246" stopIfTrue="1">
      <formula>IF(AND(E91&gt;=51,E91&lt;60),TRUE,FALSE)</formula>
    </cfRule>
    <cfRule type="expression" dxfId="452" priority="247" stopIfTrue="1">
      <formula>IF(AND(E91&gt;=60,E91&lt;75),TRUE,FALSE)</formula>
    </cfRule>
    <cfRule type="expression" dxfId="451" priority="248" stopIfTrue="1">
      <formula>IF(AND(E91&gt;=75,E91&lt;90),TRUE,FALSE)</formula>
    </cfRule>
    <cfRule type="expression" dxfId="450" priority="249">
      <formula>IF(E91&gt;=90,TRUE,FALSE)</formula>
    </cfRule>
  </conditionalFormatting>
  <conditionalFormatting sqref="E91:M91">
    <cfRule type="expression" priority="244" stopIfTrue="1">
      <formula>IF(E91=0,TRUE,FALSE)</formula>
    </cfRule>
  </conditionalFormatting>
  <conditionalFormatting sqref="E97:M97">
    <cfRule type="expression" dxfId="449" priority="239" stopIfTrue="1">
      <formula>IF(E97&lt;51,TRUE,FALSE)</formula>
    </cfRule>
    <cfRule type="expression" dxfId="448" priority="240" stopIfTrue="1">
      <formula>IF(AND(E97&gt;=51,E97&lt;60),TRUE,FALSE)</formula>
    </cfRule>
    <cfRule type="expression" dxfId="447" priority="241" stopIfTrue="1">
      <formula>IF(AND(E97&gt;=60,E97&lt;75),TRUE,FALSE)</formula>
    </cfRule>
    <cfRule type="expression" dxfId="446" priority="242" stopIfTrue="1">
      <formula>IF(AND(E97&gt;=75,E97&lt;90),TRUE,FALSE)</formula>
    </cfRule>
    <cfRule type="expression" dxfId="445" priority="243">
      <formula>IF(E97&gt;=90,TRUE,FALSE)</formula>
    </cfRule>
  </conditionalFormatting>
  <conditionalFormatting sqref="E97:M97">
    <cfRule type="expression" priority="238" stopIfTrue="1">
      <formula>IF(E97=0,TRUE,FALSE)</formula>
    </cfRule>
  </conditionalFormatting>
  <conditionalFormatting sqref="E102:M102">
    <cfRule type="expression" dxfId="444" priority="233" stopIfTrue="1">
      <formula>IF(E102&lt;51,TRUE,FALSE)</formula>
    </cfRule>
    <cfRule type="expression" dxfId="443" priority="234" stopIfTrue="1">
      <formula>IF(AND(E102&gt;=51,E102&lt;60),TRUE,FALSE)</formula>
    </cfRule>
    <cfRule type="expression" dxfId="442" priority="235" stopIfTrue="1">
      <formula>IF(AND(E102&gt;=60,E102&lt;75),TRUE,FALSE)</formula>
    </cfRule>
    <cfRule type="expression" dxfId="441" priority="236" stopIfTrue="1">
      <formula>IF(AND(E102&gt;=75,E102&lt;90),TRUE,FALSE)</formula>
    </cfRule>
    <cfRule type="expression" dxfId="440" priority="237">
      <formula>IF(E102&gt;=90,TRUE,FALSE)</formula>
    </cfRule>
  </conditionalFormatting>
  <conditionalFormatting sqref="E102:M102">
    <cfRule type="expression" priority="232" stopIfTrue="1">
      <formula>IF(E102=0,TRUE,FALSE)</formula>
    </cfRule>
  </conditionalFormatting>
  <conditionalFormatting sqref="E107:M107">
    <cfRule type="expression" dxfId="439" priority="227" stopIfTrue="1">
      <formula>IF(E107&lt;51,TRUE,FALSE)</formula>
    </cfRule>
    <cfRule type="expression" dxfId="438" priority="228" stopIfTrue="1">
      <formula>IF(AND(E107&gt;=51,E107&lt;60),TRUE,FALSE)</formula>
    </cfRule>
    <cfRule type="expression" dxfId="437" priority="229" stopIfTrue="1">
      <formula>IF(AND(E107&gt;=60,E107&lt;75),TRUE,FALSE)</formula>
    </cfRule>
    <cfRule type="expression" dxfId="436" priority="230" stopIfTrue="1">
      <formula>IF(AND(E107&gt;=75,E107&lt;90),TRUE,FALSE)</formula>
    </cfRule>
    <cfRule type="expression" dxfId="435" priority="231">
      <formula>IF(E107&gt;=90,TRUE,FALSE)</formula>
    </cfRule>
  </conditionalFormatting>
  <conditionalFormatting sqref="E107:M107">
    <cfRule type="expression" priority="226" stopIfTrue="1">
      <formula>IF(E107=0,TRUE,FALSE)</formula>
    </cfRule>
  </conditionalFormatting>
  <conditionalFormatting sqref="E112:M112">
    <cfRule type="expression" dxfId="434" priority="221" stopIfTrue="1">
      <formula>IF(E112&lt;51,TRUE,FALSE)</formula>
    </cfRule>
    <cfRule type="expression" dxfId="433" priority="222" stopIfTrue="1">
      <formula>IF(AND(E112&gt;=51,E112&lt;60),TRUE,FALSE)</formula>
    </cfRule>
    <cfRule type="expression" dxfId="432" priority="223" stopIfTrue="1">
      <formula>IF(AND(E112&gt;=60,E112&lt;75),TRUE,FALSE)</formula>
    </cfRule>
    <cfRule type="expression" dxfId="431" priority="224" stopIfTrue="1">
      <formula>IF(AND(E112&gt;=75,E112&lt;90),TRUE,FALSE)</formula>
    </cfRule>
    <cfRule type="expression" dxfId="430" priority="225">
      <formula>IF(E112&gt;=90,TRUE,FALSE)</formula>
    </cfRule>
  </conditionalFormatting>
  <conditionalFormatting sqref="E112:M112">
    <cfRule type="expression" priority="220" stopIfTrue="1">
      <formula>IF(E112=0,TRUE,FALSE)</formula>
    </cfRule>
  </conditionalFormatting>
  <conditionalFormatting sqref="E117:M117">
    <cfRule type="expression" dxfId="429" priority="215" stopIfTrue="1">
      <formula>IF(E117&lt;51,TRUE,FALSE)</formula>
    </cfRule>
    <cfRule type="expression" dxfId="428" priority="216" stopIfTrue="1">
      <formula>IF(AND(E117&gt;=51,E117&lt;60),TRUE,FALSE)</formula>
    </cfRule>
    <cfRule type="expression" dxfId="427" priority="217" stopIfTrue="1">
      <formula>IF(AND(E117&gt;=60,E117&lt;75),TRUE,FALSE)</formula>
    </cfRule>
    <cfRule type="expression" dxfId="426" priority="218" stopIfTrue="1">
      <formula>IF(AND(E117&gt;=75,E117&lt;90),TRUE,FALSE)</formula>
    </cfRule>
    <cfRule type="expression" dxfId="425" priority="219">
      <formula>IF(E117&gt;=90,TRUE,FALSE)</formula>
    </cfRule>
  </conditionalFormatting>
  <conditionalFormatting sqref="E117:M117">
    <cfRule type="expression" priority="214" stopIfTrue="1">
      <formula>IF(E117=0,TRUE,FALSE)</formula>
    </cfRule>
  </conditionalFormatting>
  <conditionalFormatting sqref="E121:M121">
    <cfRule type="expression" dxfId="424" priority="209" stopIfTrue="1">
      <formula>IF(E121&lt;51,TRUE,FALSE)</formula>
    </cfRule>
    <cfRule type="expression" dxfId="423" priority="210" stopIfTrue="1">
      <formula>IF(AND(E121&gt;=51,E121&lt;60),TRUE,FALSE)</formula>
    </cfRule>
    <cfRule type="expression" dxfId="422" priority="211" stopIfTrue="1">
      <formula>IF(AND(E121&gt;=60,E121&lt;75),TRUE,FALSE)</formula>
    </cfRule>
    <cfRule type="expression" dxfId="421" priority="212" stopIfTrue="1">
      <formula>IF(AND(E121&gt;=75,E121&lt;90),TRUE,FALSE)</formula>
    </cfRule>
    <cfRule type="expression" dxfId="420" priority="213">
      <formula>IF(E121&gt;=90,TRUE,FALSE)</formula>
    </cfRule>
  </conditionalFormatting>
  <conditionalFormatting sqref="E121:M121">
    <cfRule type="expression" priority="208" stopIfTrue="1">
      <formula>IF(E121=0,TRUE,FALSE)</formula>
    </cfRule>
  </conditionalFormatting>
  <conditionalFormatting sqref="E133:M133">
    <cfRule type="expression" dxfId="419" priority="203" stopIfTrue="1">
      <formula>IF(E133&lt;51,TRUE,FALSE)</formula>
    </cfRule>
    <cfRule type="expression" dxfId="418" priority="204" stopIfTrue="1">
      <formula>IF(AND(E133&gt;=51,E133&lt;60),TRUE,FALSE)</formula>
    </cfRule>
    <cfRule type="expression" dxfId="417" priority="205" stopIfTrue="1">
      <formula>IF(AND(E133&gt;=60,E133&lt;75),TRUE,FALSE)</formula>
    </cfRule>
    <cfRule type="expression" dxfId="416" priority="206" stopIfTrue="1">
      <formula>IF(AND(E133&gt;=75,E133&lt;90),TRUE,FALSE)</formula>
    </cfRule>
    <cfRule type="expression" dxfId="415" priority="207">
      <formula>IF(E133&gt;=90,TRUE,FALSE)</formula>
    </cfRule>
  </conditionalFormatting>
  <conditionalFormatting sqref="E133:M133">
    <cfRule type="expression" priority="202" stopIfTrue="1">
      <formula>IF(E133=0,TRUE,FALSE)</formula>
    </cfRule>
  </conditionalFormatting>
  <conditionalFormatting sqref="E138:M138">
    <cfRule type="expression" dxfId="414" priority="197" stopIfTrue="1">
      <formula>IF(E138&lt;51,TRUE,FALSE)</formula>
    </cfRule>
    <cfRule type="expression" dxfId="413" priority="198" stopIfTrue="1">
      <formula>IF(AND(E138&gt;=51,E138&lt;60),TRUE,FALSE)</formula>
    </cfRule>
    <cfRule type="expression" dxfId="412" priority="199" stopIfTrue="1">
      <formula>IF(AND(E138&gt;=60,E138&lt;75),TRUE,FALSE)</formula>
    </cfRule>
    <cfRule type="expression" dxfId="411" priority="200" stopIfTrue="1">
      <formula>IF(AND(E138&gt;=75,E138&lt;90),TRUE,FALSE)</formula>
    </cfRule>
    <cfRule type="expression" dxfId="410" priority="201">
      <formula>IF(E138&gt;=90,TRUE,FALSE)</formula>
    </cfRule>
  </conditionalFormatting>
  <conditionalFormatting sqref="E138:M138">
    <cfRule type="expression" priority="196" stopIfTrue="1">
      <formula>IF(E138=0,TRUE,FALSE)</formula>
    </cfRule>
  </conditionalFormatting>
  <conditionalFormatting sqref="E143:M143">
    <cfRule type="expression" dxfId="409" priority="191" stopIfTrue="1">
      <formula>IF(E143&lt;51,TRUE,FALSE)</formula>
    </cfRule>
    <cfRule type="expression" dxfId="408" priority="192" stopIfTrue="1">
      <formula>IF(AND(E143&gt;=51,E143&lt;60),TRUE,FALSE)</formula>
    </cfRule>
    <cfRule type="expression" dxfId="407" priority="193" stopIfTrue="1">
      <formula>IF(AND(E143&gt;=60,E143&lt;75),TRUE,FALSE)</formula>
    </cfRule>
    <cfRule type="expression" dxfId="406" priority="194" stopIfTrue="1">
      <formula>IF(AND(E143&gt;=75,E143&lt;90),TRUE,FALSE)</formula>
    </cfRule>
    <cfRule type="expression" dxfId="405" priority="195">
      <formula>IF(E143&gt;=90,TRUE,FALSE)</formula>
    </cfRule>
  </conditionalFormatting>
  <conditionalFormatting sqref="E143:M143">
    <cfRule type="expression" priority="190" stopIfTrue="1">
      <formula>IF(E143=0,TRUE,FALSE)</formula>
    </cfRule>
  </conditionalFormatting>
  <conditionalFormatting sqref="E147:M147">
    <cfRule type="expression" dxfId="404" priority="185" stopIfTrue="1">
      <formula>IF(E147&lt;51,TRUE,FALSE)</formula>
    </cfRule>
    <cfRule type="expression" dxfId="403" priority="186" stopIfTrue="1">
      <formula>IF(AND(E147&gt;=51,E147&lt;60),TRUE,FALSE)</formula>
    </cfRule>
    <cfRule type="expression" dxfId="402" priority="187" stopIfTrue="1">
      <formula>IF(AND(E147&gt;=60,E147&lt;75),TRUE,FALSE)</formula>
    </cfRule>
    <cfRule type="expression" dxfId="401" priority="188" stopIfTrue="1">
      <formula>IF(AND(E147&gt;=75,E147&lt;90),TRUE,FALSE)</formula>
    </cfRule>
    <cfRule type="expression" dxfId="400" priority="189">
      <formula>IF(E147&gt;=90,TRUE,FALSE)</formula>
    </cfRule>
  </conditionalFormatting>
  <conditionalFormatting sqref="E147:M147">
    <cfRule type="expression" priority="184" stopIfTrue="1">
      <formula>IF(E147=0,TRUE,FALSE)</formula>
    </cfRule>
  </conditionalFormatting>
  <conditionalFormatting sqref="E151:M151">
    <cfRule type="expression" dxfId="399" priority="179" stopIfTrue="1">
      <formula>IF(E151&lt;51,TRUE,FALSE)</formula>
    </cfRule>
    <cfRule type="expression" dxfId="398" priority="180" stopIfTrue="1">
      <formula>IF(AND(E151&gt;=51,E151&lt;60),TRUE,FALSE)</formula>
    </cfRule>
    <cfRule type="expression" dxfId="397" priority="181" stopIfTrue="1">
      <formula>IF(AND(E151&gt;=60,E151&lt;75),TRUE,FALSE)</formula>
    </cfRule>
    <cfRule type="expression" dxfId="396" priority="182" stopIfTrue="1">
      <formula>IF(AND(E151&gt;=75,E151&lt;90),TRUE,FALSE)</formula>
    </cfRule>
    <cfRule type="expression" dxfId="395" priority="183">
      <formula>IF(E151&gt;=90,TRUE,FALSE)</formula>
    </cfRule>
  </conditionalFormatting>
  <conditionalFormatting sqref="E151:M151">
    <cfRule type="expression" priority="178" stopIfTrue="1">
      <formula>IF(E151=0,TRUE,FALSE)</formula>
    </cfRule>
  </conditionalFormatting>
  <conditionalFormatting sqref="E163:M163">
    <cfRule type="expression" dxfId="394" priority="173" stopIfTrue="1">
      <formula>IF(E163&lt;51,TRUE,FALSE)</formula>
    </cfRule>
    <cfRule type="expression" dxfId="393" priority="174" stopIfTrue="1">
      <formula>IF(AND(E163&gt;=51,E163&lt;60),TRUE,FALSE)</formula>
    </cfRule>
    <cfRule type="expression" dxfId="392" priority="175" stopIfTrue="1">
      <formula>IF(AND(E163&gt;=60,E163&lt;75),TRUE,FALSE)</formula>
    </cfRule>
    <cfRule type="expression" dxfId="391" priority="176" stopIfTrue="1">
      <formula>IF(AND(E163&gt;=75,E163&lt;90),TRUE,FALSE)</formula>
    </cfRule>
    <cfRule type="expression" dxfId="390" priority="177">
      <formula>IF(E163&gt;=90,TRUE,FALSE)</formula>
    </cfRule>
  </conditionalFormatting>
  <conditionalFormatting sqref="E163:M163">
    <cfRule type="expression" priority="172" stopIfTrue="1">
      <formula>IF(E163=0,TRUE,FALSE)</formula>
    </cfRule>
  </conditionalFormatting>
  <conditionalFormatting sqref="E167:M167">
    <cfRule type="expression" dxfId="389" priority="167" stopIfTrue="1">
      <formula>IF(E167&lt;51,TRUE,FALSE)</formula>
    </cfRule>
    <cfRule type="expression" dxfId="388" priority="168" stopIfTrue="1">
      <formula>IF(AND(E167&gt;=51,E167&lt;60),TRUE,FALSE)</formula>
    </cfRule>
    <cfRule type="expression" dxfId="387" priority="169" stopIfTrue="1">
      <formula>IF(AND(E167&gt;=60,E167&lt;75),TRUE,FALSE)</formula>
    </cfRule>
    <cfRule type="expression" dxfId="386" priority="170" stopIfTrue="1">
      <formula>IF(AND(E167&gt;=75,E167&lt;90),TRUE,FALSE)</formula>
    </cfRule>
    <cfRule type="expression" dxfId="385" priority="171">
      <formula>IF(E167&gt;=90,TRUE,FALSE)</formula>
    </cfRule>
  </conditionalFormatting>
  <conditionalFormatting sqref="E167:M167">
    <cfRule type="expression" priority="166" stopIfTrue="1">
      <formula>IF(E167=0,TRUE,FALSE)</formula>
    </cfRule>
  </conditionalFormatting>
  <conditionalFormatting sqref="E172:M172">
    <cfRule type="expression" dxfId="384" priority="161" stopIfTrue="1">
      <formula>IF(E172&lt;51,TRUE,FALSE)</formula>
    </cfRule>
    <cfRule type="expression" dxfId="383" priority="162" stopIfTrue="1">
      <formula>IF(AND(E172&gt;=51,E172&lt;60),TRUE,FALSE)</formula>
    </cfRule>
    <cfRule type="expression" dxfId="382" priority="163" stopIfTrue="1">
      <formula>IF(AND(E172&gt;=60,E172&lt;75),TRUE,FALSE)</formula>
    </cfRule>
    <cfRule type="expression" dxfId="381" priority="164" stopIfTrue="1">
      <formula>IF(AND(E172&gt;=75,E172&lt;90),TRUE,FALSE)</formula>
    </cfRule>
    <cfRule type="expression" dxfId="380" priority="165">
      <formula>IF(E172&gt;=90,TRUE,FALSE)</formula>
    </cfRule>
  </conditionalFormatting>
  <conditionalFormatting sqref="E172:M172">
    <cfRule type="expression" priority="160" stopIfTrue="1">
      <formula>IF(E172=0,TRUE,FALSE)</formula>
    </cfRule>
  </conditionalFormatting>
  <conditionalFormatting sqref="E45:M45">
    <cfRule type="expression" dxfId="379" priority="155" stopIfTrue="1">
      <formula>IF(E45&lt;51,TRUE,FALSE)</formula>
    </cfRule>
    <cfRule type="expression" dxfId="378" priority="156" stopIfTrue="1">
      <formula>IF(AND(E45&gt;=51,E45&lt;60),TRUE,FALSE)</formula>
    </cfRule>
    <cfRule type="expression" dxfId="377" priority="157" stopIfTrue="1">
      <formula>IF(AND(E45&gt;=60,E45&lt;75),TRUE,FALSE)</formula>
    </cfRule>
    <cfRule type="expression" dxfId="376" priority="158" stopIfTrue="1">
      <formula>IF(AND(E45&gt;=75,E45&lt;90),TRUE,FALSE)</formula>
    </cfRule>
    <cfRule type="expression" dxfId="375" priority="159">
      <formula>IF(E45&gt;=90,TRUE,FALSE)</formula>
    </cfRule>
  </conditionalFormatting>
  <conditionalFormatting sqref="E45:M45">
    <cfRule type="expression" priority="154" stopIfTrue="1">
      <formula>IF(E45=0,TRUE,FALSE)</formula>
    </cfRule>
  </conditionalFormatting>
  <conditionalFormatting sqref="F45:M45">
    <cfRule type="expression" priority="153" stopIfTrue="1">
      <formula>IF(F45=0,TRUE,FALSE)</formula>
    </cfRule>
  </conditionalFormatting>
  <conditionalFormatting sqref="E130:M130">
    <cfRule type="expression" dxfId="374" priority="148" stopIfTrue="1">
      <formula>IF(E130&lt;51,TRUE,FALSE)</formula>
    </cfRule>
    <cfRule type="expression" dxfId="373" priority="149" stopIfTrue="1">
      <formula>IF(AND(E130&gt;=51,E130&lt;60),TRUE,FALSE)</formula>
    </cfRule>
    <cfRule type="expression" dxfId="372" priority="150" stopIfTrue="1">
      <formula>IF(AND(E130&gt;=60,E130&lt;75),TRUE,FALSE)</formula>
    </cfRule>
    <cfRule type="expression" dxfId="371" priority="151" stopIfTrue="1">
      <formula>IF(AND(E130&gt;=75,E130&lt;90),TRUE,FALSE)</formula>
    </cfRule>
    <cfRule type="expression" dxfId="370" priority="152">
      <formula>IF(E130&gt;=90,TRUE,FALSE)</formula>
    </cfRule>
  </conditionalFormatting>
  <conditionalFormatting sqref="E130:M130">
    <cfRule type="expression" priority="147" stopIfTrue="1">
      <formula>IF(E130=0,TRUE,FALSE)</formula>
    </cfRule>
  </conditionalFormatting>
  <conditionalFormatting sqref="F130:M130">
    <cfRule type="expression" priority="146" stopIfTrue="1">
      <formula>IF(F130=0,TRUE,FALSE)</formula>
    </cfRule>
  </conditionalFormatting>
  <conditionalFormatting sqref="E160:M160">
    <cfRule type="expression" dxfId="369" priority="141" stopIfTrue="1">
      <formula>IF(E160&lt;51,TRUE,FALSE)</formula>
    </cfRule>
    <cfRule type="expression" dxfId="368" priority="142" stopIfTrue="1">
      <formula>IF(AND(E160&gt;=51,E160&lt;60),TRUE,FALSE)</formula>
    </cfRule>
    <cfRule type="expression" dxfId="367" priority="143" stopIfTrue="1">
      <formula>IF(AND(E160&gt;=60,E160&lt;75),TRUE,FALSE)</formula>
    </cfRule>
    <cfRule type="expression" dxfId="366" priority="144" stopIfTrue="1">
      <formula>IF(AND(E160&gt;=75,E160&lt;90),TRUE,FALSE)</formula>
    </cfRule>
    <cfRule type="expression" dxfId="365" priority="145">
      <formula>IF(E160&gt;=90,TRUE,FALSE)</formula>
    </cfRule>
  </conditionalFormatting>
  <conditionalFormatting sqref="E160:M160">
    <cfRule type="expression" priority="140" stopIfTrue="1">
      <formula>IF(E160=0,TRUE,FALSE)</formula>
    </cfRule>
  </conditionalFormatting>
  <conditionalFormatting sqref="F160:M160">
    <cfRule type="expression" priority="139" stopIfTrue="1">
      <formula>IF(F160=0,TRUE,FALSE)</formula>
    </cfRule>
  </conditionalFormatting>
  <conditionalFormatting sqref="E186:M186">
    <cfRule type="expression" dxfId="364" priority="134" stopIfTrue="1">
      <formula>IF(E186&lt;51,TRUE,FALSE)</formula>
    </cfRule>
    <cfRule type="expression" dxfId="363" priority="135" stopIfTrue="1">
      <formula>IF(AND(E186&gt;=51,E186&lt;60),TRUE,FALSE)</formula>
    </cfRule>
    <cfRule type="expression" dxfId="362" priority="136" stopIfTrue="1">
      <formula>IF(AND(E186&gt;=60,E186&lt;75),TRUE,FALSE)</formula>
    </cfRule>
    <cfRule type="expression" dxfId="361" priority="137" stopIfTrue="1">
      <formula>IF(AND(E186&gt;=75,E186&lt;90),TRUE,FALSE)</formula>
    </cfRule>
    <cfRule type="expression" dxfId="360" priority="138">
      <formula>IF(E186&gt;=90,TRUE,FALSE)</formula>
    </cfRule>
  </conditionalFormatting>
  <conditionalFormatting sqref="E186:M186">
    <cfRule type="expression" priority="133" stopIfTrue="1">
      <formula>IF(E186=0,TRUE,FALSE)</formula>
    </cfRule>
  </conditionalFormatting>
  <conditionalFormatting sqref="F186:M186">
    <cfRule type="expression" priority="132" stopIfTrue="1">
      <formula>IF(F186=0,TRUE,FALSE)</formula>
    </cfRule>
  </conditionalFormatting>
  <conditionalFormatting sqref="E191:M191">
    <cfRule type="expression" dxfId="359" priority="124" stopIfTrue="1">
      <formula>IF(E$1&lt;4,TRUE,FALSE)</formula>
    </cfRule>
    <cfRule type="expression" priority="125" stopIfTrue="1">
      <formula>IF(E191=0,TRUE,FALSE)</formula>
    </cfRule>
    <cfRule type="expression" dxfId="358" priority="126" stopIfTrue="1">
      <formula>IF(E191&lt;51,TRUE,FALSE)</formula>
    </cfRule>
    <cfRule type="expression" dxfId="357" priority="127" stopIfTrue="1">
      <formula>IF(AND(E191&gt;=51,E191&lt;60),TRUE,FALSE)</formula>
    </cfRule>
    <cfRule type="expression" dxfId="356" priority="128" stopIfTrue="1">
      <formula>IF(AND(E191&gt;=60,E191&lt;75),TRUE,FALSE)</formula>
    </cfRule>
    <cfRule type="expression" dxfId="355" priority="129" stopIfTrue="1">
      <formula>IF(AND(E191&gt;=75,E191&lt;90),TRUE,FALSE)</formula>
    </cfRule>
    <cfRule type="expression" dxfId="354" priority="130">
      <formula>IF(E191&gt;=90,TRUE,FALSE)</formula>
    </cfRule>
  </conditionalFormatting>
  <conditionalFormatting sqref="E200:M200">
    <cfRule type="expression" dxfId="353" priority="117" stopIfTrue="1">
      <formula>IF(E$1&lt;4,TRUE,FALSE)</formula>
    </cfRule>
    <cfRule type="expression" priority="118" stopIfTrue="1">
      <formula>IF(E200=0,TRUE,FALSE)</formula>
    </cfRule>
    <cfRule type="expression" dxfId="352" priority="119" stopIfTrue="1">
      <formula>IF(E200&lt;51,TRUE,FALSE)</formula>
    </cfRule>
    <cfRule type="expression" dxfId="351" priority="120" stopIfTrue="1">
      <formula>IF(AND(E200&gt;=51,E200&lt;60),TRUE,FALSE)</formula>
    </cfRule>
    <cfRule type="expression" dxfId="350" priority="121" stopIfTrue="1">
      <formula>IF(AND(E200&gt;=60,E200&lt;75),TRUE,FALSE)</formula>
    </cfRule>
    <cfRule type="expression" dxfId="349" priority="122" stopIfTrue="1">
      <formula>IF(AND(E200&gt;=75,E200&lt;90),TRUE,FALSE)</formula>
    </cfRule>
    <cfRule type="expression" dxfId="348" priority="123">
      <formula>IF(E200&gt;=90,TRUE,FALSE)</formula>
    </cfRule>
  </conditionalFormatting>
  <conditionalFormatting sqref="E202:M202">
    <cfRule type="expression" dxfId="347" priority="110" stopIfTrue="1">
      <formula>IF(E$1&lt;4,TRUE,FALSE)</formula>
    </cfRule>
    <cfRule type="expression" priority="111" stopIfTrue="1">
      <formula>IF(E202=0,TRUE,FALSE)</formula>
    </cfRule>
    <cfRule type="expression" dxfId="346" priority="112" stopIfTrue="1">
      <formula>IF(E202&lt;51,TRUE,FALSE)</formula>
    </cfRule>
    <cfRule type="expression" dxfId="345" priority="113" stopIfTrue="1">
      <formula>IF(AND(E202&gt;=51,E202&lt;60),TRUE,FALSE)</formula>
    </cfRule>
    <cfRule type="expression" dxfId="344" priority="114" stopIfTrue="1">
      <formula>IF(AND(E202&gt;=60,E202&lt;75),TRUE,FALSE)</formula>
    </cfRule>
    <cfRule type="expression" dxfId="343" priority="115" stopIfTrue="1">
      <formula>IF(AND(E202&gt;=75,E202&lt;90),TRUE,FALSE)</formula>
    </cfRule>
    <cfRule type="expression" dxfId="342" priority="116">
      <formula>IF(E202&gt;=90,TRUE,FALSE)</formula>
    </cfRule>
  </conditionalFormatting>
  <conditionalFormatting sqref="E211:M211">
    <cfRule type="expression" dxfId="341" priority="103" stopIfTrue="1">
      <formula>IF(E$1&lt;4,TRUE,FALSE)</formula>
    </cfRule>
    <cfRule type="expression" priority="104" stopIfTrue="1">
      <formula>IF(E211=0,TRUE,FALSE)</formula>
    </cfRule>
    <cfRule type="expression" dxfId="340" priority="105" stopIfTrue="1">
      <formula>IF(E211&lt;51,TRUE,FALSE)</formula>
    </cfRule>
    <cfRule type="expression" dxfId="339" priority="106" stopIfTrue="1">
      <formula>IF(AND(E211&gt;=51,E211&lt;60),TRUE,FALSE)</formula>
    </cfRule>
    <cfRule type="expression" dxfId="338" priority="107" stopIfTrue="1">
      <formula>IF(AND(E211&gt;=60,E211&lt;75),TRUE,FALSE)</formula>
    </cfRule>
    <cfRule type="expression" dxfId="337" priority="108" stopIfTrue="1">
      <formula>IF(AND(E211&gt;=75,E211&lt;90),TRUE,FALSE)</formula>
    </cfRule>
    <cfRule type="expression" dxfId="336" priority="109">
      <formula>IF(E211&gt;=90,TRUE,FALSE)</formula>
    </cfRule>
  </conditionalFormatting>
  <conditionalFormatting sqref="E213:M213">
    <cfRule type="expression" dxfId="335" priority="96" stopIfTrue="1">
      <formula>IF(E$1&lt;4,TRUE,FALSE)</formula>
    </cfRule>
    <cfRule type="expression" priority="97" stopIfTrue="1">
      <formula>IF(E213=0,TRUE,FALSE)</formula>
    </cfRule>
    <cfRule type="expression" dxfId="334" priority="98" stopIfTrue="1">
      <formula>IF(E213&lt;51,TRUE,FALSE)</formula>
    </cfRule>
    <cfRule type="expression" dxfId="333" priority="99" stopIfTrue="1">
      <formula>IF(AND(E213&gt;=51,E213&lt;60),TRUE,FALSE)</formula>
    </cfRule>
    <cfRule type="expression" dxfId="332" priority="100" stopIfTrue="1">
      <formula>IF(AND(E213&gt;=60,E213&lt;75),TRUE,FALSE)</formula>
    </cfRule>
    <cfRule type="expression" dxfId="331" priority="101" stopIfTrue="1">
      <formula>IF(AND(E213&gt;=75,E213&lt;90),TRUE,FALSE)</formula>
    </cfRule>
    <cfRule type="expression" dxfId="330" priority="102">
      <formula>IF(E213&gt;=90,TRUE,FALSE)</formula>
    </cfRule>
  </conditionalFormatting>
  <conditionalFormatting sqref="E215:M215">
    <cfRule type="expression" dxfId="329" priority="89" stopIfTrue="1">
      <formula>IF(E$1&lt;4,TRUE,FALSE)</formula>
    </cfRule>
    <cfRule type="expression" priority="90" stopIfTrue="1">
      <formula>IF(E215=0,TRUE,FALSE)</formula>
    </cfRule>
    <cfRule type="expression" dxfId="328" priority="91" stopIfTrue="1">
      <formula>IF(E215&lt;51,TRUE,FALSE)</formula>
    </cfRule>
    <cfRule type="expression" dxfId="327" priority="92" stopIfTrue="1">
      <formula>IF(AND(E215&gt;=51,E215&lt;60),TRUE,FALSE)</formula>
    </cfRule>
    <cfRule type="expression" dxfId="326" priority="93" stopIfTrue="1">
      <formula>IF(AND(E215&gt;=60,E215&lt;75),TRUE,FALSE)</formula>
    </cfRule>
    <cfRule type="expression" dxfId="325" priority="94" stopIfTrue="1">
      <formula>IF(AND(E215&gt;=75,E215&lt;90),TRUE,FALSE)</formula>
    </cfRule>
    <cfRule type="expression" dxfId="324" priority="95">
      <formula>IF(E215&gt;=90,TRUE,FALSE)</formula>
    </cfRule>
  </conditionalFormatting>
  <conditionalFormatting sqref="E224:M224">
    <cfRule type="expression" dxfId="323" priority="82" stopIfTrue="1">
      <formula>IF(E$1&lt;4,TRUE,FALSE)</formula>
    </cfRule>
    <cfRule type="expression" priority="83" stopIfTrue="1">
      <formula>IF(E224=0,TRUE,FALSE)</formula>
    </cfRule>
    <cfRule type="expression" dxfId="322" priority="84" stopIfTrue="1">
      <formula>IF(E224&lt;51,TRUE,FALSE)</formula>
    </cfRule>
    <cfRule type="expression" dxfId="321" priority="85" stopIfTrue="1">
      <formula>IF(AND(E224&gt;=51,E224&lt;60),TRUE,FALSE)</formula>
    </cfRule>
    <cfRule type="expression" dxfId="320" priority="86" stopIfTrue="1">
      <formula>IF(AND(E224&gt;=60,E224&lt;75),TRUE,FALSE)</formula>
    </cfRule>
    <cfRule type="expression" dxfId="319" priority="87" stopIfTrue="1">
      <formula>IF(AND(E224&gt;=75,E224&lt;90),TRUE,FALSE)</formula>
    </cfRule>
    <cfRule type="expression" dxfId="318" priority="88">
      <formula>IF(E224&gt;=90,TRUE,FALSE)</formula>
    </cfRule>
  </conditionalFormatting>
  <conditionalFormatting sqref="E226:M226">
    <cfRule type="expression" dxfId="317" priority="75" stopIfTrue="1">
      <formula>IF(E$1&lt;4,TRUE,FALSE)</formula>
    </cfRule>
    <cfRule type="expression" priority="76" stopIfTrue="1">
      <formula>IF(E226=0,TRUE,FALSE)</formula>
    </cfRule>
    <cfRule type="expression" dxfId="316" priority="77" stopIfTrue="1">
      <formula>IF(E226&lt;51,TRUE,FALSE)</formula>
    </cfRule>
    <cfRule type="expression" dxfId="315" priority="78" stopIfTrue="1">
      <formula>IF(AND(E226&gt;=51,E226&lt;60),TRUE,FALSE)</formula>
    </cfRule>
    <cfRule type="expression" dxfId="314" priority="79" stopIfTrue="1">
      <formula>IF(AND(E226&gt;=60,E226&lt;75),TRUE,FALSE)</formula>
    </cfRule>
    <cfRule type="expression" dxfId="313" priority="80" stopIfTrue="1">
      <formula>IF(AND(E226&gt;=75,E226&lt;90),TRUE,FALSE)</formula>
    </cfRule>
    <cfRule type="expression" dxfId="312" priority="81">
      <formula>IF(E226&gt;=90,TRUE,FALSE)</formula>
    </cfRule>
  </conditionalFormatting>
  <conditionalFormatting sqref="E230:M230">
    <cfRule type="expression" dxfId="311" priority="68" stopIfTrue="1">
      <formula>IF(E$1&lt;4,TRUE,FALSE)</formula>
    </cfRule>
    <cfRule type="expression" priority="69" stopIfTrue="1">
      <formula>IF(E230=0,TRUE,FALSE)</formula>
    </cfRule>
    <cfRule type="expression" dxfId="310" priority="70" stopIfTrue="1">
      <formula>IF(E230&lt;51,TRUE,FALSE)</formula>
    </cfRule>
    <cfRule type="expression" dxfId="309" priority="71" stopIfTrue="1">
      <formula>IF(AND(E230&gt;=51,E230&lt;60),TRUE,FALSE)</formula>
    </cfRule>
    <cfRule type="expression" dxfId="308" priority="72" stopIfTrue="1">
      <formula>IF(AND(E230&gt;=60,E230&lt;75),TRUE,FALSE)</formula>
    </cfRule>
    <cfRule type="expression" dxfId="307" priority="73" stopIfTrue="1">
      <formula>IF(AND(E230&gt;=75,E230&lt;90),TRUE,FALSE)</formula>
    </cfRule>
    <cfRule type="expression" dxfId="306" priority="74">
      <formula>IF(E230&gt;=90,TRUE,FALSE)</formula>
    </cfRule>
  </conditionalFormatting>
  <conditionalFormatting sqref="E228:M228">
    <cfRule type="expression" dxfId="305" priority="61" stopIfTrue="1">
      <formula>IF(E$1&lt;4,TRUE,FALSE)</formula>
    </cfRule>
    <cfRule type="expression" priority="62" stopIfTrue="1">
      <formula>IF(E228=0,TRUE,FALSE)</formula>
    </cfRule>
    <cfRule type="expression" dxfId="304" priority="63" stopIfTrue="1">
      <formula>IF(E228&lt;51,TRUE,FALSE)</formula>
    </cfRule>
    <cfRule type="expression" dxfId="303" priority="64" stopIfTrue="1">
      <formula>IF(AND(E228&gt;=51,E228&lt;60),TRUE,FALSE)</formula>
    </cfRule>
    <cfRule type="expression" dxfId="302" priority="65" stopIfTrue="1">
      <formula>IF(AND(E228&gt;=60,E228&lt;75),TRUE,FALSE)</formula>
    </cfRule>
    <cfRule type="expression" dxfId="301" priority="66" stopIfTrue="1">
      <formula>IF(AND(E228&gt;=75,E228&lt;90),TRUE,FALSE)</formula>
    </cfRule>
    <cfRule type="expression" dxfId="300" priority="67">
      <formula>IF(E228&gt;=90,TRUE,FALSE)</formula>
    </cfRule>
  </conditionalFormatting>
  <conditionalFormatting sqref="E232:M232">
    <cfRule type="expression" dxfId="299" priority="54" stopIfTrue="1">
      <formula>IF(E$1&lt;4,TRUE,FALSE)</formula>
    </cfRule>
    <cfRule type="expression" priority="55" stopIfTrue="1">
      <formula>IF(E232=0,TRUE,FALSE)</formula>
    </cfRule>
    <cfRule type="expression" dxfId="298" priority="56" stopIfTrue="1">
      <formula>IF(E232&lt;51,TRUE,FALSE)</formula>
    </cfRule>
    <cfRule type="expression" dxfId="297" priority="57" stopIfTrue="1">
      <formula>IF(AND(E232&gt;=51,E232&lt;60),TRUE,FALSE)</formula>
    </cfRule>
    <cfRule type="expression" dxfId="296" priority="58" stopIfTrue="1">
      <formula>IF(AND(E232&gt;=60,E232&lt;75),TRUE,FALSE)</formula>
    </cfRule>
    <cfRule type="expression" dxfId="295" priority="59" stopIfTrue="1">
      <formula>IF(AND(E232&gt;=75,E232&lt;90),TRUE,FALSE)</formula>
    </cfRule>
    <cfRule type="expression" dxfId="294" priority="60">
      <formula>IF(E232&gt;=90,TRUE,FALSE)</formula>
    </cfRule>
  </conditionalFormatting>
  <conditionalFormatting sqref="E186:M186">
    <cfRule type="expression" dxfId="293" priority="53" stopIfTrue="1">
      <formula>IF(E$1&lt;4,TRUE,FALSE)</formula>
    </cfRule>
  </conditionalFormatting>
  <conditionalFormatting sqref="E197:M197">
    <cfRule type="expression" dxfId="292" priority="48" stopIfTrue="1">
      <formula>IF(E197&lt;51,TRUE,FALSE)</formula>
    </cfRule>
    <cfRule type="expression" dxfId="291" priority="49" stopIfTrue="1">
      <formula>IF(AND(E197&gt;=51,E197&lt;60),TRUE,FALSE)</formula>
    </cfRule>
    <cfRule type="expression" dxfId="290" priority="50" stopIfTrue="1">
      <formula>IF(AND(E197&gt;=60,E197&lt;75),TRUE,FALSE)</formula>
    </cfRule>
    <cfRule type="expression" dxfId="289" priority="51" stopIfTrue="1">
      <formula>IF(AND(E197&gt;=75,E197&lt;90),TRUE,FALSE)</formula>
    </cfRule>
    <cfRule type="expression" dxfId="288" priority="52">
      <formula>IF(E197&gt;=90,TRUE,FALSE)</formula>
    </cfRule>
  </conditionalFormatting>
  <conditionalFormatting sqref="E197:M197">
    <cfRule type="expression" priority="47" stopIfTrue="1">
      <formula>IF(E197=0,TRUE,FALSE)</formula>
    </cfRule>
  </conditionalFormatting>
  <conditionalFormatting sqref="F197:M197">
    <cfRule type="expression" priority="46" stopIfTrue="1">
      <formula>IF(F197=0,TRUE,FALSE)</formula>
    </cfRule>
  </conditionalFormatting>
  <conditionalFormatting sqref="E197:M197">
    <cfRule type="expression" dxfId="287" priority="45" stopIfTrue="1">
      <formula>IF(E$1&lt;4,TRUE,FALSE)</formula>
    </cfRule>
  </conditionalFormatting>
  <conditionalFormatting sqref="E208:M208">
    <cfRule type="expression" dxfId="286" priority="40" stopIfTrue="1">
      <formula>IF(E208&lt;51,TRUE,FALSE)</formula>
    </cfRule>
    <cfRule type="expression" dxfId="285" priority="41" stopIfTrue="1">
      <formula>IF(AND(E208&gt;=51,E208&lt;60),TRUE,FALSE)</formula>
    </cfRule>
    <cfRule type="expression" dxfId="284" priority="42" stopIfTrue="1">
      <formula>IF(AND(E208&gt;=60,E208&lt;75),TRUE,FALSE)</formula>
    </cfRule>
    <cfRule type="expression" dxfId="283" priority="43" stopIfTrue="1">
      <formula>IF(AND(E208&gt;=75,E208&lt;90),TRUE,FALSE)</formula>
    </cfRule>
    <cfRule type="expression" dxfId="282" priority="44">
      <formula>IF(E208&gt;=90,TRUE,FALSE)</formula>
    </cfRule>
  </conditionalFormatting>
  <conditionalFormatting sqref="E208:M208">
    <cfRule type="expression" priority="39" stopIfTrue="1">
      <formula>IF(E208=0,TRUE,FALSE)</formula>
    </cfRule>
  </conditionalFormatting>
  <conditionalFormatting sqref="F208:M208">
    <cfRule type="expression" priority="38" stopIfTrue="1">
      <formula>IF(F208=0,TRUE,FALSE)</formula>
    </cfRule>
  </conditionalFormatting>
  <conditionalFormatting sqref="E208:M208">
    <cfRule type="expression" dxfId="281" priority="37" stopIfTrue="1">
      <formula>IF(E$1&lt;4,TRUE,FALSE)</formula>
    </cfRule>
  </conditionalFormatting>
  <conditionalFormatting sqref="E221:M221">
    <cfRule type="expression" dxfId="280" priority="32" stopIfTrue="1">
      <formula>IF(E221&lt;51,TRUE,FALSE)</formula>
    </cfRule>
    <cfRule type="expression" dxfId="279" priority="33" stopIfTrue="1">
      <formula>IF(AND(E221&gt;=51,E221&lt;60),TRUE,FALSE)</formula>
    </cfRule>
    <cfRule type="expression" dxfId="278" priority="34" stopIfTrue="1">
      <formula>IF(AND(E221&gt;=60,E221&lt;75),TRUE,FALSE)</formula>
    </cfRule>
    <cfRule type="expression" dxfId="277" priority="35" stopIfTrue="1">
      <formula>IF(AND(E221&gt;=75,E221&lt;90),TRUE,FALSE)</formula>
    </cfRule>
    <cfRule type="expression" dxfId="276" priority="36">
      <formula>IF(E221&gt;=90,TRUE,FALSE)</formula>
    </cfRule>
  </conditionalFormatting>
  <conditionalFormatting sqref="E221:M221">
    <cfRule type="expression" priority="31" stopIfTrue="1">
      <formula>IF(E221=0,TRUE,FALSE)</formula>
    </cfRule>
  </conditionalFormatting>
  <conditionalFormatting sqref="F221:M221">
    <cfRule type="expression" priority="30" stopIfTrue="1">
      <formula>IF(F221=0,TRUE,FALSE)</formula>
    </cfRule>
  </conditionalFormatting>
  <conditionalFormatting sqref="E221:M221">
    <cfRule type="expression" dxfId="275" priority="29" stopIfTrue="1">
      <formula>IF(E$1&lt;4,TRUE,FALSE)</formula>
    </cfRule>
  </conditionalFormatting>
  <conditionalFormatting sqref="E234:M234">
    <cfRule type="expression" dxfId="274" priority="22" stopIfTrue="1">
      <formula>IF(E$1&lt;4,TRUE,FALSE)</formula>
    </cfRule>
    <cfRule type="expression" priority="23" stopIfTrue="1">
      <formula>IF(E234=0,TRUE,FALSE)</formula>
    </cfRule>
    <cfRule type="expression" dxfId="273" priority="24" stopIfTrue="1">
      <formula>IF(E234&lt;51,TRUE,FALSE)</formula>
    </cfRule>
    <cfRule type="expression" dxfId="272" priority="25" stopIfTrue="1">
      <formula>IF(AND(E234&gt;=51,E234&lt;60),TRUE,FALSE)</formula>
    </cfRule>
    <cfRule type="expression" dxfId="271" priority="26" stopIfTrue="1">
      <formula>IF(AND(E234&gt;=60,E234&lt;75),TRUE,FALSE)</formula>
    </cfRule>
    <cfRule type="expression" dxfId="270" priority="27" stopIfTrue="1">
      <formula>IF(AND(E234&gt;=75,E234&lt;90),TRUE,FALSE)</formula>
    </cfRule>
    <cfRule type="expression" dxfId="269" priority="28">
      <formula>IF(E234&gt;=90,TRUE,FALSE)</formula>
    </cfRule>
  </conditionalFormatting>
  <conditionalFormatting sqref="E190:G190">
    <cfRule type="expression" dxfId="268" priority="14">
      <formula>IF(E$1&lt;4,TRUE,FALSE)</formula>
    </cfRule>
  </conditionalFormatting>
  <conditionalFormatting sqref="E192:G192">
    <cfRule type="expression" dxfId="267" priority="13">
      <formula>IF(E$1&lt;4,TRUE,FALSE)</formula>
    </cfRule>
  </conditionalFormatting>
  <conditionalFormatting sqref="E201:G201">
    <cfRule type="expression" dxfId="266" priority="12">
      <formula>IF(E$1&lt;4,TRUE,FALSE)</formula>
    </cfRule>
  </conditionalFormatting>
  <conditionalFormatting sqref="E203:G203">
    <cfRule type="expression" dxfId="265" priority="11">
      <formula>IF(E$1&lt;4,TRUE,FALSE)</formula>
    </cfRule>
  </conditionalFormatting>
  <conditionalFormatting sqref="E212:G212">
    <cfRule type="expression" dxfId="264" priority="10">
      <formula>IF(E$1&lt;4,TRUE,FALSE)</formula>
    </cfRule>
  </conditionalFormatting>
  <conditionalFormatting sqref="E214:G214">
    <cfRule type="expression" dxfId="263" priority="9">
      <formula>IF(E$1&lt;4,TRUE,FALSE)</formula>
    </cfRule>
  </conditionalFormatting>
  <conditionalFormatting sqref="E216:G216">
    <cfRule type="expression" dxfId="262" priority="8">
      <formula>IF(E$1&lt;4,TRUE,FALSE)</formula>
    </cfRule>
  </conditionalFormatting>
  <conditionalFormatting sqref="E225:G225">
    <cfRule type="expression" dxfId="261" priority="7">
      <formula>IF(E$1&lt;4,TRUE,FALSE)</formula>
    </cfRule>
  </conditionalFormatting>
  <conditionalFormatting sqref="E227:G227">
    <cfRule type="expression" dxfId="260" priority="6">
      <formula>IF(E$1&lt;4,TRUE,FALSE)</formula>
    </cfRule>
  </conditionalFormatting>
  <conditionalFormatting sqref="E229:G229">
    <cfRule type="expression" dxfId="259" priority="5">
      <formula>IF(E$1&lt;4,TRUE,FALSE)</formula>
    </cfRule>
  </conditionalFormatting>
  <conditionalFormatting sqref="E231:G231">
    <cfRule type="expression" dxfId="258" priority="4">
      <formula>IF(E$1&lt;4,TRUE,FALSE)</formula>
    </cfRule>
  </conditionalFormatting>
  <conditionalFormatting sqref="E233:G233">
    <cfRule type="expression" dxfId="257" priority="3">
      <formula>IF(E$1&lt;4,TRUE,FALSE)</formula>
    </cfRule>
  </conditionalFormatting>
  <conditionalFormatting sqref="E235:G235">
    <cfRule type="expression" dxfId="256" priority="2">
      <formula>IF(E$1&lt;4,TRUE,FALSE)</formula>
    </cfRule>
  </conditionalFormatting>
  <conditionalFormatting sqref="E237:G237">
    <cfRule type="expression" dxfId="255" priority="1">
      <formula>IF(E$1&lt;4,TRUE,FALSE)</formula>
    </cfRule>
  </conditionalFormatting>
  <dataValidations disablePrompts="1" count="1">
    <dataValidation type="whole" allowBlank="1" showInputMessage="1" showErrorMessage="1" errorTitle="Nilai Salah" error="Masukkan nilai antara 1 - 4 saja !" sqref="M233 M237">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worksheet>
</file>

<file path=xl/worksheets/sheet25.xml><?xml version="1.0" encoding="utf-8"?>
<worksheet xmlns="http://schemas.openxmlformats.org/spreadsheetml/2006/main" xmlns:r="http://schemas.openxmlformats.org/officeDocument/2006/relationships">
  <sheetPr>
    <tabColor rgb="FFFFCC00"/>
    <pageSetUpPr fitToPage="1"/>
  </sheetPr>
  <dimension ref="B1:P58"/>
  <sheetViews>
    <sheetView showGridLines="0" workbookViewId="0">
      <selection activeCell="E8" sqref="E8"/>
    </sheetView>
  </sheetViews>
  <sheetFormatPr defaultColWidth="9.140625" defaultRowHeight="15"/>
  <cols>
    <col min="1" max="1" width="4.140625" customWidth="1"/>
    <col min="2" max="2" width="5.7109375" customWidth="1"/>
    <col min="3" max="3" width="57.42578125" customWidth="1"/>
    <col min="4" max="4" width="4" style="269" bestFit="1" customWidth="1"/>
    <col min="5" max="13" width="7" bestFit="1" customWidth="1"/>
    <col min="14" max="14" width="3.5703125" bestFit="1" customWidth="1"/>
    <col min="15" max="15" width="4" style="222" customWidth="1"/>
    <col min="16" max="20" width="9.140625" customWidth="1"/>
  </cols>
  <sheetData>
    <row r="1" spans="2:15" s="75" customFormat="1" ht="18.75">
      <c r="C1" s="75" t="s">
        <v>556</v>
      </c>
      <c r="D1" s="268"/>
      <c r="E1" s="75">
        <v>1</v>
      </c>
      <c r="F1" s="75">
        <v>2</v>
      </c>
      <c r="G1" s="75">
        <v>3</v>
      </c>
      <c r="H1" s="75">
        <v>4</v>
      </c>
      <c r="I1" s="75">
        <v>4</v>
      </c>
      <c r="J1" s="75">
        <v>4</v>
      </c>
      <c r="K1" s="75">
        <v>4</v>
      </c>
      <c r="L1" s="75">
        <v>4</v>
      </c>
      <c r="M1" s="75">
        <v>4</v>
      </c>
      <c r="N1" s="307" t="str">
        <f>HYPERLINK("#Menu!A1","↖")</f>
        <v>↖</v>
      </c>
      <c r="O1" s="244"/>
    </row>
    <row r="2" spans="2:15" ht="23.25">
      <c r="B2" s="50" t="s">
        <v>468</v>
      </c>
      <c r="E2" s="460" t="s">
        <v>467</v>
      </c>
      <c r="F2" s="461"/>
      <c r="G2" s="461"/>
      <c r="H2" s="461"/>
      <c r="I2" s="461"/>
      <c r="J2" s="461"/>
      <c r="K2" s="461"/>
      <c r="L2" s="461"/>
      <c r="M2" s="462"/>
    </row>
    <row r="3" spans="2:15" ht="21">
      <c r="B3" s="304" t="str">
        <f ca="1">"Kamad yang dinilai : "&amp;INDIRECT("DATA"&amp;"!E3") &amp; " ("&amp;INDIRECT("DATA"&amp;"!E4")&amp;")"</f>
        <v>Kamad yang dinilai : SIDIQ MUSTAKIM, Lc (-)</v>
      </c>
      <c r="E3" s="116">
        <v>1</v>
      </c>
      <c r="F3" s="116">
        <v>2</v>
      </c>
      <c r="G3" s="116">
        <v>3</v>
      </c>
      <c r="H3" s="463">
        <v>4</v>
      </c>
      <c r="I3" s="464"/>
      <c r="J3" s="464"/>
      <c r="K3" s="464"/>
      <c r="L3" s="464"/>
      <c r="M3" s="465"/>
    </row>
    <row r="4" spans="2:15" ht="51.75">
      <c r="B4" s="51"/>
      <c r="E4" s="114" t="s">
        <v>404</v>
      </c>
      <c r="F4" s="114" t="s">
        <v>404</v>
      </c>
      <c r="G4" s="114" t="s">
        <v>404</v>
      </c>
      <c r="H4" s="114" t="s">
        <v>402</v>
      </c>
      <c r="I4" s="114" t="s">
        <v>403</v>
      </c>
      <c r="J4" s="114" t="s">
        <v>404</v>
      </c>
      <c r="K4" s="114" t="s">
        <v>405</v>
      </c>
      <c r="L4" s="114" t="s">
        <v>406</v>
      </c>
      <c r="M4" s="114" t="s">
        <v>407</v>
      </c>
    </row>
    <row r="5" spans="2:15" s="108" customFormat="1" ht="20.25">
      <c r="B5" s="466" t="s">
        <v>469</v>
      </c>
      <c r="C5" s="476"/>
      <c r="D5" s="266">
        <v>5</v>
      </c>
      <c r="E5" s="226">
        <f t="shared" ref="E5:M14" ca="1" si="0">HYPERLINK("#'"&amp;E$4&amp;"-Thn-"&amp;E$1&amp;"'!"&amp;ADDRESS(ROW()+1,6),INDIRECT(ADDRESS($D5,COLUMN(),1,1,$C$1)))</f>
        <v>70</v>
      </c>
      <c r="F5" s="135">
        <f t="shared" ca="1" si="0"/>
        <v>0</v>
      </c>
      <c r="G5" s="135">
        <f t="shared" ca="1" si="0"/>
        <v>0</v>
      </c>
      <c r="H5" s="135">
        <f t="shared" ca="1" si="0"/>
        <v>0</v>
      </c>
      <c r="I5" s="135">
        <f t="shared" ca="1" si="0"/>
        <v>0</v>
      </c>
      <c r="J5" s="135">
        <f t="shared" ca="1" si="0"/>
        <v>0</v>
      </c>
      <c r="K5" s="135">
        <f t="shared" ca="1" si="0"/>
        <v>0</v>
      </c>
      <c r="L5" s="135">
        <f t="shared" ca="1" si="0"/>
        <v>0</v>
      </c>
      <c r="M5" s="136">
        <f t="shared" ca="1" si="0"/>
        <v>0</v>
      </c>
    </row>
    <row r="6" spans="2:15" s="108" customFormat="1" ht="18">
      <c r="B6" s="231" t="s">
        <v>412</v>
      </c>
      <c r="C6" s="232"/>
      <c r="D6" s="267">
        <v>7</v>
      </c>
      <c r="E6" s="234">
        <f t="shared" ca="1" si="0"/>
        <v>61.458333333333336</v>
      </c>
      <c r="F6" s="234">
        <f t="shared" ca="1" si="0"/>
        <v>0</v>
      </c>
      <c r="G6" s="234">
        <f t="shared" ca="1" si="0"/>
        <v>0</v>
      </c>
      <c r="H6" s="234">
        <f t="shared" ca="1" si="0"/>
        <v>0</v>
      </c>
      <c r="I6" s="234">
        <f t="shared" ca="1" si="0"/>
        <v>0</v>
      </c>
      <c r="J6" s="234">
        <f t="shared" ca="1" si="0"/>
        <v>0</v>
      </c>
      <c r="K6" s="234">
        <f t="shared" ca="1" si="0"/>
        <v>0</v>
      </c>
      <c r="L6" s="234">
        <f t="shared" ca="1" si="0"/>
        <v>0</v>
      </c>
      <c r="M6" s="235">
        <f t="shared" ca="1" si="0"/>
        <v>0</v>
      </c>
    </row>
    <row r="7" spans="2:15" ht="15" customHeight="1">
      <c r="B7" s="227" t="s">
        <v>14</v>
      </c>
      <c r="C7" s="228" t="s">
        <v>73</v>
      </c>
      <c r="D7" s="270">
        <v>10</v>
      </c>
      <c r="E7" s="236">
        <f t="shared" ca="1" si="0"/>
        <v>66.666666666666657</v>
      </c>
      <c r="F7" s="236">
        <f t="shared" ca="1" si="0"/>
        <v>0</v>
      </c>
      <c r="G7" s="236">
        <f t="shared" ca="1" si="0"/>
        <v>0</v>
      </c>
      <c r="H7" s="236">
        <f t="shared" ca="1" si="0"/>
        <v>0</v>
      </c>
      <c r="I7" s="236">
        <f t="shared" ca="1" si="0"/>
        <v>0</v>
      </c>
      <c r="J7" s="236">
        <f t="shared" ca="1" si="0"/>
        <v>0</v>
      </c>
      <c r="K7" s="236">
        <f t="shared" ca="1" si="0"/>
        <v>0</v>
      </c>
      <c r="L7" s="236">
        <f t="shared" ca="1" si="0"/>
        <v>0</v>
      </c>
      <c r="M7" s="237">
        <f t="shared" ca="1" si="0"/>
        <v>0</v>
      </c>
    </row>
    <row r="8" spans="2:15" ht="15" customHeight="1">
      <c r="B8" s="38" t="s">
        <v>13</v>
      </c>
      <c r="C8" s="220" t="s">
        <v>82</v>
      </c>
      <c r="D8" s="271">
        <v>14</v>
      </c>
      <c r="E8" s="229">
        <f t="shared" ca="1" si="0"/>
        <v>68.75</v>
      </c>
      <c r="F8" s="229">
        <f t="shared" ca="1" si="0"/>
        <v>0</v>
      </c>
      <c r="G8" s="229">
        <f t="shared" ca="1" si="0"/>
        <v>0</v>
      </c>
      <c r="H8" s="229">
        <f t="shared" ca="1" si="0"/>
        <v>0</v>
      </c>
      <c r="I8" s="229">
        <f t="shared" ca="1" si="0"/>
        <v>0</v>
      </c>
      <c r="J8" s="229">
        <f t="shared" ca="1" si="0"/>
        <v>0</v>
      </c>
      <c r="K8" s="229">
        <f t="shared" ca="1" si="0"/>
        <v>0</v>
      </c>
      <c r="L8" s="229">
        <f t="shared" ca="1" si="0"/>
        <v>0</v>
      </c>
      <c r="M8" s="230">
        <f t="shared" ca="1" si="0"/>
        <v>0</v>
      </c>
    </row>
    <row r="9" spans="2:15" ht="15" customHeight="1">
      <c r="B9" s="38" t="s">
        <v>91</v>
      </c>
      <c r="C9" s="220" t="s">
        <v>92</v>
      </c>
      <c r="D9" s="271">
        <v>19</v>
      </c>
      <c r="E9" s="229">
        <f t="shared" ca="1" si="0"/>
        <v>62.5</v>
      </c>
      <c r="F9" s="229">
        <f t="shared" ca="1" si="0"/>
        <v>0</v>
      </c>
      <c r="G9" s="229">
        <f t="shared" ca="1" si="0"/>
        <v>0</v>
      </c>
      <c r="H9" s="229">
        <f t="shared" ca="1" si="0"/>
        <v>0</v>
      </c>
      <c r="I9" s="229">
        <f t="shared" ca="1" si="0"/>
        <v>0</v>
      </c>
      <c r="J9" s="229">
        <f t="shared" ca="1" si="0"/>
        <v>0</v>
      </c>
      <c r="K9" s="229">
        <f t="shared" ca="1" si="0"/>
        <v>0</v>
      </c>
      <c r="L9" s="229">
        <f t="shared" ca="1" si="0"/>
        <v>0</v>
      </c>
      <c r="M9" s="230">
        <f t="shared" ca="1" si="0"/>
        <v>0</v>
      </c>
    </row>
    <row r="10" spans="2:15" ht="15" customHeight="1">
      <c r="B10" s="38" t="s">
        <v>97</v>
      </c>
      <c r="C10" s="220" t="s">
        <v>98</v>
      </c>
      <c r="D10" s="271">
        <v>22</v>
      </c>
      <c r="E10" s="229">
        <f t="shared" ca="1" si="0"/>
        <v>68.75</v>
      </c>
      <c r="F10" s="229">
        <f t="shared" ca="1" si="0"/>
        <v>0</v>
      </c>
      <c r="G10" s="229">
        <f t="shared" ca="1" si="0"/>
        <v>0</v>
      </c>
      <c r="H10" s="229">
        <f t="shared" ca="1" si="0"/>
        <v>0</v>
      </c>
      <c r="I10" s="229">
        <f t="shared" ca="1" si="0"/>
        <v>0</v>
      </c>
      <c r="J10" s="229">
        <f t="shared" ca="1" si="0"/>
        <v>0</v>
      </c>
      <c r="K10" s="229">
        <f t="shared" ca="1" si="0"/>
        <v>0</v>
      </c>
      <c r="L10" s="229">
        <f t="shared" ca="1" si="0"/>
        <v>0</v>
      </c>
      <c r="M10" s="230">
        <f t="shared" ca="1" si="0"/>
        <v>0</v>
      </c>
    </row>
    <row r="11" spans="2:15" ht="15" customHeight="1">
      <c r="B11" s="38" t="s">
        <v>103</v>
      </c>
      <c r="C11" s="220" t="s">
        <v>104</v>
      </c>
      <c r="D11" s="271">
        <v>27</v>
      </c>
      <c r="E11" s="229">
        <f t="shared" ca="1" si="0"/>
        <v>75</v>
      </c>
      <c r="F11" s="229">
        <f t="shared" ca="1" si="0"/>
        <v>0</v>
      </c>
      <c r="G11" s="229">
        <f t="shared" ca="1" si="0"/>
        <v>0</v>
      </c>
      <c r="H11" s="229">
        <f t="shared" ca="1" si="0"/>
        <v>0</v>
      </c>
      <c r="I11" s="229">
        <f t="shared" ca="1" si="0"/>
        <v>0</v>
      </c>
      <c r="J11" s="229">
        <f t="shared" ca="1" si="0"/>
        <v>0</v>
      </c>
      <c r="K11" s="229">
        <f t="shared" ca="1" si="0"/>
        <v>0</v>
      </c>
      <c r="L11" s="229">
        <f t="shared" ca="1" si="0"/>
        <v>0</v>
      </c>
      <c r="M11" s="230">
        <f t="shared" ca="1" si="0"/>
        <v>0</v>
      </c>
    </row>
    <row r="12" spans="2:15" ht="15" customHeight="1">
      <c r="B12" s="38" t="s">
        <v>111</v>
      </c>
      <c r="C12" s="220" t="s">
        <v>112</v>
      </c>
      <c r="D12" s="271">
        <v>31</v>
      </c>
      <c r="E12" s="229">
        <f t="shared" ca="1" si="0"/>
        <v>68.75</v>
      </c>
      <c r="F12" s="229">
        <f t="shared" ca="1" si="0"/>
        <v>0</v>
      </c>
      <c r="G12" s="229">
        <f t="shared" ca="1" si="0"/>
        <v>0</v>
      </c>
      <c r="H12" s="229">
        <f t="shared" ca="1" si="0"/>
        <v>0</v>
      </c>
      <c r="I12" s="229">
        <f t="shared" ca="1" si="0"/>
        <v>0</v>
      </c>
      <c r="J12" s="229">
        <f t="shared" ca="1" si="0"/>
        <v>0</v>
      </c>
      <c r="K12" s="229">
        <f t="shared" ca="1" si="0"/>
        <v>0</v>
      </c>
      <c r="L12" s="229">
        <f t="shared" ca="1" si="0"/>
        <v>0</v>
      </c>
      <c r="M12" s="230">
        <f t="shared" ca="1" si="0"/>
        <v>0</v>
      </c>
    </row>
    <row r="13" spans="2:15" ht="15" customHeight="1">
      <c r="B13" s="145" t="s">
        <v>119</v>
      </c>
      <c r="C13" s="221" t="s">
        <v>120</v>
      </c>
      <c r="D13" s="272">
        <v>36</v>
      </c>
      <c r="E13" s="238">
        <f t="shared" ca="1" si="0"/>
        <v>25</v>
      </c>
      <c r="F13" s="238">
        <f t="shared" ca="1" si="0"/>
        <v>0</v>
      </c>
      <c r="G13" s="238">
        <f t="shared" ca="1" si="0"/>
        <v>0</v>
      </c>
      <c r="H13" s="238">
        <f t="shared" ca="1" si="0"/>
        <v>0</v>
      </c>
      <c r="I13" s="238">
        <f t="shared" ca="1" si="0"/>
        <v>0</v>
      </c>
      <c r="J13" s="238">
        <f t="shared" ca="1" si="0"/>
        <v>0</v>
      </c>
      <c r="K13" s="238">
        <f t="shared" ca="1" si="0"/>
        <v>0</v>
      </c>
      <c r="L13" s="238">
        <f t="shared" ca="1" si="0"/>
        <v>0</v>
      </c>
      <c r="M13" s="239">
        <f t="shared" ca="1" si="0"/>
        <v>0</v>
      </c>
    </row>
    <row r="14" spans="2:15" s="108" customFormat="1" ht="18">
      <c r="B14" s="231" t="s">
        <v>413</v>
      </c>
      <c r="C14" s="232"/>
      <c r="D14" s="267">
        <v>45</v>
      </c>
      <c r="E14" s="241">
        <f t="shared" ca="1" si="0"/>
        <v>75.403225806451616</v>
      </c>
      <c r="F14" s="242">
        <f t="shared" ca="1" si="0"/>
        <v>0</v>
      </c>
      <c r="G14" s="242">
        <f t="shared" ca="1" si="0"/>
        <v>0</v>
      </c>
      <c r="H14" s="242">
        <f t="shared" ca="1" si="0"/>
        <v>0</v>
      </c>
      <c r="I14" s="242">
        <f t="shared" ca="1" si="0"/>
        <v>0</v>
      </c>
      <c r="J14" s="242">
        <f t="shared" ca="1" si="0"/>
        <v>0</v>
      </c>
      <c r="K14" s="242">
        <f t="shared" ca="1" si="0"/>
        <v>0</v>
      </c>
      <c r="L14" s="242">
        <f t="shared" ca="1" si="0"/>
        <v>0</v>
      </c>
      <c r="M14" s="243">
        <f t="shared" ca="1" si="0"/>
        <v>0</v>
      </c>
    </row>
    <row r="15" spans="2:15" ht="15" customHeight="1">
      <c r="B15" s="227" t="s">
        <v>11</v>
      </c>
      <c r="C15" s="228" t="s">
        <v>130</v>
      </c>
      <c r="D15" s="270">
        <v>48</v>
      </c>
      <c r="E15" s="229">
        <f t="shared" ref="E15:M24" ca="1" si="1">HYPERLINK("#'"&amp;E$4&amp;"-Thn-"&amp;E$1&amp;"'!"&amp;ADDRESS(ROW()+1,6),INDIRECT(ADDRESS($D15,COLUMN(),1,1,$C$1)))</f>
        <v>68.75</v>
      </c>
      <c r="F15" s="229">
        <f t="shared" ca="1" si="1"/>
        <v>0</v>
      </c>
      <c r="G15" s="229">
        <f t="shared" ca="1" si="1"/>
        <v>0</v>
      </c>
      <c r="H15" s="229">
        <f t="shared" ca="1" si="1"/>
        <v>0</v>
      </c>
      <c r="I15" s="229">
        <f t="shared" ca="1" si="1"/>
        <v>0</v>
      </c>
      <c r="J15" s="229">
        <f t="shared" ca="1" si="1"/>
        <v>0</v>
      </c>
      <c r="K15" s="229">
        <f t="shared" ca="1" si="1"/>
        <v>0</v>
      </c>
      <c r="L15" s="229">
        <f t="shared" ca="1" si="1"/>
        <v>0</v>
      </c>
      <c r="M15" s="230">
        <f t="shared" ca="1" si="1"/>
        <v>0</v>
      </c>
    </row>
    <row r="16" spans="2:15" ht="15" customHeight="1">
      <c r="B16" s="38" t="s">
        <v>9</v>
      </c>
      <c r="C16" s="220" t="s">
        <v>138</v>
      </c>
      <c r="D16" s="271">
        <v>53</v>
      </c>
      <c r="E16" s="140">
        <f t="shared" ca="1" si="1"/>
        <v>75</v>
      </c>
      <c r="F16" s="140">
        <f t="shared" ca="1" si="1"/>
        <v>0</v>
      </c>
      <c r="G16" s="140">
        <f t="shared" ca="1" si="1"/>
        <v>0</v>
      </c>
      <c r="H16" s="140">
        <f t="shared" ca="1" si="1"/>
        <v>0</v>
      </c>
      <c r="I16" s="140">
        <f t="shared" ca="1" si="1"/>
        <v>0</v>
      </c>
      <c r="J16" s="140">
        <f t="shared" ca="1" si="1"/>
        <v>0</v>
      </c>
      <c r="K16" s="140">
        <f t="shared" ca="1" si="1"/>
        <v>0</v>
      </c>
      <c r="L16" s="140">
        <f t="shared" ca="1" si="1"/>
        <v>0</v>
      </c>
      <c r="M16" s="144">
        <f t="shared" ca="1" si="1"/>
        <v>0</v>
      </c>
    </row>
    <row r="17" spans="2:13" ht="15" customHeight="1">
      <c r="B17" s="38" t="s">
        <v>144</v>
      </c>
      <c r="C17" s="220" t="s">
        <v>145</v>
      </c>
      <c r="D17" s="271">
        <v>57</v>
      </c>
      <c r="E17" s="140">
        <f t="shared" ca="1" si="1"/>
        <v>81.25</v>
      </c>
      <c r="F17" s="140">
        <f t="shared" ca="1" si="1"/>
        <v>0</v>
      </c>
      <c r="G17" s="140">
        <f t="shared" ca="1" si="1"/>
        <v>0</v>
      </c>
      <c r="H17" s="140">
        <f t="shared" ca="1" si="1"/>
        <v>0</v>
      </c>
      <c r="I17" s="140">
        <f t="shared" ca="1" si="1"/>
        <v>0</v>
      </c>
      <c r="J17" s="140">
        <f t="shared" ca="1" si="1"/>
        <v>0</v>
      </c>
      <c r="K17" s="140">
        <f t="shared" ca="1" si="1"/>
        <v>0</v>
      </c>
      <c r="L17" s="140">
        <f t="shared" ca="1" si="1"/>
        <v>0</v>
      </c>
      <c r="M17" s="144">
        <f t="shared" ca="1" si="1"/>
        <v>0</v>
      </c>
    </row>
    <row r="18" spans="2:13" ht="15" customHeight="1">
      <c r="B18" s="38" t="s">
        <v>153</v>
      </c>
      <c r="C18" s="220" t="s">
        <v>154</v>
      </c>
      <c r="D18" s="271">
        <v>62</v>
      </c>
      <c r="E18" s="140">
        <f t="shared" ca="1" si="1"/>
        <v>75</v>
      </c>
      <c r="F18" s="140">
        <f t="shared" ca="1" si="1"/>
        <v>0</v>
      </c>
      <c r="G18" s="140">
        <f t="shared" ca="1" si="1"/>
        <v>0</v>
      </c>
      <c r="H18" s="140">
        <f t="shared" ca="1" si="1"/>
        <v>0</v>
      </c>
      <c r="I18" s="140">
        <f t="shared" ca="1" si="1"/>
        <v>0</v>
      </c>
      <c r="J18" s="140">
        <f t="shared" ca="1" si="1"/>
        <v>0</v>
      </c>
      <c r="K18" s="140">
        <f t="shared" ca="1" si="1"/>
        <v>0</v>
      </c>
      <c r="L18" s="140">
        <f t="shared" ca="1" si="1"/>
        <v>0</v>
      </c>
      <c r="M18" s="144">
        <f t="shared" ca="1" si="1"/>
        <v>0</v>
      </c>
    </row>
    <row r="19" spans="2:13" ht="15" customHeight="1">
      <c r="B19" s="38" t="s">
        <v>163</v>
      </c>
      <c r="C19" s="220" t="s">
        <v>164</v>
      </c>
      <c r="D19" s="271">
        <v>67</v>
      </c>
      <c r="E19" s="140">
        <f t="shared" ca="1" si="1"/>
        <v>93.75</v>
      </c>
      <c r="F19" s="140">
        <f t="shared" ca="1" si="1"/>
        <v>0</v>
      </c>
      <c r="G19" s="140">
        <f t="shared" ca="1" si="1"/>
        <v>0</v>
      </c>
      <c r="H19" s="140">
        <f t="shared" ca="1" si="1"/>
        <v>0</v>
      </c>
      <c r="I19" s="140">
        <f t="shared" ca="1" si="1"/>
        <v>0</v>
      </c>
      <c r="J19" s="140">
        <f t="shared" ca="1" si="1"/>
        <v>0</v>
      </c>
      <c r="K19" s="140">
        <f t="shared" ca="1" si="1"/>
        <v>0</v>
      </c>
      <c r="L19" s="140">
        <f t="shared" ca="1" si="1"/>
        <v>0</v>
      </c>
      <c r="M19" s="144">
        <f t="shared" ca="1" si="1"/>
        <v>0</v>
      </c>
    </row>
    <row r="20" spans="2:13" ht="15" customHeight="1">
      <c r="B20" s="38" t="s">
        <v>173</v>
      </c>
      <c r="C20" s="220" t="s">
        <v>174</v>
      </c>
      <c r="D20" s="271">
        <v>72</v>
      </c>
      <c r="E20" s="140">
        <f t="shared" ca="1" si="1"/>
        <v>62.5</v>
      </c>
      <c r="F20" s="140">
        <f t="shared" ca="1" si="1"/>
        <v>0</v>
      </c>
      <c r="G20" s="140">
        <f t="shared" ca="1" si="1"/>
        <v>0</v>
      </c>
      <c r="H20" s="140">
        <f t="shared" ca="1" si="1"/>
        <v>0</v>
      </c>
      <c r="I20" s="140">
        <f t="shared" ca="1" si="1"/>
        <v>0</v>
      </c>
      <c r="J20" s="140">
        <f t="shared" ca="1" si="1"/>
        <v>0</v>
      </c>
      <c r="K20" s="140">
        <f t="shared" ca="1" si="1"/>
        <v>0</v>
      </c>
      <c r="L20" s="140">
        <f t="shared" ca="1" si="1"/>
        <v>0</v>
      </c>
      <c r="M20" s="144">
        <f t="shared" ca="1" si="1"/>
        <v>0</v>
      </c>
    </row>
    <row r="21" spans="2:13" ht="15" customHeight="1">
      <c r="B21" s="38" t="s">
        <v>181</v>
      </c>
      <c r="C21" s="220" t="s">
        <v>182</v>
      </c>
      <c r="D21" s="271">
        <v>77</v>
      </c>
      <c r="E21" s="140">
        <f t="shared" ca="1" si="1"/>
        <v>93.75</v>
      </c>
      <c r="F21" s="140">
        <f t="shared" ca="1" si="1"/>
        <v>0</v>
      </c>
      <c r="G21" s="140">
        <f t="shared" ca="1" si="1"/>
        <v>0</v>
      </c>
      <c r="H21" s="140">
        <f t="shared" ca="1" si="1"/>
        <v>0</v>
      </c>
      <c r="I21" s="140">
        <f t="shared" ca="1" si="1"/>
        <v>0</v>
      </c>
      <c r="J21" s="140">
        <f t="shared" ca="1" si="1"/>
        <v>0</v>
      </c>
      <c r="K21" s="140">
        <f t="shared" ca="1" si="1"/>
        <v>0</v>
      </c>
      <c r="L21" s="140">
        <f t="shared" ca="1" si="1"/>
        <v>0</v>
      </c>
      <c r="M21" s="144">
        <f t="shared" ca="1" si="1"/>
        <v>0</v>
      </c>
    </row>
    <row r="22" spans="2:13" ht="15" customHeight="1">
      <c r="B22" s="38" t="s">
        <v>189</v>
      </c>
      <c r="C22" s="220" t="s">
        <v>190</v>
      </c>
      <c r="D22" s="271">
        <v>82</v>
      </c>
      <c r="E22" s="140">
        <f t="shared" ca="1" si="1"/>
        <v>75</v>
      </c>
      <c r="F22" s="140">
        <f t="shared" ca="1" si="1"/>
        <v>0</v>
      </c>
      <c r="G22" s="140">
        <f t="shared" ca="1" si="1"/>
        <v>0</v>
      </c>
      <c r="H22" s="140">
        <f t="shared" ca="1" si="1"/>
        <v>0</v>
      </c>
      <c r="I22" s="140">
        <f t="shared" ca="1" si="1"/>
        <v>0</v>
      </c>
      <c r="J22" s="140">
        <f t="shared" ca="1" si="1"/>
        <v>0</v>
      </c>
      <c r="K22" s="140">
        <f t="shared" ca="1" si="1"/>
        <v>0</v>
      </c>
      <c r="L22" s="140">
        <f t="shared" ca="1" si="1"/>
        <v>0</v>
      </c>
      <c r="M22" s="144">
        <f t="shared" ca="1" si="1"/>
        <v>0</v>
      </c>
    </row>
    <row r="23" spans="2:13" ht="15" customHeight="1">
      <c r="B23" s="38" t="s">
        <v>195</v>
      </c>
      <c r="C23" s="220" t="s">
        <v>196</v>
      </c>
      <c r="D23" s="271">
        <v>86</v>
      </c>
      <c r="E23" s="140">
        <f t="shared" ca="1" si="1"/>
        <v>81.25</v>
      </c>
      <c r="F23" s="140">
        <f t="shared" ca="1" si="1"/>
        <v>0</v>
      </c>
      <c r="G23" s="140">
        <f t="shared" ca="1" si="1"/>
        <v>0</v>
      </c>
      <c r="H23" s="140">
        <f t="shared" ca="1" si="1"/>
        <v>0</v>
      </c>
      <c r="I23" s="140">
        <f t="shared" ca="1" si="1"/>
        <v>0</v>
      </c>
      <c r="J23" s="140">
        <f t="shared" ca="1" si="1"/>
        <v>0</v>
      </c>
      <c r="K23" s="140">
        <f t="shared" ca="1" si="1"/>
        <v>0</v>
      </c>
      <c r="L23" s="140">
        <f t="shared" ca="1" si="1"/>
        <v>0</v>
      </c>
      <c r="M23" s="144">
        <f t="shared" ca="1" si="1"/>
        <v>0</v>
      </c>
    </row>
    <row r="24" spans="2:13" ht="15" customHeight="1">
      <c r="B24" s="38" t="s">
        <v>204</v>
      </c>
      <c r="C24" s="220" t="s">
        <v>205</v>
      </c>
      <c r="D24" s="271">
        <v>91</v>
      </c>
      <c r="E24" s="140">
        <f t="shared" ca="1" si="1"/>
        <v>60</v>
      </c>
      <c r="F24" s="140">
        <f t="shared" ca="1" si="1"/>
        <v>0</v>
      </c>
      <c r="G24" s="140">
        <f t="shared" ca="1" si="1"/>
        <v>0</v>
      </c>
      <c r="H24" s="140">
        <f t="shared" ca="1" si="1"/>
        <v>0</v>
      </c>
      <c r="I24" s="140">
        <f t="shared" ca="1" si="1"/>
        <v>0</v>
      </c>
      <c r="J24" s="140">
        <f t="shared" ca="1" si="1"/>
        <v>0</v>
      </c>
      <c r="K24" s="140">
        <f t="shared" ca="1" si="1"/>
        <v>0</v>
      </c>
      <c r="L24" s="140">
        <f t="shared" ca="1" si="1"/>
        <v>0</v>
      </c>
      <c r="M24" s="144">
        <f t="shared" ca="1" si="1"/>
        <v>0</v>
      </c>
    </row>
    <row r="25" spans="2:13" ht="15" customHeight="1">
      <c r="B25" s="38" t="s">
        <v>216</v>
      </c>
      <c r="C25" s="220" t="s">
        <v>217</v>
      </c>
      <c r="D25" s="271">
        <v>97</v>
      </c>
      <c r="E25" s="140">
        <f t="shared" ref="E25:M34" ca="1" si="2">HYPERLINK("#'"&amp;E$4&amp;"-Thn-"&amp;E$1&amp;"'!"&amp;ADDRESS(ROW()+1,6),INDIRECT(ADDRESS($D25,COLUMN(),1,1,$C$1)))</f>
        <v>93.75</v>
      </c>
      <c r="F25" s="140">
        <f t="shared" ca="1" si="2"/>
        <v>0</v>
      </c>
      <c r="G25" s="140">
        <f t="shared" ca="1" si="2"/>
        <v>0</v>
      </c>
      <c r="H25" s="140">
        <f t="shared" ca="1" si="2"/>
        <v>0</v>
      </c>
      <c r="I25" s="140">
        <f t="shared" ca="1" si="2"/>
        <v>0</v>
      </c>
      <c r="J25" s="140">
        <f t="shared" ca="1" si="2"/>
        <v>0</v>
      </c>
      <c r="K25" s="140">
        <f t="shared" ca="1" si="2"/>
        <v>0</v>
      </c>
      <c r="L25" s="140">
        <f t="shared" ca="1" si="2"/>
        <v>0</v>
      </c>
      <c r="M25" s="144">
        <f t="shared" ca="1" si="2"/>
        <v>0</v>
      </c>
    </row>
    <row r="26" spans="2:13" ht="15" customHeight="1">
      <c r="B26" s="38" t="s">
        <v>218</v>
      </c>
      <c r="C26" s="220" t="s">
        <v>219</v>
      </c>
      <c r="D26" s="271">
        <v>102</v>
      </c>
      <c r="E26" s="140">
        <f t="shared" ca="1" si="2"/>
        <v>75</v>
      </c>
      <c r="F26" s="140">
        <f t="shared" ca="1" si="2"/>
        <v>0</v>
      </c>
      <c r="G26" s="140">
        <f t="shared" ca="1" si="2"/>
        <v>0</v>
      </c>
      <c r="H26" s="140">
        <f t="shared" ca="1" si="2"/>
        <v>0</v>
      </c>
      <c r="I26" s="140">
        <f t="shared" ca="1" si="2"/>
        <v>0</v>
      </c>
      <c r="J26" s="140">
        <f t="shared" ca="1" si="2"/>
        <v>0</v>
      </c>
      <c r="K26" s="140">
        <f t="shared" ca="1" si="2"/>
        <v>0</v>
      </c>
      <c r="L26" s="140">
        <f t="shared" ca="1" si="2"/>
        <v>0</v>
      </c>
      <c r="M26" s="144">
        <f t="shared" ca="1" si="2"/>
        <v>0</v>
      </c>
    </row>
    <row r="27" spans="2:13" ht="15" customHeight="1">
      <c r="B27" s="38" t="s">
        <v>220</v>
      </c>
      <c r="C27" s="220" t="s">
        <v>221</v>
      </c>
      <c r="D27" s="271">
        <v>107</v>
      </c>
      <c r="E27" s="140">
        <f t="shared" ca="1" si="2"/>
        <v>68.75</v>
      </c>
      <c r="F27" s="140">
        <f t="shared" ca="1" si="2"/>
        <v>0</v>
      </c>
      <c r="G27" s="140">
        <f t="shared" ca="1" si="2"/>
        <v>0</v>
      </c>
      <c r="H27" s="140">
        <f t="shared" ca="1" si="2"/>
        <v>0</v>
      </c>
      <c r="I27" s="140">
        <f t="shared" ca="1" si="2"/>
        <v>0</v>
      </c>
      <c r="J27" s="140">
        <f t="shared" ca="1" si="2"/>
        <v>0</v>
      </c>
      <c r="K27" s="140">
        <f t="shared" ca="1" si="2"/>
        <v>0</v>
      </c>
      <c r="L27" s="140">
        <f t="shared" ca="1" si="2"/>
        <v>0</v>
      </c>
      <c r="M27" s="144">
        <f t="shared" ca="1" si="2"/>
        <v>0</v>
      </c>
    </row>
    <row r="28" spans="2:13" ht="15" customHeight="1">
      <c r="B28" s="38" t="s">
        <v>222</v>
      </c>
      <c r="C28" s="220" t="s">
        <v>223</v>
      </c>
      <c r="D28" s="271">
        <v>112</v>
      </c>
      <c r="E28" s="140">
        <f t="shared" ca="1" si="2"/>
        <v>75</v>
      </c>
      <c r="F28" s="140">
        <f t="shared" ca="1" si="2"/>
        <v>0</v>
      </c>
      <c r="G28" s="140">
        <f t="shared" ca="1" si="2"/>
        <v>0</v>
      </c>
      <c r="H28" s="140">
        <f t="shared" ca="1" si="2"/>
        <v>0</v>
      </c>
      <c r="I28" s="140">
        <f t="shared" ca="1" si="2"/>
        <v>0</v>
      </c>
      <c r="J28" s="140">
        <f t="shared" ca="1" si="2"/>
        <v>0</v>
      </c>
      <c r="K28" s="140">
        <f t="shared" ca="1" si="2"/>
        <v>0</v>
      </c>
      <c r="L28" s="140">
        <f t="shared" ca="1" si="2"/>
        <v>0</v>
      </c>
      <c r="M28" s="144">
        <f t="shared" ca="1" si="2"/>
        <v>0</v>
      </c>
    </row>
    <row r="29" spans="2:13" ht="15" customHeight="1">
      <c r="B29" s="38" t="s">
        <v>232</v>
      </c>
      <c r="C29" s="220" t="s">
        <v>233</v>
      </c>
      <c r="D29" s="271">
        <v>117</v>
      </c>
      <c r="E29" s="140">
        <f t="shared" ca="1" si="2"/>
        <v>66.666666666666657</v>
      </c>
      <c r="F29" s="140">
        <f t="shared" ca="1" si="2"/>
        <v>0</v>
      </c>
      <c r="G29" s="140">
        <f t="shared" ca="1" si="2"/>
        <v>0</v>
      </c>
      <c r="H29" s="140">
        <f t="shared" ca="1" si="2"/>
        <v>0</v>
      </c>
      <c r="I29" s="140">
        <f t="shared" ca="1" si="2"/>
        <v>0</v>
      </c>
      <c r="J29" s="140">
        <f t="shared" ca="1" si="2"/>
        <v>0</v>
      </c>
      <c r="K29" s="140">
        <f t="shared" ca="1" si="2"/>
        <v>0</v>
      </c>
      <c r="L29" s="140">
        <f t="shared" ca="1" si="2"/>
        <v>0</v>
      </c>
      <c r="M29" s="144">
        <f t="shared" ca="1" si="2"/>
        <v>0</v>
      </c>
    </row>
    <row r="30" spans="2:13" ht="15" customHeight="1">
      <c r="B30" s="145" t="s">
        <v>240</v>
      </c>
      <c r="C30" s="221" t="s">
        <v>241</v>
      </c>
      <c r="D30" s="272">
        <v>121</v>
      </c>
      <c r="E30" s="146">
        <f t="shared" ca="1" si="2"/>
        <v>62.5</v>
      </c>
      <c r="F30" s="146">
        <f t="shared" ca="1" si="2"/>
        <v>0</v>
      </c>
      <c r="G30" s="146">
        <f t="shared" ca="1" si="2"/>
        <v>0</v>
      </c>
      <c r="H30" s="146">
        <f t="shared" ca="1" si="2"/>
        <v>0</v>
      </c>
      <c r="I30" s="146">
        <f t="shared" ca="1" si="2"/>
        <v>0</v>
      </c>
      <c r="J30" s="146">
        <f t="shared" ca="1" si="2"/>
        <v>0</v>
      </c>
      <c r="K30" s="146">
        <f t="shared" ca="1" si="2"/>
        <v>0</v>
      </c>
      <c r="L30" s="146">
        <f t="shared" ca="1" si="2"/>
        <v>0</v>
      </c>
      <c r="M30" s="147">
        <f t="shared" ca="1" si="2"/>
        <v>0</v>
      </c>
    </row>
    <row r="31" spans="2:13" s="108" customFormat="1" ht="18">
      <c r="B31" s="231" t="s">
        <v>414</v>
      </c>
      <c r="C31" s="232"/>
      <c r="D31" s="267">
        <v>130</v>
      </c>
      <c r="E31" s="241">
        <f t="shared" ca="1" si="2"/>
        <v>61.111111111111114</v>
      </c>
      <c r="F31" s="242">
        <f t="shared" ca="1" si="2"/>
        <v>0</v>
      </c>
      <c r="G31" s="242">
        <f t="shared" ca="1" si="2"/>
        <v>0</v>
      </c>
      <c r="H31" s="242">
        <f t="shared" ca="1" si="2"/>
        <v>0</v>
      </c>
      <c r="I31" s="242">
        <f t="shared" ca="1" si="2"/>
        <v>0</v>
      </c>
      <c r="J31" s="242">
        <f t="shared" ca="1" si="2"/>
        <v>0</v>
      </c>
      <c r="K31" s="242">
        <f t="shared" ca="1" si="2"/>
        <v>0</v>
      </c>
      <c r="L31" s="242">
        <f t="shared" ca="1" si="2"/>
        <v>0</v>
      </c>
      <c r="M31" s="243">
        <f t="shared" ca="1" si="2"/>
        <v>0</v>
      </c>
    </row>
    <row r="32" spans="2:13" ht="15" customHeight="1">
      <c r="B32" s="227" t="s">
        <v>7</v>
      </c>
      <c r="C32" s="228" t="s">
        <v>248</v>
      </c>
      <c r="D32" s="270">
        <v>133</v>
      </c>
      <c r="E32" s="229">
        <f t="shared" ca="1" si="2"/>
        <v>62.5</v>
      </c>
      <c r="F32" s="229">
        <f t="shared" ca="1" si="2"/>
        <v>0</v>
      </c>
      <c r="G32" s="229">
        <f t="shared" ca="1" si="2"/>
        <v>0</v>
      </c>
      <c r="H32" s="229">
        <f t="shared" ca="1" si="2"/>
        <v>0</v>
      </c>
      <c r="I32" s="229">
        <f t="shared" ca="1" si="2"/>
        <v>0</v>
      </c>
      <c r="J32" s="229">
        <f t="shared" ca="1" si="2"/>
        <v>0</v>
      </c>
      <c r="K32" s="229">
        <f t="shared" ca="1" si="2"/>
        <v>0</v>
      </c>
      <c r="L32" s="229">
        <f t="shared" ca="1" si="2"/>
        <v>0</v>
      </c>
      <c r="M32" s="230">
        <f t="shared" ca="1" si="2"/>
        <v>0</v>
      </c>
    </row>
    <row r="33" spans="2:16" ht="15" customHeight="1">
      <c r="B33" s="38" t="s">
        <v>6</v>
      </c>
      <c r="C33" s="220" t="s">
        <v>256</v>
      </c>
      <c r="D33" s="271">
        <v>138</v>
      </c>
      <c r="E33" s="140">
        <f t="shared" ca="1" si="2"/>
        <v>68.75</v>
      </c>
      <c r="F33" s="140">
        <f t="shared" ca="1" si="2"/>
        <v>0</v>
      </c>
      <c r="G33" s="140">
        <f t="shared" ca="1" si="2"/>
        <v>0</v>
      </c>
      <c r="H33" s="140">
        <f t="shared" ca="1" si="2"/>
        <v>0</v>
      </c>
      <c r="I33" s="140">
        <f t="shared" ca="1" si="2"/>
        <v>0</v>
      </c>
      <c r="J33" s="140">
        <f t="shared" ca="1" si="2"/>
        <v>0</v>
      </c>
      <c r="K33" s="140">
        <f t="shared" ca="1" si="2"/>
        <v>0</v>
      </c>
      <c r="L33" s="140">
        <f t="shared" ca="1" si="2"/>
        <v>0</v>
      </c>
      <c r="M33" s="144">
        <f t="shared" ca="1" si="2"/>
        <v>0</v>
      </c>
    </row>
    <row r="34" spans="2:16" ht="15" customHeight="1">
      <c r="B34" s="38" t="s">
        <v>5</v>
      </c>
      <c r="C34" s="220" t="s">
        <v>265</v>
      </c>
      <c r="D34" s="271">
        <v>143</v>
      </c>
      <c r="E34" s="140">
        <f t="shared" ca="1" si="2"/>
        <v>58.333333333333336</v>
      </c>
      <c r="F34" s="140">
        <f t="shared" ca="1" si="2"/>
        <v>0</v>
      </c>
      <c r="G34" s="140">
        <f t="shared" ca="1" si="2"/>
        <v>0</v>
      </c>
      <c r="H34" s="140">
        <f t="shared" ca="1" si="2"/>
        <v>0</v>
      </c>
      <c r="I34" s="140">
        <f t="shared" ca="1" si="2"/>
        <v>0</v>
      </c>
      <c r="J34" s="140">
        <f t="shared" ca="1" si="2"/>
        <v>0</v>
      </c>
      <c r="K34" s="140">
        <f t="shared" ca="1" si="2"/>
        <v>0</v>
      </c>
      <c r="L34" s="140">
        <f t="shared" ca="1" si="2"/>
        <v>0</v>
      </c>
      <c r="M34" s="144">
        <f t="shared" ca="1" si="2"/>
        <v>0</v>
      </c>
    </row>
    <row r="35" spans="2:16" ht="15" customHeight="1">
      <c r="B35" s="38" t="s">
        <v>271</v>
      </c>
      <c r="C35" s="220" t="s">
        <v>272</v>
      </c>
      <c r="D35" s="271">
        <v>147</v>
      </c>
      <c r="E35" s="140">
        <f t="shared" ref="E35:M44" ca="1" si="3">HYPERLINK("#'"&amp;E$4&amp;"-Thn-"&amp;E$1&amp;"'!"&amp;ADDRESS(ROW()+1,6),INDIRECT(ADDRESS($D35,COLUMN(),1,1,$C$1)))</f>
        <v>58.333333333333336</v>
      </c>
      <c r="F35" s="140">
        <f t="shared" ca="1" si="3"/>
        <v>0</v>
      </c>
      <c r="G35" s="140">
        <f t="shared" ca="1" si="3"/>
        <v>0</v>
      </c>
      <c r="H35" s="140">
        <f t="shared" ca="1" si="3"/>
        <v>0</v>
      </c>
      <c r="I35" s="140">
        <f t="shared" ca="1" si="3"/>
        <v>0</v>
      </c>
      <c r="J35" s="140">
        <f t="shared" ca="1" si="3"/>
        <v>0</v>
      </c>
      <c r="K35" s="140">
        <f t="shared" ca="1" si="3"/>
        <v>0</v>
      </c>
      <c r="L35" s="140">
        <f t="shared" ca="1" si="3"/>
        <v>0</v>
      </c>
      <c r="M35" s="144">
        <f t="shared" ca="1" si="3"/>
        <v>0</v>
      </c>
    </row>
    <row r="36" spans="2:16" ht="15" customHeight="1">
      <c r="B36" s="145" t="s">
        <v>277</v>
      </c>
      <c r="C36" s="221" t="s">
        <v>278</v>
      </c>
      <c r="D36" s="272">
        <v>151</v>
      </c>
      <c r="E36" s="146">
        <f t="shared" ca="1" si="3"/>
        <v>56.25</v>
      </c>
      <c r="F36" s="146">
        <f t="shared" ca="1" si="3"/>
        <v>0</v>
      </c>
      <c r="G36" s="146">
        <f t="shared" ca="1" si="3"/>
        <v>0</v>
      </c>
      <c r="H36" s="146">
        <f t="shared" ca="1" si="3"/>
        <v>0</v>
      </c>
      <c r="I36" s="146">
        <f t="shared" ca="1" si="3"/>
        <v>0</v>
      </c>
      <c r="J36" s="146">
        <f t="shared" ca="1" si="3"/>
        <v>0</v>
      </c>
      <c r="K36" s="146">
        <f t="shared" ca="1" si="3"/>
        <v>0</v>
      </c>
      <c r="L36" s="146">
        <f t="shared" ca="1" si="3"/>
        <v>0</v>
      </c>
      <c r="M36" s="147">
        <f t="shared" ca="1" si="3"/>
        <v>0</v>
      </c>
    </row>
    <row r="37" spans="2:16" s="108" customFormat="1" ht="18">
      <c r="B37" s="109" t="s">
        <v>415</v>
      </c>
      <c r="C37" s="232"/>
      <c r="D37" s="267">
        <v>160</v>
      </c>
      <c r="E37" s="234">
        <f t="shared" ca="1" si="3"/>
        <v>72.727272727272734</v>
      </c>
      <c r="F37" s="234">
        <f t="shared" ca="1" si="3"/>
        <v>0</v>
      </c>
      <c r="G37" s="234">
        <f t="shared" ca="1" si="3"/>
        <v>0</v>
      </c>
      <c r="H37" s="234">
        <f t="shared" ca="1" si="3"/>
        <v>0</v>
      </c>
      <c r="I37" s="234">
        <f t="shared" ca="1" si="3"/>
        <v>0</v>
      </c>
      <c r="J37" s="234">
        <f t="shared" ca="1" si="3"/>
        <v>0</v>
      </c>
      <c r="K37" s="234">
        <f t="shared" ca="1" si="3"/>
        <v>0</v>
      </c>
      <c r="L37" s="234">
        <f t="shared" ca="1" si="3"/>
        <v>0</v>
      </c>
      <c r="M37" s="235">
        <f t="shared" ca="1" si="3"/>
        <v>0</v>
      </c>
    </row>
    <row r="38" spans="2:16" ht="15" customHeight="1">
      <c r="B38" s="38" t="s">
        <v>3</v>
      </c>
      <c r="C38" s="228" t="s">
        <v>287</v>
      </c>
      <c r="D38" s="270">
        <v>163</v>
      </c>
      <c r="E38" s="229">
        <f t="shared" ca="1" si="3"/>
        <v>66.666666666666657</v>
      </c>
      <c r="F38" s="229">
        <f t="shared" ca="1" si="3"/>
        <v>0</v>
      </c>
      <c r="G38" s="229">
        <f t="shared" ca="1" si="3"/>
        <v>0</v>
      </c>
      <c r="H38" s="229">
        <f t="shared" ca="1" si="3"/>
        <v>0</v>
      </c>
      <c r="I38" s="229">
        <f t="shared" ca="1" si="3"/>
        <v>0</v>
      </c>
      <c r="J38" s="229">
        <f t="shared" ca="1" si="3"/>
        <v>0</v>
      </c>
      <c r="K38" s="229">
        <f t="shared" ca="1" si="3"/>
        <v>0</v>
      </c>
      <c r="L38" s="229">
        <f t="shared" ca="1" si="3"/>
        <v>0</v>
      </c>
      <c r="M38" s="230">
        <f t="shared" ca="1" si="3"/>
        <v>0</v>
      </c>
    </row>
    <row r="39" spans="2:16" ht="15" customHeight="1">
      <c r="B39" s="38" t="s">
        <v>2</v>
      </c>
      <c r="C39" s="220" t="s">
        <v>292</v>
      </c>
      <c r="D39" s="271">
        <v>167</v>
      </c>
      <c r="E39" s="140">
        <f t="shared" ca="1" si="3"/>
        <v>75</v>
      </c>
      <c r="F39" s="140">
        <f t="shared" ca="1" si="3"/>
        <v>0</v>
      </c>
      <c r="G39" s="140">
        <f t="shared" ca="1" si="3"/>
        <v>0</v>
      </c>
      <c r="H39" s="140">
        <f t="shared" ca="1" si="3"/>
        <v>0</v>
      </c>
      <c r="I39" s="140">
        <f t="shared" ca="1" si="3"/>
        <v>0</v>
      </c>
      <c r="J39" s="140">
        <f t="shared" ca="1" si="3"/>
        <v>0</v>
      </c>
      <c r="K39" s="140">
        <f t="shared" ca="1" si="3"/>
        <v>0</v>
      </c>
      <c r="L39" s="140">
        <f t="shared" ca="1" si="3"/>
        <v>0</v>
      </c>
      <c r="M39" s="144">
        <f t="shared" ca="1" si="3"/>
        <v>0</v>
      </c>
      <c r="P39" t="s">
        <v>557</v>
      </c>
    </row>
    <row r="40" spans="2:16" ht="15" customHeight="1">
      <c r="B40" s="38" t="s">
        <v>1</v>
      </c>
      <c r="C40" s="220" t="s">
        <v>299</v>
      </c>
      <c r="D40" s="271">
        <v>172</v>
      </c>
      <c r="E40" s="140">
        <f t="shared" ca="1" si="3"/>
        <v>75</v>
      </c>
      <c r="F40" s="140">
        <f t="shared" ca="1" si="3"/>
        <v>0</v>
      </c>
      <c r="G40" s="140">
        <f t="shared" ca="1" si="3"/>
        <v>0</v>
      </c>
      <c r="H40" s="140">
        <f t="shared" ca="1" si="3"/>
        <v>0</v>
      </c>
      <c r="I40" s="140">
        <f t="shared" ca="1" si="3"/>
        <v>0</v>
      </c>
      <c r="J40" s="140">
        <f t="shared" ca="1" si="3"/>
        <v>0</v>
      </c>
      <c r="K40" s="140">
        <f t="shared" ca="1" si="3"/>
        <v>0</v>
      </c>
      <c r="L40" s="140">
        <f t="shared" ca="1" si="3"/>
        <v>0</v>
      </c>
      <c r="M40" s="144">
        <f t="shared" ca="1" si="3"/>
        <v>0</v>
      </c>
    </row>
    <row r="41" spans="2:16" s="108" customFormat="1" ht="18">
      <c r="B41" s="109" t="s">
        <v>416</v>
      </c>
      <c r="C41" s="232"/>
      <c r="D41" s="267">
        <v>186</v>
      </c>
      <c r="E41" s="233">
        <f t="shared" ca="1" si="3"/>
        <v>0</v>
      </c>
      <c r="F41" s="234">
        <f t="shared" ca="1" si="3"/>
        <v>12.5</v>
      </c>
      <c r="G41" s="234">
        <f t="shared" ca="1" si="3"/>
        <v>0</v>
      </c>
      <c r="H41" s="234">
        <f t="shared" ca="1" si="3"/>
        <v>0</v>
      </c>
      <c r="I41" s="234">
        <f t="shared" ca="1" si="3"/>
        <v>0</v>
      </c>
      <c r="J41" s="234">
        <f t="shared" ca="1" si="3"/>
        <v>0</v>
      </c>
      <c r="K41" s="234">
        <f t="shared" ca="1" si="3"/>
        <v>0</v>
      </c>
      <c r="L41" s="234">
        <f t="shared" ca="1" si="3"/>
        <v>0</v>
      </c>
      <c r="M41" s="235">
        <f t="shared" ca="1" si="3"/>
        <v>0</v>
      </c>
    </row>
    <row r="42" spans="2:16">
      <c r="B42" s="38" t="s">
        <v>352</v>
      </c>
      <c r="C42" s="228" t="s">
        <v>351</v>
      </c>
      <c r="D42" s="270">
        <v>189</v>
      </c>
      <c r="E42" s="229">
        <f t="shared" ca="1" si="3"/>
        <v>0</v>
      </c>
      <c r="F42" s="229">
        <f t="shared" ca="1" si="3"/>
        <v>25</v>
      </c>
      <c r="G42" s="229">
        <f t="shared" ca="1" si="3"/>
        <v>0</v>
      </c>
      <c r="H42" s="229">
        <f t="shared" ca="1" si="3"/>
        <v>0</v>
      </c>
      <c r="I42" s="229">
        <f t="shared" ca="1" si="3"/>
        <v>0</v>
      </c>
      <c r="J42" s="229">
        <f t="shared" ca="1" si="3"/>
        <v>0</v>
      </c>
      <c r="K42" s="229">
        <f t="shared" ca="1" si="3"/>
        <v>0</v>
      </c>
      <c r="L42" s="229">
        <f t="shared" ca="1" si="3"/>
        <v>0</v>
      </c>
      <c r="M42" s="230">
        <f t="shared" ca="1" si="3"/>
        <v>0</v>
      </c>
    </row>
    <row r="43" spans="2:16">
      <c r="B43" s="38" t="s">
        <v>355</v>
      </c>
      <c r="C43" s="220" t="s">
        <v>353</v>
      </c>
      <c r="D43" s="271">
        <v>191</v>
      </c>
      <c r="E43" s="140">
        <f t="shared" ca="1" si="3"/>
        <v>0</v>
      </c>
      <c r="F43" s="140">
        <f t="shared" ca="1" si="3"/>
        <v>0</v>
      </c>
      <c r="G43" s="140">
        <f t="shared" ca="1" si="3"/>
        <v>0</v>
      </c>
      <c r="H43" s="140">
        <f t="shared" ca="1" si="3"/>
        <v>0</v>
      </c>
      <c r="I43" s="140">
        <f t="shared" ca="1" si="3"/>
        <v>0</v>
      </c>
      <c r="J43" s="140">
        <f t="shared" ca="1" si="3"/>
        <v>0</v>
      </c>
      <c r="K43" s="140">
        <f t="shared" ca="1" si="3"/>
        <v>0</v>
      </c>
      <c r="L43" s="140">
        <f t="shared" ca="1" si="3"/>
        <v>0</v>
      </c>
      <c r="M43" s="144">
        <f t="shared" ca="1" si="3"/>
        <v>0</v>
      </c>
    </row>
    <row r="44" spans="2:16" s="108" customFormat="1" ht="18">
      <c r="B44" s="109" t="s">
        <v>417</v>
      </c>
      <c r="C44" s="232"/>
      <c r="D44" s="267">
        <v>197</v>
      </c>
      <c r="E44" s="233">
        <f t="shared" ca="1" si="3"/>
        <v>0</v>
      </c>
      <c r="F44" s="234">
        <f t="shared" ca="1" si="3"/>
        <v>0</v>
      </c>
      <c r="G44" s="234">
        <f t="shared" ca="1" si="3"/>
        <v>0</v>
      </c>
      <c r="H44" s="234">
        <f t="shared" ca="1" si="3"/>
        <v>0</v>
      </c>
      <c r="I44" s="234">
        <f t="shared" ca="1" si="3"/>
        <v>0</v>
      </c>
      <c r="J44" s="234">
        <f t="shared" ca="1" si="3"/>
        <v>0</v>
      </c>
      <c r="K44" s="234">
        <f t="shared" ca="1" si="3"/>
        <v>0</v>
      </c>
      <c r="L44" s="234">
        <f t="shared" ca="1" si="3"/>
        <v>0</v>
      </c>
      <c r="M44" s="235">
        <f t="shared" ca="1" si="3"/>
        <v>0</v>
      </c>
    </row>
    <row r="45" spans="2:16">
      <c r="B45" s="38" t="s">
        <v>356</v>
      </c>
      <c r="C45" s="228" t="s">
        <v>357</v>
      </c>
      <c r="D45" s="270">
        <v>200</v>
      </c>
      <c r="E45" s="229">
        <f t="shared" ref="E45:M58" ca="1" si="4">HYPERLINK("#'"&amp;E$4&amp;"-Thn-"&amp;E$1&amp;"'!"&amp;ADDRESS(ROW()+1,6),INDIRECT(ADDRESS($D45,COLUMN(),1,1,$C$1)))</f>
        <v>0</v>
      </c>
      <c r="F45" s="229">
        <f t="shared" ca="1" si="4"/>
        <v>0</v>
      </c>
      <c r="G45" s="229">
        <f t="shared" ca="1" si="4"/>
        <v>0</v>
      </c>
      <c r="H45" s="229">
        <f t="shared" ca="1" si="4"/>
        <v>0</v>
      </c>
      <c r="I45" s="229">
        <f t="shared" ca="1" si="4"/>
        <v>0</v>
      </c>
      <c r="J45" s="229">
        <f t="shared" ca="1" si="4"/>
        <v>0</v>
      </c>
      <c r="K45" s="229">
        <f t="shared" ca="1" si="4"/>
        <v>0</v>
      </c>
      <c r="L45" s="229">
        <f t="shared" ca="1" si="4"/>
        <v>0</v>
      </c>
      <c r="M45" s="230">
        <f t="shared" ca="1" si="4"/>
        <v>0</v>
      </c>
    </row>
    <row r="46" spans="2:16">
      <c r="B46" s="38" t="s">
        <v>360</v>
      </c>
      <c r="C46" s="220" t="s">
        <v>358</v>
      </c>
      <c r="D46" s="271">
        <v>202</v>
      </c>
      <c r="E46" s="140">
        <f t="shared" ca="1" si="4"/>
        <v>0</v>
      </c>
      <c r="F46" s="140">
        <f t="shared" ca="1" si="4"/>
        <v>0</v>
      </c>
      <c r="G46" s="140">
        <f t="shared" ca="1" si="4"/>
        <v>0</v>
      </c>
      <c r="H46" s="140">
        <f t="shared" ca="1" si="4"/>
        <v>0</v>
      </c>
      <c r="I46" s="140">
        <f t="shared" ca="1" si="4"/>
        <v>0</v>
      </c>
      <c r="J46" s="140">
        <f t="shared" ca="1" si="4"/>
        <v>0</v>
      </c>
      <c r="K46" s="140">
        <f t="shared" ca="1" si="4"/>
        <v>0</v>
      </c>
      <c r="L46" s="140">
        <f t="shared" ca="1" si="4"/>
        <v>0</v>
      </c>
      <c r="M46" s="144">
        <f t="shared" ca="1" si="4"/>
        <v>0</v>
      </c>
    </row>
    <row r="47" spans="2:16" s="108" customFormat="1" ht="18">
      <c r="B47" s="109" t="s">
        <v>418</v>
      </c>
      <c r="C47" s="232"/>
      <c r="D47" s="267">
        <v>208</v>
      </c>
      <c r="E47" s="233">
        <f t="shared" ca="1" si="4"/>
        <v>0</v>
      </c>
      <c r="F47" s="234">
        <f t="shared" ca="1" si="4"/>
        <v>0</v>
      </c>
      <c r="G47" s="234">
        <f t="shared" ca="1" si="4"/>
        <v>0</v>
      </c>
      <c r="H47" s="234">
        <f t="shared" ca="1" si="4"/>
        <v>0</v>
      </c>
      <c r="I47" s="234">
        <f t="shared" ca="1" si="4"/>
        <v>0</v>
      </c>
      <c r="J47" s="234">
        <f t="shared" ca="1" si="4"/>
        <v>0</v>
      </c>
      <c r="K47" s="234">
        <f t="shared" ca="1" si="4"/>
        <v>0</v>
      </c>
      <c r="L47" s="234">
        <f t="shared" ca="1" si="4"/>
        <v>0</v>
      </c>
      <c r="M47" s="235">
        <f t="shared" ca="1" si="4"/>
        <v>0</v>
      </c>
    </row>
    <row r="48" spans="2:16" ht="15" customHeight="1">
      <c r="B48" s="38" t="s">
        <v>363</v>
      </c>
      <c r="C48" s="228" t="s">
        <v>361</v>
      </c>
      <c r="D48" s="270">
        <v>211</v>
      </c>
      <c r="E48" s="229">
        <f t="shared" ca="1" si="4"/>
        <v>0</v>
      </c>
      <c r="F48" s="229">
        <f t="shared" ca="1" si="4"/>
        <v>0</v>
      </c>
      <c r="G48" s="229">
        <f t="shared" ca="1" si="4"/>
        <v>0</v>
      </c>
      <c r="H48" s="229">
        <f t="shared" ca="1" si="4"/>
        <v>0</v>
      </c>
      <c r="I48" s="229">
        <f t="shared" ca="1" si="4"/>
        <v>0</v>
      </c>
      <c r="J48" s="229">
        <f t="shared" ca="1" si="4"/>
        <v>0</v>
      </c>
      <c r="K48" s="229">
        <f t="shared" ca="1" si="4"/>
        <v>0</v>
      </c>
      <c r="L48" s="229">
        <f t="shared" ca="1" si="4"/>
        <v>0</v>
      </c>
      <c r="M48" s="230">
        <f t="shared" ca="1" si="4"/>
        <v>0</v>
      </c>
    </row>
    <row r="49" spans="2:13" ht="15" customHeight="1">
      <c r="B49" s="38" t="s">
        <v>364</v>
      </c>
      <c r="C49" s="220" t="s">
        <v>366</v>
      </c>
      <c r="D49" s="271">
        <v>213</v>
      </c>
      <c r="E49" s="140">
        <f t="shared" ca="1" si="4"/>
        <v>0</v>
      </c>
      <c r="F49" s="140">
        <f t="shared" ca="1" si="4"/>
        <v>0</v>
      </c>
      <c r="G49" s="140">
        <f t="shared" ca="1" si="4"/>
        <v>0</v>
      </c>
      <c r="H49" s="140">
        <f t="shared" ca="1" si="4"/>
        <v>0</v>
      </c>
      <c r="I49" s="140">
        <f t="shared" ca="1" si="4"/>
        <v>0</v>
      </c>
      <c r="J49" s="140">
        <f t="shared" ca="1" si="4"/>
        <v>0</v>
      </c>
      <c r="K49" s="140">
        <f t="shared" ca="1" si="4"/>
        <v>0</v>
      </c>
      <c r="L49" s="140">
        <f t="shared" ca="1" si="4"/>
        <v>0</v>
      </c>
      <c r="M49" s="144">
        <f t="shared" ca="1" si="4"/>
        <v>0</v>
      </c>
    </row>
    <row r="50" spans="2:13" ht="15" customHeight="1">
      <c r="B50" s="38" t="s">
        <v>364</v>
      </c>
      <c r="C50" s="220" t="s">
        <v>367</v>
      </c>
      <c r="D50" s="271">
        <v>215</v>
      </c>
      <c r="E50" s="140">
        <f t="shared" ca="1" si="4"/>
        <v>0</v>
      </c>
      <c r="F50" s="140">
        <f t="shared" ca="1" si="4"/>
        <v>0</v>
      </c>
      <c r="G50" s="140">
        <f t="shared" ca="1" si="4"/>
        <v>0</v>
      </c>
      <c r="H50" s="140">
        <f t="shared" ca="1" si="4"/>
        <v>0</v>
      </c>
      <c r="I50" s="140">
        <f t="shared" ca="1" si="4"/>
        <v>0</v>
      </c>
      <c r="J50" s="140">
        <f t="shared" ca="1" si="4"/>
        <v>0</v>
      </c>
      <c r="K50" s="140">
        <f t="shared" ca="1" si="4"/>
        <v>0</v>
      </c>
      <c r="L50" s="140">
        <f t="shared" ca="1" si="4"/>
        <v>0</v>
      </c>
      <c r="M50" s="144">
        <f t="shared" ca="1" si="4"/>
        <v>0</v>
      </c>
    </row>
    <row r="51" spans="2:13" s="108" customFormat="1" ht="18">
      <c r="B51" s="109" t="s">
        <v>419</v>
      </c>
      <c r="C51" s="232"/>
      <c r="D51" s="267">
        <v>221</v>
      </c>
      <c r="E51" s="233">
        <f t="shared" ca="1" si="4"/>
        <v>0</v>
      </c>
      <c r="F51" s="234">
        <f t="shared" ca="1" si="4"/>
        <v>0</v>
      </c>
      <c r="G51" s="234">
        <f t="shared" ca="1" si="4"/>
        <v>0</v>
      </c>
      <c r="H51" s="234">
        <f t="shared" ca="1" si="4"/>
        <v>0</v>
      </c>
      <c r="I51" s="234">
        <f t="shared" ca="1" si="4"/>
        <v>0</v>
      </c>
      <c r="J51" s="234">
        <f t="shared" ca="1" si="4"/>
        <v>0</v>
      </c>
      <c r="K51" s="234">
        <f t="shared" ca="1" si="4"/>
        <v>0</v>
      </c>
      <c r="L51" s="234">
        <f t="shared" ca="1" si="4"/>
        <v>0</v>
      </c>
      <c r="M51" s="235">
        <f t="shared" ca="1" si="4"/>
        <v>0</v>
      </c>
    </row>
    <row r="52" spans="2:13">
      <c r="B52" s="38" t="s">
        <v>371</v>
      </c>
      <c r="C52" s="228" t="s">
        <v>368</v>
      </c>
      <c r="D52" s="270">
        <v>224</v>
      </c>
      <c r="E52" s="229">
        <f t="shared" ca="1" si="4"/>
        <v>0</v>
      </c>
      <c r="F52" s="229">
        <f t="shared" ca="1" si="4"/>
        <v>0</v>
      </c>
      <c r="G52" s="229">
        <f t="shared" ca="1" si="4"/>
        <v>0</v>
      </c>
      <c r="H52" s="229">
        <f t="shared" ca="1" si="4"/>
        <v>0</v>
      </c>
      <c r="I52" s="229">
        <f t="shared" ca="1" si="4"/>
        <v>0</v>
      </c>
      <c r="J52" s="229">
        <f t="shared" ca="1" si="4"/>
        <v>0</v>
      </c>
      <c r="K52" s="229">
        <f t="shared" ca="1" si="4"/>
        <v>0</v>
      </c>
      <c r="L52" s="229">
        <f t="shared" ca="1" si="4"/>
        <v>0</v>
      </c>
      <c r="M52" s="230">
        <f t="shared" ca="1" si="4"/>
        <v>0</v>
      </c>
    </row>
    <row r="53" spans="2:13" ht="15" customHeight="1">
      <c r="B53" s="38" t="s">
        <v>372</v>
      </c>
      <c r="C53" s="220" t="s">
        <v>370</v>
      </c>
      <c r="D53" s="271">
        <v>226</v>
      </c>
      <c r="E53" s="140">
        <f t="shared" ca="1" si="4"/>
        <v>0</v>
      </c>
      <c r="F53" s="140">
        <f t="shared" ca="1" si="4"/>
        <v>0</v>
      </c>
      <c r="G53" s="140">
        <f t="shared" ca="1" si="4"/>
        <v>0</v>
      </c>
      <c r="H53" s="140">
        <f t="shared" ca="1" si="4"/>
        <v>0</v>
      </c>
      <c r="I53" s="140">
        <f t="shared" ca="1" si="4"/>
        <v>0</v>
      </c>
      <c r="J53" s="140">
        <f t="shared" ca="1" si="4"/>
        <v>0</v>
      </c>
      <c r="K53" s="140">
        <f t="shared" ca="1" si="4"/>
        <v>0</v>
      </c>
      <c r="L53" s="140">
        <f t="shared" ca="1" si="4"/>
        <v>0</v>
      </c>
      <c r="M53" s="144">
        <f t="shared" ca="1" si="4"/>
        <v>0</v>
      </c>
    </row>
    <row r="54" spans="2:13">
      <c r="B54" s="38" t="s">
        <v>376</v>
      </c>
      <c r="C54" s="220" t="s">
        <v>375</v>
      </c>
      <c r="D54" s="271">
        <v>228</v>
      </c>
      <c r="E54" s="140">
        <f t="shared" ca="1" si="4"/>
        <v>0</v>
      </c>
      <c r="F54" s="140">
        <f t="shared" ca="1" si="4"/>
        <v>0</v>
      </c>
      <c r="G54" s="140">
        <f t="shared" ca="1" si="4"/>
        <v>0</v>
      </c>
      <c r="H54" s="140">
        <f t="shared" ca="1" si="4"/>
        <v>0</v>
      </c>
      <c r="I54" s="140">
        <f t="shared" ca="1" si="4"/>
        <v>0</v>
      </c>
      <c r="J54" s="140">
        <f t="shared" ca="1" si="4"/>
        <v>0</v>
      </c>
      <c r="K54" s="140">
        <f t="shared" ca="1" si="4"/>
        <v>0</v>
      </c>
      <c r="L54" s="140">
        <f t="shared" ca="1" si="4"/>
        <v>0</v>
      </c>
      <c r="M54" s="144">
        <f t="shared" ca="1" si="4"/>
        <v>0</v>
      </c>
    </row>
    <row r="55" spans="2:13">
      <c r="B55" s="38" t="s">
        <v>377</v>
      </c>
      <c r="C55" s="220" t="s">
        <v>380</v>
      </c>
      <c r="D55" s="271">
        <v>230</v>
      </c>
      <c r="E55" s="140">
        <f t="shared" ca="1" si="4"/>
        <v>0</v>
      </c>
      <c r="F55" s="140">
        <f t="shared" ca="1" si="4"/>
        <v>0</v>
      </c>
      <c r="G55" s="140">
        <f t="shared" ca="1" si="4"/>
        <v>0</v>
      </c>
      <c r="H55" s="140">
        <f t="shared" ca="1" si="4"/>
        <v>0</v>
      </c>
      <c r="I55" s="140">
        <f t="shared" ca="1" si="4"/>
        <v>0</v>
      </c>
      <c r="J55" s="140">
        <f t="shared" ca="1" si="4"/>
        <v>0</v>
      </c>
      <c r="K55" s="140">
        <f t="shared" ca="1" si="4"/>
        <v>0</v>
      </c>
      <c r="L55" s="140">
        <f t="shared" ca="1" si="4"/>
        <v>0</v>
      </c>
      <c r="M55" s="144">
        <f t="shared" ca="1" si="4"/>
        <v>0</v>
      </c>
    </row>
    <row r="56" spans="2:13" ht="15" customHeight="1">
      <c r="B56" s="38" t="s">
        <v>378</v>
      </c>
      <c r="C56" s="220" t="s">
        <v>382</v>
      </c>
      <c r="D56" s="271">
        <v>232</v>
      </c>
      <c r="E56" s="140">
        <f t="shared" ca="1" si="4"/>
        <v>0</v>
      </c>
      <c r="F56" s="140">
        <f t="shared" ca="1" si="4"/>
        <v>0</v>
      </c>
      <c r="G56" s="140">
        <f t="shared" ca="1" si="4"/>
        <v>0</v>
      </c>
      <c r="H56" s="140">
        <f t="shared" ca="1" si="4"/>
        <v>0</v>
      </c>
      <c r="I56" s="140">
        <f t="shared" ca="1" si="4"/>
        <v>0</v>
      </c>
      <c r="J56" s="140">
        <f t="shared" ca="1" si="4"/>
        <v>0</v>
      </c>
      <c r="K56" s="140">
        <f t="shared" ca="1" si="4"/>
        <v>0</v>
      </c>
      <c r="L56" s="140">
        <f t="shared" ca="1" si="4"/>
        <v>0</v>
      </c>
      <c r="M56" s="144">
        <f t="shared" ca="1" si="4"/>
        <v>0</v>
      </c>
    </row>
    <row r="57" spans="2:13" ht="15" customHeight="1">
      <c r="B57" s="38" t="s">
        <v>470</v>
      </c>
      <c r="C57" s="220" t="s">
        <v>472</v>
      </c>
      <c r="D57" s="271">
        <v>234</v>
      </c>
      <c r="E57" s="140">
        <f t="shared" ca="1" si="4"/>
        <v>0</v>
      </c>
      <c r="F57" s="140">
        <f t="shared" ca="1" si="4"/>
        <v>0</v>
      </c>
      <c r="G57" s="140">
        <f t="shared" ca="1" si="4"/>
        <v>0</v>
      </c>
      <c r="H57" s="140">
        <f t="shared" ca="1" si="4"/>
        <v>0</v>
      </c>
      <c r="I57" s="140">
        <f t="shared" ca="1" si="4"/>
        <v>0</v>
      </c>
      <c r="J57" s="140">
        <f t="shared" ca="1" si="4"/>
        <v>0</v>
      </c>
      <c r="K57" s="140">
        <f t="shared" ca="1" si="4"/>
        <v>0</v>
      </c>
      <c r="L57" s="140">
        <f t="shared" ca="1" si="4"/>
        <v>0</v>
      </c>
      <c r="M57" s="144">
        <f t="shared" ca="1" si="4"/>
        <v>0</v>
      </c>
    </row>
    <row r="58" spans="2:13" ht="15" customHeight="1">
      <c r="B58" s="145" t="s">
        <v>471</v>
      </c>
      <c r="C58" s="221" t="s">
        <v>473</v>
      </c>
      <c r="D58" s="272">
        <v>236</v>
      </c>
      <c r="E58" s="146">
        <f t="shared" ca="1" si="4"/>
        <v>0</v>
      </c>
      <c r="F58" s="146">
        <f t="shared" ca="1" si="4"/>
        <v>0</v>
      </c>
      <c r="G58" s="146">
        <f t="shared" ca="1" si="4"/>
        <v>0</v>
      </c>
      <c r="H58" s="146">
        <f t="shared" ca="1" si="4"/>
        <v>0</v>
      </c>
      <c r="I58" s="146">
        <f t="shared" ca="1" si="4"/>
        <v>0</v>
      </c>
      <c r="J58" s="146">
        <f t="shared" ca="1" si="4"/>
        <v>0</v>
      </c>
      <c r="K58" s="146">
        <f t="shared" ca="1" si="4"/>
        <v>0</v>
      </c>
      <c r="L58" s="146">
        <f t="shared" ca="1" si="4"/>
        <v>0</v>
      </c>
      <c r="M58" s="147">
        <f t="shared" ca="1" si="4"/>
        <v>0</v>
      </c>
    </row>
  </sheetData>
  <sheetProtection sheet="1" objects="1" scenarios="1"/>
  <mergeCells count="3">
    <mergeCell ref="E2:M2"/>
    <mergeCell ref="H3:M3"/>
    <mergeCell ref="B5:C5"/>
  </mergeCells>
  <conditionalFormatting sqref="E6:M6">
    <cfRule type="expression" dxfId="254" priority="470" stopIfTrue="1">
      <formula>IF(E6&lt;51,TRUE,FALSE)</formula>
    </cfRule>
    <cfRule type="expression" dxfId="253" priority="471" stopIfTrue="1">
      <formula>IF(AND(E6&gt;=51,E6&lt;60),TRUE,FALSE)</formula>
    </cfRule>
    <cfRule type="expression" dxfId="252" priority="472" stopIfTrue="1">
      <formula>IF(AND(E6&gt;=60,E6&lt;75),TRUE,FALSE)</formula>
    </cfRule>
    <cfRule type="expression" dxfId="251" priority="473" stopIfTrue="1">
      <formula>IF(AND(E6&gt;=75,E6&lt;90),TRUE,FALSE)</formula>
    </cfRule>
    <cfRule type="expression" dxfId="250" priority="474">
      <formula>IF(E6&gt;=90,TRUE,FALSE)</formula>
    </cfRule>
  </conditionalFormatting>
  <conditionalFormatting sqref="E5:M5">
    <cfRule type="expression" dxfId="249" priority="465" stopIfTrue="1">
      <formula>IF(E5&lt;51,TRUE,FALSE)</formula>
    </cfRule>
    <cfRule type="expression" dxfId="248" priority="466" stopIfTrue="1">
      <formula>IF(AND(E5&gt;=51,E5&lt;60),TRUE,FALSE)</formula>
    </cfRule>
    <cfRule type="expression" dxfId="247" priority="467" stopIfTrue="1">
      <formula>IF(AND(E5&gt;=60,E5&lt;75),TRUE,FALSE)</formula>
    </cfRule>
    <cfRule type="expression" dxfId="246" priority="468" stopIfTrue="1">
      <formula>IF(AND(E5&gt;=75,E5&lt;90),TRUE,FALSE)</formula>
    </cfRule>
    <cfRule type="expression" dxfId="245" priority="469">
      <formula>IF(E5&gt;=90,TRUE,FALSE)</formula>
    </cfRule>
  </conditionalFormatting>
  <conditionalFormatting sqref="E42:M42 E58:M58">
    <cfRule type="expression" dxfId="244" priority="241" stopIfTrue="1">
      <formula>IF(E$1&lt;4,TRUE,FALSE)</formula>
    </cfRule>
    <cfRule type="expression" priority="454" stopIfTrue="1">
      <formula>IF(E42=0,TRUE,FALSE)</formula>
    </cfRule>
    <cfRule type="expression" dxfId="243" priority="455" stopIfTrue="1">
      <formula>IF(E42&lt;51,TRUE,FALSE)</formula>
    </cfRule>
    <cfRule type="expression" dxfId="242" priority="456" stopIfTrue="1">
      <formula>IF(AND(E42&gt;=51,E42&lt;60),TRUE,FALSE)</formula>
    </cfRule>
    <cfRule type="expression" dxfId="241" priority="457" stopIfTrue="1">
      <formula>IF(AND(E42&gt;=60,E42&lt;75),TRUE,FALSE)</formula>
    </cfRule>
    <cfRule type="expression" dxfId="240" priority="458" stopIfTrue="1">
      <formula>IF(AND(E42&gt;=75,E42&lt;90),TRUE,FALSE)</formula>
    </cfRule>
    <cfRule type="expression" dxfId="239" priority="459">
      <formula>IF(E42&gt;=90,TRUE,FALSE)</formula>
    </cfRule>
  </conditionalFormatting>
  <conditionalFormatting sqref="E5:M5">
    <cfRule type="expression" dxfId="238" priority="453" stopIfTrue="1">
      <formula>IF(E5=0,TRUE,FALSE)</formula>
    </cfRule>
  </conditionalFormatting>
  <conditionalFormatting sqref="E6:M6">
    <cfRule type="expression" priority="452" stopIfTrue="1">
      <formula>IF(E6=0,TRUE,FALSE)</formula>
    </cfRule>
  </conditionalFormatting>
  <conditionalFormatting sqref="F6:M6">
    <cfRule type="expression" priority="451" stopIfTrue="1">
      <formula>IF(F6=0,TRUE,FALSE)</formula>
    </cfRule>
  </conditionalFormatting>
  <conditionalFormatting sqref="E15:M15">
    <cfRule type="expression" dxfId="237" priority="409" stopIfTrue="1">
      <formula>IF(E15&lt;51,TRUE,FALSE)</formula>
    </cfRule>
    <cfRule type="expression" dxfId="236" priority="410" stopIfTrue="1">
      <formula>IF(AND(E15&gt;=51,E15&lt;60),TRUE,FALSE)</formula>
    </cfRule>
    <cfRule type="expression" dxfId="235" priority="411" stopIfTrue="1">
      <formula>IF(AND(E15&gt;=60,E15&lt;75),TRUE,FALSE)</formula>
    </cfRule>
    <cfRule type="expression" dxfId="234" priority="412" stopIfTrue="1">
      <formula>IF(AND(E15&gt;=75,E15&lt;90),TRUE,FALSE)</formula>
    </cfRule>
    <cfRule type="expression" dxfId="233" priority="413">
      <formula>IF(E15&gt;=90,TRUE,FALSE)</formula>
    </cfRule>
  </conditionalFormatting>
  <conditionalFormatting sqref="E15:M15">
    <cfRule type="expression" priority="408" stopIfTrue="1">
      <formula>IF(E15=0,TRUE,FALSE)</formula>
    </cfRule>
  </conditionalFormatting>
  <conditionalFormatting sqref="E16:M16">
    <cfRule type="expression" dxfId="232" priority="403" stopIfTrue="1">
      <formula>IF(E16&lt;51,TRUE,FALSE)</formula>
    </cfRule>
    <cfRule type="expression" dxfId="231" priority="404" stopIfTrue="1">
      <formula>IF(AND(E16&gt;=51,E16&lt;60),TRUE,FALSE)</formula>
    </cfRule>
    <cfRule type="expression" dxfId="230" priority="405" stopIfTrue="1">
      <formula>IF(AND(E16&gt;=60,E16&lt;75),TRUE,FALSE)</formula>
    </cfRule>
    <cfRule type="expression" dxfId="229" priority="406" stopIfTrue="1">
      <formula>IF(AND(E16&gt;=75,E16&lt;90),TRUE,FALSE)</formula>
    </cfRule>
    <cfRule type="expression" dxfId="228" priority="407">
      <formula>IF(E16&gt;=90,TRUE,FALSE)</formula>
    </cfRule>
  </conditionalFormatting>
  <conditionalFormatting sqref="E16:M16">
    <cfRule type="expression" priority="402" stopIfTrue="1">
      <formula>IF(E16=0,TRUE,FALSE)</formula>
    </cfRule>
  </conditionalFormatting>
  <conditionalFormatting sqref="E17:M17">
    <cfRule type="expression" dxfId="227" priority="397" stopIfTrue="1">
      <formula>IF(E17&lt;51,TRUE,FALSE)</formula>
    </cfRule>
    <cfRule type="expression" dxfId="226" priority="398" stopIfTrue="1">
      <formula>IF(AND(E17&gt;=51,E17&lt;60),TRUE,FALSE)</formula>
    </cfRule>
    <cfRule type="expression" dxfId="225" priority="399" stopIfTrue="1">
      <formula>IF(AND(E17&gt;=60,E17&lt;75),TRUE,FALSE)</formula>
    </cfRule>
    <cfRule type="expression" dxfId="224" priority="400" stopIfTrue="1">
      <formula>IF(AND(E17&gt;=75,E17&lt;90),TRUE,FALSE)</formula>
    </cfRule>
    <cfRule type="expression" dxfId="223" priority="401">
      <formula>IF(E17&gt;=90,TRUE,FALSE)</formula>
    </cfRule>
  </conditionalFormatting>
  <conditionalFormatting sqref="E17:M17">
    <cfRule type="expression" priority="396" stopIfTrue="1">
      <formula>IF(E17=0,TRUE,FALSE)</formula>
    </cfRule>
  </conditionalFormatting>
  <conditionalFormatting sqref="E18:M18">
    <cfRule type="expression" dxfId="222" priority="391" stopIfTrue="1">
      <formula>IF(E18&lt;51,TRUE,FALSE)</formula>
    </cfRule>
    <cfRule type="expression" dxfId="221" priority="392" stopIfTrue="1">
      <formula>IF(AND(E18&gt;=51,E18&lt;60),TRUE,FALSE)</formula>
    </cfRule>
    <cfRule type="expression" dxfId="220" priority="393" stopIfTrue="1">
      <formula>IF(AND(E18&gt;=60,E18&lt;75),TRUE,FALSE)</formula>
    </cfRule>
    <cfRule type="expression" dxfId="219" priority="394" stopIfTrue="1">
      <formula>IF(AND(E18&gt;=75,E18&lt;90),TRUE,FALSE)</formula>
    </cfRule>
    <cfRule type="expression" dxfId="218" priority="395">
      <formula>IF(E18&gt;=90,TRUE,FALSE)</formula>
    </cfRule>
  </conditionalFormatting>
  <conditionalFormatting sqref="E18:M18">
    <cfRule type="expression" priority="390" stopIfTrue="1">
      <formula>IF(E18=0,TRUE,FALSE)</formula>
    </cfRule>
  </conditionalFormatting>
  <conditionalFormatting sqref="E19:M19">
    <cfRule type="expression" dxfId="217" priority="385" stopIfTrue="1">
      <formula>IF(E19&lt;51,TRUE,FALSE)</formula>
    </cfRule>
    <cfRule type="expression" dxfId="216" priority="386" stopIfTrue="1">
      <formula>IF(AND(E19&gt;=51,E19&lt;60),TRUE,FALSE)</formula>
    </cfRule>
    <cfRule type="expression" dxfId="215" priority="387" stopIfTrue="1">
      <formula>IF(AND(E19&gt;=60,E19&lt;75),TRUE,FALSE)</formula>
    </cfRule>
    <cfRule type="expression" dxfId="214" priority="388" stopIfTrue="1">
      <formula>IF(AND(E19&gt;=75,E19&lt;90),TRUE,FALSE)</formula>
    </cfRule>
    <cfRule type="expression" dxfId="213" priority="389">
      <formula>IF(E19&gt;=90,TRUE,FALSE)</formula>
    </cfRule>
  </conditionalFormatting>
  <conditionalFormatting sqref="E19:M19">
    <cfRule type="expression" priority="384" stopIfTrue="1">
      <formula>IF(E19=0,TRUE,FALSE)</formula>
    </cfRule>
  </conditionalFormatting>
  <conditionalFormatting sqref="E20:M20">
    <cfRule type="expression" dxfId="212" priority="379" stopIfTrue="1">
      <formula>IF(E20&lt;51,TRUE,FALSE)</formula>
    </cfRule>
    <cfRule type="expression" dxfId="211" priority="380" stopIfTrue="1">
      <formula>IF(AND(E20&gt;=51,E20&lt;60),TRUE,FALSE)</formula>
    </cfRule>
    <cfRule type="expression" dxfId="210" priority="381" stopIfTrue="1">
      <formula>IF(AND(E20&gt;=60,E20&lt;75),TRUE,FALSE)</formula>
    </cfRule>
    <cfRule type="expression" dxfId="209" priority="382" stopIfTrue="1">
      <formula>IF(AND(E20&gt;=75,E20&lt;90),TRUE,FALSE)</formula>
    </cfRule>
    <cfRule type="expression" dxfId="208" priority="383">
      <formula>IF(E20&gt;=90,TRUE,FALSE)</formula>
    </cfRule>
  </conditionalFormatting>
  <conditionalFormatting sqref="E20:M20">
    <cfRule type="expression" priority="378" stopIfTrue="1">
      <formula>IF(E20=0,TRUE,FALSE)</formula>
    </cfRule>
  </conditionalFormatting>
  <conditionalFormatting sqref="E21:M21">
    <cfRule type="expression" dxfId="207" priority="373" stopIfTrue="1">
      <formula>IF(E21&lt;51,TRUE,FALSE)</formula>
    </cfRule>
    <cfRule type="expression" dxfId="206" priority="374" stopIfTrue="1">
      <formula>IF(AND(E21&gt;=51,E21&lt;60),TRUE,FALSE)</formula>
    </cfRule>
    <cfRule type="expression" dxfId="205" priority="375" stopIfTrue="1">
      <formula>IF(AND(E21&gt;=60,E21&lt;75),TRUE,FALSE)</formula>
    </cfRule>
    <cfRule type="expression" dxfId="204" priority="376" stopIfTrue="1">
      <formula>IF(AND(E21&gt;=75,E21&lt;90),TRUE,FALSE)</formula>
    </cfRule>
    <cfRule type="expression" dxfId="203" priority="377">
      <formula>IF(E21&gt;=90,TRUE,FALSE)</formula>
    </cfRule>
  </conditionalFormatting>
  <conditionalFormatting sqref="E21:M21">
    <cfRule type="expression" priority="372" stopIfTrue="1">
      <formula>IF(E21=0,TRUE,FALSE)</formula>
    </cfRule>
  </conditionalFormatting>
  <conditionalFormatting sqref="E22:M22">
    <cfRule type="expression" dxfId="202" priority="367" stopIfTrue="1">
      <formula>IF(E22&lt;51,TRUE,FALSE)</formula>
    </cfRule>
    <cfRule type="expression" dxfId="201" priority="368" stopIfTrue="1">
      <formula>IF(AND(E22&gt;=51,E22&lt;60),TRUE,FALSE)</formula>
    </cfRule>
    <cfRule type="expression" dxfId="200" priority="369" stopIfTrue="1">
      <formula>IF(AND(E22&gt;=60,E22&lt;75),TRUE,FALSE)</formula>
    </cfRule>
    <cfRule type="expression" dxfId="199" priority="370" stopIfTrue="1">
      <formula>IF(AND(E22&gt;=75,E22&lt;90),TRUE,FALSE)</formula>
    </cfRule>
    <cfRule type="expression" dxfId="198" priority="371">
      <formula>IF(E22&gt;=90,TRUE,FALSE)</formula>
    </cfRule>
  </conditionalFormatting>
  <conditionalFormatting sqref="E22:M22">
    <cfRule type="expression" priority="366" stopIfTrue="1">
      <formula>IF(E22=0,TRUE,FALSE)</formula>
    </cfRule>
  </conditionalFormatting>
  <conditionalFormatting sqref="E23:M23">
    <cfRule type="expression" dxfId="197" priority="361" stopIfTrue="1">
      <formula>IF(E23&lt;51,TRUE,FALSE)</formula>
    </cfRule>
    <cfRule type="expression" dxfId="196" priority="362" stopIfTrue="1">
      <formula>IF(AND(E23&gt;=51,E23&lt;60),TRUE,FALSE)</formula>
    </cfRule>
    <cfRule type="expression" dxfId="195" priority="363" stopIfTrue="1">
      <formula>IF(AND(E23&gt;=60,E23&lt;75),TRUE,FALSE)</formula>
    </cfRule>
    <cfRule type="expression" dxfId="194" priority="364" stopIfTrue="1">
      <formula>IF(AND(E23&gt;=75,E23&lt;90),TRUE,FALSE)</formula>
    </cfRule>
    <cfRule type="expression" dxfId="193" priority="365">
      <formula>IF(E23&gt;=90,TRUE,FALSE)</formula>
    </cfRule>
  </conditionalFormatting>
  <conditionalFormatting sqref="E23:M23">
    <cfRule type="expression" priority="360" stopIfTrue="1">
      <formula>IF(E23=0,TRUE,FALSE)</formula>
    </cfRule>
  </conditionalFormatting>
  <conditionalFormatting sqref="E24:M24">
    <cfRule type="expression" dxfId="192" priority="355" stopIfTrue="1">
      <formula>IF(E24&lt;51,TRUE,FALSE)</formula>
    </cfRule>
    <cfRule type="expression" dxfId="191" priority="356" stopIfTrue="1">
      <formula>IF(AND(E24&gt;=51,E24&lt;60),TRUE,FALSE)</formula>
    </cfRule>
    <cfRule type="expression" dxfId="190" priority="357" stopIfTrue="1">
      <formula>IF(AND(E24&gt;=60,E24&lt;75),TRUE,FALSE)</formula>
    </cfRule>
    <cfRule type="expression" dxfId="189" priority="358" stopIfTrue="1">
      <formula>IF(AND(E24&gt;=75,E24&lt;90),TRUE,FALSE)</formula>
    </cfRule>
    <cfRule type="expression" dxfId="188" priority="359">
      <formula>IF(E24&gt;=90,TRUE,FALSE)</formula>
    </cfRule>
  </conditionalFormatting>
  <conditionalFormatting sqref="E24:M24">
    <cfRule type="expression" priority="354" stopIfTrue="1">
      <formula>IF(E24=0,TRUE,FALSE)</formula>
    </cfRule>
  </conditionalFormatting>
  <conditionalFormatting sqref="E25:M25">
    <cfRule type="expression" dxfId="187" priority="349" stopIfTrue="1">
      <formula>IF(E25&lt;51,TRUE,FALSE)</formula>
    </cfRule>
    <cfRule type="expression" dxfId="186" priority="350" stopIfTrue="1">
      <formula>IF(AND(E25&gt;=51,E25&lt;60),TRUE,FALSE)</formula>
    </cfRule>
    <cfRule type="expression" dxfId="185" priority="351" stopIfTrue="1">
      <formula>IF(AND(E25&gt;=60,E25&lt;75),TRUE,FALSE)</formula>
    </cfRule>
    <cfRule type="expression" dxfId="184" priority="352" stopIfTrue="1">
      <formula>IF(AND(E25&gt;=75,E25&lt;90),TRUE,FALSE)</formula>
    </cfRule>
    <cfRule type="expression" dxfId="183" priority="353">
      <formula>IF(E25&gt;=90,TRUE,FALSE)</formula>
    </cfRule>
  </conditionalFormatting>
  <conditionalFormatting sqref="E25:M25">
    <cfRule type="expression" priority="348" stopIfTrue="1">
      <formula>IF(E25=0,TRUE,FALSE)</formula>
    </cfRule>
  </conditionalFormatting>
  <conditionalFormatting sqref="E26:M26">
    <cfRule type="expression" dxfId="182" priority="343" stopIfTrue="1">
      <formula>IF(E26&lt;51,TRUE,FALSE)</formula>
    </cfRule>
    <cfRule type="expression" dxfId="181" priority="344" stopIfTrue="1">
      <formula>IF(AND(E26&gt;=51,E26&lt;60),TRUE,FALSE)</formula>
    </cfRule>
    <cfRule type="expression" dxfId="180" priority="345" stopIfTrue="1">
      <formula>IF(AND(E26&gt;=60,E26&lt;75),TRUE,FALSE)</formula>
    </cfRule>
    <cfRule type="expression" dxfId="179" priority="346" stopIfTrue="1">
      <formula>IF(AND(E26&gt;=75,E26&lt;90),TRUE,FALSE)</formula>
    </cfRule>
    <cfRule type="expression" dxfId="178" priority="347">
      <formula>IF(E26&gt;=90,TRUE,FALSE)</formula>
    </cfRule>
  </conditionalFormatting>
  <conditionalFormatting sqref="E26:M26">
    <cfRule type="expression" priority="342" stopIfTrue="1">
      <formula>IF(E26=0,TRUE,FALSE)</formula>
    </cfRule>
  </conditionalFormatting>
  <conditionalFormatting sqref="E27:M27">
    <cfRule type="expression" dxfId="177" priority="337" stopIfTrue="1">
      <formula>IF(E27&lt;51,TRUE,FALSE)</formula>
    </cfRule>
    <cfRule type="expression" dxfId="176" priority="338" stopIfTrue="1">
      <formula>IF(AND(E27&gt;=51,E27&lt;60),TRUE,FALSE)</formula>
    </cfRule>
    <cfRule type="expression" dxfId="175" priority="339" stopIfTrue="1">
      <formula>IF(AND(E27&gt;=60,E27&lt;75),TRUE,FALSE)</formula>
    </cfRule>
    <cfRule type="expression" dxfId="174" priority="340" stopIfTrue="1">
      <formula>IF(AND(E27&gt;=75,E27&lt;90),TRUE,FALSE)</formula>
    </cfRule>
    <cfRule type="expression" dxfId="173" priority="341">
      <formula>IF(E27&gt;=90,TRUE,FALSE)</formula>
    </cfRule>
  </conditionalFormatting>
  <conditionalFormatting sqref="E27:M27">
    <cfRule type="expression" priority="336" stopIfTrue="1">
      <formula>IF(E27=0,TRUE,FALSE)</formula>
    </cfRule>
  </conditionalFormatting>
  <conditionalFormatting sqref="E28:M28">
    <cfRule type="expression" dxfId="172" priority="331" stopIfTrue="1">
      <formula>IF(E28&lt;51,TRUE,FALSE)</formula>
    </cfRule>
    <cfRule type="expression" dxfId="171" priority="332" stopIfTrue="1">
      <formula>IF(AND(E28&gt;=51,E28&lt;60),TRUE,FALSE)</formula>
    </cfRule>
    <cfRule type="expression" dxfId="170" priority="333" stopIfTrue="1">
      <formula>IF(AND(E28&gt;=60,E28&lt;75),TRUE,FALSE)</formula>
    </cfRule>
    <cfRule type="expression" dxfId="169" priority="334" stopIfTrue="1">
      <formula>IF(AND(E28&gt;=75,E28&lt;90),TRUE,FALSE)</formula>
    </cfRule>
    <cfRule type="expression" dxfId="168" priority="335">
      <formula>IF(E28&gt;=90,TRUE,FALSE)</formula>
    </cfRule>
  </conditionalFormatting>
  <conditionalFormatting sqref="E28:M28">
    <cfRule type="expression" priority="330" stopIfTrue="1">
      <formula>IF(E28=0,TRUE,FALSE)</formula>
    </cfRule>
  </conditionalFormatting>
  <conditionalFormatting sqref="E29:M29">
    <cfRule type="expression" dxfId="167" priority="325" stopIfTrue="1">
      <formula>IF(E29&lt;51,TRUE,FALSE)</formula>
    </cfRule>
    <cfRule type="expression" dxfId="166" priority="326" stopIfTrue="1">
      <formula>IF(AND(E29&gt;=51,E29&lt;60),TRUE,FALSE)</formula>
    </cfRule>
    <cfRule type="expression" dxfId="165" priority="327" stopIfTrue="1">
      <formula>IF(AND(E29&gt;=60,E29&lt;75),TRUE,FALSE)</formula>
    </cfRule>
    <cfRule type="expression" dxfId="164" priority="328" stopIfTrue="1">
      <formula>IF(AND(E29&gt;=75,E29&lt;90),TRUE,FALSE)</formula>
    </cfRule>
    <cfRule type="expression" dxfId="163" priority="329">
      <formula>IF(E29&gt;=90,TRUE,FALSE)</formula>
    </cfRule>
  </conditionalFormatting>
  <conditionalFormatting sqref="E29:M29">
    <cfRule type="expression" priority="324" stopIfTrue="1">
      <formula>IF(E29=0,TRUE,FALSE)</formula>
    </cfRule>
  </conditionalFormatting>
  <conditionalFormatting sqref="E30:M30">
    <cfRule type="expression" dxfId="162" priority="319" stopIfTrue="1">
      <formula>IF(E30&lt;51,TRUE,FALSE)</formula>
    </cfRule>
    <cfRule type="expression" dxfId="161" priority="320" stopIfTrue="1">
      <formula>IF(AND(E30&gt;=51,E30&lt;60),TRUE,FALSE)</formula>
    </cfRule>
    <cfRule type="expression" dxfId="160" priority="321" stopIfTrue="1">
      <formula>IF(AND(E30&gt;=60,E30&lt;75),TRUE,FALSE)</formula>
    </cfRule>
    <cfRule type="expression" dxfId="159" priority="322" stopIfTrue="1">
      <formula>IF(AND(E30&gt;=75,E30&lt;90),TRUE,FALSE)</formula>
    </cfRule>
    <cfRule type="expression" dxfId="158" priority="323">
      <formula>IF(E30&gt;=90,TRUE,FALSE)</formula>
    </cfRule>
  </conditionalFormatting>
  <conditionalFormatting sqref="E30:M30">
    <cfRule type="expression" priority="318" stopIfTrue="1">
      <formula>IF(E30=0,TRUE,FALSE)</formula>
    </cfRule>
  </conditionalFormatting>
  <conditionalFormatting sqref="E32:M32">
    <cfRule type="expression" dxfId="157" priority="313" stopIfTrue="1">
      <formula>IF(E32&lt;51,TRUE,FALSE)</formula>
    </cfRule>
    <cfRule type="expression" dxfId="156" priority="314" stopIfTrue="1">
      <formula>IF(AND(E32&gt;=51,E32&lt;60),TRUE,FALSE)</formula>
    </cfRule>
    <cfRule type="expression" dxfId="155" priority="315" stopIfTrue="1">
      <formula>IF(AND(E32&gt;=60,E32&lt;75),TRUE,FALSE)</formula>
    </cfRule>
    <cfRule type="expression" dxfId="154" priority="316" stopIfTrue="1">
      <formula>IF(AND(E32&gt;=75,E32&lt;90),TRUE,FALSE)</formula>
    </cfRule>
    <cfRule type="expression" dxfId="153" priority="317">
      <formula>IF(E32&gt;=90,TRUE,FALSE)</formula>
    </cfRule>
  </conditionalFormatting>
  <conditionalFormatting sqref="E32:M32">
    <cfRule type="expression" priority="312" stopIfTrue="1">
      <formula>IF(E32=0,TRUE,FALSE)</formula>
    </cfRule>
  </conditionalFormatting>
  <conditionalFormatting sqref="E33:M33">
    <cfRule type="expression" dxfId="152" priority="307" stopIfTrue="1">
      <formula>IF(E33&lt;51,TRUE,FALSE)</formula>
    </cfRule>
    <cfRule type="expression" dxfId="151" priority="308" stopIfTrue="1">
      <formula>IF(AND(E33&gt;=51,E33&lt;60),TRUE,FALSE)</formula>
    </cfRule>
    <cfRule type="expression" dxfId="150" priority="309" stopIfTrue="1">
      <formula>IF(AND(E33&gt;=60,E33&lt;75),TRUE,FALSE)</formula>
    </cfRule>
    <cfRule type="expression" dxfId="149" priority="310" stopIfTrue="1">
      <formula>IF(AND(E33&gt;=75,E33&lt;90),TRUE,FALSE)</formula>
    </cfRule>
    <cfRule type="expression" dxfId="148" priority="311">
      <formula>IF(E33&gt;=90,TRUE,FALSE)</formula>
    </cfRule>
  </conditionalFormatting>
  <conditionalFormatting sqref="E33:M33">
    <cfRule type="expression" priority="306" stopIfTrue="1">
      <formula>IF(E33=0,TRUE,FALSE)</formula>
    </cfRule>
  </conditionalFormatting>
  <conditionalFormatting sqref="E34:M34">
    <cfRule type="expression" dxfId="147" priority="301" stopIfTrue="1">
      <formula>IF(E34&lt;51,TRUE,FALSE)</formula>
    </cfRule>
    <cfRule type="expression" dxfId="146" priority="302" stopIfTrue="1">
      <formula>IF(AND(E34&gt;=51,E34&lt;60),TRUE,FALSE)</formula>
    </cfRule>
    <cfRule type="expression" dxfId="145" priority="303" stopIfTrue="1">
      <formula>IF(AND(E34&gt;=60,E34&lt;75),TRUE,FALSE)</formula>
    </cfRule>
    <cfRule type="expression" dxfId="144" priority="304" stopIfTrue="1">
      <formula>IF(AND(E34&gt;=75,E34&lt;90),TRUE,FALSE)</formula>
    </cfRule>
    <cfRule type="expression" dxfId="143" priority="305">
      <formula>IF(E34&gt;=90,TRUE,FALSE)</formula>
    </cfRule>
  </conditionalFormatting>
  <conditionalFormatting sqref="E34:M34">
    <cfRule type="expression" priority="300" stopIfTrue="1">
      <formula>IF(E34=0,TRUE,FALSE)</formula>
    </cfRule>
  </conditionalFormatting>
  <conditionalFormatting sqref="E35:M35">
    <cfRule type="expression" dxfId="142" priority="295" stopIfTrue="1">
      <formula>IF(E35&lt;51,TRUE,FALSE)</formula>
    </cfRule>
    <cfRule type="expression" dxfId="141" priority="296" stopIfTrue="1">
      <formula>IF(AND(E35&gt;=51,E35&lt;60),TRUE,FALSE)</formula>
    </cfRule>
    <cfRule type="expression" dxfId="140" priority="297" stopIfTrue="1">
      <formula>IF(AND(E35&gt;=60,E35&lt;75),TRUE,FALSE)</formula>
    </cfRule>
    <cfRule type="expression" dxfId="139" priority="298" stopIfTrue="1">
      <formula>IF(AND(E35&gt;=75,E35&lt;90),TRUE,FALSE)</formula>
    </cfRule>
    <cfRule type="expression" dxfId="138" priority="299">
      <formula>IF(E35&gt;=90,TRUE,FALSE)</formula>
    </cfRule>
  </conditionalFormatting>
  <conditionalFormatting sqref="E35:M35">
    <cfRule type="expression" priority="294" stopIfTrue="1">
      <formula>IF(E35=0,TRUE,FALSE)</formula>
    </cfRule>
  </conditionalFormatting>
  <conditionalFormatting sqref="E36:M36">
    <cfRule type="expression" dxfId="137" priority="289" stopIfTrue="1">
      <formula>IF(E36&lt;51,TRUE,FALSE)</formula>
    </cfRule>
    <cfRule type="expression" dxfId="136" priority="290" stopIfTrue="1">
      <formula>IF(AND(E36&gt;=51,E36&lt;60),TRUE,FALSE)</formula>
    </cfRule>
    <cfRule type="expression" dxfId="135" priority="291" stopIfTrue="1">
      <formula>IF(AND(E36&gt;=60,E36&lt;75),TRUE,FALSE)</formula>
    </cfRule>
    <cfRule type="expression" dxfId="134" priority="292" stopIfTrue="1">
      <formula>IF(AND(E36&gt;=75,E36&lt;90),TRUE,FALSE)</formula>
    </cfRule>
    <cfRule type="expression" dxfId="133" priority="293">
      <formula>IF(E36&gt;=90,TRUE,FALSE)</formula>
    </cfRule>
  </conditionalFormatting>
  <conditionalFormatting sqref="E36:M36">
    <cfRule type="expression" priority="288" stopIfTrue="1">
      <formula>IF(E36=0,TRUE,FALSE)</formula>
    </cfRule>
  </conditionalFormatting>
  <conditionalFormatting sqref="E38:M38">
    <cfRule type="expression" dxfId="132" priority="283" stopIfTrue="1">
      <formula>IF(E38&lt;51,TRUE,FALSE)</formula>
    </cfRule>
    <cfRule type="expression" dxfId="131" priority="284" stopIfTrue="1">
      <formula>IF(AND(E38&gt;=51,E38&lt;60),TRUE,FALSE)</formula>
    </cfRule>
    <cfRule type="expression" dxfId="130" priority="285" stopIfTrue="1">
      <formula>IF(AND(E38&gt;=60,E38&lt;75),TRUE,FALSE)</formula>
    </cfRule>
    <cfRule type="expression" dxfId="129" priority="286" stopIfTrue="1">
      <formula>IF(AND(E38&gt;=75,E38&lt;90),TRUE,FALSE)</formula>
    </cfRule>
    <cfRule type="expression" dxfId="128" priority="287">
      <formula>IF(E38&gt;=90,TRUE,FALSE)</formula>
    </cfRule>
  </conditionalFormatting>
  <conditionalFormatting sqref="E38:M38">
    <cfRule type="expression" priority="282" stopIfTrue="1">
      <formula>IF(E38=0,TRUE,FALSE)</formula>
    </cfRule>
  </conditionalFormatting>
  <conditionalFormatting sqref="E39:M39">
    <cfRule type="expression" dxfId="127" priority="277" stopIfTrue="1">
      <formula>IF(E39&lt;51,TRUE,FALSE)</formula>
    </cfRule>
    <cfRule type="expression" dxfId="126" priority="278" stopIfTrue="1">
      <formula>IF(AND(E39&gt;=51,E39&lt;60),TRUE,FALSE)</formula>
    </cfRule>
    <cfRule type="expression" dxfId="125" priority="279" stopIfTrue="1">
      <formula>IF(AND(E39&gt;=60,E39&lt;75),TRUE,FALSE)</formula>
    </cfRule>
    <cfRule type="expression" dxfId="124" priority="280" stopIfTrue="1">
      <formula>IF(AND(E39&gt;=75,E39&lt;90),TRUE,FALSE)</formula>
    </cfRule>
    <cfRule type="expression" dxfId="123" priority="281">
      <formula>IF(E39&gt;=90,TRUE,FALSE)</formula>
    </cfRule>
  </conditionalFormatting>
  <conditionalFormatting sqref="E39:M39">
    <cfRule type="expression" priority="276" stopIfTrue="1">
      <formula>IF(E39=0,TRUE,FALSE)</formula>
    </cfRule>
  </conditionalFormatting>
  <conditionalFormatting sqref="E40:M40">
    <cfRule type="expression" dxfId="122" priority="271" stopIfTrue="1">
      <formula>IF(E40&lt;51,TRUE,FALSE)</formula>
    </cfRule>
    <cfRule type="expression" dxfId="121" priority="272" stopIfTrue="1">
      <formula>IF(AND(E40&gt;=51,E40&lt;60),TRUE,FALSE)</formula>
    </cfRule>
    <cfRule type="expression" dxfId="120" priority="273" stopIfTrue="1">
      <formula>IF(AND(E40&gt;=60,E40&lt;75),TRUE,FALSE)</formula>
    </cfRule>
    <cfRule type="expression" dxfId="119" priority="274" stopIfTrue="1">
      <formula>IF(AND(E40&gt;=75,E40&lt;90),TRUE,FALSE)</formula>
    </cfRule>
    <cfRule type="expression" dxfId="118" priority="275">
      <formula>IF(E40&gt;=90,TRUE,FALSE)</formula>
    </cfRule>
  </conditionalFormatting>
  <conditionalFormatting sqref="E40:M40">
    <cfRule type="expression" priority="270" stopIfTrue="1">
      <formula>IF(E40=0,TRUE,FALSE)</formula>
    </cfRule>
  </conditionalFormatting>
  <conditionalFormatting sqref="E41:M41">
    <cfRule type="expression" dxfId="117" priority="244" stopIfTrue="1">
      <formula>IF(E41&lt;51,TRUE,FALSE)</formula>
    </cfRule>
    <cfRule type="expression" dxfId="116" priority="245" stopIfTrue="1">
      <formula>IF(AND(E41&gt;=51,E41&lt;60),TRUE,FALSE)</formula>
    </cfRule>
    <cfRule type="expression" dxfId="115" priority="246" stopIfTrue="1">
      <formula>IF(AND(E41&gt;=60,E41&lt;75),TRUE,FALSE)</formula>
    </cfRule>
    <cfRule type="expression" dxfId="114" priority="247" stopIfTrue="1">
      <formula>IF(AND(E41&gt;=75,E41&lt;90),TRUE,FALSE)</formula>
    </cfRule>
    <cfRule type="expression" dxfId="113" priority="248">
      <formula>IF(E41&gt;=90,TRUE,FALSE)</formula>
    </cfRule>
  </conditionalFormatting>
  <conditionalFormatting sqref="E41:M41">
    <cfRule type="expression" priority="243" stopIfTrue="1">
      <formula>IF(E41=0,TRUE,FALSE)</formula>
    </cfRule>
  </conditionalFormatting>
  <conditionalFormatting sqref="F41:M41">
    <cfRule type="expression" priority="242" stopIfTrue="1">
      <formula>IF(F41=0,TRUE,FALSE)</formula>
    </cfRule>
  </conditionalFormatting>
  <conditionalFormatting sqref="E43:M43">
    <cfRule type="expression" dxfId="112" priority="234" stopIfTrue="1">
      <formula>IF(E$1&lt;4,TRUE,FALSE)</formula>
    </cfRule>
    <cfRule type="expression" priority="235" stopIfTrue="1">
      <formula>IF(E43=0,TRUE,FALSE)</formula>
    </cfRule>
    <cfRule type="expression" dxfId="111" priority="236" stopIfTrue="1">
      <formula>IF(E43&lt;51,TRUE,FALSE)</formula>
    </cfRule>
    <cfRule type="expression" dxfId="110" priority="237" stopIfTrue="1">
      <formula>IF(AND(E43&gt;=51,E43&lt;60),TRUE,FALSE)</formula>
    </cfRule>
    <cfRule type="expression" dxfId="109" priority="238" stopIfTrue="1">
      <formula>IF(AND(E43&gt;=60,E43&lt;75),TRUE,FALSE)</formula>
    </cfRule>
    <cfRule type="expression" dxfId="108" priority="239" stopIfTrue="1">
      <formula>IF(AND(E43&gt;=75,E43&lt;90),TRUE,FALSE)</formula>
    </cfRule>
    <cfRule type="expression" dxfId="107" priority="240">
      <formula>IF(E43&gt;=90,TRUE,FALSE)</formula>
    </cfRule>
  </conditionalFormatting>
  <conditionalFormatting sqref="E45:M45">
    <cfRule type="expression" dxfId="106" priority="227" stopIfTrue="1">
      <formula>IF(E$1&lt;4,TRUE,FALSE)</formula>
    </cfRule>
    <cfRule type="expression" priority="228" stopIfTrue="1">
      <formula>IF(E45=0,TRUE,FALSE)</formula>
    </cfRule>
    <cfRule type="expression" dxfId="105" priority="229" stopIfTrue="1">
      <formula>IF(E45&lt;51,TRUE,FALSE)</formula>
    </cfRule>
    <cfRule type="expression" dxfId="104" priority="230" stopIfTrue="1">
      <formula>IF(AND(E45&gt;=51,E45&lt;60),TRUE,FALSE)</formula>
    </cfRule>
    <cfRule type="expression" dxfId="103" priority="231" stopIfTrue="1">
      <formula>IF(AND(E45&gt;=60,E45&lt;75),TRUE,FALSE)</formula>
    </cfRule>
    <cfRule type="expression" dxfId="102" priority="232" stopIfTrue="1">
      <formula>IF(AND(E45&gt;=75,E45&lt;90),TRUE,FALSE)</formula>
    </cfRule>
    <cfRule type="expression" dxfId="101" priority="233">
      <formula>IF(E45&gt;=90,TRUE,FALSE)</formula>
    </cfRule>
  </conditionalFormatting>
  <conditionalFormatting sqref="E46:M46">
    <cfRule type="expression" dxfId="100" priority="220" stopIfTrue="1">
      <formula>IF(E$1&lt;4,TRUE,FALSE)</formula>
    </cfRule>
    <cfRule type="expression" priority="221" stopIfTrue="1">
      <formula>IF(E46=0,TRUE,FALSE)</formula>
    </cfRule>
    <cfRule type="expression" dxfId="99" priority="222" stopIfTrue="1">
      <formula>IF(E46&lt;51,TRUE,FALSE)</formula>
    </cfRule>
    <cfRule type="expression" dxfId="98" priority="223" stopIfTrue="1">
      <formula>IF(AND(E46&gt;=51,E46&lt;60),TRUE,FALSE)</formula>
    </cfRule>
    <cfRule type="expression" dxfId="97" priority="224" stopIfTrue="1">
      <formula>IF(AND(E46&gt;=60,E46&lt;75),TRUE,FALSE)</formula>
    </cfRule>
    <cfRule type="expression" dxfId="96" priority="225" stopIfTrue="1">
      <formula>IF(AND(E46&gt;=75,E46&lt;90),TRUE,FALSE)</formula>
    </cfRule>
    <cfRule type="expression" dxfId="95" priority="226">
      <formula>IF(E46&gt;=90,TRUE,FALSE)</formula>
    </cfRule>
  </conditionalFormatting>
  <conditionalFormatting sqref="E48:M48">
    <cfRule type="expression" dxfId="94" priority="213" stopIfTrue="1">
      <formula>IF(E$1&lt;4,TRUE,FALSE)</formula>
    </cfRule>
    <cfRule type="expression" priority="214" stopIfTrue="1">
      <formula>IF(E48=0,TRUE,FALSE)</formula>
    </cfRule>
    <cfRule type="expression" dxfId="93" priority="215" stopIfTrue="1">
      <formula>IF(E48&lt;51,TRUE,FALSE)</formula>
    </cfRule>
    <cfRule type="expression" dxfId="92" priority="216" stopIfTrue="1">
      <formula>IF(AND(E48&gt;=51,E48&lt;60),TRUE,FALSE)</formula>
    </cfRule>
    <cfRule type="expression" dxfId="91" priority="217" stopIfTrue="1">
      <formula>IF(AND(E48&gt;=60,E48&lt;75),TRUE,FALSE)</formula>
    </cfRule>
    <cfRule type="expression" dxfId="90" priority="218" stopIfTrue="1">
      <formula>IF(AND(E48&gt;=75,E48&lt;90),TRUE,FALSE)</formula>
    </cfRule>
    <cfRule type="expression" dxfId="89" priority="219">
      <formula>IF(E48&gt;=90,TRUE,FALSE)</formula>
    </cfRule>
  </conditionalFormatting>
  <conditionalFormatting sqref="E49:M49">
    <cfRule type="expression" dxfId="88" priority="206" stopIfTrue="1">
      <formula>IF(E$1&lt;4,TRUE,FALSE)</formula>
    </cfRule>
    <cfRule type="expression" priority="207" stopIfTrue="1">
      <formula>IF(E49=0,TRUE,FALSE)</formula>
    </cfRule>
    <cfRule type="expression" dxfId="87" priority="208" stopIfTrue="1">
      <formula>IF(E49&lt;51,TRUE,FALSE)</formula>
    </cfRule>
    <cfRule type="expression" dxfId="86" priority="209" stopIfTrue="1">
      <formula>IF(AND(E49&gt;=51,E49&lt;60),TRUE,FALSE)</formula>
    </cfRule>
    <cfRule type="expression" dxfId="85" priority="210" stopIfTrue="1">
      <formula>IF(AND(E49&gt;=60,E49&lt;75),TRUE,FALSE)</formula>
    </cfRule>
    <cfRule type="expression" dxfId="84" priority="211" stopIfTrue="1">
      <formula>IF(AND(E49&gt;=75,E49&lt;90),TRUE,FALSE)</formula>
    </cfRule>
    <cfRule type="expression" dxfId="83" priority="212">
      <formula>IF(E49&gt;=90,TRUE,FALSE)</formula>
    </cfRule>
  </conditionalFormatting>
  <conditionalFormatting sqref="E50:M50">
    <cfRule type="expression" dxfId="82" priority="199" stopIfTrue="1">
      <formula>IF(E$1&lt;4,TRUE,FALSE)</formula>
    </cfRule>
    <cfRule type="expression" priority="200" stopIfTrue="1">
      <formula>IF(E50=0,TRUE,FALSE)</formula>
    </cfRule>
    <cfRule type="expression" dxfId="81" priority="201" stopIfTrue="1">
      <formula>IF(E50&lt;51,TRUE,FALSE)</formula>
    </cfRule>
    <cfRule type="expression" dxfId="80" priority="202" stopIfTrue="1">
      <formula>IF(AND(E50&gt;=51,E50&lt;60),TRUE,FALSE)</formula>
    </cfRule>
    <cfRule type="expression" dxfId="79" priority="203" stopIfTrue="1">
      <formula>IF(AND(E50&gt;=60,E50&lt;75),TRUE,FALSE)</formula>
    </cfRule>
    <cfRule type="expression" dxfId="78" priority="204" stopIfTrue="1">
      <formula>IF(AND(E50&gt;=75,E50&lt;90),TRUE,FALSE)</formula>
    </cfRule>
    <cfRule type="expression" dxfId="77" priority="205">
      <formula>IF(E50&gt;=90,TRUE,FALSE)</formula>
    </cfRule>
  </conditionalFormatting>
  <conditionalFormatting sqref="E52:M52">
    <cfRule type="expression" dxfId="76" priority="192" stopIfTrue="1">
      <formula>IF(E$1&lt;4,TRUE,FALSE)</formula>
    </cfRule>
    <cfRule type="expression" priority="193" stopIfTrue="1">
      <formula>IF(E52=0,TRUE,FALSE)</formula>
    </cfRule>
    <cfRule type="expression" dxfId="75" priority="194" stopIfTrue="1">
      <formula>IF(E52&lt;51,TRUE,FALSE)</formula>
    </cfRule>
    <cfRule type="expression" dxfId="74" priority="195" stopIfTrue="1">
      <formula>IF(AND(E52&gt;=51,E52&lt;60),TRUE,FALSE)</formula>
    </cfRule>
    <cfRule type="expression" dxfId="73" priority="196" stopIfTrue="1">
      <formula>IF(AND(E52&gt;=60,E52&lt;75),TRUE,FALSE)</formula>
    </cfRule>
    <cfRule type="expression" dxfId="72" priority="197" stopIfTrue="1">
      <formula>IF(AND(E52&gt;=75,E52&lt;90),TRUE,FALSE)</formula>
    </cfRule>
    <cfRule type="expression" dxfId="71" priority="198">
      <formula>IF(E52&gt;=90,TRUE,FALSE)</formula>
    </cfRule>
  </conditionalFormatting>
  <conditionalFormatting sqref="E53:M53">
    <cfRule type="expression" dxfId="70" priority="185" stopIfTrue="1">
      <formula>IF(E$1&lt;4,TRUE,FALSE)</formula>
    </cfRule>
    <cfRule type="expression" priority="186" stopIfTrue="1">
      <formula>IF(E53=0,TRUE,FALSE)</formula>
    </cfRule>
    <cfRule type="expression" dxfId="69" priority="187" stopIfTrue="1">
      <formula>IF(E53&lt;51,TRUE,FALSE)</formula>
    </cfRule>
    <cfRule type="expression" dxfId="68" priority="188" stopIfTrue="1">
      <formula>IF(AND(E53&gt;=51,E53&lt;60),TRUE,FALSE)</formula>
    </cfRule>
    <cfRule type="expression" dxfId="67" priority="189" stopIfTrue="1">
      <formula>IF(AND(E53&gt;=60,E53&lt;75),TRUE,FALSE)</formula>
    </cfRule>
    <cfRule type="expression" dxfId="66" priority="190" stopIfTrue="1">
      <formula>IF(AND(E53&gt;=75,E53&lt;90),TRUE,FALSE)</formula>
    </cfRule>
    <cfRule type="expression" dxfId="65" priority="191">
      <formula>IF(E53&gt;=90,TRUE,FALSE)</formula>
    </cfRule>
  </conditionalFormatting>
  <conditionalFormatting sqref="E55:M55">
    <cfRule type="expression" dxfId="64" priority="178" stopIfTrue="1">
      <formula>IF(E$1&lt;4,TRUE,FALSE)</formula>
    </cfRule>
    <cfRule type="expression" priority="179" stopIfTrue="1">
      <formula>IF(E55=0,TRUE,FALSE)</formula>
    </cfRule>
    <cfRule type="expression" dxfId="63" priority="180" stopIfTrue="1">
      <formula>IF(E55&lt;51,TRUE,FALSE)</formula>
    </cfRule>
    <cfRule type="expression" dxfId="62" priority="181" stopIfTrue="1">
      <formula>IF(AND(E55&gt;=51,E55&lt;60),TRUE,FALSE)</formula>
    </cfRule>
    <cfRule type="expression" dxfId="61" priority="182" stopIfTrue="1">
      <formula>IF(AND(E55&gt;=60,E55&lt;75),TRUE,FALSE)</formula>
    </cfRule>
    <cfRule type="expression" dxfId="60" priority="183" stopIfTrue="1">
      <formula>IF(AND(E55&gt;=75,E55&lt;90),TRUE,FALSE)</formula>
    </cfRule>
    <cfRule type="expression" dxfId="59" priority="184">
      <formula>IF(E55&gt;=90,TRUE,FALSE)</formula>
    </cfRule>
  </conditionalFormatting>
  <conditionalFormatting sqref="E54:M54">
    <cfRule type="expression" dxfId="58" priority="171" stopIfTrue="1">
      <formula>IF(E$1&lt;4,TRUE,FALSE)</formula>
    </cfRule>
    <cfRule type="expression" priority="172" stopIfTrue="1">
      <formula>IF(E54=0,TRUE,FALSE)</formula>
    </cfRule>
    <cfRule type="expression" dxfId="57" priority="173" stopIfTrue="1">
      <formula>IF(E54&lt;51,TRUE,FALSE)</formula>
    </cfRule>
    <cfRule type="expression" dxfId="56" priority="174" stopIfTrue="1">
      <formula>IF(AND(E54&gt;=51,E54&lt;60),TRUE,FALSE)</formula>
    </cfRule>
    <cfRule type="expression" dxfId="55" priority="175" stopIfTrue="1">
      <formula>IF(AND(E54&gt;=60,E54&lt;75),TRUE,FALSE)</formula>
    </cfRule>
    <cfRule type="expression" dxfId="54" priority="176" stopIfTrue="1">
      <formula>IF(AND(E54&gt;=75,E54&lt;90),TRUE,FALSE)</formula>
    </cfRule>
    <cfRule type="expression" dxfId="53" priority="177">
      <formula>IF(E54&gt;=90,TRUE,FALSE)</formula>
    </cfRule>
  </conditionalFormatting>
  <conditionalFormatting sqref="E56:M56">
    <cfRule type="expression" dxfId="52" priority="164" stopIfTrue="1">
      <formula>IF(E$1&lt;4,TRUE,FALSE)</formula>
    </cfRule>
    <cfRule type="expression" priority="165" stopIfTrue="1">
      <formula>IF(E56=0,TRUE,FALSE)</formula>
    </cfRule>
    <cfRule type="expression" dxfId="51" priority="166" stopIfTrue="1">
      <formula>IF(E56&lt;51,TRUE,FALSE)</formula>
    </cfRule>
    <cfRule type="expression" dxfId="50" priority="167" stopIfTrue="1">
      <formula>IF(AND(E56&gt;=51,E56&lt;60),TRUE,FALSE)</formula>
    </cfRule>
    <cfRule type="expression" dxfId="49" priority="168" stopIfTrue="1">
      <formula>IF(AND(E56&gt;=60,E56&lt;75),TRUE,FALSE)</formula>
    </cfRule>
    <cfRule type="expression" dxfId="48" priority="169" stopIfTrue="1">
      <formula>IF(AND(E56&gt;=75,E56&lt;90),TRUE,FALSE)</formula>
    </cfRule>
    <cfRule type="expression" dxfId="47" priority="170">
      <formula>IF(E56&gt;=90,TRUE,FALSE)</formula>
    </cfRule>
  </conditionalFormatting>
  <conditionalFormatting sqref="E41:M41">
    <cfRule type="expression" dxfId="46" priority="163" stopIfTrue="1">
      <formula>IF(E$1&lt;4,TRUE,FALSE)</formula>
    </cfRule>
  </conditionalFormatting>
  <conditionalFormatting sqref="E57:M57">
    <cfRule type="expression" dxfId="45" priority="132" stopIfTrue="1">
      <formula>IF(E$1&lt;4,TRUE,FALSE)</formula>
    </cfRule>
    <cfRule type="expression" priority="133" stopIfTrue="1">
      <formula>IF(E57=0,TRUE,FALSE)</formula>
    </cfRule>
    <cfRule type="expression" dxfId="44" priority="134" stopIfTrue="1">
      <formula>IF(E57&lt;51,TRUE,FALSE)</formula>
    </cfRule>
    <cfRule type="expression" dxfId="43" priority="135" stopIfTrue="1">
      <formula>IF(AND(E57&gt;=51,E57&lt;60),TRUE,FALSE)</formula>
    </cfRule>
    <cfRule type="expression" dxfId="42" priority="136" stopIfTrue="1">
      <formula>IF(AND(E57&gt;=60,E57&lt;75),TRUE,FALSE)</formula>
    </cfRule>
    <cfRule type="expression" dxfId="41" priority="137" stopIfTrue="1">
      <formula>IF(AND(E57&gt;=75,E57&lt;90),TRUE,FALSE)</formula>
    </cfRule>
    <cfRule type="expression" dxfId="40" priority="138">
      <formula>IF(E57&gt;=90,TRUE,FALSE)</formula>
    </cfRule>
  </conditionalFormatting>
  <conditionalFormatting sqref="E6:M6">
    <cfRule type="expression" priority="117" stopIfTrue="1">
      <formula>IF(E6=0,TRUE,FALSE)</formula>
    </cfRule>
  </conditionalFormatting>
  <conditionalFormatting sqref="E6:M6">
    <cfRule type="expression" priority="116" stopIfTrue="1">
      <formula>IF(E6=0,TRUE,FALSE)</formula>
    </cfRule>
  </conditionalFormatting>
  <conditionalFormatting sqref="E7:M13">
    <cfRule type="expression" dxfId="39" priority="93" stopIfTrue="1">
      <formula>IF(E7&lt;51,TRUE,FALSE)</formula>
    </cfRule>
    <cfRule type="expression" dxfId="38" priority="94" stopIfTrue="1">
      <formula>IF(AND(E7&gt;=51,E7&lt;60),TRUE,FALSE)</formula>
    </cfRule>
    <cfRule type="expression" dxfId="37" priority="95" stopIfTrue="1">
      <formula>IF(AND(E7&gt;=60,E7&lt;75),TRUE,FALSE)</formula>
    </cfRule>
    <cfRule type="expression" dxfId="36" priority="96" stopIfTrue="1">
      <formula>IF(AND(E7&gt;=75,E7&lt;90),TRUE,FALSE)</formula>
    </cfRule>
    <cfRule type="expression" dxfId="35" priority="97">
      <formula>IF(E7&gt;=90,TRUE,FALSE)</formula>
    </cfRule>
  </conditionalFormatting>
  <conditionalFormatting sqref="E7:M13">
    <cfRule type="expression" priority="92" stopIfTrue="1">
      <formula>IF(E7=0,TRUE,FALSE)</formula>
    </cfRule>
  </conditionalFormatting>
  <conditionalFormatting sqref="E6">
    <cfRule type="expression" priority="91" stopIfTrue="1">
      <formula>IF(E6=0,TRUE,FALSE)</formula>
    </cfRule>
  </conditionalFormatting>
  <conditionalFormatting sqref="E6">
    <cfRule type="expression" priority="90" stopIfTrue="1">
      <formula>IF(E6=0,TRUE,FALSE)</formula>
    </cfRule>
  </conditionalFormatting>
  <conditionalFormatting sqref="E6">
    <cfRule type="expression" priority="89" stopIfTrue="1">
      <formula>IF(E6=0,TRUE,FALSE)</formula>
    </cfRule>
  </conditionalFormatting>
  <conditionalFormatting sqref="E6">
    <cfRule type="expression" priority="88" stopIfTrue="1">
      <formula>IF(E6=0,TRUE,FALSE)</formula>
    </cfRule>
  </conditionalFormatting>
  <conditionalFormatting sqref="E6">
    <cfRule type="expression" priority="87" stopIfTrue="1">
      <formula>IF(E6=0,TRUE,FALSE)</formula>
    </cfRule>
  </conditionalFormatting>
  <conditionalFormatting sqref="E6">
    <cfRule type="expression" priority="86" stopIfTrue="1">
      <formula>IF(E6=0,TRUE,FALSE)</formula>
    </cfRule>
  </conditionalFormatting>
  <conditionalFormatting sqref="E6">
    <cfRule type="expression" priority="85" stopIfTrue="1">
      <formula>IF(E6=0,TRUE,FALSE)</formula>
    </cfRule>
  </conditionalFormatting>
  <conditionalFormatting sqref="E37:M37">
    <cfRule type="expression" priority="47" stopIfTrue="1">
      <formula>IF(E37=0,TRUE,FALSE)</formula>
    </cfRule>
  </conditionalFormatting>
  <conditionalFormatting sqref="E37:M37">
    <cfRule type="expression" dxfId="34" priority="48" stopIfTrue="1">
      <formula>IF(E37&lt;51,TRUE,FALSE)</formula>
    </cfRule>
    <cfRule type="expression" dxfId="33" priority="49" stopIfTrue="1">
      <formula>IF(AND(E37&gt;=51,E37&lt;60),TRUE,FALSE)</formula>
    </cfRule>
    <cfRule type="expression" dxfId="32" priority="50" stopIfTrue="1">
      <formula>IF(AND(E37&gt;=60,E37&lt;75),TRUE,FALSE)</formula>
    </cfRule>
    <cfRule type="expression" dxfId="31" priority="51" stopIfTrue="1">
      <formula>IF(AND(E37&gt;=75,E37&lt;90),TRUE,FALSE)</formula>
    </cfRule>
    <cfRule type="expression" dxfId="30" priority="52">
      <formula>IF(E37&gt;=90,TRUE,FALSE)</formula>
    </cfRule>
  </conditionalFormatting>
  <conditionalFormatting sqref="F37:M37">
    <cfRule type="expression" priority="46" stopIfTrue="1">
      <formula>IF(F37=0,TRUE,FALSE)</formula>
    </cfRule>
  </conditionalFormatting>
  <conditionalFormatting sqref="E37:M37">
    <cfRule type="expression" priority="45" stopIfTrue="1">
      <formula>IF(E37=0,TRUE,FALSE)</formula>
    </cfRule>
  </conditionalFormatting>
  <conditionalFormatting sqref="E37:M37">
    <cfRule type="expression" priority="44" stopIfTrue="1">
      <formula>IF(E37=0,TRUE,FALSE)</formula>
    </cfRule>
  </conditionalFormatting>
  <conditionalFormatting sqref="E37">
    <cfRule type="expression" priority="43" stopIfTrue="1">
      <formula>IF(E37=0,TRUE,FALSE)</formula>
    </cfRule>
  </conditionalFormatting>
  <conditionalFormatting sqref="E37">
    <cfRule type="expression" priority="42" stopIfTrue="1">
      <formula>IF(E37=0,TRUE,FALSE)</formula>
    </cfRule>
  </conditionalFormatting>
  <conditionalFormatting sqref="E37">
    <cfRule type="expression" priority="41" stopIfTrue="1">
      <formula>IF(E37=0,TRUE,FALSE)</formula>
    </cfRule>
  </conditionalFormatting>
  <conditionalFormatting sqref="E37">
    <cfRule type="expression" priority="40" stopIfTrue="1">
      <formula>IF(E37=0,TRUE,FALSE)</formula>
    </cfRule>
  </conditionalFormatting>
  <conditionalFormatting sqref="E37">
    <cfRule type="expression" priority="39" stopIfTrue="1">
      <formula>IF(E37=0,TRUE,FALSE)</formula>
    </cfRule>
  </conditionalFormatting>
  <conditionalFormatting sqref="E37">
    <cfRule type="expression" priority="38" stopIfTrue="1">
      <formula>IF(E37=0,TRUE,FALSE)</formula>
    </cfRule>
  </conditionalFormatting>
  <conditionalFormatting sqref="E37">
    <cfRule type="expression" priority="37" stopIfTrue="1">
      <formula>IF(E37=0,TRUE,FALSE)</formula>
    </cfRule>
  </conditionalFormatting>
  <conditionalFormatting sqref="E44:M44">
    <cfRule type="expression" dxfId="29" priority="32" stopIfTrue="1">
      <formula>IF(E44&lt;51,TRUE,FALSE)</formula>
    </cfRule>
    <cfRule type="expression" dxfId="28" priority="33" stopIfTrue="1">
      <formula>IF(AND(E44&gt;=51,E44&lt;60),TRUE,FALSE)</formula>
    </cfRule>
    <cfRule type="expression" dxfId="27" priority="34" stopIfTrue="1">
      <formula>IF(AND(E44&gt;=60,E44&lt;75),TRUE,FALSE)</formula>
    </cfRule>
    <cfRule type="expression" dxfId="26" priority="35" stopIfTrue="1">
      <formula>IF(AND(E44&gt;=75,E44&lt;90),TRUE,FALSE)</formula>
    </cfRule>
    <cfRule type="expression" dxfId="25" priority="36">
      <formula>IF(E44&gt;=90,TRUE,FALSE)</formula>
    </cfRule>
  </conditionalFormatting>
  <conditionalFormatting sqref="E44:M44">
    <cfRule type="expression" priority="31" stopIfTrue="1">
      <formula>IF(E44=0,TRUE,FALSE)</formula>
    </cfRule>
  </conditionalFormatting>
  <conditionalFormatting sqref="F44:M44">
    <cfRule type="expression" priority="30" stopIfTrue="1">
      <formula>IF(F44=0,TRUE,FALSE)</formula>
    </cfRule>
  </conditionalFormatting>
  <conditionalFormatting sqref="E44:M44">
    <cfRule type="expression" dxfId="24" priority="29" stopIfTrue="1">
      <formula>IF(E$1&lt;4,TRUE,FALSE)</formula>
    </cfRule>
  </conditionalFormatting>
  <conditionalFormatting sqref="E47:M47">
    <cfRule type="expression" dxfId="23" priority="24" stopIfTrue="1">
      <formula>IF(E47&lt;51,TRUE,FALSE)</formula>
    </cfRule>
    <cfRule type="expression" dxfId="22" priority="25" stopIfTrue="1">
      <formula>IF(AND(E47&gt;=51,E47&lt;60),TRUE,FALSE)</formula>
    </cfRule>
    <cfRule type="expression" dxfId="21" priority="26" stopIfTrue="1">
      <formula>IF(AND(E47&gt;=60,E47&lt;75),TRUE,FALSE)</formula>
    </cfRule>
    <cfRule type="expression" dxfId="20" priority="27" stopIfTrue="1">
      <formula>IF(AND(E47&gt;=75,E47&lt;90),TRUE,FALSE)</formula>
    </cfRule>
    <cfRule type="expression" dxfId="19" priority="28">
      <formula>IF(E47&gt;=90,TRUE,FALSE)</formula>
    </cfRule>
  </conditionalFormatting>
  <conditionalFormatting sqref="E47:M47">
    <cfRule type="expression" priority="23" stopIfTrue="1">
      <formula>IF(E47=0,TRUE,FALSE)</formula>
    </cfRule>
  </conditionalFormatting>
  <conditionalFormatting sqref="F47:M47">
    <cfRule type="expression" priority="22" stopIfTrue="1">
      <formula>IF(F47=0,TRUE,FALSE)</formula>
    </cfRule>
  </conditionalFormatting>
  <conditionalFormatting sqref="E47:M47">
    <cfRule type="expression" dxfId="18" priority="21" stopIfTrue="1">
      <formula>IF(E$1&lt;4,TRUE,FALSE)</formula>
    </cfRule>
  </conditionalFormatting>
  <conditionalFormatting sqref="E51:M51">
    <cfRule type="expression" dxfId="17" priority="16" stopIfTrue="1">
      <formula>IF(E51&lt;51,TRUE,FALSE)</formula>
    </cfRule>
    <cfRule type="expression" dxfId="16" priority="17" stopIfTrue="1">
      <formula>IF(AND(E51&gt;=51,E51&lt;60),TRUE,FALSE)</formula>
    </cfRule>
    <cfRule type="expression" dxfId="15" priority="18" stopIfTrue="1">
      <formula>IF(AND(E51&gt;=60,E51&lt;75),TRUE,FALSE)</formula>
    </cfRule>
    <cfRule type="expression" dxfId="14" priority="19" stopIfTrue="1">
      <formula>IF(AND(E51&gt;=75,E51&lt;90),TRUE,FALSE)</formula>
    </cfRule>
    <cfRule type="expression" dxfId="13" priority="20">
      <formula>IF(E51&gt;=90,TRUE,FALSE)</formula>
    </cfRule>
  </conditionalFormatting>
  <conditionalFormatting sqref="E51:M51">
    <cfRule type="expression" priority="15" stopIfTrue="1">
      <formula>IF(E51=0,TRUE,FALSE)</formula>
    </cfRule>
  </conditionalFormatting>
  <conditionalFormatting sqref="F51:M51">
    <cfRule type="expression" priority="14" stopIfTrue="1">
      <formula>IF(F51=0,TRUE,FALSE)</formula>
    </cfRule>
  </conditionalFormatting>
  <conditionalFormatting sqref="E51:M51">
    <cfRule type="expression" dxfId="12" priority="13" stopIfTrue="1">
      <formula>IF(E$1&lt;4,TRUE,FALSE)</formula>
    </cfRule>
  </conditionalFormatting>
  <conditionalFormatting sqref="E14:M14">
    <cfRule type="expression" dxfId="11" priority="8" stopIfTrue="1">
      <formula>IF(E14&lt;51,TRUE,FALSE)</formula>
    </cfRule>
    <cfRule type="expression" dxfId="10" priority="9" stopIfTrue="1">
      <formula>IF(AND(E14&gt;=51,E14&lt;60),TRUE,FALSE)</formula>
    </cfRule>
    <cfRule type="expression" dxfId="9" priority="10" stopIfTrue="1">
      <formula>IF(AND(E14&gt;=60,E14&lt;75),TRUE,FALSE)</formula>
    </cfRule>
    <cfRule type="expression" dxfId="8" priority="11" stopIfTrue="1">
      <formula>IF(AND(E14&gt;=75,E14&lt;90),TRUE,FALSE)</formula>
    </cfRule>
    <cfRule type="expression" dxfId="7" priority="12">
      <formula>IF(E14&gt;=90,TRUE,FALSE)</formula>
    </cfRule>
  </conditionalFormatting>
  <conditionalFormatting sqref="E14:M14">
    <cfRule type="expression" dxfId="6" priority="7" stopIfTrue="1">
      <formula>IF(E14=0,TRUE,FALSE)</formula>
    </cfRule>
  </conditionalFormatting>
  <conditionalFormatting sqref="E31:M31">
    <cfRule type="expression" dxfId="5" priority="2" stopIfTrue="1">
      <formula>IF(E31&lt;51,TRUE,FALSE)</formula>
    </cfRule>
    <cfRule type="expression" dxfId="4" priority="3" stopIfTrue="1">
      <formula>IF(AND(E31&gt;=51,E31&lt;60),TRUE,FALSE)</formula>
    </cfRule>
    <cfRule type="expression" dxfId="3" priority="4" stopIfTrue="1">
      <formula>IF(AND(E31&gt;=60,E31&lt;75),TRUE,FALSE)</formula>
    </cfRule>
    <cfRule type="expression" dxfId="2" priority="5" stopIfTrue="1">
      <formula>IF(AND(E31&gt;=75,E31&lt;90),TRUE,FALSE)</formula>
    </cfRule>
    <cfRule type="expression" dxfId="1" priority="6">
      <formula>IF(E31&gt;=90,TRUE,FALSE)</formula>
    </cfRule>
  </conditionalFormatting>
  <conditionalFormatting sqref="E31:M31">
    <cfRule type="expression" dxfId="0" priority="1" stopIfTrue="1">
      <formula>IF(E31=0,TRUE,FALSE)</formula>
    </cfRule>
  </conditionalFormatting>
  <pageMargins left="0.70866141732283472" right="0.70866141732283472" top="0.74803149606299213" bottom="0.74803149606299213" header="0.31496062992125984" footer="0.31496062992125984"/>
  <pageSetup paperSize="9" scale="47" fitToHeight="15" orientation="portrait" r:id="rId1"/>
</worksheet>
</file>

<file path=xl/worksheets/sheet26.xml><?xml version="1.0" encoding="utf-8"?>
<worksheet xmlns="http://schemas.openxmlformats.org/spreadsheetml/2006/main" xmlns:r="http://schemas.openxmlformats.org/officeDocument/2006/relationships">
  <sheetPr>
    <tabColor rgb="FFFFCC00"/>
    <pageSetUpPr fitToPage="1"/>
  </sheetPr>
  <dimension ref="B1:Q69"/>
  <sheetViews>
    <sheetView showGridLines="0" topLeftCell="D1" workbookViewId="0">
      <selection activeCell="N1" sqref="N1"/>
    </sheetView>
  </sheetViews>
  <sheetFormatPr defaultColWidth="9.140625" defaultRowHeight="15"/>
  <cols>
    <col min="1" max="1" width="4.140625" customWidth="1"/>
    <col min="2" max="2" width="6" customWidth="1"/>
    <col min="3" max="3" width="57.42578125" customWidth="1"/>
    <col min="4" max="4" width="5.140625" bestFit="1" customWidth="1"/>
    <col min="5" max="13" width="7" bestFit="1" customWidth="1"/>
    <col min="14" max="14" width="36" bestFit="1" customWidth="1"/>
    <col min="15" max="15" width="50.7109375" style="225" bestFit="1" customWidth="1"/>
    <col min="16" max="20" width="9.140625" customWidth="1"/>
  </cols>
  <sheetData>
    <row r="1" spans="2:16" s="75" customFormat="1" ht="18.75">
      <c r="C1" s="75" t="s">
        <v>556</v>
      </c>
      <c r="E1" s="75">
        <v>1</v>
      </c>
      <c r="F1" s="75">
        <v>2</v>
      </c>
      <c r="G1" s="75">
        <v>3</v>
      </c>
      <c r="H1" s="75">
        <v>4</v>
      </c>
      <c r="I1" s="75">
        <v>4</v>
      </c>
      <c r="J1" s="75">
        <v>4</v>
      </c>
      <c r="K1" s="75">
        <v>4</v>
      </c>
      <c r="L1" s="75">
        <v>4</v>
      </c>
      <c r="M1" s="75">
        <v>4</v>
      </c>
      <c r="N1" s="310" t="str">
        <f>HYPERLINK("#Menu!A1","↖")</f>
        <v>↖</v>
      </c>
      <c r="O1" s="244"/>
    </row>
    <row r="2" spans="2:16" ht="21">
      <c r="B2" s="273" t="s">
        <v>558</v>
      </c>
      <c r="E2" s="460" t="s">
        <v>467</v>
      </c>
      <c r="F2" s="461"/>
      <c r="G2" s="461"/>
      <c r="H2" s="461"/>
      <c r="I2" s="461"/>
      <c r="J2" s="461"/>
      <c r="K2" s="461"/>
      <c r="L2" s="461"/>
      <c r="M2" s="462"/>
    </row>
    <row r="3" spans="2:16" ht="21">
      <c r="B3" s="304" t="str">
        <f ca="1">"Kamad yang dinilai : "&amp;INDIRECT("DATA"&amp;"!E3") &amp; " ("&amp;INDIRECT("DATA"&amp;"!E4")&amp;")"</f>
        <v>Kamad yang dinilai : SIDIQ MUSTAKIM, Lc (-)</v>
      </c>
      <c r="E3" s="116">
        <v>1</v>
      </c>
      <c r="F3" s="116">
        <v>2</v>
      </c>
      <c r="G3" s="116">
        <v>3</v>
      </c>
      <c r="H3" s="463">
        <v>4</v>
      </c>
      <c r="I3" s="464"/>
      <c r="J3" s="464"/>
      <c r="K3" s="464"/>
      <c r="L3" s="464"/>
      <c r="M3" s="465"/>
    </row>
    <row r="4" spans="2:16" ht="51.75">
      <c r="B4" s="51"/>
      <c r="E4" s="114" t="s">
        <v>404</v>
      </c>
      <c r="F4" s="114" t="s">
        <v>404</v>
      </c>
      <c r="G4" s="114" t="s">
        <v>404</v>
      </c>
      <c r="H4" s="114" t="s">
        <v>402</v>
      </c>
      <c r="I4" s="114" t="s">
        <v>403</v>
      </c>
      <c r="J4" s="114" t="s">
        <v>404</v>
      </c>
      <c r="K4" s="114" t="s">
        <v>405</v>
      </c>
      <c r="L4" s="114" t="s">
        <v>406</v>
      </c>
      <c r="M4" s="114" t="s">
        <v>407</v>
      </c>
    </row>
    <row r="5" spans="2:16" s="108" customFormat="1" ht="20.25">
      <c r="B5" s="281" t="s">
        <v>469</v>
      </c>
      <c r="C5" s="274"/>
      <c r="D5" s="275">
        <v>5</v>
      </c>
      <c r="E5" s="226">
        <f t="shared" ref="E5:M14" ca="1" si="0">INDIRECT(ADDRESS($D5,COLUMN(),1,1,$C$1))</f>
        <v>70</v>
      </c>
      <c r="F5" s="135">
        <f t="shared" ca="1" si="0"/>
        <v>0</v>
      </c>
      <c r="G5" s="135">
        <f t="shared" ca="1" si="0"/>
        <v>0</v>
      </c>
      <c r="H5" s="135">
        <f t="shared" ca="1" si="0"/>
        <v>0</v>
      </c>
      <c r="I5" s="135">
        <f t="shared" ca="1" si="0"/>
        <v>0</v>
      </c>
      <c r="J5" s="135">
        <f t="shared" ca="1" si="0"/>
        <v>0</v>
      </c>
      <c r="K5" s="135">
        <f t="shared" ca="1" si="0"/>
        <v>0</v>
      </c>
      <c r="L5" s="135">
        <f t="shared" ca="1" si="0"/>
        <v>0</v>
      </c>
      <c r="M5" s="136">
        <f t="shared" ca="1" si="0"/>
        <v>0</v>
      </c>
      <c r="N5" s="282" t="s">
        <v>537</v>
      </c>
      <c r="O5" s="282" t="s">
        <v>504</v>
      </c>
    </row>
    <row r="6" spans="2:16" ht="15" customHeight="1">
      <c r="B6" s="255" t="s">
        <v>14</v>
      </c>
      <c r="C6" s="256" t="s">
        <v>73</v>
      </c>
      <c r="D6" s="261">
        <v>10</v>
      </c>
      <c r="E6" s="245">
        <f t="shared" ca="1" si="0"/>
        <v>66.666666666666657</v>
      </c>
      <c r="F6" s="245">
        <f t="shared" ca="1" si="0"/>
        <v>0</v>
      </c>
      <c r="G6" s="245">
        <f t="shared" ca="1" si="0"/>
        <v>0</v>
      </c>
      <c r="H6" s="245">
        <f t="shared" ca="1" si="0"/>
        <v>0</v>
      </c>
      <c r="I6" s="245">
        <f t="shared" ca="1" si="0"/>
        <v>0</v>
      </c>
      <c r="J6" s="245">
        <f t="shared" ca="1" si="0"/>
        <v>0</v>
      </c>
      <c r="K6" s="245">
        <f t="shared" ca="1" si="0"/>
        <v>0</v>
      </c>
      <c r="L6" s="245">
        <f t="shared" ca="1" si="0"/>
        <v>0</v>
      </c>
      <c r="M6" s="246">
        <f t="shared" ca="1" si="0"/>
        <v>0</v>
      </c>
      <c r="N6" s="276" t="s">
        <v>343</v>
      </c>
      <c r="O6" s="276" t="s">
        <v>560</v>
      </c>
      <c r="P6" s="225"/>
    </row>
    <row r="7" spans="2:16" ht="15" customHeight="1">
      <c r="B7" s="257" t="s">
        <v>13</v>
      </c>
      <c r="C7" s="258" t="s">
        <v>82</v>
      </c>
      <c r="D7" s="262">
        <v>14</v>
      </c>
      <c r="E7" s="247">
        <f t="shared" ca="1" si="0"/>
        <v>68.75</v>
      </c>
      <c r="F7" s="247">
        <f t="shared" ca="1" si="0"/>
        <v>0</v>
      </c>
      <c r="G7" s="247">
        <f t="shared" ca="1" si="0"/>
        <v>0</v>
      </c>
      <c r="H7" s="247">
        <f t="shared" ca="1" si="0"/>
        <v>0</v>
      </c>
      <c r="I7" s="247">
        <f t="shared" ca="1" si="0"/>
        <v>0</v>
      </c>
      <c r="J7" s="247">
        <f t="shared" ca="1" si="0"/>
        <v>0</v>
      </c>
      <c r="K7" s="247">
        <f t="shared" ca="1" si="0"/>
        <v>0</v>
      </c>
      <c r="L7" s="247">
        <f t="shared" ca="1" si="0"/>
        <v>0</v>
      </c>
      <c r="M7" s="248">
        <f t="shared" ca="1" si="0"/>
        <v>0</v>
      </c>
      <c r="N7" s="277" t="s">
        <v>343</v>
      </c>
      <c r="O7" s="277" t="s">
        <v>505</v>
      </c>
      <c r="P7" s="225"/>
    </row>
    <row r="8" spans="2:16" ht="15" customHeight="1">
      <c r="B8" s="257" t="s">
        <v>91</v>
      </c>
      <c r="C8" s="258" t="s">
        <v>92</v>
      </c>
      <c r="D8" s="262">
        <v>19</v>
      </c>
      <c r="E8" s="247">
        <f t="shared" ca="1" si="0"/>
        <v>62.5</v>
      </c>
      <c r="F8" s="247">
        <f t="shared" ca="1" si="0"/>
        <v>0</v>
      </c>
      <c r="G8" s="247">
        <f t="shared" ca="1" si="0"/>
        <v>0</v>
      </c>
      <c r="H8" s="247">
        <f t="shared" ca="1" si="0"/>
        <v>0</v>
      </c>
      <c r="I8" s="247">
        <f t="shared" ca="1" si="0"/>
        <v>0</v>
      </c>
      <c r="J8" s="247">
        <f t="shared" ca="1" si="0"/>
        <v>0</v>
      </c>
      <c r="K8" s="247">
        <f t="shared" ca="1" si="0"/>
        <v>0</v>
      </c>
      <c r="L8" s="247">
        <f t="shared" ca="1" si="0"/>
        <v>0</v>
      </c>
      <c r="M8" s="248">
        <f t="shared" ca="1" si="0"/>
        <v>0</v>
      </c>
      <c r="N8" s="277" t="s">
        <v>343</v>
      </c>
      <c r="O8" s="277" t="s">
        <v>506</v>
      </c>
      <c r="P8" s="225"/>
    </row>
    <row r="9" spans="2:16" ht="15" customHeight="1">
      <c r="B9" s="257" t="s">
        <v>97</v>
      </c>
      <c r="C9" s="258" t="s">
        <v>98</v>
      </c>
      <c r="D9" s="262">
        <v>22</v>
      </c>
      <c r="E9" s="247">
        <f t="shared" ca="1" si="0"/>
        <v>68.75</v>
      </c>
      <c r="F9" s="247">
        <f t="shared" ca="1" si="0"/>
        <v>0</v>
      </c>
      <c r="G9" s="247">
        <f t="shared" ca="1" si="0"/>
        <v>0</v>
      </c>
      <c r="H9" s="247">
        <f t="shared" ca="1" si="0"/>
        <v>0</v>
      </c>
      <c r="I9" s="247">
        <f t="shared" ca="1" si="0"/>
        <v>0</v>
      </c>
      <c r="J9" s="247">
        <f t="shared" ca="1" si="0"/>
        <v>0</v>
      </c>
      <c r="K9" s="247">
        <f t="shared" ca="1" si="0"/>
        <v>0</v>
      </c>
      <c r="L9" s="247">
        <f t="shared" ca="1" si="0"/>
        <v>0</v>
      </c>
      <c r="M9" s="248">
        <f t="shared" ca="1" si="0"/>
        <v>0</v>
      </c>
      <c r="N9" s="277" t="s">
        <v>343</v>
      </c>
      <c r="O9" s="277" t="s">
        <v>507</v>
      </c>
      <c r="P9" s="225"/>
    </row>
    <row r="10" spans="2:16" ht="15" customHeight="1">
      <c r="B10" s="257" t="s">
        <v>103</v>
      </c>
      <c r="C10" s="258" t="s">
        <v>104</v>
      </c>
      <c r="D10" s="262">
        <v>27</v>
      </c>
      <c r="E10" s="247">
        <f t="shared" ca="1" si="0"/>
        <v>75</v>
      </c>
      <c r="F10" s="247">
        <f t="shared" ca="1" si="0"/>
        <v>0</v>
      </c>
      <c r="G10" s="247">
        <f t="shared" ca="1" si="0"/>
        <v>0</v>
      </c>
      <c r="H10" s="247">
        <f t="shared" ca="1" si="0"/>
        <v>0</v>
      </c>
      <c r="I10" s="247">
        <f t="shared" ca="1" si="0"/>
        <v>0</v>
      </c>
      <c r="J10" s="247">
        <f t="shared" ca="1" si="0"/>
        <v>0</v>
      </c>
      <c r="K10" s="247">
        <f t="shared" ca="1" si="0"/>
        <v>0</v>
      </c>
      <c r="L10" s="247">
        <f t="shared" ca="1" si="0"/>
        <v>0</v>
      </c>
      <c r="M10" s="248">
        <f t="shared" ca="1" si="0"/>
        <v>0</v>
      </c>
      <c r="N10" s="277" t="s">
        <v>343</v>
      </c>
      <c r="O10" s="277" t="s">
        <v>508</v>
      </c>
      <c r="P10" s="225"/>
    </row>
    <row r="11" spans="2:16" ht="15" customHeight="1">
      <c r="B11" s="257" t="s">
        <v>111</v>
      </c>
      <c r="C11" s="258" t="s">
        <v>112</v>
      </c>
      <c r="D11" s="262">
        <v>31</v>
      </c>
      <c r="E11" s="247">
        <f t="shared" ca="1" si="0"/>
        <v>68.75</v>
      </c>
      <c r="F11" s="247">
        <f t="shared" ca="1" si="0"/>
        <v>0</v>
      </c>
      <c r="G11" s="247">
        <f t="shared" ca="1" si="0"/>
        <v>0</v>
      </c>
      <c r="H11" s="247">
        <f t="shared" ca="1" si="0"/>
        <v>0</v>
      </c>
      <c r="I11" s="247">
        <f t="shared" ca="1" si="0"/>
        <v>0</v>
      </c>
      <c r="J11" s="247">
        <f t="shared" ca="1" si="0"/>
        <v>0</v>
      </c>
      <c r="K11" s="247">
        <f t="shared" ca="1" si="0"/>
        <v>0</v>
      </c>
      <c r="L11" s="247">
        <f t="shared" ca="1" si="0"/>
        <v>0</v>
      </c>
      <c r="M11" s="248">
        <f t="shared" ca="1" si="0"/>
        <v>0</v>
      </c>
      <c r="N11" s="277" t="s">
        <v>343</v>
      </c>
      <c r="O11" s="277" t="s">
        <v>508</v>
      </c>
      <c r="P11" s="225"/>
    </row>
    <row r="12" spans="2:16" ht="15" customHeight="1">
      <c r="B12" s="259" t="s">
        <v>119</v>
      </c>
      <c r="C12" s="260" t="s">
        <v>120</v>
      </c>
      <c r="D12" s="263">
        <v>36</v>
      </c>
      <c r="E12" s="249">
        <f t="shared" ca="1" si="0"/>
        <v>25</v>
      </c>
      <c r="F12" s="249">
        <f t="shared" ca="1" si="0"/>
        <v>0</v>
      </c>
      <c r="G12" s="249">
        <f t="shared" ca="1" si="0"/>
        <v>0</v>
      </c>
      <c r="H12" s="249">
        <f t="shared" ca="1" si="0"/>
        <v>0</v>
      </c>
      <c r="I12" s="249">
        <f t="shared" ca="1" si="0"/>
        <v>0</v>
      </c>
      <c r="J12" s="249">
        <f t="shared" ca="1" si="0"/>
        <v>0</v>
      </c>
      <c r="K12" s="249">
        <f t="shared" ca="1" si="0"/>
        <v>0</v>
      </c>
      <c r="L12" s="249">
        <f t="shared" ca="1" si="0"/>
        <v>0</v>
      </c>
      <c r="M12" s="250">
        <f t="shared" ca="1" si="0"/>
        <v>0</v>
      </c>
      <c r="N12" s="278" t="s">
        <v>343</v>
      </c>
      <c r="O12" s="278" t="s">
        <v>509</v>
      </c>
      <c r="P12" s="225"/>
    </row>
    <row r="13" spans="2:16" ht="15" customHeight="1">
      <c r="B13" s="255" t="s">
        <v>11</v>
      </c>
      <c r="C13" s="256" t="s">
        <v>130</v>
      </c>
      <c r="D13" s="262">
        <v>48</v>
      </c>
      <c r="E13" s="247">
        <f t="shared" ca="1" si="0"/>
        <v>68.75</v>
      </c>
      <c r="F13" s="247">
        <f t="shared" ca="1" si="0"/>
        <v>0</v>
      </c>
      <c r="G13" s="247">
        <f t="shared" ca="1" si="0"/>
        <v>0</v>
      </c>
      <c r="H13" s="247">
        <f t="shared" ca="1" si="0"/>
        <v>0</v>
      </c>
      <c r="I13" s="247">
        <f t="shared" ca="1" si="0"/>
        <v>0</v>
      </c>
      <c r="J13" s="247">
        <f t="shared" ca="1" si="0"/>
        <v>0</v>
      </c>
      <c r="K13" s="247">
        <f t="shared" ca="1" si="0"/>
        <v>0</v>
      </c>
      <c r="L13" s="247">
        <f t="shared" ca="1" si="0"/>
        <v>0</v>
      </c>
      <c r="M13" s="248">
        <f t="shared" ca="1" si="0"/>
        <v>0</v>
      </c>
      <c r="N13" s="277" t="s">
        <v>344</v>
      </c>
      <c r="O13" s="277" t="s">
        <v>560</v>
      </c>
      <c r="P13" s="225"/>
    </row>
    <row r="14" spans="2:16" ht="15" customHeight="1">
      <c r="B14" s="257" t="s">
        <v>9</v>
      </c>
      <c r="C14" s="258" t="s">
        <v>138</v>
      </c>
      <c r="D14" s="264">
        <v>53</v>
      </c>
      <c r="E14" s="251">
        <f t="shared" ca="1" si="0"/>
        <v>75</v>
      </c>
      <c r="F14" s="251">
        <f t="shared" ca="1" si="0"/>
        <v>0</v>
      </c>
      <c r="G14" s="251">
        <f t="shared" ca="1" si="0"/>
        <v>0</v>
      </c>
      <c r="H14" s="251">
        <f t="shared" ca="1" si="0"/>
        <v>0</v>
      </c>
      <c r="I14" s="251">
        <f t="shared" ca="1" si="0"/>
        <v>0</v>
      </c>
      <c r="J14" s="251">
        <f t="shared" ca="1" si="0"/>
        <v>0</v>
      </c>
      <c r="K14" s="251">
        <f t="shared" ca="1" si="0"/>
        <v>0</v>
      </c>
      <c r="L14" s="251">
        <f t="shared" ca="1" si="0"/>
        <v>0</v>
      </c>
      <c r="M14" s="252">
        <f t="shared" ca="1" si="0"/>
        <v>0</v>
      </c>
      <c r="N14" s="279" t="s">
        <v>344</v>
      </c>
      <c r="O14" s="279" t="s">
        <v>506</v>
      </c>
      <c r="P14" s="225"/>
    </row>
    <row r="15" spans="2:16" ht="15" customHeight="1">
      <c r="B15" s="257" t="s">
        <v>144</v>
      </c>
      <c r="C15" s="258" t="s">
        <v>145</v>
      </c>
      <c r="D15" s="264">
        <v>57</v>
      </c>
      <c r="E15" s="251">
        <f t="shared" ref="E15:M24" ca="1" si="1">INDIRECT(ADDRESS($D15,COLUMN(),1,1,$C$1))</f>
        <v>81.25</v>
      </c>
      <c r="F15" s="251">
        <f t="shared" ca="1" si="1"/>
        <v>0</v>
      </c>
      <c r="G15" s="251">
        <f t="shared" ca="1" si="1"/>
        <v>0</v>
      </c>
      <c r="H15" s="251">
        <f t="shared" ca="1" si="1"/>
        <v>0</v>
      </c>
      <c r="I15" s="251">
        <f t="shared" ca="1" si="1"/>
        <v>0</v>
      </c>
      <c r="J15" s="251">
        <f t="shared" ca="1" si="1"/>
        <v>0</v>
      </c>
      <c r="K15" s="251">
        <f t="shared" ca="1" si="1"/>
        <v>0</v>
      </c>
      <c r="L15" s="251">
        <f t="shared" ca="1" si="1"/>
        <v>0</v>
      </c>
      <c r="M15" s="252">
        <f t="shared" ca="1" si="1"/>
        <v>0</v>
      </c>
      <c r="N15" s="279" t="s">
        <v>344</v>
      </c>
      <c r="O15" s="279" t="s">
        <v>510</v>
      </c>
      <c r="P15" s="225"/>
    </row>
    <row r="16" spans="2:16" ht="15" customHeight="1">
      <c r="B16" s="257" t="s">
        <v>153</v>
      </c>
      <c r="C16" s="258" t="s">
        <v>154</v>
      </c>
      <c r="D16" s="264">
        <v>62</v>
      </c>
      <c r="E16" s="251">
        <f t="shared" ca="1" si="1"/>
        <v>75</v>
      </c>
      <c r="F16" s="251">
        <f t="shared" ca="1" si="1"/>
        <v>0</v>
      </c>
      <c r="G16" s="251">
        <f t="shared" ca="1" si="1"/>
        <v>0</v>
      </c>
      <c r="H16" s="251">
        <f t="shared" ca="1" si="1"/>
        <v>0</v>
      </c>
      <c r="I16" s="251">
        <f t="shared" ca="1" si="1"/>
        <v>0</v>
      </c>
      <c r="J16" s="251">
        <f t="shared" ca="1" si="1"/>
        <v>0</v>
      </c>
      <c r="K16" s="251">
        <f t="shared" ca="1" si="1"/>
        <v>0</v>
      </c>
      <c r="L16" s="251">
        <f t="shared" ca="1" si="1"/>
        <v>0</v>
      </c>
      <c r="M16" s="252">
        <f t="shared" ca="1" si="1"/>
        <v>0</v>
      </c>
      <c r="N16" s="279" t="s">
        <v>344</v>
      </c>
      <c r="O16" s="279" t="s">
        <v>511</v>
      </c>
      <c r="P16" s="225"/>
    </row>
    <row r="17" spans="2:16" ht="15" customHeight="1">
      <c r="B17" s="257" t="s">
        <v>163</v>
      </c>
      <c r="C17" s="258" t="s">
        <v>164</v>
      </c>
      <c r="D17" s="264">
        <v>67</v>
      </c>
      <c r="E17" s="251">
        <f t="shared" ca="1" si="1"/>
        <v>93.75</v>
      </c>
      <c r="F17" s="251">
        <f t="shared" ca="1" si="1"/>
        <v>0</v>
      </c>
      <c r="G17" s="251">
        <f t="shared" ca="1" si="1"/>
        <v>0</v>
      </c>
      <c r="H17" s="251">
        <f t="shared" ca="1" si="1"/>
        <v>0</v>
      </c>
      <c r="I17" s="251">
        <f t="shared" ca="1" si="1"/>
        <v>0</v>
      </c>
      <c r="J17" s="251">
        <f t="shared" ca="1" si="1"/>
        <v>0</v>
      </c>
      <c r="K17" s="251">
        <f t="shared" ca="1" si="1"/>
        <v>0</v>
      </c>
      <c r="L17" s="251">
        <f t="shared" ca="1" si="1"/>
        <v>0</v>
      </c>
      <c r="M17" s="252">
        <f t="shared" ca="1" si="1"/>
        <v>0</v>
      </c>
      <c r="N17" s="279" t="s">
        <v>344</v>
      </c>
      <c r="O17" s="279" t="s">
        <v>512</v>
      </c>
      <c r="P17" s="225"/>
    </row>
    <row r="18" spans="2:16" ht="15" customHeight="1">
      <c r="B18" s="257" t="s">
        <v>173</v>
      </c>
      <c r="C18" s="258" t="s">
        <v>174</v>
      </c>
      <c r="D18" s="264">
        <v>72</v>
      </c>
      <c r="E18" s="251">
        <f t="shared" ca="1" si="1"/>
        <v>62.5</v>
      </c>
      <c r="F18" s="251">
        <f t="shared" ca="1" si="1"/>
        <v>0</v>
      </c>
      <c r="G18" s="251">
        <f t="shared" ca="1" si="1"/>
        <v>0</v>
      </c>
      <c r="H18" s="251">
        <f t="shared" ca="1" si="1"/>
        <v>0</v>
      </c>
      <c r="I18" s="251">
        <f t="shared" ca="1" si="1"/>
        <v>0</v>
      </c>
      <c r="J18" s="251">
        <f t="shared" ca="1" si="1"/>
        <v>0</v>
      </c>
      <c r="K18" s="251">
        <f t="shared" ca="1" si="1"/>
        <v>0</v>
      </c>
      <c r="L18" s="251">
        <f t="shared" ca="1" si="1"/>
        <v>0</v>
      </c>
      <c r="M18" s="252">
        <f t="shared" ca="1" si="1"/>
        <v>0</v>
      </c>
      <c r="N18" s="279" t="s">
        <v>344</v>
      </c>
      <c r="O18" s="279" t="s">
        <v>513</v>
      </c>
      <c r="P18" s="225"/>
    </row>
    <row r="19" spans="2:16" ht="15" customHeight="1">
      <c r="B19" s="257" t="s">
        <v>181</v>
      </c>
      <c r="C19" s="258" t="s">
        <v>182</v>
      </c>
      <c r="D19" s="264">
        <v>77</v>
      </c>
      <c r="E19" s="251">
        <f t="shared" ca="1" si="1"/>
        <v>93.75</v>
      </c>
      <c r="F19" s="251">
        <f t="shared" ca="1" si="1"/>
        <v>0</v>
      </c>
      <c r="G19" s="251">
        <f t="shared" ca="1" si="1"/>
        <v>0</v>
      </c>
      <c r="H19" s="251">
        <f t="shared" ca="1" si="1"/>
        <v>0</v>
      </c>
      <c r="I19" s="251">
        <f t="shared" ca="1" si="1"/>
        <v>0</v>
      </c>
      <c r="J19" s="251">
        <f t="shared" ca="1" si="1"/>
        <v>0</v>
      </c>
      <c r="K19" s="251">
        <f t="shared" ca="1" si="1"/>
        <v>0</v>
      </c>
      <c r="L19" s="251">
        <f t="shared" ca="1" si="1"/>
        <v>0</v>
      </c>
      <c r="M19" s="252">
        <f t="shared" ca="1" si="1"/>
        <v>0</v>
      </c>
      <c r="N19" s="279" t="s">
        <v>344</v>
      </c>
      <c r="O19" s="279" t="s">
        <v>511</v>
      </c>
      <c r="P19" s="225"/>
    </row>
    <row r="20" spans="2:16" ht="15" customHeight="1">
      <c r="B20" s="257" t="s">
        <v>189</v>
      </c>
      <c r="C20" s="258" t="s">
        <v>190</v>
      </c>
      <c r="D20" s="264">
        <v>82</v>
      </c>
      <c r="E20" s="251">
        <f t="shared" ca="1" si="1"/>
        <v>75</v>
      </c>
      <c r="F20" s="251">
        <f t="shared" ca="1" si="1"/>
        <v>0</v>
      </c>
      <c r="G20" s="251">
        <f t="shared" ca="1" si="1"/>
        <v>0</v>
      </c>
      <c r="H20" s="251">
        <f t="shared" ca="1" si="1"/>
        <v>0</v>
      </c>
      <c r="I20" s="251">
        <f t="shared" ca="1" si="1"/>
        <v>0</v>
      </c>
      <c r="J20" s="251">
        <f t="shared" ca="1" si="1"/>
        <v>0</v>
      </c>
      <c r="K20" s="251">
        <f t="shared" ca="1" si="1"/>
        <v>0</v>
      </c>
      <c r="L20" s="251">
        <f t="shared" ca="1" si="1"/>
        <v>0</v>
      </c>
      <c r="M20" s="252">
        <f t="shared" ca="1" si="1"/>
        <v>0</v>
      </c>
      <c r="N20" s="279" t="s">
        <v>344</v>
      </c>
      <c r="O20" s="279" t="s">
        <v>510</v>
      </c>
      <c r="P20" s="225"/>
    </row>
    <row r="21" spans="2:16" ht="15" customHeight="1">
      <c r="B21" s="257" t="s">
        <v>195</v>
      </c>
      <c r="C21" s="258" t="s">
        <v>196</v>
      </c>
      <c r="D21" s="264">
        <v>86</v>
      </c>
      <c r="E21" s="251">
        <f t="shared" ca="1" si="1"/>
        <v>81.25</v>
      </c>
      <c r="F21" s="251">
        <f t="shared" ca="1" si="1"/>
        <v>0</v>
      </c>
      <c r="G21" s="251">
        <f t="shared" ca="1" si="1"/>
        <v>0</v>
      </c>
      <c r="H21" s="251">
        <f t="shared" ca="1" si="1"/>
        <v>0</v>
      </c>
      <c r="I21" s="251">
        <f t="shared" ca="1" si="1"/>
        <v>0</v>
      </c>
      <c r="J21" s="251">
        <f t="shared" ca="1" si="1"/>
        <v>0</v>
      </c>
      <c r="K21" s="251">
        <f t="shared" ca="1" si="1"/>
        <v>0</v>
      </c>
      <c r="L21" s="251">
        <f t="shared" ca="1" si="1"/>
        <v>0</v>
      </c>
      <c r="M21" s="252">
        <f t="shared" ca="1" si="1"/>
        <v>0</v>
      </c>
      <c r="N21" s="279" t="s">
        <v>344</v>
      </c>
      <c r="O21" s="279" t="s">
        <v>514</v>
      </c>
      <c r="P21" s="225"/>
    </row>
    <row r="22" spans="2:16" ht="15" customHeight="1">
      <c r="B22" s="257" t="s">
        <v>204</v>
      </c>
      <c r="C22" s="258" t="s">
        <v>205</v>
      </c>
      <c r="D22" s="264">
        <v>91</v>
      </c>
      <c r="E22" s="251">
        <f t="shared" ca="1" si="1"/>
        <v>60</v>
      </c>
      <c r="F22" s="251">
        <f t="shared" ca="1" si="1"/>
        <v>0</v>
      </c>
      <c r="G22" s="251">
        <f t="shared" ca="1" si="1"/>
        <v>0</v>
      </c>
      <c r="H22" s="251">
        <f t="shared" ca="1" si="1"/>
        <v>0</v>
      </c>
      <c r="I22" s="251">
        <f t="shared" ca="1" si="1"/>
        <v>0</v>
      </c>
      <c r="J22" s="251">
        <f t="shared" ca="1" si="1"/>
        <v>0</v>
      </c>
      <c r="K22" s="251">
        <f t="shared" ca="1" si="1"/>
        <v>0</v>
      </c>
      <c r="L22" s="251">
        <f t="shared" ca="1" si="1"/>
        <v>0</v>
      </c>
      <c r="M22" s="252">
        <f t="shared" ca="1" si="1"/>
        <v>0</v>
      </c>
      <c r="N22" s="279" t="s">
        <v>344</v>
      </c>
      <c r="O22" s="279" t="s">
        <v>515</v>
      </c>
      <c r="P22" s="225"/>
    </row>
    <row r="23" spans="2:16" ht="15" customHeight="1">
      <c r="B23" s="257" t="s">
        <v>216</v>
      </c>
      <c r="C23" s="258" t="s">
        <v>217</v>
      </c>
      <c r="D23" s="264">
        <v>97</v>
      </c>
      <c r="E23" s="251">
        <f t="shared" ca="1" si="1"/>
        <v>93.75</v>
      </c>
      <c r="F23" s="251">
        <f t="shared" ca="1" si="1"/>
        <v>0</v>
      </c>
      <c r="G23" s="251">
        <f t="shared" ca="1" si="1"/>
        <v>0</v>
      </c>
      <c r="H23" s="251">
        <f t="shared" ca="1" si="1"/>
        <v>0</v>
      </c>
      <c r="I23" s="251">
        <f t="shared" ca="1" si="1"/>
        <v>0</v>
      </c>
      <c r="J23" s="251">
        <f t="shared" ca="1" si="1"/>
        <v>0</v>
      </c>
      <c r="K23" s="251">
        <f t="shared" ca="1" si="1"/>
        <v>0</v>
      </c>
      <c r="L23" s="251">
        <f t="shared" ca="1" si="1"/>
        <v>0</v>
      </c>
      <c r="M23" s="252">
        <f t="shared" ca="1" si="1"/>
        <v>0</v>
      </c>
      <c r="N23" s="279" t="s">
        <v>344</v>
      </c>
      <c r="O23" s="279" t="s">
        <v>516</v>
      </c>
      <c r="P23" s="225"/>
    </row>
    <row r="24" spans="2:16" ht="15" customHeight="1">
      <c r="B24" s="257" t="s">
        <v>218</v>
      </c>
      <c r="C24" s="258" t="s">
        <v>219</v>
      </c>
      <c r="D24" s="264">
        <v>102</v>
      </c>
      <c r="E24" s="251">
        <f t="shared" ca="1" si="1"/>
        <v>75</v>
      </c>
      <c r="F24" s="251">
        <f t="shared" ca="1" si="1"/>
        <v>0</v>
      </c>
      <c r="G24" s="251">
        <f t="shared" ca="1" si="1"/>
        <v>0</v>
      </c>
      <c r="H24" s="251">
        <f t="shared" ca="1" si="1"/>
        <v>0</v>
      </c>
      <c r="I24" s="251">
        <f t="shared" ca="1" si="1"/>
        <v>0</v>
      </c>
      <c r="J24" s="251">
        <f t="shared" ca="1" si="1"/>
        <v>0</v>
      </c>
      <c r="K24" s="251">
        <f t="shared" ca="1" si="1"/>
        <v>0</v>
      </c>
      <c r="L24" s="251">
        <f t="shared" ca="1" si="1"/>
        <v>0</v>
      </c>
      <c r="M24" s="252">
        <f t="shared" ca="1" si="1"/>
        <v>0</v>
      </c>
      <c r="N24" s="279" t="s">
        <v>344</v>
      </c>
      <c r="O24" s="279" t="s">
        <v>517</v>
      </c>
      <c r="P24" s="225"/>
    </row>
    <row r="25" spans="2:16" ht="15" customHeight="1">
      <c r="B25" s="257" t="s">
        <v>220</v>
      </c>
      <c r="C25" s="258" t="s">
        <v>221</v>
      </c>
      <c r="D25" s="264">
        <v>107</v>
      </c>
      <c r="E25" s="251">
        <f t="shared" ref="E25:M36" ca="1" si="2">INDIRECT(ADDRESS($D25,COLUMN(),1,1,$C$1))</f>
        <v>68.75</v>
      </c>
      <c r="F25" s="251">
        <f t="shared" ca="1" si="2"/>
        <v>0</v>
      </c>
      <c r="G25" s="251">
        <f t="shared" ca="1" si="2"/>
        <v>0</v>
      </c>
      <c r="H25" s="251">
        <f t="shared" ca="1" si="2"/>
        <v>0</v>
      </c>
      <c r="I25" s="251">
        <f t="shared" ca="1" si="2"/>
        <v>0</v>
      </c>
      <c r="J25" s="251">
        <f t="shared" ca="1" si="2"/>
        <v>0</v>
      </c>
      <c r="K25" s="251">
        <f t="shared" ca="1" si="2"/>
        <v>0</v>
      </c>
      <c r="L25" s="251">
        <f t="shared" ca="1" si="2"/>
        <v>0</v>
      </c>
      <c r="M25" s="252">
        <f t="shared" ca="1" si="2"/>
        <v>0</v>
      </c>
      <c r="N25" s="279" t="s">
        <v>344</v>
      </c>
      <c r="O25" s="279" t="s">
        <v>518</v>
      </c>
      <c r="P25" s="225"/>
    </row>
    <row r="26" spans="2:16" ht="15" customHeight="1">
      <c r="B26" s="257" t="s">
        <v>222</v>
      </c>
      <c r="C26" s="258" t="s">
        <v>223</v>
      </c>
      <c r="D26" s="264">
        <v>112</v>
      </c>
      <c r="E26" s="251">
        <f t="shared" ca="1" si="2"/>
        <v>75</v>
      </c>
      <c r="F26" s="251">
        <f t="shared" ca="1" si="2"/>
        <v>0</v>
      </c>
      <c r="G26" s="251">
        <f t="shared" ca="1" si="2"/>
        <v>0</v>
      </c>
      <c r="H26" s="251">
        <f t="shared" ca="1" si="2"/>
        <v>0</v>
      </c>
      <c r="I26" s="251">
        <f t="shared" ca="1" si="2"/>
        <v>0</v>
      </c>
      <c r="J26" s="251">
        <f t="shared" ca="1" si="2"/>
        <v>0</v>
      </c>
      <c r="K26" s="251">
        <f t="shared" ca="1" si="2"/>
        <v>0</v>
      </c>
      <c r="L26" s="251">
        <f t="shared" ca="1" si="2"/>
        <v>0</v>
      </c>
      <c r="M26" s="252">
        <f t="shared" ca="1" si="2"/>
        <v>0</v>
      </c>
      <c r="N26" s="279" t="s">
        <v>344</v>
      </c>
      <c r="O26" s="279" t="s">
        <v>519</v>
      </c>
      <c r="P26" s="225"/>
    </row>
    <row r="27" spans="2:16" ht="15" customHeight="1">
      <c r="B27" s="257" t="s">
        <v>232</v>
      </c>
      <c r="C27" s="258" t="s">
        <v>233</v>
      </c>
      <c r="D27" s="264">
        <v>117</v>
      </c>
      <c r="E27" s="251">
        <f t="shared" ca="1" si="2"/>
        <v>66.666666666666657</v>
      </c>
      <c r="F27" s="251">
        <f t="shared" ca="1" si="2"/>
        <v>0</v>
      </c>
      <c r="G27" s="251">
        <f t="shared" ca="1" si="2"/>
        <v>0</v>
      </c>
      <c r="H27" s="251">
        <f t="shared" ca="1" si="2"/>
        <v>0</v>
      </c>
      <c r="I27" s="251">
        <f t="shared" ca="1" si="2"/>
        <v>0</v>
      </c>
      <c r="J27" s="251">
        <f t="shared" ca="1" si="2"/>
        <v>0</v>
      </c>
      <c r="K27" s="251">
        <f t="shared" ca="1" si="2"/>
        <v>0</v>
      </c>
      <c r="L27" s="251">
        <f t="shared" ca="1" si="2"/>
        <v>0</v>
      </c>
      <c r="M27" s="252">
        <f t="shared" ca="1" si="2"/>
        <v>0</v>
      </c>
      <c r="N27" s="279" t="s">
        <v>344</v>
      </c>
      <c r="O27" s="279" t="s">
        <v>520</v>
      </c>
      <c r="P27" s="225"/>
    </row>
    <row r="28" spans="2:16" ht="15" customHeight="1">
      <c r="B28" s="259" t="s">
        <v>240</v>
      </c>
      <c r="C28" s="260" t="s">
        <v>241</v>
      </c>
      <c r="D28" s="265">
        <v>121</v>
      </c>
      <c r="E28" s="253">
        <f t="shared" ca="1" si="2"/>
        <v>62.5</v>
      </c>
      <c r="F28" s="253">
        <f t="shared" ca="1" si="2"/>
        <v>0</v>
      </c>
      <c r="G28" s="253">
        <f t="shared" ca="1" si="2"/>
        <v>0</v>
      </c>
      <c r="H28" s="253">
        <f t="shared" ca="1" si="2"/>
        <v>0</v>
      </c>
      <c r="I28" s="253">
        <f t="shared" ca="1" si="2"/>
        <v>0</v>
      </c>
      <c r="J28" s="253">
        <f t="shared" ca="1" si="2"/>
        <v>0</v>
      </c>
      <c r="K28" s="253">
        <f t="shared" ca="1" si="2"/>
        <v>0</v>
      </c>
      <c r="L28" s="253">
        <f t="shared" ca="1" si="2"/>
        <v>0</v>
      </c>
      <c r="M28" s="254">
        <f t="shared" ca="1" si="2"/>
        <v>0</v>
      </c>
      <c r="N28" s="280" t="s">
        <v>344</v>
      </c>
      <c r="O28" s="280" t="s">
        <v>508</v>
      </c>
      <c r="P28" s="225"/>
    </row>
    <row r="29" spans="2:16" ht="15" customHeight="1">
      <c r="B29" s="255" t="s">
        <v>7</v>
      </c>
      <c r="C29" s="256" t="s">
        <v>248</v>
      </c>
      <c r="D29" s="262">
        <v>133</v>
      </c>
      <c r="E29" s="247">
        <f t="shared" ca="1" si="2"/>
        <v>62.5</v>
      </c>
      <c r="F29" s="247">
        <f t="shared" ca="1" si="2"/>
        <v>0</v>
      </c>
      <c r="G29" s="247">
        <f t="shared" ca="1" si="2"/>
        <v>0</v>
      </c>
      <c r="H29" s="247">
        <f t="shared" ca="1" si="2"/>
        <v>0</v>
      </c>
      <c r="I29" s="247">
        <f t="shared" ca="1" si="2"/>
        <v>0</v>
      </c>
      <c r="J29" s="247">
        <f t="shared" ca="1" si="2"/>
        <v>0</v>
      </c>
      <c r="K29" s="247">
        <f t="shared" ca="1" si="2"/>
        <v>0</v>
      </c>
      <c r="L29" s="247">
        <f t="shared" ca="1" si="2"/>
        <v>0</v>
      </c>
      <c r="M29" s="248">
        <f t="shared" ca="1" si="2"/>
        <v>0</v>
      </c>
      <c r="N29" s="277" t="s">
        <v>345</v>
      </c>
      <c r="O29" s="277" t="s">
        <v>506</v>
      </c>
      <c r="P29" s="225"/>
    </row>
    <row r="30" spans="2:16" ht="15" customHeight="1">
      <c r="B30" s="257" t="s">
        <v>6</v>
      </c>
      <c r="C30" s="258" t="s">
        <v>256</v>
      </c>
      <c r="D30" s="264">
        <v>138</v>
      </c>
      <c r="E30" s="251">
        <f t="shared" ca="1" si="2"/>
        <v>68.75</v>
      </c>
      <c r="F30" s="251">
        <f t="shared" ca="1" si="2"/>
        <v>0</v>
      </c>
      <c r="G30" s="251">
        <f t="shared" ca="1" si="2"/>
        <v>0</v>
      </c>
      <c r="H30" s="251">
        <f t="shared" ca="1" si="2"/>
        <v>0</v>
      </c>
      <c r="I30" s="251">
        <f t="shared" ca="1" si="2"/>
        <v>0</v>
      </c>
      <c r="J30" s="251">
        <f t="shared" ca="1" si="2"/>
        <v>0</v>
      </c>
      <c r="K30" s="251">
        <f t="shared" ca="1" si="2"/>
        <v>0</v>
      </c>
      <c r="L30" s="251">
        <f t="shared" ca="1" si="2"/>
        <v>0</v>
      </c>
      <c r="M30" s="252">
        <f t="shared" ca="1" si="2"/>
        <v>0</v>
      </c>
      <c r="N30" s="279" t="s">
        <v>345</v>
      </c>
      <c r="O30" s="279" t="s">
        <v>507</v>
      </c>
      <c r="P30" s="225"/>
    </row>
    <row r="31" spans="2:16" ht="15" customHeight="1">
      <c r="B31" s="257" t="s">
        <v>5</v>
      </c>
      <c r="C31" s="258" t="s">
        <v>265</v>
      </c>
      <c r="D31" s="264">
        <v>143</v>
      </c>
      <c r="E31" s="251">
        <f t="shared" ca="1" si="2"/>
        <v>58.333333333333336</v>
      </c>
      <c r="F31" s="251">
        <f t="shared" ca="1" si="2"/>
        <v>0</v>
      </c>
      <c r="G31" s="251">
        <f t="shared" ca="1" si="2"/>
        <v>0</v>
      </c>
      <c r="H31" s="251">
        <f t="shared" ca="1" si="2"/>
        <v>0</v>
      </c>
      <c r="I31" s="251">
        <f t="shared" ca="1" si="2"/>
        <v>0</v>
      </c>
      <c r="J31" s="251">
        <f t="shared" ca="1" si="2"/>
        <v>0</v>
      </c>
      <c r="K31" s="251">
        <f t="shared" ca="1" si="2"/>
        <v>0</v>
      </c>
      <c r="L31" s="251">
        <f t="shared" ca="1" si="2"/>
        <v>0</v>
      </c>
      <c r="M31" s="252">
        <f t="shared" ca="1" si="2"/>
        <v>0</v>
      </c>
      <c r="N31" s="279" t="s">
        <v>345</v>
      </c>
      <c r="O31" s="279" t="s">
        <v>521</v>
      </c>
      <c r="P31" s="225"/>
    </row>
    <row r="32" spans="2:16" ht="15" customHeight="1">
      <c r="B32" s="257" t="s">
        <v>271</v>
      </c>
      <c r="C32" s="258" t="s">
        <v>272</v>
      </c>
      <c r="D32" s="264">
        <v>147</v>
      </c>
      <c r="E32" s="251">
        <f t="shared" ca="1" si="2"/>
        <v>58.333333333333336</v>
      </c>
      <c r="F32" s="251">
        <f t="shared" ca="1" si="2"/>
        <v>0</v>
      </c>
      <c r="G32" s="251">
        <f t="shared" ca="1" si="2"/>
        <v>0</v>
      </c>
      <c r="H32" s="251">
        <f t="shared" ca="1" si="2"/>
        <v>0</v>
      </c>
      <c r="I32" s="251">
        <f t="shared" ca="1" si="2"/>
        <v>0</v>
      </c>
      <c r="J32" s="251">
        <f t="shared" ca="1" si="2"/>
        <v>0</v>
      </c>
      <c r="K32" s="251">
        <f t="shared" ca="1" si="2"/>
        <v>0</v>
      </c>
      <c r="L32" s="251">
        <f t="shared" ca="1" si="2"/>
        <v>0</v>
      </c>
      <c r="M32" s="252">
        <f t="shared" ca="1" si="2"/>
        <v>0</v>
      </c>
      <c r="N32" s="279" t="s">
        <v>345</v>
      </c>
      <c r="O32" s="279" t="s">
        <v>521</v>
      </c>
      <c r="P32" s="225"/>
    </row>
    <row r="33" spans="2:17" ht="15" customHeight="1">
      <c r="B33" s="259" t="s">
        <v>277</v>
      </c>
      <c r="C33" s="260" t="s">
        <v>278</v>
      </c>
      <c r="D33" s="265">
        <v>151</v>
      </c>
      <c r="E33" s="253">
        <f t="shared" ca="1" si="2"/>
        <v>56.25</v>
      </c>
      <c r="F33" s="253">
        <f t="shared" ca="1" si="2"/>
        <v>0</v>
      </c>
      <c r="G33" s="253">
        <f t="shared" ca="1" si="2"/>
        <v>0</v>
      </c>
      <c r="H33" s="253">
        <f t="shared" ca="1" si="2"/>
        <v>0</v>
      </c>
      <c r="I33" s="253">
        <f t="shared" ca="1" si="2"/>
        <v>0</v>
      </c>
      <c r="J33" s="253">
        <f t="shared" ca="1" si="2"/>
        <v>0</v>
      </c>
      <c r="K33" s="253">
        <f t="shared" ca="1" si="2"/>
        <v>0</v>
      </c>
      <c r="L33" s="253">
        <f t="shared" ca="1" si="2"/>
        <v>0</v>
      </c>
      <c r="M33" s="254">
        <f t="shared" ca="1" si="2"/>
        <v>0</v>
      </c>
      <c r="N33" s="280" t="s">
        <v>345</v>
      </c>
      <c r="O33" s="280" t="s">
        <v>23</v>
      </c>
      <c r="P33" s="225"/>
    </row>
    <row r="34" spans="2:17" ht="15" customHeight="1">
      <c r="B34" s="257" t="s">
        <v>3</v>
      </c>
      <c r="C34" s="256" t="s">
        <v>287</v>
      </c>
      <c r="D34" s="262">
        <v>163</v>
      </c>
      <c r="E34" s="247">
        <f t="shared" ca="1" si="2"/>
        <v>66.666666666666657</v>
      </c>
      <c r="F34" s="247">
        <f t="shared" ca="1" si="2"/>
        <v>0</v>
      </c>
      <c r="G34" s="247">
        <f t="shared" ca="1" si="2"/>
        <v>0</v>
      </c>
      <c r="H34" s="247">
        <f t="shared" ca="1" si="2"/>
        <v>0</v>
      </c>
      <c r="I34" s="247">
        <f t="shared" ca="1" si="2"/>
        <v>0</v>
      </c>
      <c r="J34" s="247">
        <f t="shared" ca="1" si="2"/>
        <v>0</v>
      </c>
      <c r="K34" s="247">
        <f t="shared" ca="1" si="2"/>
        <v>0</v>
      </c>
      <c r="L34" s="247">
        <f t="shared" ca="1" si="2"/>
        <v>0</v>
      </c>
      <c r="M34" s="248">
        <f t="shared" ca="1" si="2"/>
        <v>0</v>
      </c>
      <c r="N34" s="277" t="s">
        <v>346</v>
      </c>
      <c r="O34" s="277" t="s">
        <v>532</v>
      </c>
      <c r="P34" s="225"/>
    </row>
    <row r="35" spans="2:17" ht="15" customHeight="1">
      <c r="B35" s="257" t="s">
        <v>2</v>
      </c>
      <c r="C35" s="258" t="s">
        <v>292</v>
      </c>
      <c r="D35" s="264">
        <v>167</v>
      </c>
      <c r="E35" s="251">
        <f t="shared" ca="1" si="2"/>
        <v>75</v>
      </c>
      <c r="F35" s="251">
        <f t="shared" ca="1" si="2"/>
        <v>0</v>
      </c>
      <c r="G35" s="251">
        <f t="shared" ca="1" si="2"/>
        <v>0</v>
      </c>
      <c r="H35" s="251">
        <f t="shared" ca="1" si="2"/>
        <v>0</v>
      </c>
      <c r="I35" s="251">
        <f t="shared" ca="1" si="2"/>
        <v>0</v>
      </c>
      <c r="J35" s="251">
        <f t="shared" ca="1" si="2"/>
        <v>0</v>
      </c>
      <c r="K35" s="251">
        <f t="shared" ca="1" si="2"/>
        <v>0</v>
      </c>
      <c r="L35" s="251">
        <f t="shared" ca="1" si="2"/>
        <v>0</v>
      </c>
      <c r="M35" s="252">
        <f t="shared" ca="1" si="2"/>
        <v>0</v>
      </c>
      <c r="N35" s="279" t="s">
        <v>346</v>
      </c>
      <c r="O35" s="279" t="s">
        <v>532</v>
      </c>
      <c r="P35" s="225"/>
      <c r="Q35" t="s">
        <v>557</v>
      </c>
    </row>
    <row r="36" spans="2:17" ht="15" customHeight="1">
      <c r="B36" s="259" t="s">
        <v>1</v>
      </c>
      <c r="C36" s="260" t="s">
        <v>299</v>
      </c>
      <c r="D36" s="265">
        <v>172</v>
      </c>
      <c r="E36" s="253">
        <f t="shared" ca="1" si="2"/>
        <v>75</v>
      </c>
      <c r="F36" s="253">
        <f t="shared" ca="1" si="2"/>
        <v>0</v>
      </c>
      <c r="G36" s="253">
        <f t="shared" ca="1" si="2"/>
        <v>0</v>
      </c>
      <c r="H36" s="253">
        <f t="shared" ca="1" si="2"/>
        <v>0</v>
      </c>
      <c r="I36" s="253">
        <f t="shared" ca="1" si="2"/>
        <v>0</v>
      </c>
      <c r="J36" s="253">
        <f t="shared" ca="1" si="2"/>
        <v>0</v>
      </c>
      <c r="K36" s="253">
        <f t="shared" ca="1" si="2"/>
        <v>0</v>
      </c>
      <c r="L36" s="253">
        <f t="shared" ca="1" si="2"/>
        <v>0</v>
      </c>
      <c r="M36" s="254">
        <f t="shared" ca="1" si="2"/>
        <v>0</v>
      </c>
      <c r="N36" s="280" t="s">
        <v>346</v>
      </c>
      <c r="O36" s="280" t="s">
        <v>532</v>
      </c>
      <c r="P36" s="225"/>
    </row>
    <row r="37" spans="2:17">
      <c r="N37" s="225"/>
      <c r="O37"/>
    </row>
    <row r="38" spans="2:17">
      <c r="N38" s="225"/>
      <c r="O38"/>
    </row>
    <row r="39" spans="2:17">
      <c r="N39" s="225"/>
      <c r="O39"/>
    </row>
    <row r="40" spans="2:17">
      <c r="N40" s="225"/>
      <c r="O40"/>
    </row>
    <row r="41" spans="2:17">
      <c r="N41" s="225"/>
      <c r="O41"/>
    </row>
    <row r="42" spans="2:17">
      <c r="N42" s="225"/>
      <c r="O42"/>
    </row>
    <row r="43" spans="2:17">
      <c r="N43" s="225"/>
      <c r="O43"/>
    </row>
    <row r="44" spans="2:17">
      <c r="N44" s="225"/>
      <c r="O44"/>
    </row>
    <row r="45" spans="2:17">
      <c r="N45" s="225"/>
      <c r="O45"/>
    </row>
    <row r="46" spans="2:17">
      <c r="N46" s="225"/>
      <c r="O46"/>
    </row>
    <row r="47" spans="2:17">
      <c r="N47" s="225"/>
      <c r="O47"/>
    </row>
    <row r="48" spans="2:17">
      <c r="N48" s="225"/>
      <c r="O48"/>
    </row>
    <row r="49" spans="14:15">
      <c r="N49" s="225"/>
      <c r="O49"/>
    </row>
    <row r="50" spans="14:15">
      <c r="N50" s="225"/>
      <c r="O50"/>
    </row>
    <row r="51" spans="14:15">
      <c r="N51" s="225"/>
      <c r="O51"/>
    </row>
    <row r="52" spans="14:15">
      <c r="N52" s="225"/>
      <c r="O52"/>
    </row>
    <row r="53" spans="14:15">
      <c r="N53" s="225"/>
      <c r="O53"/>
    </row>
    <row r="54" spans="14:15">
      <c r="N54" s="225"/>
      <c r="O54"/>
    </row>
    <row r="55" spans="14:15">
      <c r="N55" s="225"/>
      <c r="O55"/>
    </row>
    <row r="56" spans="14:15">
      <c r="N56" s="225"/>
      <c r="O56"/>
    </row>
    <row r="57" spans="14:15">
      <c r="N57" s="225"/>
      <c r="O57"/>
    </row>
    <row r="58" spans="14:15">
      <c r="N58" s="225"/>
      <c r="O58"/>
    </row>
    <row r="59" spans="14:15">
      <c r="N59" s="225"/>
      <c r="O59"/>
    </row>
    <row r="60" spans="14:15">
      <c r="N60" s="225"/>
      <c r="O60"/>
    </row>
    <row r="61" spans="14:15">
      <c r="N61" s="225"/>
      <c r="O61"/>
    </row>
    <row r="62" spans="14:15">
      <c r="N62" s="225"/>
      <c r="O62"/>
    </row>
    <row r="63" spans="14:15">
      <c r="N63" s="225"/>
      <c r="O63"/>
    </row>
    <row r="64" spans="14:15">
      <c r="N64" s="225"/>
      <c r="O64"/>
    </row>
    <row r="65" spans="14:15">
      <c r="N65" s="225"/>
      <c r="O65"/>
    </row>
    <row r="66" spans="14:15">
      <c r="N66" s="225"/>
      <c r="O66"/>
    </row>
    <row r="67" spans="14:15">
      <c r="N67" s="225"/>
      <c r="O67"/>
    </row>
    <row r="68" spans="14:15">
      <c r="N68" s="225"/>
      <c r="O68"/>
    </row>
    <row r="69" spans="14:15">
      <c r="N69" s="225"/>
      <c r="O69"/>
    </row>
  </sheetData>
  <sheetProtection sheet="1" objects="1" scenarios="1"/>
  <mergeCells count="2">
    <mergeCell ref="E2:M2"/>
    <mergeCell ref="H3:M3"/>
  </mergeCells>
  <pageMargins left="0.70866141732283472" right="0.70866141732283472" top="0.74803149606299213" bottom="0.74803149606299213" header="0.31496062992125984" footer="0.31496062992125984"/>
  <pageSetup paperSize="9" scale="47" fitToHeight="15" orientation="portrait" r:id="rId1"/>
</worksheet>
</file>

<file path=xl/worksheets/sheet27.xml><?xml version="1.0" encoding="utf-8"?>
<worksheet xmlns="http://schemas.openxmlformats.org/spreadsheetml/2006/main" xmlns:r="http://schemas.openxmlformats.org/officeDocument/2006/relationships">
  <sheetPr codeName="Sheet14"/>
  <dimension ref="B2:S11"/>
  <sheetViews>
    <sheetView showGridLines="0" workbookViewId="0">
      <selection activeCell="O18" sqref="O18"/>
    </sheetView>
  </sheetViews>
  <sheetFormatPr defaultColWidth="8.85546875" defaultRowHeight="15"/>
  <cols>
    <col min="1" max="1" width="8.85546875" style="27"/>
    <col min="2" max="2" width="25.7109375" style="27" bestFit="1" customWidth="1"/>
    <col min="3" max="6" width="8.42578125" style="27" customWidth="1"/>
    <col min="7" max="7" width="9.85546875" style="27" bestFit="1" customWidth="1"/>
    <col min="8" max="14" width="8.42578125" style="27" hidden="1" customWidth="1"/>
    <col min="15" max="15" width="2.7109375" style="27" customWidth="1"/>
    <col min="16" max="16" width="5.85546875" style="27" bestFit="1" customWidth="1"/>
    <col min="17" max="17" width="9.85546875" style="27" bestFit="1" customWidth="1"/>
    <col min="18" max="18" width="5.42578125" style="27" bestFit="1" customWidth="1"/>
    <col min="19" max="19" width="5.85546875" style="27" customWidth="1"/>
    <col min="20" max="16384" width="8.85546875" style="27"/>
  </cols>
  <sheetData>
    <row r="2" spans="2:19">
      <c r="B2" s="26" t="s">
        <v>43</v>
      </c>
      <c r="C2" s="26" t="s">
        <v>44</v>
      </c>
      <c r="D2" s="26" t="s">
        <v>45</v>
      </c>
      <c r="E2" s="26" t="s">
        <v>46</v>
      </c>
      <c r="F2" s="26" t="s">
        <v>47</v>
      </c>
      <c r="G2" s="26" t="s">
        <v>48</v>
      </c>
      <c r="H2" s="26" t="s">
        <v>49</v>
      </c>
      <c r="I2" s="26" t="s">
        <v>50</v>
      </c>
      <c r="J2" s="26" t="s">
        <v>51</v>
      </c>
      <c r="K2" s="26" t="s">
        <v>52</v>
      </c>
      <c r="L2" s="26" t="s">
        <v>53</v>
      </c>
      <c r="M2" s="26" t="s">
        <v>54</v>
      </c>
      <c r="N2" s="26" t="s">
        <v>55</v>
      </c>
      <c r="P2" s="28" t="s">
        <v>56</v>
      </c>
      <c r="Q2" s="28" t="s">
        <v>57</v>
      </c>
      <c r="R2" s="28" t="s">
        <v>58</v>
      </c>
      <c r="S2" s="28" t="s">
        <v>59</v>
      </c>
    </row>
    <row r="3" spans="2:19">
      <c r="B3" s="29" t="s">
        <v>60</v>
      </c>
      <c r="C3" s="30">
        <v>0</v>
      </c>
      <c r="D3" s="30">
        <v>0</v>
      </c>
      <c r="E3" s="30">
        <v>0</v>
      </c>
      <c r="F3" s="30">
        <v>0</v>
      </c>
      <c r="G3" s="30">
        <v>0</v>
      </c>
      <c r="H3" s="31">
        <v>0</v>
      </c>
      <c r="I3" s="31">
        <v>0</v>
      </c>
      <c r="J3" s="31">
        <v>0</v>
      </c>
      <c r="K3" s="31">
        <v>0</v>
      </c>
      <c r="L3" s="31">
        <v>0</v>
      </c>
      <c r="M3" s="31">
        <v>0</v>
      </c>
      <c r="N3" s="31">
        <v>0</v>
      </c>
      <c r="P3" s="32">
        <v>0</v>
      </c>
      <c r="Q3" s="30" t="s">
        <v>44</v>
      </c>
      <c r="R3" s="33">
        <v>0.25</v>
      </c>
      <c r="S3" s="30">
        <v>1</v>
      </c>
    </row>
    <row r="4" spans="2:19">
      <c r="B4" s="34" t="s">
        <v>61</v>
      </c>
      <c r="C4" s="30">
        <v>2.62</v>
      </c>
      <c r="D4" s="30">
        <v>5.25</v>
      </c>
      <c r="E4" s="30">
        <v>7.87</v>
      </c>
      <c r="F4" s="30">
        <v>10.5</v>
      </c>
      <c r="G4" s="30">
        <v>13.12</v>
      </c>
      <c r="H4" s="35">
        <v>50</v>
      </c>
      <c r="I4" s="36">
        <v>3</v>
      </c>
      <c r="J4" s="36"/>
      <c r="K4" s="36">
        <f>I4+J4</f>
        <v>3</v>
      </c>
      <c r="L4" s="36">
        <f>0.1*H4</f>
        <v>5</v>
      </c>
      <c r="M4" s="36">
        <f>H4-K4-L4</f>
        <v>42</v>
      </c>
      <c r="N4" s="36">
        <f t="shared" ref="N4:N11" si="0">M4/4</f>
        <v>10.5</v>
      </c>
      <c r="P4" s="32">
        <v>51</v>
      </c>
      <c r="Q4" s="30" t="s">
        <v>45</v>
      </c>
      <c r="R4" s="33">
        <v>0.5</v>
      </c>
      <c r="S4" s="30">
        <v>2</v>
      </c>
    </row>
    <row r="5" spans="2:19">
      <c r="B5" s="34" t="s">
        <v>62</v>
      </c>
      <c r="C5" s="30">
        <v>2.37</v>
      </c>
      <c r="D5" s="30">
        <v>4.75</v>
      </c>
      <c r="E5" s="30">
        <v>7.12</v>
      </c>
      <c r="F5" s="30">
        <v>9.5</v>
      </c>
      <c r="G5" s="30">
        <v>11.87</v>
      </c>
      <c r="H5" s="35">
        <v>50</v>
      </c>
      <c r="I5" s="36">
        <v>3</v>
      </c>
      <c r="J5" s="36">
        <v>4</v>
      </c>
      <c r="K5" s="36">
        <f t="shared" ref="K5:K11" si="1">I5+J5</f>
        <v>7</v>
      </c>
      <c r="L5" s="36">
        <f t="shared" ref="L5:L11" si="2">0.1*H5</f>
        <v>5</v>
      </c>
      <c r="M5" s="36">
        <f t="shared" ref="M5:M11" si="3">H5-K5-L5</f>
        <v>38</v>
      </c>
      <c r="N5" s="36">
        <f t="shared" si="0"/>
        <v>9.5</v>
      </c>
      <c r="P5" s="32">
        <v>61</v>
      </c>
      <c r="Q5" s="30" t="s">
        <v>46</v>
      </c>
      <c r="R5" s="33">
        <v>0.75</v>
      </c>
      <c r="S5" s="30">
        <v>3</v>
      </c>
    </row>
    <row r="6" spans="2:19">
      <c r="B6" s="34" t="s">
        <v>63</v>
      </c>
      <c r="C6" s="30">
        <v>5.0599999999999996</v>
      </c>
      <c r="D6" s="30">
        <v>10.119999999999999</v>
      </c>
      <c r="E6" s="30">
        <v>15.18</v>
      </c>
      <c r="F6" s="30">
        <v>20.25</v>
      </c>
      <c r="G6" s="30">
        <v>25.31</v>
      </c>
      <c r="H6" s="35">
        <v>100</v>
      </c>
      <c r="I6" s="36">
        <v>3</v>
      </c>
      <c r="J6" s="36">
        <v>6</v>
      </c>
      <c r="K6" s="36">
        <f t="shared" si="1"/>
        <v>9</v>
      </c>
      <c r="L6" s="36">
        <f t="shared" si="2"/>
        <v>10</v>
      </c>
      <c r="M6" s="36">
        <f t="shared" si="3"/>
        <v>81</v>
      </c>
      <c r="N6" s="36">
        <f t="shared" si="0"/>
        <v>20.25</v>
      </c>
      <c r="P6" s="32">
        <v>76</v>
      </c>
      <c r="Q6" s="30" t="s">
        <v>47</v>
      </c>
      <c r="R6" s="33">
        <v>1</v>
      </c>
      <c r="S6" s="30">
        <v>4</v>
      </c>
    </row>
    <row r="7" spans="2:19">
      <c r="B7" s="34" t="s">
        <v>64</v>
      </c>
      <c r="C7" s="30">
        <v>4.87</v>
      </c>
      <c r="D7" s="30">
        <v>9.75</v>
      </c>
      <c r="E7" s="30">
        <v>14.62</v>
      </c>
      <c r="F7" s="30">
        <v>19.5</v>
      </c>
      <c r="G7" s="30">
        <v>24.37</v>
      </c>
      <c r="H7" s="35">
        <v>100</v>
      </c>
      <c r="I7" s="36">
        <v>4</v>
      </c>
      <c r="J7" s="36">
        <v>8</v>
      </c>
      <c r="K7" s="36">
        <f t="shared" si="1"/>
        <v>12</v>
      </c>
      <c r="L7" s="36">
        <f t="shared" si="2"/>
        <v>10</v>
      </c>
      <c r="M7" s="36">
        <f t="shared" si="3"/>
        <v>78</v>
      </c>
      <c r="N7" s="36">
        <f t="shared" si="0"/>
        <v>19.5</v>
      </c>
      <c r="P7" s="32">
        <v>91</v>
      </c>
      <c r="Q7" s="30" t="s">
        <v>48</v>
      </c>
      <c r="R7" s="33">
        <v>1.25</v>
      </c>
      <c r="S7" s="30">
        <v>5</v>
      </c>
    </row>
    <row r="8" spans="2:19">
      <c r="B8" s="34" t="s">
        <v>65</v>
      </c>
      <c r="C8" s="30">
        <v>7.43</v>
      </c>
      <c r="D8" s="30">
        <v>14.87</v>
      </c>
      <c r="E8" s="30">
        <v>22.31</v>
      </c>
      <c r="F8" s="30">
        <v>29.75</v>
      </c>
      <c r="G8" s="30">
        <v>37.18</v>
      </c>
      <c r="H8" s="35">
        <v>150</v>
      </c>
      <c r="I8" s="36">
        <v>4</v>
      </c>
      <c r="J8" s="36">
        <v>12</v>
      </c>
      <c r="K8" s="36">
        <f t="shared" si="1"/>
        <v>16</v>
      </c>
      <c r="L8" s="36">
        <f t="shared" si="2"/>
        <v>15</v>
      </c>
      <c r="M8" s="36">
        <f t="shared" si="3"/>
        <v>119</v>
      </c>
      <c r="N8" s="36">
        <f t="shared" si="0"/>
        <v>29.75</v>
      </c>
    </row>
    <row r="9" spans="2:19">
      <c r="B9" s="34" t="s">
        <v>66</v>
      </c>
      <c r="C9" s="30">
        <v>7.4</v>
      </c>
      <c r="D9" s="30">
        <v>14.87</v>
      </c>
      <c r="E9" s="30">
        <v>22.31</v>
      </c>
      <c r="F9" s="30">
        <v>29.75</v>
      </c>
      <c r="G9" s="30">
        <v>37.18</v>
      </c>
      <c r="H9" s="35">
        <v>150</v>
      </c>
      <c r="I9" s="36">
        <v>4</v>
      </c>
      <c r="J9" s="36">
        <v>12</v>
      </c>
      <c r="K9" s="36">
        <f t="shared" si="1"/>
        <v>16</v>
      </c>
      <c r="L9" s="36">
        <f t="shared" si="2"/>
        <v>15</v>
      </c>
      <c r="M9" s="36">
        <f t="shared" si="3"/>
        <v>119</v>
      </c>
      <c r="N9" s="36">
        <f t="shared" si="0"/>
        <v>29.75</v>
      </c>
    </row>
    <row r="10" spans="2:19">
      <c r="B10" s="34" t="s">
        <v>67</v>
      </c>
      <c r="C10" s="30">
        <v>7.25</v>
      </c>
      <c r="D10" s="30">
        <v>14.5</v>
      </c>
      <c r="E10" s="30">
        <v>21.75</v>
      </c>
      <c r="F10" s="30">
        <v>29</v>
      </c>
      <c r="G10" s="30">
        <v>36.25</v>
      </c>
      <c r="H10" s="35">
        <v>150</v>
      </c>
      <c r="I10" s="36">
        <v>5</v>
      </c>
      <c r="J10" s="36">
        <v>14</v>
      </c>
      <c r="K10" s="36">
        <f t="shared" si="1"/>
        <v>19</v>
      </c>
      <c r="L10" s="36">
        <f t="shared" si="2"/>
        <v>15</v>
      </c>
      <c r="M10" s="36">
        <f t="shared" si="3"/>
        <v>116</v>
      </c>
      <c r="N10" s="36">
        <f t="shared" si="0"/>
        <v>29</v>
      </c>
    </row>
    <row r="11" spans="2:19">
      <c r="B11" s="34" t="s">
        <v>68</v>
      </c>
      <c r="C11" s="30">
        <v>9.69</v>
      </c>
      <c r="D11" s="30">
        <v>19.38</v>
      </c>
      <c r="E11" s="30">
        <v>29.06</v>
      </c>
      <c r="F11" s="30">
        <v>38.75</v>
      </c>
      <c r="G11" s="30">
        <v>48.44</v>
      </c>
      <c r="H11" s="35">
        <v>200</v>
      </c>
      <c r="I11" s="36">
        <v>5</v>
      </c>
      <c r="J11" s="36">
        <v>20</v>
      </c>
      <c r="K11" s="36">
        <f t="shared" si="1"/>
        <v>25</v>
      </c>
      <c r="L11" s="36">
        <f t="shared" si="2"/>
        <v>20</v>
      </c>
      <c r="M11" s="36">
        <f t="shared" si="3"/>
        <v>155</v>
      </c>
      <c r="N11" s="36">
        <f t="shared" si="0"/>
        <v>38.75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FFC000"/>
    <pageSetUpPr fitToPage="1"/>
  </sheetPr>
  <dimension ref="C1:K56"/>
  <sheetViews>
    <sheetView showGridLines="0" zoomScale="85" zoomScaleNormal="85" workbookViewId="0">
      <selection activeCell="C22" sqref="C22:J22"/>
    </sheetView>
  </sheetViews>
  <sheetFormatPr defaultColWidth="0" defaultRowHeight="0" customHeight="1" zeroHeight="1"/>
  <cols>
    <col min="1" max="1" width="3.140625" style="207" customWidth="1"/>
    <col min="2" max="2" width="1.5703125" style="207" customWidth="1"/>
    <col min="3" max="3" width="42.85546875" style="206" customWidth="1"/>
    <col min="4" max="4" width="2.5703125" style="207" customWidth="1"/>
    <col min="5" max="5" width="7" style="207" customWidth="1"/>
    <col min="6" max="6" width="4.42578125" style="207" customWidth="1"/>
    <col min="7" max="7" width="8.5703125" style="207" customWidth="1"/>
    <col min="8" max="8" width="7" style="207" customWidth="1"/>
    <col min="9" max="9" width="12.5703125" style="207" customWidth="1"/>
    <col min="10" max="10" width="18" style="207" customWidth="1"/>
    <col min="11" max="11" width="2.85546875" style="207" customWidth="1"/>
    <col min="12" max="16384" width="0" style="207" hidden="1"/>
  </cols>
  <sheetData>
    <row r="1" spans="3:11" s="200" customFormat="1" ht="21" customHeight="1">
      <c r="C1" s="201"/>
      <c r="J1" s="197"/>
      <c r="K1" s="307" t="str">
        <f>HYPERLINK("#Menu!A1","↖")</f>
        <v>↖</v>
      </c>
    </row>
    <row r="2" spans="3:11" s="200" customFormat="1" ht="86.25" customHeight="1">
      <c r="C2" s="201"/>
    </row>
    <row r="3" spans="3:11" s="208" customFormat="1" ht="59.25" customHeight="1">
      <c r="C3" s="209"/>
    </row>
    <row r="4" spans="3:11" s="208" customFormat="1" ht="66.75" customHeight="1">
      <c r="C4" s="342" t="s">
        <v>69</v>
      </c>
      <c r="D4" s="343"/>
      <c r="E4" s="343"/>
      <c r="F4" s="343"/>
      <c r="G4" s="343"/>
      <c r="H4" s="343"/>
      <c r="I4" s="343"/>
      <c r="J4" s="343"/>
    </row>
    <row r="5" spans="3:11" s="200" customFormat="1" ht="16.5" customHeight="1">
      <c r="C5" s="338"/>
      <c r="D5" s="338"/>
      <c r="E5" s="338"/>
      <c r="F5" s="338"/>
      <c r="G5" s="338"/>
      <c r="H5" s="338"/>
      <c r="I5" s="338"/>
      <c r="J5" s="338"/>
    </row>
    <row r="6" spans="3:11" s="200" customFormat="1" ht="28.5">
      <c r="C6" s="344" t="str">
        <f>Data!E34 &amp; " S/D " &amp;Data!G34 &amp;" " &amp;C22</f>
        <v xml:space="preserve"> S/D  2018</v>
      </c>
      <c r="D6" s="344"/>
      <c r="E6" s="344"/>
      <c r="F6" s="344"/>
      <c r="G6" s="344"/>
      <c r="H6" s="344"/>
      <c r="I6" s="344"/>
      <c r="J6" s="344"/>
    </row>
    <row r="7" spans="3:11" s="200" customFormat="1" ht="83.25" customHeight="1">
      <c r="C7" s="202"/>
      <c r="D7" s="202"/>
      <c r="E7" s="202"/>
      <c r="F7" s="202"/>
      <c r="G7" s="202"/>
      <c r="H7" s="202"/>
      <c r="I7" s="202"/>
      <c r="J7" s="202"/>
    </row>
    <row r="8" spans="3:11" s="200" customFormat="1" ht="21.75" customHeight="1">
      <c r="C8" s="210" t="s">
        <v>334</v>
      </c>
      <c r="D8" s="198" t="s">
        <v>24</v>
      </c>
      <c r="E8" s="345" t="str">
        <f>Data!E3</f>
        <v>SIDIQ MUSTAKIM, Lc</v>
      </c>
      <c r="F8" s="345"/>
      <c r="G8" s="345"/>
      <c r="H8" s="345"/>
      <c r="I8" s="345"/>
      <c r="J8" s="345"/>
    </row>
    <row r="9" spans="3:11" s="200" customFormat="1" ht="21.75" customHeight="1">
      <c r="C9" s="210" t="s">
        <v>330</v>
      </c>
      <c r="D9" s="198" t="s">
        <v>24</v>
      </c>
      <c r="E9" s="212" t="str">
        <f>Data!E4</f>
        <v>-</v>
      </c>
      <c r="F9" s="212"/>
      <c r="G9" s="212"/>
      <c r="H9" s="212"/>
      <c r="I9" s="212"/>
      <c r="J9" s="212"/>
    </row>
    <row r="10" spans="3:11" s="200" customFormat="1" ht="21.75" customHeight="1">
      <c r="C10" s="210" t="s">
        <v>36</v>
      </c>
      <c r="D10" s="198" t="s">
        <v>24</v>
      </c>
      <c r="E10" s="335" t="str">
        <f>Data!E15</f>
        <v>MA Tahfidh Al-Amien Prenduan</v>
      </c>
      <c r="F10" s="335"/>
      <c r="G10" s="335"/>
      <c r="H10" s="335"/>
      <c r="I10" s="335"/>
      <c r="J10" s="198"/>
      <c r="K10" s="203"/>
    </row>
    <row r="11" spans="3:11" s="200" customFormat="1" ht="21.75" customHeight="1">
      <c r="C11" s="210" t="s">
        <v>40</v>
      </c>
      <c r="D11" s="198" t="s">
        <v>24</v>
      </c>
      <c r="E11" s="335" t="str">
        <f>Data!E20</f>
        <v>Sumenep</v>
      </c>
      <c r="F11" s="335"/>
      <c r="G11" s="335"/>
      <c r="H11" s="335"/>
      <c r="I11" s="335"/>
      <c r="J11" s="198"/>
      <c r="K11" s="203"/>
    </row>
    <row r="12" spans="3:11" s="200" customFormat="1" ht="21.75" customHeight="1">
      <c r="C12" s="210" t="s">
        <v>41</v>
      </c>
      <c r="D12" s="198" t="s">
        <v>24</v>
      </c>
      <c r="E12" s="335" t="str">
        <f>Data!E21</f>
        <v>Jawa Timur</v>
      </c>
      <c r="F12" s="335"/>
      <c r="G12" s="335"/>
      <c r="H12" s="335"/>
      <c r="I12" s="335"/>
      <c r="J12" s="198"/>
      <c r="K12" s="203"/>
    </row>
    <row r="13" spans="3:11" s="200" customFormat="1" ht="33.75" customHeight="1">
      <c r="C13" s="210"/>
      <c r="D13" s="198"/>
      <c r="E13" s="199"/>
      <c r="F13" s="199"/>
      <c r="G13" s="199"/>
      <c r="H13" s="199"/>
      <c r="I13" s="199"/>
      <c r="J13" s="198"/>
      <c r="K13" s="203"/>
    </row>
    <row r="14" spans="3:11" s="200" customFormat="1" ht="21.75" customHeight="1">
      <c r="C14" s="210" t="s">
        <v>396</v>
      </c>
      <c r="D14" s="198" t="s">
        <v>24</v>
      </c>
      <c r="E14" s="335" t="str">
        <f>Data!E24</f>
        <v>Slamet Riyadi, S.Pd, M.Pd</v>
      </c>
      <c r="F14" s="335"/>
      <c r="G14" s="335"/>
      <c r="H14" s="335"/>
      <c r="I14" s="335"/>
      <c r="J14" s="198"/>
      <c r="K14" s="203"/>
    </row>
    <row r="15" spans="3:11" s="200" customFormat="1" ht="21.75" customHeight="1">
      <c r="C15" s="210" t="s">
        <v>330</v>
      </c>
      <c r="D15" s="198" t="s">
        <v>24</v>
      </c>
      <c r="E15" s="340" t="str">
        <f>Data!E25</f>
        <v>196501112005011002</v>
      </c>
      <c r="F15" s="341"/>
      <c r="G15" s="341"/>
      <c r="H15" s="341"/>
      <c r="I15" s="341"/>
      <c r="J15" s="198"/>
      <c r="K15" s="203"/>
    </row>
    <row r="16" spans="3:11" s="200" customFormat="1" ht="28.5">
      <c r="C16" s="211" t="s">
        <v>551</v>
      </c>
      <c r="D16" s="198" t="s">
        <v>24</v>
      </c>
      <c r="E16" s="336">
        <v>43132</v>
      </c>
      <c r="F16" s="336"/>
      <c r="G16" s="336"/>
      <c r="H16" s="336"/>
      <c r="I16" s="336"/>
      <c r="J16" s="198"/>
      <c r="K16" s="203"/>
    </row>
    <row r="17" spans="3:11" s="200" customFormat="1" ht="139.5" customHeight="1">
      <c r="C17" s="201"/>
      <c r="K17" s="203"/>
    </row>
    <row r="18" spans="3:11" s="200" customFormat="1" ht="28.5">
      <c r="C18" s="338" t="s">
        <v>42</v>
      </c>
      <c r="D18" s="338"/>
      <c r="E18" s="338"/>
      <c r="F18" s="338"/>
      <c r="G18" s="338"/>
      <c r="H18" s="338"/>
      <c r="I18" s="338"/>
      <c r="J18" s="338"/>
    </row>
    <row r="19" spans="3:11" s="200" customFormat="1" ht="28.5">
      <c r="C19" s="338" t="str">
        <f>UPPER(Data!E20)</f>
        <v>SUMENEP</v>
      </c>
      <c r="D19" s="338"/>
      <c r="E19" s="338"/>
      <c r="F19" s="338"/>
      <c r="G19" s="338"/>
      <c r="H19" s="338"/>
      <c r="I19" s="338"/>
      <c r="J19" s="338"/>
    </row>
    <row r="20" spans="3:11" s="200" customFormat="1" ht="28.5">
      <c r="C20" s="339" t="s">
        <v>309</v>
      </c>
      <c r="D20" s="339"/>
      <c r="E20" s="339"/>
      <c r="F20" s="339"/>
      <c r="G20" s="339"/>
      <c r="H20" s="339"/>
      <c r="I20" s="339"/>
      <c r="J20" s="339"/>
    </row>
    <row r="21" spans="3:11" s="200" customFormat="1" ht="5.25" customHeight="1">
      <c r="C21" s="204"/>
      <c r="D21" s="205"/>
      <c r="E21" s="205"/>
      <c r="G21" s="205"/>
    </row>
    <row r="22" spans="3:11" s="200" customFormat="1" ht="18" customHeight="1">
      <c r="C22" s="337">
        <v>2018</v>
      </c>
      <c r="D22" s="337"/>
      <c r="E22" s="337"/>
      <c r="F22" s="337"/>
      <c r="G22" s="337"/>
      <c r="H22" s="337"/>
      <c r="I22" s="337"/>
      <c r="J22" s="337"/>
    </row>
    <row r="23" spans="3:11" s="200" customFormat="1" ht="6" customHeight="1">
      <c r="C23" s="195"/>
      <c r="D23" s="196"/>
      <c r="E23" s="196"/>
      <c r="G23" s="196"/>
    </row>
    <row r="24" spans="3:11" ht="28.5" hidden="1"/>
    <row r="25" spans="3:11" ht="28.5" hidden="1"/>
    <row r="26" spans="3:11" ht="28.5" hidden="1"/>
    <row r="27" spans="3:11" ht="28.5" hidden="1"/>
    <row r="28" spans="3:11" ht="28.5" hidden="1"/>
    <row r="29" spans="3:11" ht="28.5" hidden="1"/>
    <row r="30" spans="3:11" ht="28.5" hidden="1"/>
    <row r="31" spans="3:11" ht="28.5" hidden="1"/>
    <row r="32" spans="3:11" ht="28.5" hidden="1"/>
    <row r="33" ht="28.5"/>
    <row r="34" ht="15" customHeight="1"/>
    <row r="35" ht="15" customHeight="1"/>
    <row r="36" ht="15" hidden="1" customHeight="1"/>
    <row r="37" ht="15" hidden="1" customHeight="1"/>
    <row r="38" ht="15" hidden="1" customHeight="1"/>
    <row r="39" ht="15" hidden="1" customHeight="1"/>
    <row r="40" ht="15" hidden="1" customHeight="1"/>
    <row r="41" ht="15" hidden="1" customHeight="1"/>
    <row r="42" ht="15" hidden="1" customHeight="1"/>
    <row r="43" ht="15" hidden="1" customHeight="1"/>
    <row r="44" ht="15" hidden="1" customHeight="1"/>
    <row r="45" ht="15" hidden="1" customHeight="1"/>
    <row r="46" ht="15" hidden="1" customHeight="1"/>
    <row r="47" ht="15" hidden="1" customHeight="1"/>
    <row r="48" ht="15" hidden="1" customHeight="1"/>
    <row r="49" ht="15" hidden="1" customHeight="1"/>
    <row r="50" ht="15" hidden="1" customHeight="1"/>
    <row r="51" ht="15" hidden="1" customHeight="1"/>
    <row r="52" ht="15" hidden="1" customHeight="1"/>
    <row r="53" ht="15" hidden="1" customHeight="1"/>
    <row r="54" ht="15" hidden="1" customHeight="1"/>
    <row r="55" ht="15" hidden="1" customHeight="1"/>
    <row r="56" ht="15" hidden="1" customHeight="1"/>
  </sheetData>
  <sheetProtection sheet="1" objects="1" scenarios="1" selectLockedCells="1"/>
  <mergeCells count="14">
    <mergeCell ref="C4:J4"/>
    <mergeCell ref="C5:J5"/>
    <mergeCell ref="C6:J6"/>
    <mergeCell ref="E8:J8"/>
    <mergeCell ref="E11:I11"/>
    <mergeCell ref="E12:I12"/>
    <mergeCell ref="E14:I14"/>
    <mergeCell ref="E16:I16"/>
    <mergeCell ref="E10:I10"/>
    <mergeCell ref="C22:J22"/>
    <mergeCell ref="C18:J18"/>
    <mergeCell ref="C19:J19"/>
    <mergeCell ref="C20:J20"/>
    <mergeCell ref="E15:I15"/>
  </mergeCells>
  <dataValidations count="1">
    <dataValidation operator="equal" allowBlank="1" showInputMessage="1" showErrorMessage="1" sqref="E15:I15"/>
  </dataValidations>
  <pageMargins left="1.0236220472440944" right="0.70866141732283472" top="0.74803149606299213" bottom="0.74803149606299213" header="0.31496062992125984" footer="0.31496062992125984"/>
  <pageSetup paperSize="9" scale="80" orientation="portrait" r:id="rId1"/>
  <drawing r:id="rId2"/>
</worksheet>
</file>

<file path=xl/worksheets/sheet4.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abSelected="1" workbookViewId="0">
      <selection activeCell="F154" sqref="F154"/>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1</v>
      </c>
      <c r="B1" s="55" t="str">
        <f ca="1">MID(CELL("filename",B1),FIND("]",CELL("filename",B1))+1,255)</f>
        <v>Pengawas-Thn-1</v>
      </c>
      <c r="C1" s="55" t="str">
        <f ca="1">MID(B1,1,LEN(B1)-6)</f>
        <v>Pengawas</v>
      </c>
      <c r="D1" s="55" t="str">
        <f ca="1">INDIRECT("'Sampul-Thn-"&amp;A1&amp;"'!E14") &amp; "    ( " &amp;INDIRECT("'Sampul-Thn-"&amp;A1&amp;"'!E15") &amp; " )"</f>
        <v>Slamet Riyadi, S.Pd, M.Pd    ( 196501112005011002 )</v>
      </c>
      <c r="I1" s="307" t="str">
        <f>HYPERLINK("#Menu!A1","↖")</f>
        <v>↖</v>
      </c>
    </row>
    <row r="2" spans="1:9" ht="23.25">
      <c r="B2" s="50" t="str">
        <f ca="1">"A. Instrumen Penilaian Kinerja Tahunan Kepala Madrasah ( Tahun ke " &amp;A1&amp;" )"</f>
        <v>A. Instrumen Penilaian Kinerja Tahunan Kepala Madrasah ( Tahun ke 1 )</v>
      </c>
    </row>
    <row r="3" spans="1:9" ht="15.75">
      <c r="B3" s="51" t="str">
        <f ca="1">PROPER("Periode Penilaian : " &amp;INDIRECT("'Sampul-Thn-"&amp;A1&amp;"'!C6"))</f>
        <v>Periode Penilaian :  S/D  2018</v>
      </c>
    </row>
    <row r="4" spans="1:9" ht="15.75">
      <c r="B4" s="51" t="str">
        <f ca="1">"Kamad yang dinilai : " &amp;INDIRECT("'Sampul-Thn-"&amp;A1&amp;"'!E8") &amp; "    (" &amp;INDIRECT("'Sampul-Thn-"&amp;A1&amp;"'!E10")&amp;" ) "</f>
        <v xml:space="preserve">Kamad yang dinilai : SIDIQ MUSTAKIM, Lc    (MA Tahfidh Al-Amien Prenduan ) </v>
      </c>
    </row>
    <row r="5" spans="1:9" ht="15.75">
      <c r="B5" s="51" t="str">
        <f ca="1">"Penilai : " &amp;IF(C1="Pengawas",D1,C1)</f>
        <v>Penilai : Slamet Riyadi, S.Pd, M.Pd    ( 196501112005011002 )</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66.666666666666657</v>
      </c>
      <c r="G10" s="45"/>
      <c r="H10" s="7"/>
    </row>
    <row r="11" spans="1:9" ht="38.25">
      <c r="B11" s="6"/>
      <c r="C11" s="5" t="s">
        <v>74</v>
      </c>
      <c r="D11" s="44" t="s">
        <v>75</v>
      </c>
      <c r="E11" s="4"/>
      <c r="F11" s="41">
        <v>2</v>
      </c>
      <c r="G11" s="46" t="s">
        <v>76</v>
      </c>
      <c r="H11" s="3"/>
    </row>
    <row r="12" spans="1:9" ht="25.5">
      <c r="B12" s="6"/>
      <c r="C12" s="5" t="s">
        <v>77</v>
      </c>
      <c r="D12" s="44" t="s">
        <v>78</v>
      </c>
      <c r="E12" s="4"/>
      <c r="F12" s="41">
        <v>3</v>
      </c>
      <c r="G12" s="46" t="s">
        <v>79</v>
      </c>
      <c r="H12" s="3"/>
    </row>
    <row r="13" spans="1:9" ht="38.25">
      <c r="B13" s="6"/>
      <c r="C13" s="5" t="s">
        <v>80</v>
      </c>
      <c r="D13" s="44" t="s">
        <v>81</v>
      </c>
      <c r="E13" s="4"/>
      <c r="F13" s="41">
        <v>3</v>
      </c>
      <c r="G13" s="46" t="s">
        <v>319</v>
      </c>
      <c r="H13" s="3"/>
    </row>
    <row r="14" spans="1:9">
      <c r="B14" s="38" t="s">
        <v>13</v>
      </c>
      <c r="C14" s="378" t="s">
        <v>82</v>
      </c>
      <c r="D14" s="379"/>
      <c r="E14" s="380"/>
      <c r="F14" s="288">
        <f>(SUBTOTAL(9,F15:F18)/(4*4))*100</f>
        <v>68.75</v>
      </c>
      <c r="G14" s="45"/>
      <c r="H14" s="7"/>
    </row>
    <row r="15" spans="1:9" ht="25.5">
      <c r="B15" s="6"/>
      <c r="C15" s="5" t="s">
        <v>74</v>
      </c>
      <c r="D15" s="44" t="s">
        <v>83</v>
      </c>
      <c r="E15" s="4"/>
      <c r="F15" s="41">
        <v>3</v>
      </c>
      <c r="G15" s="46" t="s">
        <v>84</v>
      </c>
      <c r="H15" s="3"/>
    </row>
    <row r="16" spans="1:9" ht="21" customHeight="1">
      <c r="B16" s="6"/>
      <c r="C16" s="5" t="s">
        <v>77</v>
      </c>
      <c r="D16" s="44" t="s">
        <v>393</v>
      </c>
      <c r="E16" s="4"/>
      <c r="F16" s="41">
        <v>4</v>
      </c>
      <c r="G16" s="46" t="s">
        <v>85</v>
      </c>
      <c r="H16" s="3"/>
    </row>
    <row r="17" spans="2:8" ht="25.5">
      <c r="B17" s="6"/>
      <c r="C17" s="5" t="s">
        <v>80</v>
      </c>
      <c r="D17" s="44" t="s">
        <v>86</v>
      </c>
      <c r="E17" s="4"/>
      <c r="F17" s="41">
        <v>2</v>
      </c>
      <c r="G17" s="46" t="s">
        <v>87</v>
      </c>
      <c r="H17" s="3"/>
    </row>
    <row r="18" spans="2:8" ht="38.25">
      <c r="B18" s="6"/>
      <c r="C18" s="5" t="s">
        <v>88</v>
      </c>
      <c r="D18" s="44" t="s">
        <v>89</v>
      </c>
      <c r="E18" s="4"/>
      <c r="F18" s="41">
        <v>2</v>
      </c>
      <c r="G18" s="46" t="s">
        <v>90</v>
      </c>
      <c r="H18" s="3"/>
    </row>
    <row r="19" spans="2:8" ht="27.75" customHeight="1">
      <c r="B19" s="38" t="s">
        <v>91</v>
      </c>
      <c r="C19" s="378" t="s">
        <v>92</v>
      </c>
      <c r="D19" s="379"/>
      <c r="E19" s="380"/>
      <c r="F19" s="288">
        <f>(SUBTOTAL(9,F20:F21)/(4*2))*100</f>
        <v>62.5</v>
      </c>
      <c r="G19" s="45"/>
      <c r="H19" s="7"/>
    </row>
    <row r="20" spans="2:8" ht="38.25">
      <c r="B20" s="6"/>
      <c r="C20" s="5" t="s">
        <v>74</v>
      </c>
      <c r="D20" s="44" t="s">
        <v>93</v>
      </c>
      <c r="E20" s="4"/>
      <c r="F20" s="41">
        <v>3</v>
      </c>
      <c r="G20" s="46" t="s">
        <v>94</v>
      </c>
      <c r="H20" s="3"/>
    </row>
    <row r="21" spans="2:8" ht="25.5">
      <c r="B21" s="6"/>
      <c r="C21" s="5" t="s">
        <v>77</v>
      </c>
      <c r="D21" s="44" t="s">
        <v>95</v>
      </c>
      <c r="E21" s="4"/>
      <c r="F21" s="41">
        <v>2</v>
      </c>
      <c r="G21" s="46" t="s">
        <v>96</v>
      </c>
      <c r="H21" s="3"/>
    </row>
    <row r="22" spans="2:8" ht="27.75" customHeight="1">
      <c r="B22" s="38" t="s">
        <v>97</v>
      </c>
      <c r="C22" s="378" t="s">
        <v>98</v>
      </c>
      <c r="D22" s="379"/>
      <c r="E22" s="380"/>
      <c r="F22" s="288">
        <f>(SUBTOTAL(9,F23:F26)/(4*4))*100</f>
        <v>68.75</v>
      </c>
      <c r="G22" s="45"/>
      <c r="H22" s="7"/>
    </row>
    <row r="23" spans="2:8" ht="51">
      <c r="B23" s="6"/>
      <c r="C23" s="5" t="s">
        <v>74</v>
      </c>
      <c r="D23" s="44" t="s">
        <v>310</v>
      </c>
      <c r="E23" s="4"/>
      <c r="F23" s="41">
        <v>2</v>
      </c>
      <c r="G23" s="46" t="s">
        <v>99</v>
      </c>
      <c r="H23" s="3"/>
    </row>
    <row r="24" spans="2:8" ht="38.25">
      <c r="B24" s="6"/>
      <c r="C24" s="5" t="s">
        <v>77</v>
      </c>
      <c r="D24" s="44" t="s">
        <v>311</v>
      </c>
      <c r="E24" s="4"/>
      <c r="F24" s="41">
        <v>3</v>
      </c>
      <c r="G24" s="46" t="s">
        <v>100</v>
      </c>
      <c r="H24" s="3"/>
    </row>
    <row r="25" spans="2:8" ht="25.5">
      <c r="B25" s="6"/>
      <c r="C25" s="5" t="s">
        <v>80</v>
      </c>
      <c r="D25" s="44" t="s">
        <v>312</v>
      </c>
      <c r="E25" s="4"/>
      <c r="F25" s="41">
        <v>3</v>
      </c>
      <c r="G25" s="46" t="s">
        <v>101</v>
      </c>
      <c r="H25" s="3"/>
    </row>
    <row r="26" spans="2:8" ht="25.5">
      <c r="B26" s="6"/>
      <c r="C26" s="5" t="s">
        <v>88</v>
      </c>
      <c r="D26" s="44" t="s">
        <v>313</v>
      </c>
      <c r="E26" s="4"/>
      <c r="F26" s="41">
        <v>3</v>
      </c>
      <c r="G26" s="46" t="s">
        <v>102</v>
      </c>
      <c r="H26" s="3"/>
    </row>
    <row r="27" spans="2:8" ht="27.75" customHeight="1">
      <c r="B27" s="38" t="s">
        <v>103</v>
      </c>
      <c r="C27" s="378" t="s">
        <v>104</v>
      </c>
      <c r="D27" s="379"/>
      <c r="E27" s="380"/>
      <c r="F27" s="288">
        <f>(SUBTOTAL(9,F28:F30)/(4*3))*100</f>
        <v>75</v>
      </c>
      <c r="G27" s="45"/>
      <c r="H27" s="7"/>
    </row>
    <row r="28" spans="2:8" ht="38.25">
      <c r="B28" s="6"/>
      <c r="C28" s="5" t="s">
        <v>74</v>
      </c>
      <c r="D28" s="44" t="s">
        <v>105</v>
      </c>
      <c r="E28" s="4"/>
      <c r="F28" s="41">
        <v>2</v>
      </c>
      <c r="G28" s="46" t="s">
        <v>106</v>
      </c>
      <c r="H28" s="3"/>
    </row>
    <row r="29" spans="2:8" ht="20.25" customHeight="1">
      <c r="B29" s="6"/>
      <c r="C29" s="5" t="s">
        <v>77</v>
      </c>
      <c r="D29" s="44" t="s">
        <v>107</v>
      </c>
      <c r="E29" s="4"/>
      <c r="F29" s="41">
        <v>3</v>
      </c>
      <c r="G29" s="46" t="s">
        <v>108</v>
      </c>
      <c r="H29" s="3"/>
    </row>
    <row r="30" spans="2:8" ht="25.5">
      <c r="B30" s="6"/>
      <c r="C30" s="5" t="s">
        <v>80</v>
      </c>
      <c r="D30" s="44" t="s">
        <v>109</v>
      </c>
      <c r="E30" s="4"/>
      <c r="F30" s="41">
        <v>4</v>
      </c>
      <c r="G30" s="46" t="s">
        <v>110</v>
      </c>
      <c r="H30" s="3"/>
    </row>
    <row r="31" spans="2:8">
      <c r="B31" s="38" t="s">
        <v>111</v>
      </c>
      <c r="C31" s="378" t="s">
        <v>112</v>
      </c>
      <c r="D31" s="379"/>
      <c r="E31" s="380"/>
      <c r="F31" s="288">
        <f>(SUBTOTAL(9,F32:F35)/(4*4))*100</f>
        <v>68.75</v>
      </c>
      <c r="G31" s="45"/>
      <c r="H31" s="7"/>
    </row>
    <row r="32" spans="2:8" ht="25.5">
      <c r="B32" s="6"/>
      <c r="C32" s="5" t="s">
        <v>74</v>
      </c>
      <c r="D32" s="44" t="s">
        <v>113</v>
      </c>
      <c r="E32" s="4"/>
      <c r="F32" s="41">
        <v>2</v>
      </c>
      <c r="G32" s="46" t="s">
        <v>114</v>
      </c>
      <c r="H32" s="3"/>
    </row>
    <row r="33" spans="2:8" ht="25.5">
      <c r="B33" s="6"/>
      <c r="C33" s="5" t="s">
        <v>77</v>
      </c>
      <c r="D33" s="44" t="s">
        <v>394</v>
      </c>
      <c r="E33" s="4"/>
      <c r="F33" s="41">
        <v>3</v>
      </c>
      <c r="G33" s="46" t="s">
        <v>115</v>
      </c>
      <c r="H33" s="3"/>
    </row>
    <row r="34" spans="2:8" ht="25.5">
      <c r="B34" s="6"/>
      <c r="C34" s="5" t="s">
        <v>80</v>
      </c>
      <c r="D34" s="44" t="s">
        <v>395</v>
      </c>
      <c r="E34" s="4"/>
      <c r="F34" s="41">
        <v>3</v>
      </c>
      <c r="G34" s="46" t="s">
        <v>116</v>
      </c>
      <c r="H34" s="3"/>
    </row>
    <row r="35" spans="2:8" ht="25.5">
      <c r="B35" s="6"/>
      <c r="C35" s="5" t="s">
        <v>88</v>
      </c>
      <c r="D35" s="44" t="s">
        <v>117</v>
      </c>
      <c r="E35" s="4"/>
      <c r="F35" s="41">
        <v>3</v>
      </c>
      <c r="G35" s="46" t="s">
        <v>118</v>
      </c>
      <c r="H35" s="3"/>
    </row>
    <row r="36" spans="2:8">
      <c r="B36" s="38" t="s">
        <v>119</v>
      </c>
      <c r="C36" s="378" t="s">
        <v>120</v>
      </c>
      <c r="D36" s="379"/>
      <c r="E36" s="380"/>
      <c r="F36" s="288">
        <f>(SUBTOTAL(9,F37:F40)/(4*4))*100</f>
        <v>25</v>
      </c>
      <c r="G36" s="45"/>
      <c r="H36" s="7"/>
    </row>
    <row r="37" spans="2:8" ht="51">
      <c r="B37" s="6"/>
      <c r="C37" s="5" t="s">
        <v>74</v>
      </c>
      <c r="D37" s="44" t="s">
        <v>121</v>
      </c>
      <c r="E37" s="4"/>
      <c r="F37" s="41">
        <v>1</v>
      </c>
      <c r="G37" s="46" t="s">
        <v>122</v>
      </c>
      <c r="H37" s="3"/>
    </row>
    <row r="38" spans="2:8" ht="25.5">
      <c r="B38" s="6"/>
      <c r="C38" s="5" t="s">
        <v>77</v>
      </c>
      <c r="D38" s="44" t="s">
        <v>123</v>
      </c>
      <c r="E38" s="4"/>
      <c r="F38" s="41">
        <v>1</v>
      </c>
      <c r="G38" s="46" t="s">
        <v>124</v>
      </c>
      <c r="H38" s="3"/>
    </row>
    <row r="39" spans="2:8" ht="25.5">
      <c r="B39" s="6"/>
      <c r="C39" s="5" t="s">
        <v>80</v>
      </c>
      <c r="D39" s="44" t="s">
        <v>125</v>
      </c>
      <c r="E39" s="4"/>
      <c r="F39" s="41">
        <v>1</v>
      </c>
      <c r="G39" s="46" t="s">
        <v>126</v>
      </c>
      <c r="H39" s="3"/>
    </row>
    <row r="40" spans="2:8" ht="25.5">
      <c r="B40" s="6"/>
      <c r="C40" s="5" t="s">
        <v>88</v>
      </c>
      <c r="D40" s="44" t="s">
        <v>127</v>
      </c>
      <c r="E40" s="4"/>
      <c r="F40" s="41">
        <v>1</v>
      </c>
      <c r="G40" s="46" t="s">
        <v>128</v>
      </c>
      <c r="H40" s="3"/>
    </row>
    <row r="41" spans="2:8" ht="15" customHeight="1">
      <c r="B41" s="71">
        <f>COUNTIF(C11:C40,"?.")</f>
        <v>24</v>
      </c>
      <c r="C41" s="350" t="s">
        <v>0</v>
      </c>
      <c r="D41" s="351"/>
      <c r="E41" s="352">
        <f>SUBTOTAL(9,F10:F40)</f>
        <v>59</v>
      </c>
      <c r="F41" s="353"/>
      <c r="G41" s="72"/>
      <c r="H41" s="73"/>
    </row>
    <row r="42" spans="2:8" ht="15.75">
      <c r="B42" s="346" t="str">
        <f>"NKT Pengembangan Madrasah (Nilai Kinerja Tahunan)"</f>
        <v>NKT Pengembangan Madrasah (Nilai Kinerja Tahunan)</v>
      </c>
      <c r="C42" s="347"/>
      <c r="D42" s="347"/>
      <c r="E42" s="348">
        <f>E41/(B41*4)*100</f>
        <v>61.458333333333336</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68.75</v>
      </c>
      <c r="G48" s="45"/>
      <c r="H48" s="7"/>
    </row>
    <row r="49" spans="2:8" ht="25.5">
      <c r="B49" s="6"/>
      <c r="C49" s="5" t="s">
        <v>74</v>
      </c>
      <c r="D49" s="44" t="s">
        <v>131</v>
      </c>
      <c r="E49" s="4"/>
      <c r="F49" s="41">
        <v>3</v>
      </c>
      <c r="G49" s="46" t="s">
        <v>132</v>
      </c>
      <c r="H49" s="3"/>
    </row>
    <row r="50" spans="2:8" ht="25.5">
      <c r="B50" s="6"/>
      <c r="C50" s="5" t="s">
        <v>77</v>
      </c>
      <c r="D50" s="44" t="s">
        <v>133</v>
      </c>
      <c r="E50" s="4"/>
      <c r="F50" s="41">
        <v>3</v>
      </c>
      <c r="G50" s="46" t="s">
        <v>134</v>
      </c>
      <c r="H50" s="3"/>
    </row>
    <row r="51" spans="2:8" ht="25.5">
      <c r="B51" s="6"/>
      <c r="C51" s="5" t="s">
        <v>80</v>
      </c>
      <c r="D51" s="44" t="s">
        <v>135</v>
      </c>
      <c r="E51" s="4"/>
      <c r="F51" s="41">
        <v>3</v>
      </c>
      <c r="G51" s="46" t="s">
        <v>136</v>
      </c>
      <c r="H51" s="3"/>
    </row>
    <row r="52" spans="2:8" ht="38.25">
      <c r="B52" s="6"/>
      <c r="C52" s="5" t="s">
        <v>88</v>
      </c>
      <c r="D52" s="44" t="s">
        <v>391</v>
      </c>
      <c r="E52" s="4"/>
      <c r="F52" s="41">
        <v>2</v>
      </c>
      <c r="G52" s="46" t="s">
        <v>137</v>
      </c>
      <c r="H52" s="3"/>
    </row>
    <row r="53" spans="2:8">
      <c r="B53" s="38" t="s">
        <v>9</v>
      </c>
      <c r="C53" s="378" t="s">
        <v>138</v>
      </c>
      <c r="D53" s="379"/>
      <c r="E53" s="380"/>
      <c r="F53" s="288">
        <f>(SUBTOTAL(9,F54:F56)/(4*3))*100</f>
        <v>75</v>
      </c>
      <c r="G53" s="45"/>
      <c r="H53" s="7"/>
    </row>
    <row r="54" spans="2:8" ht="25.5">
      <c r="B54" s="6"/>
      <c r="C54" s="5" t="s">
        <v>74</v>
      </c>
      <c r="D54" s="44" t="s">
        <v>139</v>
      </c>
      <c r="E54" s="4"/>
      <c r="F54" s="41">
        <v>3</v>
      </c>
      <c r="G54" s="46" t="s">
        <v>140</v>
      </c>
      <c r="H54" s="3"/>
    </row>
    <row r="55" spans="2:8" ht="25.5">
      <c r="B55" s="6"/>
      <c r="C55" s="5" t="s">
        <v>77</v>
      </c>
      <c r="D55" s="44" t="s">
        <v>141</v>
      </c>
      <c r="E55" s="4"/>
      <c r="F55" s="41">
        <v>3</v>
      </c>
      <c r="G55" s="46" t="s">
        <v>142</v>
      </c>
      <c r="H55" s="3"/>
    </row>
    <row r="56" spans="2:8" ht="25.5">
      <c r="B56" s="6"/>
      <c r="C56" s="5" t="s">
        <v>80</v>
      </c>
      <c r="D56" s="44" t="s">
        <v>390</v>
      </c>
      <c r="E56" s="4"/>
      <c r="F56" s="41">
        <v>3</v>
      </c>
      <c r="G56" s="46" t="s">
        <v>143</v>
      </c>
      <c r="H56" s="3"/>
    </row>
    <row r="57" spans="2:8">
      <c r="B57" s="38" t="s">
        <v>144</v>
      </c>
      <c r="C57" s="378" t="s">
        <v>145</v>
      </c>
      <c r="D57" s="379"/>
      <c r="E57" s="380"/>
      <c r="F57" s="288">
        <f>(SUBTOTAL(9,F58:F61)/(4*4))*100</f>
        <v>81.25</v>
      </c>
      <c r="G57" s="45"/>
      <c r="H57" s="7"/>
    </row>
    <row r="58" spans="2:8" ht="25.5">
      <c r="B58" s="6"/>
      <c r="C58" s="5" t="s">
        <v>74</v>
      </c>
      <c r="D58" s="44" t="s">
        <v>314</v>
      </c>
      <c r="E58" s="4"/>
      <c r="F58" s="41">
        <v>3</v>
      </c>
      <c r="G58" s="46" t="s">
        <v>146</v>
      </c>
      <c r="H58" s="3"/>
    </row>
    <row r="59" spans="2:8" ht="51">
      <c r="B59" s="6"/>
      <c r="C59" s="5" t="s">
        <v>77</v>
      </c>
      <c r="D59" s="44" t="s">
        <v>147</v>
      </c>
      <c r="E59" s="4"/>
      <c r="F59" s="41">
        <v>3</v>
      </c>
      <c r="G59" s="46" t="s">
        <v>148</v>
      </c>
      <c r="H59" s="3"/>
    </row>
    <row r="60" spans="2:8" ht="76.5">
      <c r="B60" s="6"/>
      <c r="C60" s="5" t="s">
        <v>80</v>
      </c>
      <c r="D60" s="44" t="s">
        <v>149</v>
      </c>
      <c r="E60" s="4"/>
      <c r="F60" s="41">
        <v>3</v>
      </c>
      <c r="G60" s="46" t="s">
        <v>150</v>
      </c>
      <c r="H60" s="3"/>
    </row>
    <row r="61" spans="2:8" ht="76.5">
      <c r="B61" s="6"/>
      <c r="C61" s="5" t="s">
        <v>88</v>
      </c>
      <c r="D61" s="44" t="s">
        <v>151</v>
      </c>
      <c r="E61" s="4"/>
      <c r="F61" s="41">
        <v>4</v>
      </c>
      <c r="G61" s="46" t="s">
        <v>152</v>
      </c>
      <c r="H61" s="3"/>
    </row>
    <row r="62" spans="2:8">
      <c r="B62" s="38" t="s">
        <v>153</v>
      </c>
      <c r="C62" s="378" t="s">
        <v>154</v>
      </c>
      <c r="D62" s="379"/>
      <c r="E62" s="380"/>
      <c r="F62" s="288">
        <f>(SUBTOTAL(9,F63:F66)/(4*4))*100</f>
        <v>75</v>
      </c>
      <c r="G62" s="45"/>
      <c r="H62" s="7"/>
    </row>
    <row r="63" spans="2:8" ht="76.5">
      <c r="B63" s="6"/>
      <c r="C63" s="5" t="s">
        <v>74</v>
      </c>
      <c r="D63" s="44" t="s">
        <v>155</v>
      </c>
      <c r="E63" s="4"/>
      <c r="F63" s="41">
        <v>3</v>
      </c>
      <c r="G63" s="46" t="s">
        <v>156</v>
      </c>
      <c r="H63" s="3"/>
    </row>
    <row r="64" spans="2:8" ht="25.5">
      <c r="B64" s="6"/>
      <c r="C64" s="5" t="s">
        <v>77</v>
      </c>
      <c r="D64" s="44" t="s">
        <v>157</v>
      </c>
      <c r="E64" s="4"/>
      <c r="F64" s="41">
        <v>3</v>
      </c>
      <c r="G64" s="46" t="s">
        <v>158</v>
      </c>
      <c r="H64" s="3"/>
    </row>
    <row r="65" spans="2:8" ht="25.5">
      <c r="B65" s="6"/>
      <c r="C65" s="5" t="s">
        <v>80</v>
      </c>
      <c r="D65" s="44" t="s">
        <v>159</v>
      </c>
      <c r="E65" s="4"/>
      <c r="F65" s="41">
        <v>3</v>
      </c>
      <c r="G65" s="46" t="s">
        <v>160</v>
      </c>
      <c r="H65" s="3"/>
    </row>
    <row r="66" spans="2:8" ht="38.25">
      <c r="B66" s="6"/>
      <c r="C66" s="5" t="s">
        <v>88</v>
      </c>
      <c r="D66" s="44" t="s">
        <v>161</v>
      </c>
      <c r="E66" s="4"/>
      <c r="F66" s="41">
        <v>3</v>
      </c>
      <c r="G66" s="46" t="s">
        <v>162</v>
      </c>
      <c r="H66" s="3"/>
    </row>
    <row r="67" spans="2:8">
      <c r="B67" s="38" t="s">
        <v>163</v>
      </c>
      <c r="C67" s="378" t="s">
        <v>164</v>
      </c>
      <c r="D67" s="379"/>
      <c r="E67" s="380"/>
      <c r="F67" s="288">
        <f>(SUBTOTAL(9,F68:F71)/(4*4))*100</f>
        <v>93.75</v>
      </c>
      <c r="G67" s="45"/>
      <c r="H67" s="7"/>
    </row>
    <row r="68" spans="2:8" ht="25.5">
      <c r="B68" s="6"/>
      <c r="C68" s="5" t="s">
        <v>74</v>
      </c>
      <c r="D68" s="44" t="s">
        <v>165</v>
      </c>
      <c r="E68" s="4"/>
      <c r="F68" s="41">
        <v>4</v>
      </c>
      <c r="G68" s="46" t="s">
        <v>166</v>
      </c>
      <c r="H68" s="3"/>
    </row>
    <row r="69" spans="2:8" ht="38.25">
      <c r="B69" s="6"/>
      <c r="C69" s="5" t="s">
        <v>77</v>
      </c>
      <c r="D69" s="44" t="s">
        <v>167</v>
      </c>
      <c r="E69" s="4"/>
      <c r="F69" s="41">
        <v>4</v>
      </c>
      <c r="G69" s="46" t="s">
        <v>168</v>
      </c>
      <c r="H69" s="3"/>
    </row>
    <row r="70" spans="2:8" ht="89.25">
      <c r="B70" s="6"/>
      <c r="C70" s="5" t="s">
        <v>80</v>
      </c>
      <c r="D70" s="44" t="s">
        <v>169</v>
      </c>
      <c r="E70" s="4"/>
      <c r="F70" s="41">
        <v>4</v>
      </c>
      <c r="G70" s="46" t="s">
        <v>170</v>
      </c>
      <c r="H70" s="3"/>
    </row>
    <row r="71" spans="2:8" ht="63.75">
      <c r="B71" s="6"/>
      <c r="C71" s="5" t="s">
        <v>88</v>
      </c>
      <c r="D71" s="44" t="s">
        <v>171</v>
      </c>
      <c r="E71" s="4"/>
      <c r="F71" s="41">
        <v>3</v>
      </c>
      <c r="G71" s="46" t="s">
        <v>172</v>
      </c>
      <c r="H71" s="3"/>
    </row>
    <row r="72" spans="2:8">
      <c r="B72" s="38" t="s">
        <v>173</v>
      </c>
      <c r="C72" s="378" t="s">
        <v>174</v>
      </c>
      <c r="D72" s="379"/>
      <c r="E72" s="380"/>
      <c r="F72" s="288">
        <f>(SUBTOTAL(9,F73:F76)/(4*4))*100</f>
        <v>62.5</v>
      </c>
      <c r="G72" s="45"/>
      <c r="H72" s="7"/>
    </row>
    <row r="73" spans="2:8" ht="25.5">
      <c r="B73" s="6"/>
      <c r="C73" s="5" t="s">
        <v>74</v>
      </c>
      <c r="D73" s="44" t="s">
        <v>175</v>
      </c>
      <c r="E73" s="4"/>
      <c r="F73" s="41">
        <v>3</v>
      </c>
      <c r="G73" s="46" t="s">
        <v>176</v>
      </c>
      <c r="H73" s="3"/>
    </row>
    <row r="74" spans="2:8" ht="25.5">
      <c r="B74" s="6"/>
      <c r="C74" s="5" t="s">
        <v>77</v>
      </c>
      <c r="D74" s="44" t="s">
        <v>177</v>
      </c>
      <c r="E74" s="4"/>
      <c r="F74" s="41">
        <v>2</v>
      </c>
      <c r="G74" s="46" t="s">
        <v>178</v>
      </c>
      <c r="H74" s="3"/>
    </row>
    <row r="75" spans="2:8" ht="51">
      <c r="B75" s="6"/>
      <c r="C75" s="5" t="s">
        <v>80</v>
      </c>
      <c r="D75" s="44" t="s">
        <v>179</v>
      </c>
      <c r="E75" s="4"/>
      <c r="F75" s="41">
        <v>2</v>
      </c>
      <c r="G75" s="46" t="s">
        <v>320</v>
      </c>
      <c r="H75" s="3"/>
    </row>
    <row r="76" spans="2:8" ht="25.5">
      <c r="B76" s="6"/>
      <c r="C76" s="5" t="s">
        <v>88</v>
      </c>
      <c r="D76" s="44" t="s">
        <v>389</v>
      </c>
      <c r="E76" s="4"/>
      <c r="F76" s="41">
        <v>3</v>
      </c>
      <c r="G76" s="46" t="s">
        <v>180</v>
      </c>
      <c r="H76" s="3"/>
    </row>
    <row r="77" spans="2:8">
      <c r="B77" s="38" t="s">
        <v>181</v>
      </c>
      <c r="C77" s="378" t="s">
        <v>182</v>
      </c>
      <c r="D77" s="379"/>
      <c r="E77" s="380"/>
      <c r="F77" s="288">
        <f>(SUBTOTAL(9,F78:F81)/(4*4))*100</f>
        <v>93.75</v>
      </c>
      <c r="G77" s="45"/>
      <c r="H77" s="7"/>
    </row>
    <row r="78" spans="2:8" ht="25.5">
      <c r="B78" s="6"/>
      <c r="C78" s="5" t="s">
        <v>74</v>
      </c>
      <c r="D78" s="44" t="s">
        <v>183</v>
      </c>
      <c r="E78" s="4"/>
      <c r="F78" s="41">
        <v>4</v>
      </c>
      <c r="G78" s="46" t="s">
        <v>184</v>
      </c>
      <c r="H78" s="3"/>
    </row>
    <row r="79" spans="2:8" ht="25.5">
      <c r="B79" s="6"/>
      <c r="C79" s="5" t="s">
        <v>77</v>
      </c>
      <c r="D79" s="44" t="s">
        <v>387</v>
      </c>
      <c r="E79" s="4"/>
      <c r="F79" s="41">
        <v>3</v>
      </c>
      <c r="G79" s="46" t="s">
        <v>185</v>
      </c>
      <c r="H79" s="3"/>
    </row>
    <row r="80" spans="2:8" ht="25.5">
      <c r="B80" s="6"/>
      <c r="C80" s="5" t="s">
        <v>80</v>
      </c>
      <c r="D80" s="44" t="s">
        <v>388</v>
      </c>
      <c r="E80" s="4"/>
      <c r="F80" s="41">
        <v>4</v>
      </c>
      <c r="G80" s="46" t="s">
        <v>186</v>
      </c>
      <c r="H80" s="3"/>
    </row>
    <row r="81" spans="2:8" ht="25.5">
      <c r="B81" s="6"/>
      <c r="C81" s="5" t="s">
        <v>88</v>
      </c>
      <c r="D81" s="44" t="s">
        <v>187</v>
      </c>
      <c r="E81" s="4"/>
      <c r="F81" s="41">
        <v>4</v>
      </c>
      <c r="G81" s="46" t="s">
        <v>188</v>
      </c>
      <c r="H81" s="3"/>
    </row>
    <row r="82" spans="2:8">
      <c r="B82" s="38" t="s">
        <v>189</v>
      </c>
      <c r="C82" s="378" t="s">
        <v>190</v>
      </c>
      <c r="D82" s="379"/>
      <c r="E82" s="380"/>
      <c r="F82" s="288">
        <f>(SUBTOTAL(9,F83:F85)/(4*3))*100</f>
        <v>75</v>
      </c>
      <c r="G82" s="45"/>
      <c r="H82" s="7"/>
    </row>
    <row r="83" spans="2:8" ht="25.5">
      <c r="B83" s="6"/>
      <c r="C83" s="5" t="s">
        <v>74</v>
      </c>
      <c r="D83" s="44" t="s">
        <v>315</v>
      </c>
      <c r="E83" s="4"/>
      <c r="F83" s="41">
        <v>3</v>
      </c>
      <c r="G83" s="46" t="s">
        <v>191</v>
      </c>
      <c r="H83" s="3"/>
    </row>
    <row r="84" spans="2:8" ht="25.5">
      <c r="B84" s="6"/>
      <c r="C84" s="5" t="s">
        <v>77</v>
      </c>
      <c r="D84" s="44" t="s">
        <v>316</v>
      </c>
      <c r="E84" s="4"/>
      <c r="F84" s="41">
        <v>3</v>
      </c>
      <c r="G84" s="46" t="s">
        <v>192</v>
      </c>
      <c r="H84" s="3"/>
    </row>
    <row r="85" spans="2:8" ht="25.5">
      <c r="B85" s="6"/>
      <c r="C85" s="5" t="s">
        <v>80</v>
      </c>
      <c r="D85" s="44" t="s">
        <v>193</v>
      </c>
      <c r="E85" s="4"/>
      <c r="F85" s="41">
        <v>3</v>
      </c>
      <c r="G85" s="46" t="s">
        <v>194</v>
      </c>
      <c r="H85" s="3"/>
    </row>
    <row r="86" spans="2:8">
      <c r="B86" s="38" t="s">
        <v>195</v>
      </c>
      <c r="C86" s="378" t="s">
        <v>196</v>
      </c>
      <c r="D86" s="379"/>
      <c r="E86" s="380"/>
      <c r="F86" s="288">
        <f>(SUBTOTAL(9,F87:F90)/(4*4))*100</f>
        <v>81.25</v>
      </c>
      <c r="G86" s="45"/>
      <c r="H86" s="7"/>
    </row>
    <row r="87" spans="2:8" ht="51">
      <c r="B87" s="6"/>
      <c r="C87" s="5" t="s">
        <v>74</v>
      </c>
      <c r="D87" s="44" t="s">
        <v>197</v>
      </c>
      <c r="E87" s="4"/>
      <c r="F87" s="41">
        <v>3</v>
      </c>
      <c r="G87" s="46" t="s">
        <v>198</v>
      </c>
      <c r="H87" s="3"/>
    </row>
    <row r="88" spans="2:8" ht="25.5">
      <c r="B88" s="6"/>
      <c r="C88" s="5" t="s">
        <v>77</v>
      </c>
      <c r="D88" s="44" t="s">
        <v>199</v>
      </c>
      <c r="E88" s="4"/>
      <c r="F88" s="41">
        <v>3</v>
      </c>
      <c r="G88" s="46" t="s">
        <v>200</v>
      </c>
      <c r="H88" s="3"/>
    </row>
    <row r="89" spans="2:8" ht="38.25">
      <c r="B89" s="6"/>
      <c r="C89" s="5" t="s">
        <v>80</v>
      </c>
      <c r="D89" s="44" t="s">
        <v>201</v>
      </c>
      <c r="E89" s="4"/>
      <c r="F89" s="41">
        <v>3</v>
      </c>
      <c r="G89" s="46" t="s">
        <v>321</v>
      </c>
      <c r="H89" s="3"/>
    </row>
    <row r="90" spans="2:8" ht="38.25">
      <c r="B90" s="6"/>
      <c r="C90" s="5" t="s">
        <v>88</v>
      </c>
      <c r="D90" s="44" t="s">
        <v>202</v>
      </c>
      <c r="E90" s="4"/>
      <c r="F90" s="41">
        <v>4</v>
      </c>
      <c r="G90" s="46" t="s">
        <v>203</v>
      </c>
      <c r="H90" s="3"/>
    </row>
    <row r="91" spans="2:8">
      <c r="B91" s="38" t="s">
        <v>204</v>
      </c>
      <c r="C91" s="378" t="s">
        <v>205</v>
      </c>
      <c r="D91" s="379"/>
      <c r="E91" s="380"/>
      <c r="F91" s="288">
        <f>(SUBTOTAL(9,F92:F96)/(4*5))*100</f>
        <v>60</v>
      </c>
      <c r="G91" s="45"/>
      <c r="H91" s="7"/>
    </row>
    <row r="92" spans="2:8" ht="51">
      <c r="B92" s="6"/>
      <c r="C92" s="5" t="s">
        <v>74</v>
      </c>
      <c r="D92" s="44" t="s">
        <v>206</v>
      </c>
      <c r="E92" s="4"/>
      <c r="F92" s="41">
        <v>3</v>
      </c>
      <c r="G92" s="46" t="s">
        <v>322</v>
      </c>
      <c r="H92" s="3"/>
    </row>
    <row r="93" spans="2:8" ht="51">
      <c r="B93" s="6"/>
      <c r="C93" s="5" t="s">
        <v>77</v>
      </c>
      <c r="D93" s="44" t="s">
        <v>207</v>
      </c>
      <c r="E93" s="4"/>
      <c r="F93" s="41">
        <v>3</v>
      </c>
      <c r="G93" s="46" t="s">
        <v>208</v>
      </c>
      <c r="H93" s="3"/>
    </row>
    <row r="94" spans="2:8" ht="51">
      <c r="B94" s="6"/>
      <c r="C94" s="5" t="s">
        <v>80</v>
      </c>
      <c r="D94" s="44" t="s">
        <v>209</v>
      </c>
      <c r="E94" s="4"/>
      <c r="F94" s="41">
        <v>2</v>
      </c>
      <c r="G94" s="46" t="s">
        <v>210</v>
      </c>
      <c r="H94" s="3"/>
    </row>
    <row r="95" spans="2:8" ht="89.25">
      <c r="B95" s="6"/>
      <c r="C95" s="5" t="s">
        <v>88</v>
      </c>
      <c r="D95" s="44" t="s">
        <v>211</v>
      </c>
      <c r="E95" s="4"/>
      <c r="F95" s="41">
        <v>2</v>
      </c>
      <c r="G95" s="46" t="s">
        <v>212</v>
      </c>
      <c r="H95" s="3"/>
    </row>
    <row r="96" spans="2:8" ht="38.25">
      <c r="B96" s="6"/>
      <c r="C96" s="5" t="s">
        <v>213</v>
      </c>
      <c r="D96" s="44" t="s">
        <v>214</v>
      </c>
      <c r="E96" s="4"/>
      <c r="F96" s="41">
        <v>2</v>
      </c>
      <c r="G96" s="46" t="s">
        <v>215</v>
      </c>
      <c r="H96" s="3"/>
    </row>
    <row r="97" spans="2:8">
      <c r="B97" s="38" t="s">
        <v>216</v>
      </c>
      <c r="C97" s="378" t="s">
        <v>217</v>
      </c>
      <c r="D97" s="379"/>
      <c r="E97" s="380"/>
      <c r="F97" s="288">
        <f>(SUBTOTAL(9,F98:F101)/(4*4))*100</f>
        <v>93.75</v>
      </c>
      <c r="G97" s="45"/>
      <c r="H97" s="7"/>
    </row>
    <row r="98" spans="2:8" ht="55.5" customHeight="1">
      <c r="B98" s="6"/>
      <c r="C98" s="5" t="s">
        <v>74</v>
      </c>
      <c r="D98" s="44" t="s">
        <v>478</v>
      </c>
      <c r="E98" s="4"/>
      <c r="F98" s="41">
        <v>3</v>
      </c>
      <c r="G98" s="46" t="s">
        <v>494</v>
      </c>
      <c r="H98" s="3"/>
    </row>
    <row r="99" spans="2:8" ht="25.5">
      <c r="B99" s="6"/>
      <c r="C99" s="5" t="s">
        <v>77</v>
      </c>
      <c r="D99" s="44" t="s">
        <v>477</v>
      </c>
      <c r="E99" s="4"/>
      <c r="F99" s="41">
        <v>4</v>
      </c>
      <c r="G99" s="46" t="s">
        <v>495</v>
      </c>
      <c r="H99" s="3"/>
    </row>
    <row r="100" spans="2:8" ht="38.25">
      <c r="B100" s="6"/>
      <c r="C100" s="5" t="s">
        <v>80</v>
      </c>
      <c r="D100" s="44" t="s">
        <v>479</v>
      </c>
      <c r="E100" s="4"/>
      <c r="F100" s="41">
        <v>4</v>
      </c>
      <c r="G100" s="46" t="s">
        <v>496</v>
      </c>
      <c r="H100" s="3"/>
    </row>
    <row r="101" spans="2:8" ht="38.25">
      <c r="B101" s="6"/>
      <c r="C101" s="5" t="s">
        <v>88</v>
      </c>
      <c r="D101" s="44" t="s">
        <v>480</v>
      </c>
      <c r="E101" s="4"/>
      <c r="F101" s="41">
        <v>4</v>
      </c>
      <c r="G101" s="46" t="s">
        <v>496</v>
      </c>
      <c r="H101" s="3"/>
    </row>
    <row r="102" spans="2:8">
      <c r="B102" s="38" t="s">
        <v>218</v>
      </c>
      <c r="C102" s="378" t="s">
        <v>219</v>
      </c>
      <c r="D102" s="379"/>
      <c r="E102" s="380"/>
      <c r="F102" s="288">
        <f>(SUBTOTAL(9,F103:F106)/(4*4))*100</f>
        <v>75</v>
      </c>
      <c r="G102" s="45"/>
      <c r="H102" s="7"/>
    </row>
    <row r="103" spans="2:8" ht="25.5">
      <c r="B103" s="6"/>
      <c r="C103" s="5" t="s">
        <v>74</v>
      </c>
      <c r="D103" s="44" t="s">
        <v>481</v>
      </c>
      <c r="E103" s="4"/>
      <c r="F103" s="41">
        <v>4</v>
      </c>
      <c r="G103" s="46" t="s">
        <v>497</v>
      </c>
      <c r="H103" s="3"/>
    </row>
    <row r="104" spans="2:8" ht="51">
      <c r="B104" s="6"/>
      <c r="C104" s="5" t="s">
        <v>77</v>
      </c>
      <c r="D104" s="44" t="s">
        <v>482</v>
      </c>
      <c r="E104" s="4"/>
      <c r="F104" s="41">
        <v>3</v>
      </c>
      <c r="G104" s="46" t="s">
        <v>498</v>
      </c>
      <c r="H104" s="3"/>
    </row>
    <row r="105" spans="2:8" ht="25.5">
      <c r="B105" s="6"/>
      <c r="C105" s="5" t="s">
        <v>80</v>
      </c>
      <c r="D105" s="44" t="s">
        <v>483</v>
      </c>
      <c r="E105" s="4"/>
      <c r="F105" s="41">
        <v>2</v>
      </c>
      <c r="G105" s="46" t="s">
        <v>497</v>
      </c>
      <c r="H105" s="3"/>
    </row>
    <row r="106" spans="2:8" ht="38.25">
      <c r="B106" s="6"/>
      <c r="C106" s="5" t="s">
        <v>88</v>
      </c>
      <c r="D106" s="44" t="s">
        <v>484</v>
      </c>
      <c r="E106" s="4"/>
      <c r="F106" s="41">
        <v>3</v>
      </c>
      <c r="G106" s="46" t="s">
        <v>499</v>
      </c>
      <c r="H106" s="3"/>
    </row>
    <row r="107" spans="2:8">
      <c r="B107" s="38" t="s">
        <v>220</v>
      </c>
      <c r="C107" s="378" t="s">
        <v>221</v>
      </c>
      <c r="D107" s="379"/>
      <c r="E107" s="380"/>
      <c r="F107" s="288">
        <f>(SUBTOTAL(9,F108:F111)/(4*4))*100</f>
        <v>68.75</v>
      </c>
      <c r="G107" s="45"/>
      <c r="H107" s="7"/>
    </row>
    <row r="108" spans="2:8" ht="25.5">
      <c r="B108" s="6"/>
      <c r="C108" s="5" t="s">
        <v>74</v>
      </c>
      <c r="D108" s="44" t="s">
        <v>485</v>
      </c>
      <c r="E108" s="4"/>
      <c r="F108" s="41">
        <v>2</v>
      </c>
      <c r="G108" s="46" t="s">
        <v>500</v>
      </c>
      <c r="H108" s="3"/>
    </row>
    <row r="109" spans="2:8" ht="38.25">
      <c r="B109" s="6"/>
      <c r="C109" s="5" t="s">
        <v>77</v>
      </c>
      <c r="D109" s="44" t="s">
        <v>486</v>
      </c>
      <c r="E109" s="4"/>
      <c r="F109" s="41">
        <v>2</v>
      </c>
      <c r="G109" s="46" t="s">
        <v>501</v>
      </c>
      <c r="H109" s="3"/>
    </row>
    <row r="110" spans="2:8" ht="38.25">
      <c r="B110" s="6"/>
      <c r="C110" s="5" t="s">
        <v>80</v>
      </c>
      <c r="D110" s="44" t="s">
        <v>487</v>
      </c>
      <c r="E110" s="4"/>
      <c r="F110" s="41">
        <v>3</v>
      </c>
      <c r="G110" s="46" t="s">
        <v>502</v>
      </c>
      <c r="H110" s="3"/>
    </row>
    <row r="111" spans="2:8" ht="38.25">
      <c r="B111" s="6"/>
      <c r="C111" s="5" t="s">
        <v>88</v>
      </c>
      <c r="D111" s="44" t="s">
        <v>488</v>
      </c>
      <c r="E111" s="4"/>
      <c r="F111" s="41">
        <v>4</v>
      </c>
      <c r="G111" s="46" t="s">
        <v>503</v>
      </c>
      <c r="H111" s="3"/>
    </row>
    <row r="112" spans="2:8">
      <c r="B112" s="38" t="s">
        <v>222</v>
      </c>
      <c r="C112" s="378" t="s">
        <v>223</v>
      </c>
      <c r="D112" s="379"/>
      <c r="E112" s="380"/>
      <c r="F112" s="288">
        <f>(SUBTOTAL(9,F113:F116)/(4*4))*100</f>
        <v>75</v>
      </c>
      <c r="G112" s="45"/>
      <c r="H112" s="7"/>
    </row>
    <row r="113" spans="2:8" ht="38.25">
      <c r="B113" s="6"/>
      <c r="C113" s="5" t="s">
        <v>74</v>
      </c>
      <c r="D113" s="44" t="s">
        <v>224</v>
      </c>
      <c r="E113" s="4"/>
      <c r="F113" s="41">
        <v>3</v>
      </c>
      <c r="G113" s="46" t="s">
        <v>225</v>
      </c>
      <c r="H113" s="3"/>
    </row>
    <row r="114" spans="2:8" ht="38.25">
      <c r="B114" s="6"/>
      <c r="C114" s="5" t="s">
        <v>77</v>
      </c>
      <c r="D114" s="44" t="s">
        <v>226</v>
      </c>
      <c r="E114" s="4"/>
      <c r="F114" s="41">
        <v>3</v>
      </c>
      <c r="G114" s="46" t="s">
        <v>227</v>
      </c>
      <c r="H114" s="3"/>
    </row>
    <row r="115" spans="2:8" ht="38.25">
      <c r="B115" s="6"/>
      <c r="C115" s="5" t="s">
        <v>80</v>
      </c>
      <c r="D115" s="44" t="s">
        <v>228</v>
      </c>
      <c r="E115" s="4"/>
      <c r="F115" s="41">
        <v>3</v>
      </c>
      <c r="G115" s="46" t="s">
        <v>229</v>
      </c>
      <c r="H115" s="3"/>
    </row>
    <row r="116" spans="2:8" ht="51">
      <c r="B116" s="6"/>
      <c r="C116" s="5" t="s">
        <v>88</v>
      </c>
      <c r="D116" s="44" t="s">
        <v>230</v>
      </c>
      <c r="E116" s="4"/>
      <c r="F116" s="41">
        <v>3</v>
      </c>
      <c r="G116" s="46" t="s">
        <v>231</v>
      </c>
      <c r="H116" s="3"/>
    </row>
    <row r="117" spans="2:8">
      <c r="B117" s="38" t="s">
        <v>232</v>
      </c>
      <c r="C117" s="378" t="s">
        <v>233</v>
      </c>
      <c r="D117" s="379"/>
      <c r="E117" s="380"/>
      <c r="F117" s="288">
        <f>(SUBTOTAL(9,F118:F120)/(4*3))*100</f>
        <v>66.666666666666657</v>
      </c>
      <c r="G117" s="45"/>
      <c r="H117" s="7"/>
    </row>
    <row r="118" spans="2:8" ht="76.5">
      <c r="B118" s="6"/>
      <c r="C118" s="5" t="s">
        <v>74</v>
      </c>
      <c r="D118" s="44" t="s">
        <v>234</v>
      </c>
      <c r="E118" s="4"/>
      <c r="F118" s="41">
        <v>3</v>
      </c>
      <c r="G118" s="46" t="s">
        <v>235</v>
      </c>
      <c r="H118" s="3"/>
    </row>
    <row r="119" spans="2:8" ht="63.75">
      <c r="B119" s="6"/>
      <c r="C119" s="5" t="s">
        <v>77</v>
      </c>
      <c r="D119" s="44" t="s">
        <v>236</v>
      </c>
      <c r="E119" s="4"/>
      <c r="F119" s="41">
        <v>2</v>
      </c>
      <c r="G119" s="46" t="s">
        <v>237</v>
      </c>
      <c r="H119" s="3"/>
    </row>
    <row r="120" spans="2:8" ht="38.25">
      <c r="B120" s="6"/>
      <c r="C120" s="5" t="s">
        <v>80</v>
      </c>
      <c r="D120" s="44" t="s">
        <v>238</v>
      </c>
      <c r="E120" s="4"/>
      <c r="F120" s="41">
        <v>3</v>
      </c>
      <c r="G120" s="46" t="s">
        <v>239</v>
      </c>
      <c r="H120" s="3"/>
    </row>
    <row r="121" spans="2:8">
      <c r="B121" s="38" t="s">
        <v>240</v>
      </c>
      <c r="C121" s="378" t="s">
        <v>241</v>
      </c>
      <c r="D121" s="379"/>
      <c r="E121" s="380"/>
      <c r="F121" s="288">
        <f>(SUBTOTAL(9,F122:F125)/(4*4))*100</f>
        <v>62.5</v>
      </c>
      <c r="G121" s="45"/>
      <c r="H121" s="7"/>
    </row>
    <row r="122" spans="2:8" ht="25.5">
      <c r="B122" s="6"/>
      <c r="C122" s="5" t="s">
        <v>74</v>
      </c>
      <c r="D122" s="44" t="s">
        <v>383</v>
      </c>
      <c r="E122" s="4"/>
      <c r="F122" s="41">
        <v>3</v>
      </c>
      <c r="G122" s="46" t="s">
        <v>242</v>
      </c>
      <c r="H122" s="3"/>
    </row>
    <row r="123" spans="2:8" ht="25.5">
      <c r="B123" s="6"/>
      <c r="C123" s="5" t="s">
        <v>77</v>
      </c>
      <c r="D123" s="44" t="s">
        <v>243</v>
      </c>
      <c r="E123" s="4"/>
      <c r="F123" s="41">
        <v>2</v>
      </c>
      <c r="G123" s="46" t="s">
        <v>244</v>
      </c>
      <c r="H123" s="3"/>
    </row>
    <row r="124" spans="2:8" ht="25.5">
      <c r="B124" s="6"/>
      <c r="C124" s="5" t="s">
        <v>80</v>
      </c>
      <c r="D124" s="44" t="s">
        <v>245</v>
      </c>
      <c r="E124" s="4"/>
      <c r="F124" s="41">
        <v>3</v>
      </c>
      <c r="G124" s="46" t="s">
        <v>246</v>
      </c>
      <c r="H124" s="3"/>
    </row>
    <row r="125" spans="2:8" ht="38.25">
      <c r="B125" s="6"/>
      <c r="C125" s="5" t="s">
        <v>88</v>
      </c>
      <c r="D125" s="44" t="s">
        <v>247</v>
      </c>
      <c r="E125" s="4"/>
      <c r="F125" s="41">
        <v>2</v>
      </c>
      <c r="G125" s="46" t="s">
        <v>323</v>
      </c>
      <c r="H125" s="3"/>
    </row>
    <row r="126" spans="2:8" ht="15" customHeight="1">
      <c r="B126" s="71">
        <f>COUNTIF(C49:C125,"?.")</f>
        <v>62</v>
      </c>
      <c r="C126" s="350" t="s">
        <v>0</v>
      </c>
      <c r="D126" s="351"/>
      <c r="E126" s="352">
        <f>SUBTOTAL(9,F49:F125)</f>
        <v>187</v>
      </c>
      <c r="F126" s="353"/>
      <c r="G126" s="72"/>
      <c r="H126" s="73"/>
    </row>
    <row r="127" spans="2:8" ht="15.75">
      <c r="B127" s="346" t="str">
        <f>"NKT (Nilai Kinerja Tahunan)"</f>
        <v>NKT (Nilai Kinerja Tahunan)</v>
      </c>
      <c r="C127" s="347"/>
      <c r="D127" s="347"/>
      <c r="E127" s="348">
        <f>E126/(B126*4)*100</f>
        <v>75.403225806451616</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62.5</v>
      </c>
      <c r="G133" s="45"/>
      <c r="H133" s="7"/>
    </row>
    <row r="134" spans="2:8" ht="25.5">
      <c r="B134" s="6"/>
      <c r="C134" s="5" t="s">
        <v>74</v>
      </c>
      <c r="D134" s="44" t="s">
        <v>249</v>
      </c>
      <c r="E134" s="4"/>
      <c r="F134" s="41">
        <v>3</v>
      </c>
      <c r="G134" s="46" t="s">
        <v>250</v>
      </c>
      <c r="H134" s="3"/>
    </row>
    <row r="135" spans="2:8" ht="25.5">
      <c r="B135" s="6"/>
      <c r="C135" s="5" t="s">
        <v>77</v>
      </c>
      <c r="D135" s="44" t="s">
        <v>251</v>
      </c>
      <c r="E135" s="4"/>
      <c r="F135" s="41">
        <v>2</v>
      </c>
      <c r="G135" s="46" t="s">
        <v>324</v>
      </c>
      <c r="H135" s="3"/>
    </row>
    <row r="136" spans="2:8" ht="51">
      <c r="B136" s="6"/>
      <c r="C136" s="5" t="s">
        <v>80</v>
      </c>
      <c r="D136" s="44" t="s">
        <v>252</v>
      </c>
      <c r="E136" s="4"/>
      <c r="F136" s="41">
        <v>3</v>
      </c>
      <c r="G136" s="46" t="s">
        <v>253</v>
      </c>
      <c r="H136" s="3"/>
    </row>
    <row r="137" spans="2:8" ht="51">
      <c r="B137" s="6"/>
      <c r="C137" s="5" t="s">
        <v>88</v>
      </c>
      <c r="D137" s="44" t="s">
        <v>254</v>
      </c>
      <c r="E137" s="4"/>
      <c r="F137" s="41">
        <v>2</v>
      </c>
      <c r="G137" s="46" t="s">
        <v>255</v>
      </c>
      <c r="H137" s="3"/>
    </row>
    <row r="138" spans="2:8">
      <c r="B138" s="38" t="s">
        <v>6</v>
      </c>
      <c r="C138" s="378" t="s">
        <v>256</v>
      </c>
      <c r="D138" s="379"/>
      <c r="E138" s="380"/>
      <c r="F138" s="288">
        <f>(SUBTOTAL(9,F139:F142)/(4*4))*100</f>
        <v>68.75</v>
      </c>
      <c r="G138" s="45"/>
      <c r="H138" s="7"/>
    </row>
    <row r="139" spans="2:8" ht="25.5">
      <c r="B139" s="6"/>
      <c r="C139" s="5" t="s">
        <v>74</v>
      </c>
      <c r="D139" s="44" t="s">
        <v>257</v>
      </c>
      <c r="E139" s="4"/>
      <c r="F139" s="41">
        <v>3</v>
      </c>
      <c r="G139" s="46" t="s">
        <v>258</v>
      </c>
      <c r="H139" s="3"/>
    </row>
    <row r="140" spans="2:8" ht="38.25">
      <c r="B140" s="6"/>
      <c r="C140" s="5" t="s">
        <v>77</v>
      </c>
      <c r="D140" s="44" t="s">
        <v>259</v>
      </c>
      <c r="E140" s="4"/>
      <c r="F140" s="41">
        <v>2</v>
      </c>
      <c r="G140" s="46" t="s">
        <v>260</v>
      </c>
      <c r="H140" s="3"/>
    </row>
    <row r="141" spans="2:8" ht="38.25">
      <c r="B141" s="6"/>
      <c r="C141" s="5" t="s">
        <v>80</v>
      </c>
      <c r="D141" s="44" t="s">
        <v>261</v>
      </c>
      <c r="E141" s="4"/>
      <c r="F141" s="41">
        <v>4</v>
      </c>
      <c r="G141" s="46" t="s">
        <v>262</v>
      </c>
      <c r="H141" s="3"/>
    </row>
    <row r="142" spans="2:8" ht="25.5">
      <c r="B142" s="6"/>
      <c r="C142" s="5" t="s">
        <v>88</v>
      </c>
      <c r="D142" s="44" t="s">
        <v>263</v>
      </c>
      <c r="E142" s="4"/>
      <c r="F142" s="41">
        <v>2</v>
      </c>
      <c r="G142" s="46" t="s">
        <v>264</v>
      </c>
      <c r="H142" s="3"/>
    </row>
    <row r="143" spans="2:8">
      <c r="B143" s="38" t="s">
        <v>5</v>
      </c>
      <c r="C143" s="378" t="s">
        <v>265</v>
      </c>
      <c r="D143" s="379"/>
      <c r="E143" s="380"/>
      <c r="F143" s="288">
        <f>(SUBTOTAL(9,F144:F146)/(4*3))*100</f>
        <v>58.333333333333336</v>
      </c>
      <c r="G143" s="45"/>
      <c r="H143" s="7"/>
    </row>
    <row r="144" spans="2:8" ht="38.25">
      <c r="B144" s="6"/>
      <c r="C144" s="5" t="s">
        <v>74</v>
      </c>
      <c r="D144" s="44" t="s">
        <v>266</v>
      </c>
      <c r="E144" s="4"/>
      <c r="F144" s="41">
        <v>2</v>
      </c>
      <c r="G144" s="46" t="s">
        <v>267</v>
      </c>
      <c r="H144" s="3"/>
    </row>
    <row r="145" spans="2:8" ht="25.5">
      <c r="B145" s="6"/>
      <c r="C145" s="5" t="s">
        <v>77</v>
      </c>
      <c r="D145" s="44" t="s">
        <v>268</v>
      </c>
      <c r="E145" s="4"/>
      <c r="F145" s="41">
        <v>2</v>
      </c>
      <c r="G145" s="46" t="s">
        <v>269</v>
      </c>
      <c r="H145" s="3"/>
    </row>
    <row r="146" spans="2:8" ht="25.5">
      <c r="B146" s="6"/>
      <c r="C146" s="5" t="s">
        <v>80</v>
      </c>
      <c r="D146" s="44" t="s">
        <v>386</v>
      </c>
      <c r="E146" s="4"/>
      <c r="F146" s="41">
        <v>3</v>
      </c>
      <c r="G146" s="46" t="s">
        <v>270</v>
      </c>
      <c r="H146" s="3"/>
    </row>
    <row r="147" spans="2:8">
      <c r="B147" s="38" t="s">
        <v>271</v>
      </c>
      <c r="C147" s="378" t="s">
        <v>272</v>
      </c>
      <c r="D147" s="379"/>
      <c r="E147" s="380"/>
      <c r="F147" s="288">
        <f>(SUBTOTAL(9,F148:F150)/(4*3))*100</f>
        <v>58.333333333333336</v>
      </c>
      <c r="G147" s="45"/>
      <c r="H147" s="7"/>
    </row>
    <row r="148" spans="2:8" ht="25.5">
      <c r="B148" s="6"/>
      <c r="C148" s="5" t="s">
        <v>74</v>
      </c>
      <c r="D148" s="44" t="s">
        <v>273</v>
      </c>
      <c r="E148" s="4"/>
      <c r="F148" s="41">
        <v>2</v>
      </c>
      <c r="G148" s="46" t="s">
        <v>274</v>
      </c>
      <c r="H148" s="3"/>
    </row>
    <row r="149" spans="2:8" ht="21.75" customHeight="1">
      <c r="B149" s="6"/>
      <c r="C149" s="5" t="s">
        <v>77</v>
      </c>
      <c r="D149" s="44" t="s">
        <v>384</v>
      </c>
      <c r="E149" s="4"/>
      <c r="F149" s="41">
        <v>2</v>
      </c>
      <c r="G149" s="46" t="s">
        <v>275</v>
      </c>
      <c r="H149" s="3"/>
    </row>
    <row r="150" spans="2:8" ht="25.5">
      <c r="B150" s="6"/>
      <c r="C150" s="5" t="s">
        <v>80</v>
      </c>
      <c r="D150" s="44" t="s">
        <v>385</v>
      </c>
      <c r="E150" s="4"/>
      <c r="F150" s="41">
        <v>3</v>
      </c>
      <c r="G150" s="46" t="s">
        <v>276</v>
      </c>
      <c r="H150" s="3"/>
    </row>
    <row r="151" spans="2:8">
      <c r="B151" s="38" t="s">
        <v>277</v>
      </c>
      <c r="C151" s="378" t="s">
        <v>278</v>
      </c>
      <c r="D151" s="379"/>
      <c r="E151" s="380"/>
      <c r="F151" s="288">
        <f>(SUBTOTAL(9,F152:F155)/(4*4))*100</f>
        <v>56.25</v>
      </c>
      <c r="G151" s="45"/>
      <c r="H151" s="7"/>
    </row>
    <row r="152" spans="2:8" ht="25.5">
      <c r="B152" s="6"/>
      <c r="C152" s="5" t="s">
        <v>74</v>
      </c>
      <c r="D152" s="44" t="s">
        <v>279</v>
      </c>
      <c r="E152" s="4"/>
      <c r="F152" s="41">
        <v>3</v>
      </c>
      <c r="G152" s="46" t="s">
        <v>280</v>
      </c>
      <c r="H152" s="3"/>
    </row>
    <row r="153" spans="2:8" ht="38.25">
      <c r="B153" s="6"/>
      <c r="C153" s="5" t="s">
        <v>77</v>
      </c>
      <c r="D153" s="44" t="s">
        <v>281</v>
      </c>
      <c r="E153" s="4"/>
      <c r="F153" s="41">
        <v>2</v>
      </c>
      <c r="G153" s="46" t="s">
        <v>282</v>
      </c>
      <c r="H153" s="3"/>
    </row>
    <row r="154" spans="2:8" ht="38.25">
      <c r="B154" s="6"/>
      <c r="C154" s="5" t="s">
        <v>80</v>
      </c>
      <c r="D154" s="44" t="s">
        <v>283</v>
      </c>
      <c r="E154" s="4"/>
      <c r="F154" s="41">
        <v>2</v>
      </c>
      <c r="G154" s="46" t="s">
        <v>284</v>
      </c>
      <c r="H154" s="3"/>
    </row>
    <row r="155" spans="2:8" ht="22.5" customHeight="1">
      <c r="B155" s="6"/>
      <c r="C155" s="5" t="s">
        <v>88</v>
      </c>
      <c r="D155" s="44" t="s">
        <v>285</v>
      </c>
      <c r="E155" s="4"/>
      <c r="F155" s="41">
        <v>2</v>
      </c>
      <c r="G155" s="46" t="s">
        <v>286</v>
      </c>
      <c r="H155" s="3"/>
    </row>
    <row r="156" spans="2:8" ht="15" customHeight="1">
      <c r="B156" s="71">
        <f>COUNTIF(C134:C155,"?.")</f>
        <v>18</v>
      </c>
      <c r="C156" s="350" t="s">
        <v>0</v>
      </c>
      <c r="D156" s="351"/>
      <c r="E156" s="352">
        <f>SUBTOTAL(9,F134:F155)</f>
        <v>44</v>
      </c>
      <c r="F156" s="353"/>
      <c r="G156" s="72"/>
      <c r="H156" s="73"/>
    </row>
    <row r="157" spans="2:8" ht="15.75">
      <c r="B157" s="346" t="str">
        <f>"NKT Manajerial (Nilai Kinerja Tahunan)"</f>
        <v>NKT Manajerial (Nilai Kinerja Tahunan)</v>
      </c>
      <c r="C157" s="347"/>
      <c r="D157" s="347"/>
      <c r="E157" s="348">
        <f>E156/(B156*4)*100</f>
        <v>61.111111111111114</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66.666666666666657</v>
      </c>
      <c r="G163" s="45"/>
      <c r="H163" s="7"/>
    </row>
    <row r="164" spans="2:8" ht="51" customHeight="1">
      <c r="B164" s="6"/>
      <c r="C164" s="5" t="s">
        <v>74</v>
      </c>
      <c r="D164" s="44" t="s">
        <v>288</v>
      </c>
      <c r="E164" s="4"/>
      <c r="F164" s="41">
        <v>3</v>
      </c>
      <c r="G164" s="46" t="s">
        <v>308</v>
      </c>
      <c r="H164" s="3"/>
    </row>
    <row r="165" spans="2:8" ht="42" customHeight="1">
      <c r="B165" s="6"/>
      <c r="C165" s="5" t="s">
        <v>77</v>
      </c>
      <c r="D165" s="44" t="s">
        <v>317</v>
      </c>
      <c r="E165" s="4"/>
      <c r="F165" s="41">
        <v>3</v>
      </c>
      <c r="G165" s="46" t="s">
        <v>289</v>
      </c>
      <c r="H165" s="3"/>
    </row>
    <row r="166" spans="2:8" ht="38.25">
      <c r="B166" s="6"/>
      <c r="C166" s="5" t="s">
        <v>80</v>
      </c>
      <c r="D166" s="44" t="s">
        <v>290</v>
      </c>
      <c r="E166" s="4"/>
      <c r="F166" s="41">
        <v>2</v>
      </c>
      <c r="G166" s="46" t="s">
        <v>291</v>
      </c>
      <c r="H166" s="3"/>
    </row>
    <row r="167" spans="2:8">
      <c r="B167" s="38" t="s">
        <v>2</v>
      </c>
      <c r="C167" s="378" t="s">
        <v>292</v>
      </c>
      <c r="D167" s="379"/>
      <c r="E167" s="380"/>
      <c r="F167" s="288">
        <f>(SUBTOTAL(9,F168:F171)/(4*4))*100</f>
        <v>75</v>
      </c>
      <c r="G167" s="45"/>
      <c r="H167" s="7"/>
    </row>
    <row r="168" spans="2:8" ht="38.25">
      <c r="B168" s="6"/>
      <c r="C168" s="5" t="s">
        <v>74</v>
      </c>
      <c r="D168" s="44" t="s">
        <v>293</v>
      </c>
      <c r="E168" s="4"/>
      <c r="F168" s="41">
        <v>3</v>
      </c>
      <c r="G168" s="46" t="s">
        <v>294</v>
      </c>
      <c r="H168" s="3"/>
    </row>
    <row r="169" spans="2:8" ht="51">
      <c r="B169" s="6"/>
      <c r="C169" s="5" t="s">
        <v>77</v>
      </c>
      <c r="D169" s="44" t="s">
        <v>295</v>
      </c>
      <c r="E169" s="4"/>
      <c r="F169" s="41">
        <v>3</v>
      </c>
      <c r="G169" s="46" t="s">
        <v>296</v>
      </c>
      <c r="H169" s="3"/>
    </row>
    <row r="170" spans="2:8" ht="66.75" customHeight="1">
      <c r="B170" s="6"/>
      <c r="C170" s="5" t="s">
        <v>80</v>
      </c>
      <c r="D170" s="44" t="s">
        <v>297</v>
      </c>
      <c r="E170" s="4"/>
      <c r="F170" s="41">
        <v>3</v>
      </c>
      <c r="G170" s="46" t="s">
        <v>325</v>
      </c>
      <c r="H170" s="3"/>
    </row>
    <row r="171" spans="2:8" ht="38.25">
      <c r="B171" s="6"/>
      <c r="C171" s="5" t="s">
        <v>88</v>
      </c>
      <c r="D171" s="44" t="s">
        <v>318</v>
      </c>
      <c r="E171" s="4"/>
      <c r="F171" s="41">
        <v>3</v>
      </c>
      <c r="G171" s="46" t="s">
        <v>298</v>
      </c>
      <c r="H171" s="3"/>
    </row>
    <row r="172" spans="2:8">
      <c r="B172" s="38" t="s">
        <v>1</v>
      </c>
      <c r="C172" s="378" t="s">
        <v>299</v>
      </c>
      <c r="D172" s="379"/>
      <c r="E172" s="380"/>
      <c r="F172" s="288">
        <f>(SUBTOTAL(9,F173:F176)/(4*4))*100</f>
        <v>75</v>
      </c>
      <c r="G172" s="45"/>
      <c r="H172" s="7"/>
    </row>
    <row r="173" spans="2:8" ht="25.5">
      <c r="B173" s="6"/>
      <c r="C173" s="5" t="s">
        <v>74</v>
      </c>
      <c r="D173" s="44" t="s">
        <v>300</v>
      </c>
      <c r="E173" s="4"/>
      <c r="F173" s="41">
        <v>3</v>
      </c>
      <c r="G173" s="46" t="s">
        <v>301</v>
      </c>
      <c r="H173" s="3"/>
    </row>
    <row r="174" spans="2:8" ht="27" customHeight="1">
      <c r="B174" s="6"/>
      <c r="C174" s="5" t="s">
        <v>77</v>
      </c>
      <c r="D174" s="44" t="s">
        <v>302</v>
      </c>
      <c r="E174" s="4"/>
      <c r="F174" s="41">
        <v>3</v>
      </c>
      <c r="G174" s="46" t="s">
        <v>303</v>
      </c>
      <c r="H174" s="3"/>
    </row>
    <row r="175" spans="2:8" ht="38.25">
      <c r="B175" s="6"/>
      <c r="C175" s="5" t="s">
        <v>80</v>
      </c>
      <c r="D175" s="44" t="s">
        <v>304</v>
      </c>
      <c r="E175" s="4"/>
      <c r="F175" s="41">
        <v>3</v>
      </c>
      <c r="G175" s="46" t="s">
        <v>305</v>
      </c>
      <c r="H175" s="3"/>
    </row>
    <row r="176" spans="2:8" ht="63.75">
      <c r="B176" s="6"/>
      <c r="C176" s="66" t="s">
        <v>88</v>
      </c>
      <c r="D176" s="67" t="s">
        <v>306</v>
      </c>
      <c r="E176" s="68"/>
      <c r="F176" s="41">
        <v>3</v>
      </c>
      <c r="G176" s="69" t="s">
        <v>307</v>
      </c>
      <c r="H176" s="70"/>
    </row>
    <row r="177" spans="1:8" ht="15" customHeight="1">
      <c r="B177" s="71">
        <f>COUNTIF(C164:C176,"?.")</f>
        <v>11</v>
      </c>
      <c r="C177" s="350" t="s">
        <v>0</v>
      </c>
      <c r="D177" s="351"/>
      <c r="E177" s="352">
        <f>SUBTOTAL(9,F164:F176)</f>
        <v>32</v>
      </c>
      <c r="F177" s="353"/>
      <c r="G177" s="72"/>
      <c r="H177" s="73"/>
    </row>
    <row r="178" spans="1:8" ht="15.75">
      <c r="B178" s="346" t="str">
        <f>"NKT Supervisi (Nilai Kinerja Tahunan)"</f>
        <v>NKT Supervisi (Nilai Kinerja Tahunan)</v>
      </c>
      <c r="C178" s="347"/>
      <c r="D178" s="347"/>
      <c r="E178" s="348">
        <f>E177/(B177*4)*100</f>
        <v>72.727272727272734</v>
      </c>
      <c r="F178" s="349"/>
      <c r="G178" s="47"/>
      <c r="H178" s="2"/>
    </row>
    <row r="179" spans="1:8"/>
    <row r="180" spans="1:8" ht="42" hidden="1" customHeight="1">
      <c r="A180" s="55"/>
    </row>
    <row r="181" spans="1:8" ht="23.25" hidden="1">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hidden="1" customHeight="1"/>
    <row r="186" spans="1:8" ht="18" hidden="1">
      <c r="B186" s="365" t="s">
        <v>416</v>
      </c>
      <c r="C186" s="366"/>
      <c r="D186" s="366"/>
      <c r="E186" s="366"/>
      <c r="F186" s="367"/>
      <c r="G186" s="48"/>
      <c r="H186" s="49"/>
    </row>
    <row r="187" spans="1:8" s="1" customFormat="1" ht="17.25" hidden="1" customHeight="1">
      <c r="B187" s="368" t="s">
        <v>19</v>
      </c>
      <c r="C187" s="370" t="s">
        <v>18</v>
      </c>
      <c r="D187" s="371"/>
      <c r="E187" s="374" t="s">
        <v>17</v>
      </c>
      <c r="F187" s="375"/>
      <c r="G187" s="361" t="s">
        <v>16</v>
      </c>
      <c r="H187" s="362"/>
    </row>
    <row r="188" spans="1:8" hidden="1">
      <c r="B188" s="369"/>
      <c r="C188" s="372"/>
      <c r="D188" s="373"/>
      <c r="E188" s="40" t="s">
        <v>129</v>
      </c>
      <c r="F188" s="39" t="s">
        <v>392</v>
      </c>
      <c r="G188" s="363"/>
      <c r="H188" s="364"/>
    </row>
    <row r="189" spans="1:8" s="1" customFormat="1" ht="14.25" hidden="1">
      <c r="B189" s="8" t="s">
        <v>352</v>
      </c>
      <c r="C189" s="358" t="s">
        <v>351</v>
      </c>
      <c r="D189" s="358"/>
      <c r="E189" s="358"/>
      <c r="F189" s="289" t="str">
        <f ca="1">IF(INT($A$1)&gt;3,(SUBTOTAL(9,F190:F190)/(4*1))*100,"")</f>
        <v/>
      </c>
      <c r="G189" s="359"/>
      <c r="H189" s="360"/>
    </row>
    <row r="190" spans="1:8" s="1" customFormat="1" ht="57.75" hidden="1" customHeight="1">
      <c r="B190" s="6"/>
      <c r="C190" s="5"/>
      <c r="D190" s="64" t="s">
        <v>354</v>
      </c>
      <c r="E190" s="4"/>
      <c r="F190" s="41"/>
      <c r="G190" s="356"/>
      <c r="H190" s="357"/>
    </row>
    <row r="191" spans="1:8" s="1" customFormat="1" ht="14.25" hidden="1">
      <c r="B191" s="8" t="s">
        <v>355</v>
      </c>
      <c r="C191" s="358" t="s">
        <v>353</v>
      </c>
      <c r="D191" s="358"/>
      <c r="E191" s="358"/>
      <c r="F191" s="289" t="str">
        <f ca="1">IF(INT($A$1)&gt;3,(SUBTOTAL(9,F192:F192)/(4*1))*100,"")</f>
        <v/>
      </c>
      <c r="G191" s="359"/>
      <c r="H191" s="360"/>
    </row>
    <row r="192" spans="1:8" s="1" customFormat="1" ht="57.75" hidden="1" customHeight="1">
      <c r="B192" s="6"/>
      <c r="C192" s="5"/>
      <c r="D192" s="64" t="s">
        <v>354</v>
      </c>
      <c r="E192" s="4"/>
      <c r="F192" s="41"/>
      <c r="G192" s="356"/>
      <c r="H192" s="357"/>
    </row>
    <row r="193" spans="2:14" ht="15" hidden="1" customHeight="1">
      <c r="B193" s="71">
        <v>2</v>
      </c>
      <c r="C193" s="350" t="s">
        <v>0</v>
      </c>
      <c r="D193" s="351"/>
      <c r="E193" s="352">
        <f ca="1">IF(INT($A$1)&gt;3,SUBTOTAL(9,F190:F192),0)</f>
        <v>0</v>
      </c>
      <c r="F193" s="353"/>
      <c r="G193" s="72"/>
      <c r="H193" s="73"/>
    </row>
    <row r="194" spans="2:14" ht="15.75" hidden="1" customHeight="1">
      <c r="B194" s="346" t="s">
        <v>398</v>
      </c>
      <c r="C194" s="347"/>
      <c r="D194" s="347"/>
      <c r="E194" s="348">
        <f ca="1">E193/(B193*4)*100</f>
        <v>0</v>
      </c>
      <c r="F194" s="349"/>
      <c r="G194" s="47"/>
      <c r="H194" s="2"/>
    </row>
    <row r="195" spans="2:14" hidden="1"/>
    <row r="196" spans="2:14" hidden="1"/>
    <row r="197" spans="2:14" ht="18" hidden="1">
      <c r="B197" s="365" t="s">
        <v>417</v>
      </c>
      <c r="C197" s="366"/>
      <c r="D197" s="366"/>
      <c r="E197" s="366"/>
      <c r="F197" s="367"/>
      <c r="G197" s="48"/>
      <c r="H197" s="49"/>
    </row>
    <row r="198" spans="2:14" s="1" customFormat="1" ht="17.25" hidden="1" customHeight="1">
      <c r="B198" s="368" t="s">
        <v>19</v>
      </c>
      <c r="C198" s="370" t="s">
        <v>18</v>
      </c>
      <c r="D198" s="371"/>
      <c r="E198" s="374" t="s">
        <v>17</v>
      </c>
      <c r="F198" s="375"/>
      <c r="G198" s="361" t="s">
        <v>16</v>
      </c>
      <c r="H198" s="362"/>
    </row>
    <row r="199" spans="2:14" hidden="1">
      <c r="B199" s="369"/>
      <c r="C199" s="372"/>
      <c r="D199" s="373"/>
      <c r="E199" s="40" t="s">
        <v>129</v>
      </c>
      <c r="F199" s="39" t="s">
        <v>392</v>
      </c>
      <c r="G199" s="363"/>
      <c r="H199" s="364"/>
    </row>
    <row r="200" spans="2:14" s="1" customFormat="1" ht="14.25" hidden="1">
      <c r="B200" s="8" t="s">
        <v>356</v>
      </c>
      <c r="C200" s="358" t="s">
        <v>357</v>
      </c>
      <c r="D200" s="358"/>
      <c r="E200" s="358"/>
      <c r="F200" s="289" t="str">
        <f ca="1">IF(INT($A$1)&gt;3,(SUBTOTAL(9,F201:F201)/(4*1))*100,"")</f>
        <v/>
      </c>
      <c r="G200" s="359"/>
      <c r="H200" s="360"/>
    </row>
    <row r="201" spans="2:14" s="1" customFormat="1" ht="57.75" hidden="1" customHeight="1">
      <c r="B201" s="6"/>
      <c r="C201" s="5"/>
      <c r="D201" s="64" t="s">
        <v>354</v>
      </c>
      <c r="E201" s="4"/>
      <c r="F201" s="41"/>
      <c r="G201" s="356"/>
      <c r="H201" s="357"/>
      <c r="N201" s="1" t="s">
        <v>10</v>
      </c>
    </row>
    <row r="202" spans="2:14" s="1" customFormat="1" ht="14.25" hidden="1">
      <c r="B202" s="8" t="s">
        <v>360</v>
      </c>
      <c r="C202" s="358" t="s">
        <v>358</v>
      </c>
      <c r="D202" s="358"/>
      <c r="E202" s="358"/>
      <c r="F202" s="289" t="str">
        <f ca="1">IF(INT($A$1)&gt;3,(SUBTOTAL(9,F203:F203)/(4*1))*100,"")</f>
        <v/>
      </c>
      <c r="G202" s="359"/>
      <c r="H202" s="360"/>
    </row>
    <row r="203" spans="2:14" s="1" customFormat="1" ht="57.75" hidden="1" customHeight="1">
      <c r="B203" s="6"/>
      <c r="C203" s="5"/>
      <c r="D203" s="64" t="s">
        <v>359</v>
      </c>
      <c r="E203" s="4"/>
      <c r="F203" s="41"/>
      <c r="G203" s="356"/>
      <c r="H203" s="357"/>
    </row>
    <row r="204" spans="2:14" ht="15" hidden="1" customHeight="1">
      <c r="B204" s="71">
        <v>2</v>
      </c>
      <c r="C204" s="350" t="s">
        <v>0</v>
      </c>
      <c r="D204" s="351"/>
      <c r="E204" s="352">
        <f ca="1">IF(INT($A$1)&gt;3,SUBTOTAL(9,F201:F203),0)</f>
        <v>0</v>
      </c>
      <c r="F204" s="353"/>
      <c r="G204" s="72"/>
      <c r="H204" s="73"/>
    </row>
    <row r="205" spans="2:14" ht="15.75" hidden="1" customHeight="1">
      <c r="B205" s="346" t="s">
        <v>397</v>
      </c>
      <c r="C205" s="347"/>
      <c r="D205" s="347"/>
      <c r="E205" s="348">
        <f ca="1">E204/(B204*4)*100</f>
        <v>0</v>
      </c>
      <c r="F205" s="349"/>
      <c r="G205" s="47"/>
      <c r="H205" s="2"/>
    </row>
    <row r="206" spans="2:14" hidden="1"/>
    <row r="207" spans="2:14" hidden="1"/>
    <row r="208" spans="2:14" ht="18" hidden="1">
      <c r="B208" s="365" t="s">
        <v>418</v>
      </c>
      <c r="C208" s="366"/>
      <c r="D208" s="366"/>
      <c r="E208" s="366"/>
      <c r="F208" s="367"/>
      <c r="G208" s="48"/>
      <c r="H208" s="49"/>
    </row>
    <row r="209" spans="2:8" s="1" customFormat="1" ht="17.25" hidden="1" customHeight="1">
      <c r="B209" s="368" t="s">
        <v>19</v>
      </c>
      <c r="C209" s="370" t="s">
        <v>18</v>
      </c>
      <c r="D209" s="371"/>
      <c r="E209" s="374" t="s">
        <v>17</v>
      </c>
      <c r="F209" s="375"/>
      <c r="G209" s="361" t="s">
        <v>16</v>
      </c>
      <c r="H209" s="362"/>
    </row>
    <row r="210" spans="2:8" hidden="1">
      <c r="B210" s="369"/>
      <c r="C210" s="372"/>
      <c r="D210" s="373"/>
      <c r="E210" s="40" t="s">
        <v>129</v>
      </c>
      <c r="F210" s="39" t="s">
        <v>392</v>
      </c>
      <c r="G210" s="363"/>
      <c r="H210" s="364"/>
    </row>
    <row r="211" spans="2:8" s="1" customFormat="1" ht="14.25" hidden="1">
      <c r="B211" s="8" t="s">
        <v>363</v>
      </c>
      <c r="C211" s="358" t="s">
        <v>361</v>
      </c>
      <c r="D211" s="358"/>
      <c r="E211" s="358"/>
      <c r="F211" s="289" t="str">
        <f ca="1">IF(INT($A$1)&gt;3,(SUBTOTAL(9,F212:F212)/(4*1))*100,"")</f>
        <v/>
      </c>
      <c r="G211" s="359"/>
      <c r="H211" s="360"/>
    </row>
    <row r="212" spans="2:8" s="1" customFormat="1" ht="57.75" hidden="1" customHeight="1">
      <c r="B212" s="6"/>
      <c r="C212" s="5"/>
      <c r="D212" s="64" t="s">
        <v>362</v>
      </c>
      <c r="E212" s="4"/>
      <c r="F212" s="41"/>
      <c r="G212" s="356"/>
      <c r="H212" s="357"/>
    </row>
    <row r="213" spans="2:8" s="1" customFormat="1" ht="14.25" hidden="1">
      <c r="B213" s="8" t="s">
        <v>364</v>
      </c>
      <c r="C213" s="358" t="s">
        <v>366</v>
      </c>
      <c r="D213" s="358"/>
      <c r="E213" s="358"/>
      <c r="F213" s="289" t="str">
        <f ca="1">IF(INT($A$1)&gt;3,(SUBTOTAL(9,F214:F214)/(4*1))*100,"")</f>
        <v/>
      </c>
      <c r="G213" s="359"/>
      <c r="H213" s="360"/>
    </row>
    <row r="214" spans="2:8" s="1" customFormat="1" ht="57.75" hidden="1" customHeight="1">
      <c r="B214" s="6"/>
      <c r="C214" s="5"/>
      <c r="D214" s="64" t="s">
        <v>365</v>
      </c>
      <c r="E214" s="4"/>
      <c r="F214" s="41"/>
      <c r="G214" s="356"/>
      <c r="H214" s="357"/>
    </row>
    <row r="215" spans="2:8" s="1" customFormat="1" ht="14.25" hidden="1">
      <c r="B215" s="8" t="s">
        <v>364</v>
      </c>
      <c r="C215" s="358" t="s">
        <v>367</v>
      </c>
      <c r="D215" s="358"/>
      <c r="E215" s="358"/>
      <c r="F215" s="289" t="str">
        <f ca="1">IF(INT($A$1)&gt;3,(SUBTOTAL(9,F216:F216)/(4*1))*100,"")</f>
        <v/>
      </c>
      <c r="G215" s="359"/>
      <c r="H215" s="360"/>
    </row>
    <row r="216" spans="2:8" s="1" customFormat="1" ht="57.75" hidden="1" customHeight="1">
      <c r="B216" s="6"/>
      <c r="C216" s="5"/>
      <c r="D216" s="64" t="s">
        <v>362</v>
      </c>
      <c r="E216" s="4"/>
      <c r="F216" s="41"/>
      <c r="G216" s="356"/>
      <c r="H216" s="357"/>
    </row>
    <row r="217" spans="2:8" ht="15" hidden="1" customHeight="1">
      <c r="B217" s="71">
        <v>3</v>
      </c>
      <c r="C217" s="350" t="s">
        <v>0</v>
      </c>
      <c r="D217" s="351"/>
      <c r="E217" s="352">
        <f ca="1">IF(INT($A$1)&gt;3,SUBTOTAL(9,F212:F216),0)</f>
        <v>0</v>
      </c>
      <c r="F217" s="353"/>
      <c r="G217" s="72"/>
      <c r="H217" s="73"/>
    </row>
    <row r="218" spans="2:8" ht="15.75" hidden="1" customHeight="1">
      <c r="B218" s="346" t="s">
        <v>399</v>
      </c>
      <c r="C218" s="347"/>
      <c r="D218" s="347"/>
      <c r="E218" s="348">
        <f ca="1">E217/(B217*4)*100</f>
        <v>0</v>
      </c>
      <c r="F218" s="349"/>
      <c r="G218" s="47"/>
      <c r="H218" s="2"/>
    </row>
    <row r="219" spans="2:8" hidden="1"/>
    <row r="220" spans="2:8" hidden="1"/>
    <row r="221" spans="2:8" ht="18" hidden="1">
      <c r="B221" s="365" t="s">
        <v>419</v>
      </c>
      <c r="C221" s="366"/>
      <c r="D221" s="366"/>
      <c r="E221" s="366"/>
      <c r="F221" s="367"/>
      <c r="G221" s="48"/>
      <c r="H221" s="49"/>
    </row>
    <row r="222" spans="2:8" s="1" customFormat="1" ht="17.25" hidden="1" customHeight="1">
      <c r="B222" s="368" t="s">
        <v>19</v>
      </c>
      <c r="C222" s="370" t="s">
        <v>18</v>
      </c>
      <c r="D222" s="371"/>
      <c r="E222" s="374" t="s">
        <v>17</v>
      </c>
      <c r="F222" s="375"/>
      <c r="G222" s="361" t="s">
        <v>16</v>
      </c>
      <c r="H222" s="362"/>
    </row>
    <row r="223" spans="2:8" hidden="1">
      <c r="B223" s="369"/>
      <c r="C223" s="372"/>
      <c r="D223" s="373"/>
      <c r="E223" s="40" t="s">
        <v>129</v>
      </c>
      <c r="F223" s="39" t="s">
        <v>392</v>
      </c>
      <c r="G223" s="363"/>
      <c r="H223" s="364"/>
    </row>
    <row r="224" spans="2:8" s="1" customFormat="1" ht="14.25" hidden="1">
      <c r="B224" s="8" t="s">
        <v>371</v>
      </c>
      <c r="C224" s="358" t="s">
        <v>368</v>
      </c>
      <c r="D224" s="358"/>
      <c r="E224" s="358"/>
      <c r="F224" s="289" t="str">
        <f ca="1">IF(INT($A$1)&gt;3,(SUBTOTAL(9,F225:F225)/(4*1))*100,"")</f>
        <v/>
      </c>
      <c r="G224" s="359"/>
      <c r="H224" s="360"/>
    </row>
    <row r="225" spans="2:8" s="1" customFormat="1" ht="57.75" hidden="1" customHeight="1">
      <c r="B225" s="6"/>
      <c r="C225" s="5"/>
      <c r="D225" s="64" t="s">
        <v>369</v>
      </c>
      <c r="E225" s="4"/>
      <c r="F225" s="41"/>
      <c r="G225" s="356"/>
      <c r="H225" s="357"/>
    </row>
    <row r="226" spans="2:8" s="1" customFormat="1" ht="14.25" hidden="1">
      <c r="B226" s="8" t="s">
        <v>372</v>
      </c>
      <c r="C226" s="358" t="s">
        <v>370</v>
      </c>
      <c r="D226" s="358"/>
      <c r="E226" s="358"/>
      <c r="F226" s="289" t="str">
        <f ca="1">IF(INT($A$1)&gt;3,(SUBTOTAL(9,F227:F227)/(4*1))*100,"")</f>
        <v/>
      </c>
      <c r="G226" s="359"/>
      <c r="H226" s="360"/>
    </row>
    <row r="227" spans="2:8" s="1" customFormat="1" ht="57.75" hidden="1" customHeight="1">
      <c r="B227" s="6"/>
      <c r="C227" s="5"/>
      <c r="D227" s="64" t="s">
        <v>373</v>
      </c>
      <c r="E227" s="4"/>
      <c r="F227" s="41"/>
      <c r="G227" s="356"/>
      <c r="H227" s="357"/>
    </row>
    <row r="228" spans="2:8" s="1" customFormat="1" ht="14.25" hidden="1">
      <c r="B228" s="8" t="s">
        <v>376</v>
      </c>
      <c r="C228" s="358" t="s">
        <v>375</v>
      </c>
      <c r="D228" s="358"/>
      <c r="E228" s="358"/>
      <c r="F228" s="289" t="str">
        <f ca="1">IF(INT($A$1)&gt;3,(SUBTOTAL(9,F229:F229)/(4*1))*100,"")</f>
        <v/>
      </c>
      <c r="G228" s="359"/>
      <c r="H228" s="360"/>
    </row>
    <row r="229" spans="2:8" s="1" customFormat="1" ht="57.75" hidden="1" customHeight="1">
      <c r="B229" s="6"/>
      <c r="C229" s="5"/>
      <c r="D229" s="64" t="s">
        <v>374</v>
      </c>
      <c r="E229" s="4"/>
      <c r="F229" s="41"/>
      <c r="G229" s="356"/>
      <c r="H229" s="357"/>
    </row>
    <row r="230" spans="2:8" s="1" customFormat="1" ht="14.25" hidden="1">
      <c r="B230" s="8" t="s">
        <v>377</v>
      </c>
      <c r="C230" s="358" t="s">
        <v>380</v>
      </c>
      <c r="D230" s="358"/>
      <c r="E230" s="358"/>
      <c r="F230" s="289" t="str">
        <f ca="1">IF(INT($A$1)&gt;3,(SUBTOTAL(9,F231:F231)/(4*1))*100,"")</f>
        <v/>
      </c>
      <c r="G230" s="359"/>
      <c r="H230" s="360"/>
    </row>
    <row r="231" spans="2:8" s="1" customFormat="1" ht="57.75" hidden="1" customHeight="1">
      <c r="B231" s="6"/>
      <c r="C231" s="5"/>
      <c r="D231" s="64" t="s">
        <v>379</v>
      </c>
      <c r="E231" s="4"/>
      <c r="F231" s="41"/>
      <c r="G231" s="356"/>
      <c r="H231" s="357"/>
    </row>
    <row r="232" spans="2:8" s="1" customFormat="1" ht="14.25" hidden="1">
      <c r="B232" s="8" t="s">
        <v>378</v>
      </c>
      <c r="C232" s="358" t="s">
        <v>382</v>
      </c>
      <c r="D232" s="358"/>
      <c r="E232" s="358"/>
      <c r="F232" s="289" t="str">
        <f ca="1">IF(INT($A$1)&gt;3,(SUBTOTAL(9,F233:F233)/(4*1))*100,"")</f>
        <v/>
      </c>
      <c r="G232" s="359"/>
      <c r="H232" s="360"/>
    </row>
    <row r="233" spans="2:8" s="1" customFormat="1" ht="57.75" hidden="1" customHeight="1">
      <c r="B233" s="6"/>
      <c r="C233" s="5"/>
      <c r="D233" s="64" t="s">
        <v>381</v>
      </c>
      <c r="E233" s="4"/>
      <c r="F233" s="41"/>
      <c r="G233" s="356"/>
      <c r="H233" s="357"/>
    </row>
    <row r="234" spans="2:8" s="1" customFormat="1" ht="14.25" hidden="1">
      <c r="B234" s="8" t="s">
        <v>470</v>
      </c>
      <c r="C234" s="358" t="s">
        <v>472</v>
      </c>
      <c r="D234" s="358"/>
      <c r="E234" s="358"/>
      <c r="F234" s="289" t="str">
        <f ca="1">IF(INT($A$1)&gt;3,(SUBTOTAL(9,F235:F235)/(4*1))*100,"")</f>
        <v/>
      </c>
      <c r="G234" s="359"/>
      <c r="H234" s="360"/>
    </row>
    <row r="235" spans="2:8" s="1" customFormat="1" ht="89.25" hidden="1">
      <c r="B235" s="6"/>
      <c r="C235" s="5"/>
      <c r="D235" s="64" t="s">
        <v>475</v>
      </c>
      <c r="E235" s="4"/>
      <c r="F235" s="41"/>
      <c r="G235" s="356"/>
      <c r="H235" s="357"/>
    </row>
    <row r="236" spans="2:8" s="1" customFormat="1" ht="14.25" hidden="1">
      <c r="B236" s="8" t="s">
        <v>471</v>
      </c>
      <c r="C236" s="358" t="s">
        <v>473</v>
      </c>
      <c r="D236" s="358"/>
      <c r="E236" s="358"/>
      <c r="F236" s="289" t="str">
        <f ca="1">IF(INT($A$1)&gt;3,(SUBTOTAL(9,F237:F237)/(4*1))*100,"")</f>
        <v/>
      </c>
      <c r="G236" s="359"/>
      <c r="H236" s="360"/>
    </row>
    <row r="237" spans="2:8" s="1" customFormat="1" ht="140.25" hidden="1">
      <c r="B237" s="6"/>
      <c r="C237" s="5"/>
      <c r="D237" s="64" t="s">
        <v>476</v>
      </c>
      <c r="E237" s="4"/>
      <c r="F237" s="41"/>
      <c r="G237" s="356"/>
      <c r="H237" s="357"/>
    </row>
    <row r="238" spans="2:8" ht="15" hidden="1" customHeight="1">
      <c r="B238" s="71">
        <v>7</v>
      </c>
      <c r="C238" s="350" t="s">
        <v>0</v>
      </c>
      <c r="D238" s="351"/>
      <c r="E238" s="352">
        <f ca="1">IF(INT($A$1)&gt;3,SUBTOTAL(9,F225:F237),0)</f>
        <v>0</v>
      </c>
      <c r="F238" s="353"/>
      <c r="G238" s="72"/>
      <c r="H238" s="73"/>
    </row>
    <row r="239" spans="2:8" ht="15.75" hidden="1" customHeight="1">
      <c r="B239" s="346" t="s">
        <v>400</v>
      </c>
      <c r="C239" s="347"/>
      <c r="D239" s="347"/>
      <c r="E239" s="348">
        <f ca="1">E238/(B238*4)*100</f>
        <v>0</v>
      </c>
      <c r="F239" s="349"/>
      <c r="G239" s="47"/>
      <c r="H239" s="2"/>
    </row>
    <row r="240" spans="2:8" ht="15.75" hidden="1" customHeight="1"/>
    <row r="241" spans="2:8" ht="15" hidden="1" customHeight="1"/>
    <row r="242" spans="2:8" ht="15" hidden="1" customHeight="1">
      <c r="B242" s="71">
        <f>SUM(B10:B177)</f>
        <v>115</v>
      </c>
      <c r="C242" s="350" t="s">
        <v>436</v>
      </c>
      <c r="D242" s="351"/>
      <c r="E242" s="352">
        <f ca="1">IF(A1=4,SUBTOTAL(9,F1:F237),SUBTOTAL(9,F1:F176))</f>
        <v>322</v>
      </c>
      <c r="F242" s="353"/>
      <c r="G242" s="72"/>
      <c r="H242" s="73"/>
    </row>
    <row r="243" spans="2:8" ht="15.75" hidden="1" customHeight="1">
      <c r="B243" s="90">
        <f>B242+SUM(B192:B238)</f>
        <v>129</v>
      </c>
      <c r="C243" s="354" t="str">
        <f ca="1">IF(A1="4","Total NKET (Nilai Kinerja 4 Tahunan)","Total NKT (Nilai Kinerja Tahunan)"&amp;" Tahun Ke : " &amp; A1)</f>
        <v>Total NKT (Nilai Kinerja Tahunan) Tahun Ke : 1</v>
      </c>
      <c r="D243" s="355"/>
      <c r="E243" s="348">
        <f ca="1">IF(A1="4",E242/(B243*4)*100,E242/(B242*4)*100)</f>
        <v>70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G8:G9"/>
    <mergeCell ref="H8:H9"/>
    <mergeCell ref="C10:E10"/>
    <mergeCell ref="C14:E14"/>
    <mergeCell ref="C19:E19"/>
    <mergeCell ref="C22:E22"/>
    <mergeCell ref="C27:E27"/>
    <mergeCell ref="C31:E31"/>
    <mergeCell ref="B7:F7"/>
    <mergeCell ref="B8:B9"/>
    <mergeCell ref="C8:D9"/>
    <mergeCell ref="E8:F8"/>
    <mergeCell ref="B46:B47"/>
    <mergeCell ref="C46:D47"/>
    <mergeCell ref="E46:F46"/>
    <mergeCell ref="G46:G47"/>
    <mergeCell ref="H46:H47"/>
    <mergeCell ref="C48:E48"/>
    <mergeCell ref="C36:E36"/>
    <mergeCell ref="C41:D41"/>
    <mergeCell ref="E41:F41"/>
    <mergeCell ref="B42:D42"/>
    <mergeCell ref="E42:F42"/>
    <mergeCell ref="B45:F45"/>
    <mergeCell ref="C82:E82"/>
    <mergeCell ref="C86:E86"/>
    <mergeCell ref="C91:E91"/>
    <mergeCell ref="C97:E97"/>
    <mergeCell ref="C102:E102"/>
    <mergeCell ref="C107:E107"/>
    <mergeCell ref="C53:E53"/>
    <mergeCell ref="C57:E57"/>
    <mergeCell ref="C62:E62"/>
    <mergeCell ref="C67:E67"/>
    <mergeCell ref="C72:E72"/>
    <mergeCell ref="C77:E77"/>
    <mergeCell ref="G131:G132"/>
    <mergeCell ref="H131:H132"/>
    <mergeCell ref="C112:E112"/>
    <mergeCell ref="C117:E117"/>
    <mergeCell ref="C121:E121"/>
    <mergeCell ref="C126:D126"/>
    <mergeCell ref="E126:F126"/>
    <mergeCell ref="B127:D127"/>
    <mergeCell ref="E127:F127"/>
    <mergeCell ref="C133:E133"/>
    <mergeCell ref="C138:E138"/>
    <mergeCell ref="C143:E143"/>
    <mergeCell ref="C147:E147"/>
    <mergeCell ref="C151:E151"/>
    <mergeCell ref="C156:D156"/>
    <mergeCell ref="E156:F156"/>
    <mergeCell ref="B130:F130"/>
    <mergeCell ref="B131:B132"/>
    <mergeCell ref="C131:D132"/>
    <mergeCell ref="E131:F131"/>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G187:H188"/>
    <mergeCell ref="C189:E189"/>
    <mergeCell ref="G189:H189"/>
    <mergeCell ref="G190:H190"/>
    <mergeCell ref="C191:E191"/>
    <mergeCell ref="G191:H191"/>
    <mergeCell ref="B178:D178"/>
    <mergeCell ref="E178:F178"/>
    <mergeCell ref="B186:F186"/>
    <mergeCell ref="B187:B188"/>
    <mergeCell ref="C187:D188"/>
    <mergeCell ref="E187:F187"/>
    <mergeCell ref="B198:B199"/>
    <mergeCell ref="C198:D199"/>
    <mergeCell ref="E198:F198"/>
    <mergeCell ref="G198:H199"/>
    <mergeCell ref="C200:E200"/>
    <mergeCell ref="G200:H200"/>
    <mergeCell ref="G192:H192"/>
    <mergeCell ref="C193:D193"/>
    <mergeCell ref="E193:F193"/>
    <mergeCell ref="B194:D194"/>
    <mergeCell ref="E194:F194"/>
    <mergeCell ref="B197:F197"/>
    <mergeCell ref="B205:D205"/>
    <mergeCell ref="E205:F205"/>
    <mergeCell ref="B208:F208"/>
    <mergeCell ref="B209:B210"/>
    <mergeCell ref="C209:D210"/>
    <mergeCell ref="E209:F209"/>
    <mergeCell ref="G201:H201"/>
    <mergeCell ref="C202:E202"/>
    <mergeCell ref="G202:H202"/>
    <mergeCell ref="G203:H203"/>
    <mergeCell ref="C204:D204"/>
    <mergeCell ref="E204:F204"/>
    <mergeCell ref="G214:H214"/>
    <mergeCell ref="C215:E215"/>
    <mergeCell ref="G215:H215"/>
    <mergeCell ref="G216:H216"/>
    <mergeCell ref="C217:D217"/>
    <mergeCell ref="E217:F217"/>
    <mergeCell ref="G209:H210"/>
    <mergeCell ref="C211:E211"/>
    <mergeCell ref="G211:H211"/>
    <mergeCell ref="G212:H212"/>
    <mergeCell ref="C213:E213"/>
    <mergeCell ref="G213:H213"/>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31:H231"/>
    <mergeCell ref="C232:E232"/>
    <mergeCell ref="G232:H232"/>
    <mergeCell ref="G233:H233"/>
    <mergeCell ref="C234:E234"/>
    <mergeCell ref="G234:H234"/>
    <mergeCell ref="G227:H227"/>
    <mergeCell ref="C228:E228"/>
    <mergeCell ref="G228:H228"/>
    <mergeCell ref="G229:H229"/>
    <mergeCell ref="C230:E230"/>
    <mergeCell ref="G230:H230"/>
    <mergeCell ref="B239:D239"/>
    <mergeCell ref="E239:F239"/>
    <mergeCell ref="C242:D242"/>
    <mergeCell ref="E242:F242"/>
    <mergeCell ref="C243:D243"/>
    <mergeCell ref="E243:F243"/>
    <mergeCell ref="G235:H235"/>
    <mergeCell ref="C236:E236"/>
    <mergeCell ref="G236:H236"/>
    <mergeCell ref="G237:H237"/>
    <mergeCell ref="C238:D238"/>
    <mergeCell ref="E238:F238"/>
  </mergeCells>
  <conditionalFormatting sqref="A180:I240">
    <cfRule type="expression" dxfId="570" priority="2">
      <formula>IF($A$1="4",FALSE,TRUE)</formula>
    </cfRule>
  </conditionalFormatting>
  <conditionalFormatting sqref="A234:XFD234 A236:XFD236 G235:XFD235 A237:E237 G237:XFD237 A235:E235">
    <cfRule type="expression" dxfId="569"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xl/worksheets/sheet5.xml><?xml version="1.0" encoding="utf-8"?>
<worksheet xmlns="http://schemas.openxmlformats.org/spreadsheetml/2006/main" xmlns:r="http://schemas.openxmlformats.org/officeDocument/2006/relationships">
  <sheetPr>
    <tabColor rgb="FFFFC000"/>
    <pageSetUpPr fitToPage="1"/>
  </sheetPr>
  <dimension ref="A1:X101"/>
  <sheetViews>
    <sheetView showGridLines="0" topLeftCell="A68" workbookViewId="0">
      <selection activeCell="F92" sqref="F92"/>
    </sheetView>
  </sheetViews>
  <sheetFormatPr defaultColWidth="0" defaultRowHeight="0" customHeight="1" zeroHeight="1"/>
  <cols>
    <col min="1" max="1" width="2.140625" style="153" bestFit="1" customWidth="1"/>
    <col min="2" max="2" width="3" style="153" customWidth="1"/>
    <col min="3" max="3" width="4.85546875" style="153" customWidth="1"/>
    <col min="4" max="4" width="36.5703125" style="168" bestFit="1" customWidth="1"/>
    <col min="5" max="5" width="54.85546875" style="153" customWidth="1"/>
    <col min="6" max="6" width="6.140625" style="153" bestFit="1" customWidth="1"/>
    <col min="7" max="7" width="10.85546875" style="153" customWidth="1"/>
    <col min="8" max="9" width="2.28515625" style="153" customWidth="1"/>
    <col min="10" max="11" width="2.28515625" style="153" hidden="1" customWidth="1"/>
    <col min="12" max="13" width="8.42578125" style="153" hidden="1" customWidth="1"/>
    <col min="14" max="14" width="7" style="153" hidden="1" customWidth="1"/>
    <col min="15" max="15" width="9.5703125" style="153" hidden="1" customWidth="1"/>
    <col min="16" max="16" width="7.85546875" style="284" hidden="1" customWidth="1"/>
    <col min="17" max="17" width="6.7109375" style="153" hidden="1" customWidth="1"/>
    <col min="18" max="18" width="11.5703125" style="153" hidden="1" customWidth="1"/>
    <col min="19" max="19" width="6.42578125" style="153" hidden="1" customWidth="1"/>
    <col min="20" max="20" width="6.28515625" style="153" hidden="1" customWidth="1"/>
    <col min="21" max="16384" width="9.140625" style="153" hidden="1"/>
  </cols>
  <sheetData>
    <row r="1" spans="1:16" s="169" customFormat="1" ht="15.75" hidden="1">
      <c r="A1" s="168" t="str">
        <f ca="1">RIGHT(MID(CELL("filename",A1),FIND("]",CELL("filename",A1))+1,255),1)</f>
        <v>1</v>
      </c>
      <c r="B1" s="168" t="str">
        <f ca="1">MID(CELL("filename",B1),FIND("]",CELL("filename",B1))+1,255)</f>
        <v>Form1-Pengawas-Thn-1</v>
      </c>
      <c r="C1" s="168" t="str">
        <f ca="1">MID(B1,7,LEN(B1)-6)</f>
        <v>Pengawas-Thn-1</v>
      </c>
      <c r="D1" s="168" t="str">
        <f ca="1">LEFT(C1,LEN(C1)-6)</f>
        <v>Pengawas</v>
      </c>
      <c r="E1" s="169" t="str">
        <f ca="1">A1</f>
        <v>1</v>
      </c>
      <c r="F1" s="169">
        <v>2</v>
      </c>
      <c r="G1" s="169">
        <v>3</v>
      </c>
      <c r="H1" s="169">
        <v>4</v>
      </c>
      <c r="I1" s="169">
        <v>4</v>
      </c>
      <c r="J1" s="169">
        <v>4</v>
      </c>
      <c r="K1" s="169">
        <v>4</v>
      </c>
      <c r="N1" s="169">
        <v>4</v>
      </c>
      <c r="O1" s="169">
        <v>4</v>
      </c>
      <c r="P1" s="283"/>
    </row>
    <row r="2" spans="1:16" s="169" customFormat="1" ht="15.75" hidden="1">
      <c r="A2" s="168"/>
      <c r="B2" s="168"/>
      <c r="C2" s="168"/>
      <c r="D2" s="168"/>
      <c r="P2" s="283"/>
    </row>
    <row r="3" spans="1:16" ht="15.75" hidden="1">
      <c r="C3" s="153" t="s">
        <v>59</v>
      </c>
      <c r="D3" s="153" t="s">
        <v>537</v>
      </c>
      <c r="E3" s="153" t="s">
        <v>504</v>
      </c>
      <c r="F3" s="168" t="s">
        <v>528</v>
      </c>
      <c r="G3" s="171" t="s">
        <v>531</v>
      </c>
    </row>
    <row r="4" spans="1:16" ht="15.75" hidden="1">
      <c r="C4" s="153" t="s">
        <v>14</v>
      </c>
      <c r="D4" s="153" t="str">
        <f t="shared" ref="D4:D34" si="0">VLOOKUP($C4,Tabel_IK,13,FALSE)</f>
        <v>USAHA PENGEMBANGAN MADRASAH</v>
      </c>
      <c r="E4" s="153" t="str">
        <f t="shared" ref="E4:E34" si="1">VLOOKUP($C4,Tabel_IK,14,FALSE)</f>
        <v>RKJM dan RKAM</v>
      </c>
      <c r="F4" s="172">
        <f t="shared" ref="F4:F34" ca="1" si="2">VLOOKUP($C4,Tabel_IK,3+INT($A$1),FALSE)</f>
        <v>66.666666666666657</v>
      </c>
      <c r="G4" s="173">
        <f ca="1">RANK(F4,F$4:F$34,1)+COUNTIF(F$4:F4,F4)-1</f>
        <v>10</v>
      </c>
    </row>
    <row r="5" spans="1:16" ht="15.75" hidden="1">
      <c r="C5" s="153" t="s">
        <v>13</v>
      </c>
      <c r="D5" s="153" t="str">
        <f t="shared" si="0"/>
        <v>USAHA PENGEMBANGAN MADRASAH</v>
      </c>
      <c r="E5" s="153" t="str">
        <f t="shared" si="1"/>
        <v>Pemberdayaan Organisasi Madrasah</v>
      </c>
      <c r="F5" s="172">
        <f t="shared" ca="1" si="2"/>
        <v>68.75</v>
      </c>
      <c r="G5" s="173">
        <f ca="1">RANK(F5,F$4:F$34,1)+COUNTIF(F$4:F5,F5)-1</f>
        <v>13</v>
      </c>
    </row>
    <row r="6" spans="1:16" ht="15.75" hidden="1">
      <c r="C6" s="153" t="s">
        <v>91</v>
      </c>
      <c r="D6" s="153" t="str">
        <f t="shared" si="0"/>
        <v>USAHA PENGEMBANGAN MADRASAH</v>
      </c>
      <c r="E6" s="153" t="str">
        <f t="shared" si="1"/>
        <v>Perencanaan dan Pengembangan Madrasah</v>
      </c>
      <c r="F6" s="172">
        <f t="shared" ca="1" si="2"/>
        <v>62.5</v>
      </c>
      <c r="G6" s="173">
        <f ca="1">RANK(F6,F$4:F$34,1)+COUNTIF(F$4:F6,F6)-1</f>
        <v>6</v>
      </c>
    </row>
    <row r="7" spans="1:16" ht="15.75" hidden="1">
      <c r="C7" s="153" t="s">
        <v>97</v>
      </c>
      <c r="D7" s="153" t="str">
        <f t="shared" si="0"/>
        <v>USAHA PENGEMBANGAN MADRASAH</v>
      </c>
      <c r="E7" s="153" t="str">
        <f t="shared" si="1"/>
        <v>Peningkatan Kualitas Pembelajaran</v>
      </c>
      <c r="F7" s="172">
        <f t="shared" ca="1" si="2"/>
        <v>68.75</v>
      </c>
      <c r="G7" s="173">
        <f ca="1">RANK(F7,F$4:F$34,1)+COUNTIF(F$4:F7,F7)-1</f>
        <v>14</v>
      </c>
    </row>
    <row r="8" spans="1:16" ht="15.75" hidden="1">
      <c r="C8" s="153" t="s">
        <v>103</v>
      </c>
      <c r="D8" s="153" t="str">
        <f t="shared" si="0"/>
        <v>USAHA PENGEMBANGAN MADRASAH</v>
      </c>
      <c r="E8" s="153" t="str">
        <f t="shared" si="1"/>
        <v>Monitoring dan Evaluasi</v>
      </c>
      <c r="F8" s="172">
        <f t="shared" ca="1" si="2"/>
        <v>75</v>
      </c>
      <c r="G8" s="173">
        <f ca="1">RANK(F8,F$4:F$34,1)+COUNTIF(F$4:F8,F8)-1</f>
        <v>19</v>
      </c>
    </row>
    <row r="9" spans="1:16" ht="15.75" hidden="1">
      <c r="C9" s="153" t="s">
        <v>111</v>
      </c>
      <c r="D9" s="153" t="str">
        <f t="shared" si="0"/>
        <v>USAHA PENGEMBANGAN MADRASAH</v>
      </c>
      <c r="E9" s="153" t="str">
        <f t="shared" si="1"/>
        <v>Monitoring dan Evaluasi</v>
      </c>
      <c r="F9" s="172">
        <f t="shared" ca="1" si="2"/>
        <v>68.75</v>
      </c>
      <c r="G9" s="173">
        <f ca="1">RANK(F9,F$4:F$34,1)+COUNTIF(F$4:F9,F9)-1</f>
        <v>15</v>
      </c>
    </row>
    <row r="10" spans="1:16" ht="15.75" hidden="1">
      <c r="C10" s="153" t="s">
        <v>119</v>
      </c>
      <c r="D10" s="153" t="str">
        <f t="shared" si="0"/>
        <v>USAHA PENGEMBANGAN MADRASAH</v>
      </c>
      <c r="E10" s="153" t="str">
        <f t="shared" si="1"/>
        <v>Penelitian Tindakan</v>
      </c>
      <c r="F10" s="172">
        <f t="shared" ca="1" si="2"/>
        <v>25</v>
      </c>
      <c r="G10" s="173">
        <f ca="1">RANK(F10,F$4:F$34,1)+COUNTIF(F$4:F10,F10)-1</f>
        <v>1</v>
      </c>
    </row>
    <row r="11" spans="1:16" ht="15.75" hidden="1">
      <c r="C11" s="153" t="s">
        <v>11</v>
      </c>
      <c r="D11" s="153" t="str">
        <f t="shared" si="0"/>
        <v>MANAJERIAL</v>
      </c>
      <c r="E11" s="153" t="str">
        <f t="shared" si="1"/>
        <v>RKJM dan RKAM</v>
      </c>
      <c r="F11" s="172">
        <f t="shared" ca="1" si="2"/>
        <v>68.75</v>
      </c>
      <c r="G11" s="173">
        <f ca="1">RANK(F11,F$4:F$34,1)+COUNTIF(F$4:F11,F11)-1</f>
        <v>16</v>
      </c>
    </row>
    <row r="12" spans="1:16" ht="15.75" hidden="1">
      <c r="C12" s="153" t="s">
        <v>9</v>
      </c>
      <c r="D12" s="153" t="str">
        <f t="shared" si="0"/>
        <v>MANAJERIAL</v>
      </c>
      <c r="E12" s="153" t="str">
        <f t="shared" si="1"/>
        <v>Perencanaan dan Pengembangan Madrasah</v>
      </c>
      <c r="F12" s="172">
        <f t="shared" ca="1" si="2"/>
        <v>75</v>
      </c>
      <c r="G12" s="173">
        <f ca="1">RANK(F12,F$4:F$34,1)+COUNTIF(F$4:F12,F12)-1</f>
        <v>20</v>
      </c>
    </row>
    <row r="13" spans="1:16" ht="15.75" hidden="1">
      <c r="C13" s="153" t="s">
        <v>144</v>
      </c>
      <c r="D13" s="153" t="str">
        <f t="shared" si="0"/>
        <v>MANAJERIAL</v>
      </c>
      <c r="E13" s="153" t="str">
        <f t="shared" si="1"/>
        <v>Kepemimpinan dalam Pengelolaan Sumberdaya Madrasah</v>
      </c>
      <c r="F13" s="172">
        <f t="shared" ca="1" si="2"/>
        <v>81.25</v>
      </c>
      <c r="G13" s="173">
        <f ca="1">RANK(F13,F$4:F$34,1)+COUNTIF(F$4:F13,F13)-1</f>
        <v>27</v>
      </c>
    </row>
    <row r="14" spans="1:16" ht="15.75" hidden="1">
      <c r="C14" s="153" t="s">
        <v>153</v>
      </c>
      <c r="D14" s="153" t="str">
        <f t="shared" si="0"/>
        <v>MANAJERIAL</v>
      </c>
      <c r="E14" s="153" t="str">
        <f t="shared" si="1"/>
        <v>Pengelolaan Sarana dan Prasarana</v>
      </c>
      <c r="F14" s="172">
        <f t="shared" ca="1" si="2"/>
        <v>75</v>
      </c>
      <c r="G14" s="173">
        <f ca="1">RANK(F14,F$4:F$34,1)+COUNTIF(F$4:F14,F14)-1</f>
        <v>21</v>
      </c>
    </row>
    <row r="15" spans="1:16" ht="15.75" hidden="1">
      <c r="C15" s="153" t="s">
        <v>163</v>
      </c>
      <c r="D15" s="153" t="str">
        <f t="shared" si="0"/>
        <v>MANAJERIAL</v>
      </c>
      <c r="E15" s="153" t="str">
        <f t="shared" si="1"/>
        <v>Madrasah Berwawasan Lingkungan</v>
      </c>
      <c r="F15" s="172">
        <f t="shared" ca="1" si="2"/>
        <v>93.75</v>
      </c>
      <c r="G15" s="173">
        <f ca="1">RANK(F15,F$4:F$34,1)+COUNTIF(F$4:F15,F15)-1</f>
        <v>29</v>
      </c>
    </row>
    <row r="16" spans="1:16" ht="15.75" hidden="1">
      <c r="C16" s="153" t="s">
        <v>173</v>
      </c>
      <c r="D16" s="153" t="str">
        <f t="shared" si="0"/>
        <v>MANAJERIAL</v>
      </c>
      <c r="E16" s="153" t="str">
        <f t="shared" si="1"/>
        <v>Pengelolaan Pendidikan dan Tenaga Kependidikan</v>
      </c>
      <c r="F16" s="172">
        <f t="shared" ca="1" si="2"/>
        <v>62.5</v>
      </c>
      <c r="G16" s="173">
        <f ca="1">RANK(F16,F$4:F$34,1)+COUNTIF(F$4:F16,F16)-1</f>
        <v>7</v>
      </c>
    </row>
    <row r="17" spans="3:7" ht="15.75" hidden="1">
      <c r="C17" s="153" t="s">
        <v>181</v>
      </c>
      <c r="D17" s="153" t="str">
        <f t="shared" si="0"/>
        <v>MANAJERIAL</v>
      </c>
      <c r="E17" s="153" t="str">
        <f t="shared" si="1"/>
        <v>Pengelolaan Sarana dan Prasarana</v>
      </c>
      <c r="F17" s="172">
        <f t="shared" ca="1" si="2"/>
        <v>93.75</v>
      </c>
      <c r="G17" s="173">
        <f ca="1">RANK(F17,F$4:F$34,1)+COUNTIF(F$4:F17,F17)-1</f>
        <v>30</v>
      </c>
    </row>
    <row r="18" spans="3:7" ht="15.75" hidden="1">
      <c r="C18" s="153" t="s">
        <v>189</v>
      </c>
      <c r="D18" s="153" t="str">
        <f t="shared" si="0"/>
        <v>MANAJERIAL</v>
      </c>
      <c r="E18" s="153" t="str">
        <f t="shared" si="1"/>
        <v>Kepemimpinan dalam Pengelolaan Sumberdaya Madrasah</v>
      </c>
      <c r="F18" s="172">
        <f t="shared" ca="1" si="2"/>
        <v>75</v>
      </c>
      <c r="G18" s="173">
        <f ca="1">RANK(F18,F$4:F$34,1)+COUNTIF(F$4:F18,F18)-1</f>
        <v>22</v>
      </c>
    </row>
    <row r="19" spans="3:7" ht="15.75" hidden="1">
      <c r="C19" s="153" t="s">
        <v>195</v>
      </c>
      <c r="D19" s="153" t="str">
        <f t="shared" si="0"/>
        <v>MANAJERIAL</v>
      </c>
      <c r="E19" s="153" t="str">
        <f t="shared" si="1"/>
        <v>Pengelolaan Peserta Didik Baru</v>
      </c>
      <c r="F19" s="172">
        <f t="shared" ca="1" si="2"/>
        <v>81.25</v>
      </c>
      <c r="G19" s="173">
        <f ca="1">RANK(F19,F$4:F$34,1)+COUNTIF(F$4:F19,F19)-1</f>
        <v>28</v>
      </c>
    </row>
    <row r="20" spans="3:7" ht="15.75" hidden="1">
      <c r="C20" s="153" t="s">
        <v>204</v>
      </c>
      <c r="D20" s="153" t="str">
        <f t="shared" si="0"/>
        <v>MANAJERIAL</v>
      </c>
      <c r="E20" s="153" t="str">
        <f t="shared" si="1"/>
        <v>Pengelolaan Kurikulum</v>
      </c>
      <c r="F20" s="172">
        <f t="shared" ca="1" si="2"/>
        <v>60</v>
      </c>
      <c r="G20" s="173">
        <f ca="1">RANK(F20,F$4:F$34,1)+COUNTIF(F$4:F20,F20)-1</f>
        <v>5</v>
      </c>
    </row>
    <row r="21" spans="3:7" ht="15.75" hidden="1">
      <c r="C21" s="153" t="s">
        <v>216</v>
      </c>
      <c r="D21" s="153" t="str">
        <f t="shared" si="0"/>
        <v>MANAJERIAL</v>
      </c>
      <c r="E21" s="153" t="str">
        <f t="shared" si="1"/>
        <v>Pengelolaan Keuangan</v>
      </c>
      <c r="F21" s="172">
        <f t="shared" ca="1" si="2"/>
        <v>93.75</v>
      </c>
      <c r="G21" s="173">
        <f ca="1">RANK(F21,F$4:F$34,1)+COUNTIF(F$4:F21,F21)-1</f>
        <v>31</v>
      </c>
    </row>
    <row r="22" spans="3:7" ht="15.75" hidden="1">
      <c r="C22" s="153" t="s">
        <v>218</v>
      </c>
      <c r="D22" s="153" t="str">
        <f t="shared" si="0"/>
        <v>MANAJERIAL</v>
      </c>
      <c r="E22" s="153" t="str">
        <f t="shared" si="1"/>
        <v>Kepemimpinan dalam Pengelolaan Sistem Administrasi</v>
      </c>
      <c r="F22" s="172">
        <f t="shared" ca="1" si="2"/>
        <v>75</v>
      </c>
      <c r="G22" s="173">
        <f ca="1">RANK(F22,F$4:F$34,1)+COUNTIF(F$4:F22,F22)-1</f>
        <v>23</v>
      </c>
    </row>
    <row r="23" spans="3:7" ht="15.75" hidden="1">
      <c r="C23" s="153" t="s">
        <v>220</v>
      </c>
      <c r="D23" s="153" t="str">
        <f t="shared" si="0"/>
        <v>MANAJERIAL</v>
      </c>
      <c r="E23" s="153" t="str">
        <f t="shared" si="1"/>
        <v>Pengelolaan Layanan Khusus</v>
      </c>
      <c r="F23" s="172">
        <f t="shared" ca="1" si="2"/>
        <v>68.75</v>
      </c>
      <c r="G23" s="173">
        <f ca="1">RANK(F23,F$4:F$34,1)+COUNTIF(F$4:F23,F23)-1</f>
        <v>17</v>
      </c>
    </row>
    <row r="24" spans="3:7" ht="15.75" hidden="1">
      <c r="C24" s="153" t="s">
        <v>222</v>
      </c>
      <c r="D24" s="153" t="str">
        <f t="shared" si="0"/>
        <v>MANAJERIAL</v>
      </c>
      <c r="E24" s="153" t="str">
        <f t="shared" si="1"/>
        <v>Sistem Informasi Manajemen (SIM)</v>
      </c>
      <c r="F24" s="172">
        <f t="shared" ca="1" si="2"/>
        <v>75</v>
      </c>
      <c r="G24" s="173">
        <f ca="1">RANK(F24,F$4:F$34,1)+COUNTIF(F$4:F24,F24)-1</f>
        <v>24</v>
      </c>
    </row>
    <row r="25" spans="3:7" ht="15.75" hidden="1">
      <c r="C25" s="153" t="s">
        <v>232</v>
      </c>
      <c r="D25" s="153" t="str">
        <f t="shared" si="0"/>
        <v>MANAJERIAL</v>
      </c>
      <c r="E25" s="153" t="str">
        <f t="shared" si="1"/>
        <v>Pembelajaran Berbasis TIK</v>
      </c>
      <c r="F25" s="172">
        <f t="shared" ca="1" si="2"/>
        <v>66.666666666666657</v>
      </c>
      <c r="G25" s="173">
        <f ca="1">RANK(F25,F$4:F$34,1)+COUNTIF(F$4:F25,F25)-1</f>
        <v>11</v>
      </c>
    </row>
    <row r="26" spans="3:7" ht="15.75" hidden="1">
      <c r="C26" s="153" t="s">
        <v>240</v>
      </c>
      <c r="D26" s="153" t="str">
        <f t="shared" si="0"/>
        <v>MANAJERIAL</v>
      </c>
      <c r="E26" s="153" t="str">
        <f t="shared" si="1"/>
        <v>Monitoring dan Evaluasi</v>
      </c>
      <c r="F26" s="172">
        <f t="shared" ca="1" si="2"/>
        <v>62.5</v>
      </c>
      <c r="G26" s="173">
        <f ca="1">RANK(F26,F$4:F$34,1)+COUNTIF(F$4:F26,F26)-1</f>
        <v>8</v>
      </c>
    </row>
    <row r="27" spans="3:7" ht="15.75" hidden="1">
      <c r="C27" s="153" t="s">
        <v>7</v>
      </c>
      <c r="D27" s="153" t="str">
        <f t="shared" si="0"/>
        <v>KEWIRAUSAHAAN</v>
      </c>
      <c r="E27" s="153" t="str">
        <f t="shared" si="1"/>
        <v>Perencanaan dan Pengembangan Madrasah</v>
      </c>
      <c r="F27" s="172">
        <f t="shared" ca="1" si="2"/>
        <v>62.5</v>
      </c>
      <c r="G27" s="173">
        <f ca="1">RANK(F27,F$4:F$34,1)+COUNTIF(F$4:F27,F27)-1</f>
        <v>9</v>
      </c>
    </row>
    <row r="28" spans="3:7" ht="15.75" hidden="1">
      <c r="C28" s="153" t="s">
        <v>6</v>
      </c>
      <c r="D28" s="153" t="str">
        <f t="shared" si="0"/>
        <v>KEWIRAUSAHAAN</v>
      </c>
      <c r="E28" s="153" t="str">
        <f t="shared" si="1"/>
        <v>Peningkatan Kualitas Pembelajaran</v>
      </c>
      <c r="F28" s="172">
        <f t="shared" ca="1" si="2"/>
        <v>68.75</v>
      </c>
      <c r="G28" s="173">
        <f ca="1">RANK(F28,F$4:F$34,1)+COUNTIF(F$4:F28,F28)-1</f>
        <v>18</v>
      </c>
    </row>
    <row r="29" spans="3:7" ht="15.75" hidden="1">
      <c r="C29" s="153" t="s">
        <v>5</v>
      </c>
      <c r="D29" s="153" t="str">
        <f t="shared" si="0"/>
        <v>KEWIRAUSAHAAN</v>
      </c>
      <c r="E29" s="153" t="str">
        <f t="shared" si="1"/>
        <v>Kepemimpinan Madrasah</v>
      </c>
      <c r="F29" s="172">
        <f t="shared" ca="1" si="2"/>
        <v>58.333333333333336</v>
      </c>
      <c r="G29" s="173">
        <f ca="1">RANK(F29,F$4:F$34,1)+COUNTIF(F$4:F29,F29)-1</f>
        <v>3</v>
      </c>
    </row>
    <row r="30" spans="3:7" ht="15.75" hidden="1">
      <c r="C30" s="153" t="s">
        <v>271</v>
      </c>
      <c r="D30" s="153" t="str">
        <f t="shared" si="0"/>
        <v>KEWIRAUSAHAAN</v>
      </c>
      <c r="E30" s="153" t="str">
        <f t="shared" si="1"/>
        <v>Kepemimpinan Madrasah</v>
      </c>
      <c r="F30" s="172">
        <f t="shared" ca="1" si="2"/>
        <v>58.333333333333336</v>
      </c>
      <c r="G30" s="173">
        <f ca="1">RANK(F30,F$4:F$34,1)+COUNTIF(F$4:F30,F30)-1</f>
        <v>4</v>
      </c>
    </row>
    <row r="31" spans="3:7" ht="15.75" hidden="1">
      <c r="C31" s="153" t="s">
        <v>277</v>
      </c>
      <c r="D31" s="153" t="str">
        <f t="shared" si="0"/>
        <v>KEWIRAUSAHAAN</v>
      </c>
      <c r="E31" s="153" t="str">
        <f t="shared" si="1"/>
        <v>Kewirausahaan</v>
      </c>
      <c r="F31" s="172">
        <f t="shared" ca="1" si="2"/>
        <v>56.25</v>
      </c>
      <c r="G31" s="173">
        <f ca="1">RANK(F31,F$4:F$34,1)+COUNTIF(F$4:F31,F31)-1</f>
        <v>2</v>
      </c>
    </row>
    <row r="32" spans="3:7" ht="15.75" hidden="1">
      <c r="C32" s="153" t="s">
        <v>3</v>
      </c>
      <c r="D32" s="153" t="str">
        <f t="shared" si="0"/>
        <v>SUPERVISI</v>
      </c>
      <c r="E32" s="153" t="str">
        <f t="shared" si="1"/>
        <v>Supervisi Akademik</v>
      </c>
      <c r="F32" s="172">
        <f t="shared" ca="1" si="2"/>
        <v>66.666666666666657</v>
      </c>
      <c r="G32" s="173">
        <f ca="1">RANK(F32,F$4:F$34,1)+COUNTIF(F$4:F32,F32)-1</f>
        <v>12</v>
      </c>
    </row>
    <row r="33" spans="2:24" ht="15.75" hidden="1">
      <c r="C33" s="153" t="s">
        <v>2</v>
      </c>
      <c r="D33" s="153" t="str">
        <f t="shared" si="0"/>
        <v>SUPERVISI</v>
      </c>
      <c r="E33" s="153" t="str">
        <f t="shared" si="1"/>
        <v>Supervisi Akademik</v>
      </c>
      <c r="F33" s="172">
        <f t="shared" ca="1" si="2"/>
        <v>75</v>
      </c>
      <c r="G33" s="173">
        <f ca="1">RANK(F33,F$4:F$34,1)+COUNTIF(F$4:F33,F33)-1</f>
        <v>25</v>
      </c>
    </row>
    <row r="34" spans="2:24" ht="15.75" hidden="1">
      <c r="C34" s="153" t="s">
        <v>1</v>
      </c>
      <c r="D34" s="153" t="str">
        <f t="shared" si="0"/>
        <v>SUPERVISI</v>
      </c>
      <c r="E34" s="153" t="str">
        <f t="shared" si="1"/>
        <v>Supervisi Akademik</v>
      </c>
      <c r="F34" s="172">
        <f t="shared" ca="1" si="2"/>
        <v>75</v>
      </c>
      <c r="G34" s="173">
        <f ca="1">RANK(F34,F$4:F$34,1)+COUNTIF(F$4:F34,F34)-1</f>
        <v>26</v>
      </c>
    </row>
    <row r="35" spans="2:24" ht="15" hidden="1" customHeight="1"/>
    <row r="36" spans="2:24" ht="15" hidden="1" customHeight="1" thickBot="1">
      <c r="B36" s="153" t="s">
        <v>59</v>
      </c>
      <c r="C36" s="153" t="s">
        <v>526</v>
      </c>
      <c r="D36" s="153" t="s">
        <v>537</v>
      </c>
      <c r="E36" s="168" t="s">
        <v>534</v>
      </c>
      <c r="F36" s="153" t="s">
        <v>528</v>
      </c>
      <c r="G36" s="153" t="s">
        <v>538</v>
      </c>
      <c r="L36" s="153" t="s">
        <v>539</v>
      </c>
      <c r="M36" s="153" t="s">
        <v>541</v>
      </c>
      <c r="N36" s="153" t="s">
        <v>522</v>
      </c>
      <c r="O36" s="153" t="s">
        <v>540</v>
      </c>
      <c r="P36" s="284" t="s">
        <v>530</v>
      </c>
      <c r="Q36" s="153" t="s">
        <v>523</v>
      </c>
      <c r="S36" s="174" t="s">
        <v>535</v>
      </c>
      <c r="T36" s="286" t="s">
        <v>559</v>
      </c>
    </row>
    <row r="37" spans="2:24" ht="15" hidden="1" customHeight="1" thickBot="1">
      <c r="B37" s="153">
        <v>1</v>
      </c>
      <c r="C37" s="153" t="str">
        <f t="shared" ref="C37:C67" ca="1" si="3">INDEX($C$4:$C$34,MATCH(B37,$G$4:$G$34,0))</f>
        <v>1.7.</v>
      </c>
      <c r="D37" s="153" t="str">
        <f ca="1">INDEX($D$4:$D$34,MATCH(B37,$G$4:$G$34,0))</f>
        <v>USAHA PENGEMBANGAN MADRASAH</v>
      </c>
      <c r="E37" s="168" t="str">
        <f t="shared" ref="E37:E67" ca="1" si="4">INDEX($E$4:$E$34,MATCH(B37,$G$4:$G$34,0))</f>
        <v>Penelitian Tindakan</v>
      </c>
      <c r="F37" s="172">
        <f ca="1">INDEX($F$4:$F$34,MATCH(B37,$G$4:$G$34,0))</f>
        <v>25</v>
      </c>
      <c r="G37" s="172" t="str">
        <f ca="1">PROPER(D37) &amp; " / " &amp;E37</f>
        <v>Usaha Pengembangan Madrasah / Penelitian Tindakan</v>
      </c>
      <c r="H37" s="172"/>
      <c r="I37" s="172"/>
      <c r="J37" s="172"/>
      <c r="K37" s="172"/>
      <c r="L37" s="175">
        <f ca="1">COUNTIF($G$37:G37,G37)</f>
        <v>1</v>
      </c>
      <c r="M37" s="176">
        <f ca="1">IF(L37&gt;1,100,F37)</f>
        <v>25</v>
      </c>
      <c r="N37" s="177">
        <f ca="1">IF(M37&gt;$S$37,0,RANK(M37,$M$37:$M$67,1)+COUNTIF($M$37:M37,M37)-1)</f>
        <v>1</v>
      </c>
      <c r="O37" s="153">
        <f ca="1">COUNTIF($E$37:E37,E37)</f>
        <v>1</v>
      </c>
      <c r="P37" s="284">
        <f t="shared" ref="P37:P67" ca="1" si="5">IF(O37&gt;1,100,F37)</f>
        <v>25</v>
      </c>
      <c r="Q37" s="177">
        <f ca="1">IF(P37&gt;$S$37,0,RANK(P37,$P$37:$P$67,1)+COUNTIF($P$37:P37,P37)-1)</f>
        <v>1</v>
      </c>
      <c r="S37" s="166">
        <v>91</v>
      </c>
      <c r="T37" s="287">
        <f ca="1">MAX(N37:N67)</f>
        <v>23</v>
      </c>
      <c r="W37" s="149" t="s">
        <v>524</v>
      </c>
      <c r="X37" s="150" t="s">
        <v>525</v>
      </c>
    </row>
    <row r="38" spans="2:24" ht="15" hidden="1" customHeight="1" thickBot="1">
      <c r="B38" s="153">
        <v>2</v>
      </c>
      <c r="C38" s="153" t="str">
        <f t="shared" ca="1" si="3"/>
        <v>3.5.</v>
      </c>
      <c r="D38" s="153" t="str">
        <f t="shared" ref="D38:D67" ca="1" si="6">INDEX($D$4:$D$34,MATCH(B38,$G$4:$G$34,0))</f>
        <v>KEWIRAUSAHAAN</v>
      </c>
      <c r="E38" s="168" t="str">
        <f t="shared" ca="1" si="4"/>
        <v>Kewirausahaan</v>
      </c>
      <c r="F38" s="172">
        <f t="shared" ref="F38:F67" ca="1" si="7">INDEX($F$4:$F$34,MATCH(B38,$G$4:$G$34,0))</f>
        <v>56.25</v>
      </c>
      <c r="G38" s="172" t="str">
        <f t="shared" ref="G38:G67" ca="1" si="8">PROPER(D38) &amp; " / " &amp;E38</f>
        <v>Kewirausahaan / Kewirausahaan</v>
      </c>
      <c r="H38" s="172"/>
      <c r="I38" s="172"/>
      <c r="J38" s="172"/>
      <c r="K38" s="172"/>
      <c r="L38" s="175">
        <f ca="1">COUNTIF($G$37:G38,G38)</f>
        <v>1</v>
      </c>
      <c r="M38" s="176">
        <f t="shared" ref="M38:M67" ca="1" si="9">IF(L38&gt;1,100,F38)</f>
        <v>56.25</v>
      </c>
      <c r="N38" s="177">
        <f ca="1">IF(M38&gt;$S$37,0,RANK(M38,$M$37:$M$67,1)+COUNTIF($M$37:M38,M38)-1)</f>
        <v>2</v>
      </c>
      <c r="O38" s="153">
        <f ca="1">COUNTIF($E$37:E38,E38)</f>
        <v>1</v>
      </c>
      <c r="P38" s="284">
        <f t="shared" ca="1" si="5"/>
        <v>56.25</v>
      </c>
      <c r="Q38" s="177">
        <f ca="1">IF(P38&gt;$S$37,0,RANK(P38,$P$37:$P$67,1)+COUNTIF($P$37:P38,P38)-1)</f>
        <v>2</v>
      </c>
      <c r="W38" s="151">
        <v>0</v>
      </c>
      <c r="X38" s="152" t="s">
        <v>44</v>
      </c>
    </row>
    <row r="39" spans="2:24" ht="15" hidden="1" customHeight="1" thickBot="1">
      <c r="B39" s="153">
        <v>3</v>
      </c>
      <c r="C39" s="153" t="str">
        <f t="shared" ca="1" si="3"/>
        <v>3.3.</v>
      </c>
      <c r="D39" s="153" t="str">
        <f t="shared" ca="1" si="6"/>
        <v>KEWIRAUSAHAAN</v>
      </c>
      <c r="E39" s="168" t="str">
        <f t="shared" ca="1" si="4"/>
        <v>Kepemimpinan Madrasah</v>
      </c>
      <c r="F39" s="172">
        <f t="shared" ca="1" si="7"/>
        <v>58.333333333333336</v>
      </c>
      <c r="G39" s="172" t="str">
        <f t="shared" ca="1" si="8"/>
        <v>Kewirausahaan / Kepemimpinan Madrasah</v>
      </c>
      <c r="H39" s="172"/>
      <c r="I39" s="172"/>
      <c r="J39" s="172"/>
      <c r="K39" s="172"/>
      <c r="L39" s="175">
        <f ca="1">COUNTIF($G$37:G39,G39)</f>
        <v>1</v>
      </c>
      <c r="M39" s="176">
        <f t="shared" ca="1" si="9"/>
        <v>58.333333333333336</v>
      </c>
      <c r="N39" s="177">
        <f ca="1">IF(M39&gt;$S$37,0,RANK(M39,$M$37:$M$67,1)+COUNTIF($M$37:M39,M39)-1)</f>
        <v>3</v>
      </c>
      <c r="O39" s="153">
        <f ca="1">COUNTIF($E$37:E39,E39)</f>
        <v>1</v>
      </c>
      <c r="P39" s="284">
        <f t="shared" ca="1" si="5"/>
        <v>58.333333333333336</v>
      </c>
      <c r="Q39" s="177">
        <f ca="1">IF(P39&gt;$S$37,0,RANK(P39,$P$37:$P$67,1)+COUNTIF($P$37:P39,P39)-1)</f>
        <v>3</v>
      </c>
      <c r="W39" s="151">
        <v>51</v>
      </c>
      <c r="X39" s="152" t="s">
        <v>45</v>
      </c>
    </row>
    <row r="40" spans="2:24" ht="15" hidden="1" customHeight="1" thickBot="1">
      <c r="B40" s="153">
        <v>4</v>
      </c>
      <c r="C40" s="153" t="str">
        <f t="shared" ca="1" si="3"/>
        <v>3.4.</v>
      </c>
      <c r="D40" s="153" t="str">
        <f t="shared" ca="1" si="6"/>
        <v>KEWIRAUSAHAAN</v>
      </c>
      <c r="E40" s="168" t="str">
        <f t="shared" ca="1" si="4"/>
        <v>Kepemimpinan Madrasah</v>
      </c>
      <c r="F40" s="172">
        <f t="shared" ca="1" si="7"/>
        <v>58.333333333333336</v>
      </c>
      <c r="G40" s="172" t="str">
        <f t="shared" ca="1" si="8"/>
        <v>Kewirausahaan / Kepemimpinan Madrasah</v>
      </c>
      <c r="H40" s="172"/>
      <c r="I40" s="172"/>
      <c r="J40" s="172"/>
      <c r="K40" s="172"/>
      <c r="L40" s="175">
        <f ca="1">COUNTIF($G$37:G40,G40)</f>
        <v>2</v>
      </c>
      <c r="M40" s="176">
        <f t="shared" ca="1" si="9"/>
        <v>100</v>
      </c>
      <c r="N40" s="177">
        <f ca="1">IF(M40&gt;$S$37,0,RANK(M40,$M$37:$M$67,1)+COUNTIF($M$37:M40,M40)-1)</f>
        <v>0</v>
      </c>
      <c r="O40" s="153">
        <f ca="1">COUNTIF($E$37:E40,E40)</f>
        <v>2</v>
      </c>
      <c r="P40" s="284">
        <f t="shared" ca="1" si="5"/>
        <v>100</v>
      </c>
      <c r="Q40" s="177">
        <f ca="1">IF(P40&gt;$S$37,0,RANK(P40,$P$37:$P$67,1)+COUNTIF($P$37:P40,P40)-1)</f>
        <v>0</v>
      </c>
      <c r="W40" s="151">
        <v>61</v>
      </c>
      <c r="X40" s="152" t="s">
        <v>46</v>
      </c>
    </row>
    <row r="41" spans="2:24" ht="15" hidden="1" customHeight="1" thickBot="1">
      <c r="B41" s="153">
        <v>5</v>
      </c>
      <c r="C41" s="153" t="str">
        <f t="shared" ca="1" si="3"/>
        <v>2.10.</v>
      </c>
      <c r="D41" s="153" t="str">
        <f t="shared" ca="1" si="6"/>
        <v>MANAJERIAL</v>
      </c>
      <c r="E41" s="168" t="str">
        <f t="shared" ca="1" si="4"/>
        <v>Pengelolaan Kurikulum</v>
      </c>
      <c r="F41" s="172">
        <f t="shared" ca="1" si="7"/>
        <v>60</v>
      </c>
      <c r="G41" s="172" t="str">
        <f t="shared" ca="1" si="8"/>
        <v>Manajerial / Pengelolaan Kurikulum</v>
      </c>
      <c r="H41" s="172"/>
      <c r="I41" s="172"/>
      <c r="J41" s="172"/>
      <c r="K41" s="172"/>
      <c r="L41" s="175">
        <f ca="1">COUNTIF($G$37:G41,G41)</f>
        <v>1</v>
      </c>
      <c r="M41" s="176">
        <f t="shared" ca="1" si="9"/>
        <v>60</v>
      </c>
      <c r="N41" s="177">
        <f ca="1">IF(M41&gt;$S$37,0,RANK(M41,$M$37:$M$67,1)+COUNTIF($M$37:M41,M41)-1)</f>
        <v>4</v>
      </c>
      <c r="O41" s="153">
        <f ca="1">COUNTIF($E$37:E41,E41)</f>
        <v>1</v>
      </c>
      <c r="P41" s="284">
        <f t="shared" ca="1" si="5"/>
        <v>60</v>
      </c>
      <c r="Q41" s="177">
        <f ca="1">IF(P41&gt;$S$37,0,RANK(P41,$P$37:$P$67,1)+COUNTIF($P$37:P41,P41)-1)</f>
        <v>4</v>
      </c>
      <c r="W41" s="151">
        <v>76</v>
      </c>
      <c r="X41" s="152" t="s">
        <v>47</v>
      </c>
    </row>
    <row r="42" spans="2:24" ht="15" hidden="1" customHeight="1" thickBot="1">
      <c r="B42" s="153">
        <v>6</v>
      </c>
      <c r="C42" s="153" t="str">
        <f t="shared" ca="1" si="3"/>
        <v>1.3.</v>
      </c>
      <c r="D42" s="153" t="str">
        <f t="shared" ca="1" si="6"/>
        <v>USAHA PENGEMBANGAN MADRASAH</v>
      </c>
      <c r="E42" s="168" t="str">
        <f t="shared" ca="1" si="4"/>
        <v>Perencanaan dan Pengembangan Madrasah</v>
      </c>
      <c r="F42" s="172">
        <f t="shared" ca="1" si="7"/>
        <v>62.5</v>
      </c>
      <c r="G42" s="172" t="str">
        <f t="shared" ca="1" si="8"/>
        <v>Usaha Pengembangan Madrasah / Perencanaan dan Pengembangan Madrasah</v>
      </c>
      <c r="H42" s="172"/>
      <c r="I42" s="172"/>
      <c r="J42" s="172"/>
      <c r="K42" s="172"/>
      <c r="L42" s="175">
        <f ca="1">COUNTIF($G$37:G42,G42)</f>
        <v>1</v>
      </c>
      <c r="M42" s="176">
        <f t="shared" ca="1" si="9"/>
        <v>62.5</v>
      </c>
      <c r="N42" s="177">
        <f ca="1">IF(M42&gt;$S$37,0,RANK(M42,$M$37:$M$67,1)+COUNTIF($M$37:M42,M42)-1)</f>
        <v>5</v>
      </c>
      <c r="O42" s="153">
        <f ca="1">COUNTIF($E$37:E42,E42)</f>
        <v>1</v>
      </c>
      <c r="P42" s="284">
        <f t="shared" ca="1" si="5"/>
        <v>62.5</v>
      </c>
      <c r="Q42" s="177">
        <f ca="1">IF(P42&gt;$S$37,0,RANK(P42,$P$37:$P$67,1)+COUNTIF($P$37:P42,P42)-1)</f>
        <v>5</v>
      </c>
      <c r="W42" s="151">
        <v>91</v>
      </c>
      <c r="X42" s="152" t="s">
        <v>459</v>
      </c>
    </row>
    <row r="43" spans="2:24" ht="15" hidden="1" customHeight="1">
      <c r="B43" s="153">
        <v>7</v>
      </c>
      <c r="C43" s="153" t="str">
        <f t="shared" ca="1" si="3"/>
        <v>2.6.</v>
      </c>
      <c r="D43" s="153" t="str">
        <f t="shared" ca="1" si="6"/>
        <v>MANAJERIAL</v>
      </c>
      <c r="E43" s="168" t="str">
        <f t="shared" ca="1" si="4"/>
        <v>Pengelolaan Pendidikan dan Tenaga Kependidikan</v>
      </c>
      <c r="F43" s="172">
        <f t="shared" ca="1" si="7"/>
        <v>62.5</v>
      </c>
      <c r="G43" s="172" t="str">
        <f t="shared" ca="1" si="8"/>
        <v>Manajerial / Pengelolaan Pendidikan dan Tenaga Kependidikan</v>
      </c>
      <c r="H43" s="172"/>
      <c r="I43" s="172"/>
      <c r="J43" s="172"/>
      <c r="K43" s="172"/>
      <c r="L43" s="175">
        <f ca="1">COUNTIF($G$37:G43,G43)</f>
        <v>1</v>
      </c>
      <c r="M43" s="176">
        <f t="shared" ca="1" si="9"/>
        <v>62.5</v>
      </c>
      <c r="N43" s="177">
        <f ca="1">IF(M43&gt;$S$37,0,RANK(M43,$M$37:$M$67,1)+COUNTIF($M$37:M43,M43)-1)</f>
        <v>6</v>
      </c>
      <c r="O43" s="153">
        <f ca="1">COUNTIF($E$37:E43,E43)</f>
        <v>1</v>
      </c>
      <c r="P43" s="284">
        <f t="shared" ca="1" si="5"/>
        <v>62.5</v>
      </c>
      <c r="Q43" s="177">
        <f ca="1">IF(P43&gt;$S$37,0,RANK(P43,$P$37:$P$67,1)+COUNTIF($P$37:P43,P43)-1)</f>
        <v>6</v>
      </c>
    </row>
    <row r="44" spans="2:24" ht="15" hidden="1" customHeight="1">
      <c r="B44" s="153">
        <v>8</v>
      </c>
      <c r="C44" s="153" t="str">
        <f t="shared" ca="1" si="3"/>
        <v>2.16.</v>
      </c>
      <c r="D44" s="153" t="str">
        <f t="shared" ca="1" si="6"/>
        <v>MANAJERIAL</v>
      </c>
      <c r="E44" s="168" t="str">
        <f t="shared" ca="1" si="4"/>
        <v>Monitoring dan Evaluasi</v>
      </c>
      <c r="F44" s="172">
        <f t="shared" ca="1" si="7"/>
        <v>62.5</v>
      </c>
      <c r="G44" s="172" t="str">
        <f t="shared" ca="1" si="8"/>
        <v>Manajerial / Monitoring dan Evaluasi</v>
      </c>
      <c r="H44" s="172"/>
      <c r="I44" s="172"/>
      <c r="J44" s="172"/>
      <c r="K44" s="172"/>
      <c r="L44" s="175">
        <f ca="1">COUNTIF($G$37:G44,G44)</f>
        <v>1</v>
      </c>
      <c r="M44" s="176">
        <f t="shared" ca="1" si="9"/>
        <v>62.5</v>
      </c>
      <c r="N44" s="177">
        <f ca="1">IF(M44&gt;$S$37,0,RANK(M44,$M$37:$M$67,1)+COUNTIF($M$37:M44,M44)-1)</f>
        <v>7</v>
      </c>
      <c r="O44" s="153">
        <f ca="1">COUNTIF($E$37:E44,E44)</f>
        <v>1</v>
      </c>
      <c r="P44" s="284">
        <f t="shared" ca="1" si="5"/>
        <v>62.5</v>
      </c>
      <c r="Q44" s="177">
        <f ca="1">IF(P44&gt;$S$37,0,RANK(P44,$P$37:$P$67,1)+COUNTIF($P$37:P44,P44)-1)</f>
        <v>7</v>
      </c>
    </row>
    <row r="45" spans="2:24" ht="15" hidden="1" customHeight="1">
      <c r="B45" s="153">
        <v>9</v>
      </c>
      <c r="C45" s="153" t="str">
        <f t="shared" ca="1" si="3"/>
        <v>3.1.</v>
      </c>
      <c r="D45" s="153" t="str">
        <f t="shared" ca="1" si="6"/>
        <v>KEWIRAUSAHAAN</v>
      </c>
      <c r="E45" s="168" t="str">
        <f t="shared" ca="1" si="4"/>
        <v>Perencanaan dan Pengembangan Madrasah</v>
      </c>
      <c r="F45" s="172">
        <f t="shared" ca="1" si="7"/>
        <v>62.5</v>
      </c>
      <c r="G45" s="172" t="str">
        <f t="shared" ca="1" si="8"/>
        <v>Kewirausahaan / Perencanaan dan Pengembangan Madrasah</v>
      </c>
      <c r="H45" s="172"/>
      <c r="I45" s="172"/>
      <c r="J45" s="172"/>
      <c r="K45" s="172"/>
      <c r="L45" s="175">
        <f ca="1">COUNTIF($G$37:G45,G45)</f>
        <v>1</v>
      </c>
      <c r="M45" s="176">
        <f t="shared" ca="1" si="9"/>
        <v>62.5</v>
      </c>
      <c r="N45" s="177">
        <f ca="1">IF(M45&gt;$S$37,0,RANK(M45,$M$37:$M$67,1)+COUNTIF($M$37:M45,M45)-1)</f>
        <v>8</v>
      </c>
      <c r="O45" s="153">
        <f ca="1">COUNTIF($E$37:E45,E45)</f>
        <v>2</v>
      </c>
      <c r="P45" s="284">
        <f t="shared" ca="1" si="5"/>
        <v>100</v>
      </c>
      <c r="Q45" s="177">
        <f ca="1">IF(P45&gt;$S$37,0,RANK(P45,$P$37:$P$67,1)+COUNTIF($P$37:P45,P45)-1)</f>
        <v>0</v>
      </c>
    </row>
    <row r="46" spans="2:24" ht="15" hidden="1" customHeight="1">
      <c r="B46" s="153">
        <v>10</v>
      </c>
      <c r="C46" s="153" t="str">
        <f t="shared" ca="1" si="3"/>
        <v>1.1.</v>
      </c>
      <c r="D46" s="153" t="str">
        <f t="shared" ca="1" si="6"/>
        <v>USAHA PENGEMBANGAN MADRASAH</v>
      </c>
      <c r="E46" s="168" t="str">
        <f t="shared" ca="1" si="4"/>
        <v>RKJM dan RKAM</v>
      </c>
      <c r="F46" s="172">
        <f t="shared" ca="1" si="7"/>
        <v>66.666666666666657</v>
      </c>
      <c r="G46" s="172" t="str">
        <f t="shared" ca="1" si="8"/>
        <v>Usaha Pengembangan Madrasah / RKJM dan RKAM</v>
      </c>
      <c r="H46" s="172"/>
      <c r="I46" s="172"/>
      <c r="J46" s="172"/>
      <c r="K46" s="172"/>
      <c r="L46" s="175">
        <f ca="1">COUNTIF($G$37:G46,G46)</f>
        <v>1</v>
      </c>
      <c r="M46" s="176">
        <f t="shared" ca="1" si="9"/>
        <v>66.666666666666657</v>
      </c>
      <c r="N46" s="177">
        <f ca="1">IF(M46&gt;$S$37,0,RANK(M46,$M$37:$M$67,1)+COUNTIF($M$37:M46,M46)-1)</f>
        <v>9</v>
      </c>
      <c r="O46" s="153">
        <f ca="1">COUNTIF($E$37:E46,E46)</f>
        <v>1</v>
      </c>
      <c r="P46" s="284">
        <f t="shared" ca="1" si="5"/>
        <v>66.666666666666657</v>
      </c>
      <c r="Q46" s="177">
        <f ca="1">IF(P46&gt;$S$37,0,RANK(P46,$P$37:$P$67,1)+COUNTIF($P$37:P46,P46)-1)</f>
        <v>8</v>
      </c>
    </row>
    <row r="47" spans="2:24" ht="15" hidden="1" customHeight="1">
      <c r="B47" s="153">
        <v>11</v>
      </c>
      <c r="C47" s="153" t="str">
        <f t="shared" ca="1" si="3"/>
        <v>2.15.</v>
      </c>
      <c r="D47" s="153" t="str">
        <f t="shared" ca="1" si="6"/>
        <v>MANAJERIAL</v>
      </c>
      <c r="E47" s="168" t="str">
        <f t="shared" ca="1" si="4"/>
        <v>Pembelajaran Berbasis TIK</v>
      </c>
      <c r="F47" s="172">
        <f t="shared" ca="1" si="7"/>
        <v>66.666666666666657</v>
      </c>
      <c r="G47" s="172" t="str">
        <f t="shared" ca="1" si="8"/>
        <v>Manajerial / Pembelajaran Berbasis TIK</v>
      </c>
      <c r="H47" s="172"/>
      <c r="I47" s="172"/>
      <c r="J47" s="172"/>
      <c r="K47" s="172"/>
      <c r="L47" s="175">
        <f ca="1">COUNTIF($G$37:G47,G47)</f>
        <v>1</v>
      </c>
      <c r="M47" s="176">
        <f t="shared" ca="1" si="9"/>
        <v>66.666666666666657</v>
      </c>
      <c r="N47" s="177">
        <f ca="1">IF(M47&gt;$S$37,0,RANK(M47,$M$37:$M$67,1)+COUNTIF($M$37:M47,M47)-1)</f>
        <v>10</v>
      </c>
      <c r="O47" s="153">
        <f ca="1">COUNTIF($E$37:E47,E47)</f>
        <v>1</v>
      </c>
      <c r="P47" s="284">
        <f t="shared" ca="1" si="5"/>
        <v>66.666666666666657</v>
      </c>
      <c r="Q47" s="177">
        <f ca="1">IF(P47&gt;$S$37,0,RANK(P47,$P$37:$P$67,1)+COUNTIF($P$37:P47,P47)-1)</f>
        <v>9</v>
      </c>
    </row>
    <row r="48" spans="2:24" ht="15" hidden="1" customHeight="1">
      <c r="B48" s="153">
        <v>12</v>
      </c>
      <c r="C48" s="153" t="str">
        <f t="shared" ca="1" si="3"/>
        <v>4.1.</v>
      </c>
      <c r="D48" s="153" t="str">
        <f t="shared" ca="1" si="6"/>
        <v>SUPERVISI</v>
      </c>
      <c r="E48" s="168" t="str">
        <f t="shared" ca="1" si="4"/>
        <v>Supervisi Akademik</v>
      </c>
      <c r="F48" s="172">
        <f t="shared" ca="1" si="7"/>
        <v>66.666666666666657</v>
      </c>
      <c r="G48" s="172" t="str">
        <f t="shared" ca="1" si="8"/>
        <v>Supervisi / Supervisi Akademik</v>
      </c>
      <c r="H48" s="172"/>
      <c r="I48" s="172"/>
      <c r="J48" s="172"/>
      <c r="K48" s="172"/>
      <c r="L48" s="175">
        <f ca="1">COUNTIF($G$37:G48,G48)</f>
        <v>1</v>
      </c>
      <c r="M48" s="176">
        <f t="shared" ca="1" si="9"/>
        <v>66.666666666666657</v>
      </c>
      <c r="N48" s="177">
        <f ca="1">IF(M48&gt;$S$37,0,RANK(M48,$M$37:$M$67,1)+COUNTIF($M$37:M48,M48)-1)</f>
        <v>11</v>
      </c>
      <c r="O48" s="153">
        <f ca="1">COUNTIF($E$37:E48,E48)</f>
        <v>1</v>
      </c>
      <c r="P48" s="284">
        <f t="shared" ca="1" si="5"/>
        <v>66.666666666666657</v>
      </c>
      <c r="Q48" s="177">
        <f ca="1">IF(P48&gt;$S$37,0,RANK(P48,$P$37:$P$67,1)+COUNTIF($P$37:P48,P48)-1)</f>
        <v>10</v>
      </c>
    </row>
    <row r="49" spans="2:17" ht="15" hidden="1" customHeight="1">
      <c r="B49" s="153">
        <v>13</v>
      </c>
      <c r="C49" s="153" t="str">
        <f t="shared" ca="1" si="3"/>
        <v>1.2.</v>
      </c>
      <c r="D49" s="153" t="str">
        <f t="shared" ca="1" si="6"/>
        <v>USAHA PENGEMBANGAN MADRASAH</v>
      </c>
      <c r="E49" s="168" t="str">
        <f t="shared" ca="1" si="4"/>
        <v>Pemberdayaan Organisasi Madrasah</v>
      </c>
      <c r="F49" s="172">
        <f t="shared" ca="1" si="7"/>
        <v>68.75</v>
      </c>
      <c r="G49" s="172" t="str">
        <f t="shared" ca="1" si="8"/>
        <v>Usaha Pengembangan Madrasah / Pemberdayaan Organisasi Madrasah</v>
      </c>
      <c r="H49" s="172"/>
      <c r="I49" s="172"/>
      <c r="J49" s="172"/>
      <c r="K49" s="172"/>
      <c r="L49" s="175">
        <f ca="1">COUNTIF($G$37:G49,G49)</f>
        <v>1</v>
      </c>
      <c r="M49" s="176">
        <f t="shared" ca="1" si="9"/>
        <v>68.75</v>
      </c>
      <c r="N49" s="177">
        <f ca="1">IF(M49&gt;$S$37,0,RANK(M49,$M$37:$M$67,1)+COUNTIF($M$37:M49,M49)-1)</f>
        <v>12</v>
      </c>
      <c r="O49" s="153">
        <f ca="1">COUNTIF($E$37:E49,E49)</f>
        <v>1</v>
      </c>
      <c r="P49" s="284">
        <f t="shared" ca="1" si="5"/>
        <v>68.75</v>
      </c>
      <c r="Q49" s="177">
        <f ca="1">IF(P49&gt;$S$37,0,RANK(P49,$P$37:$P$67,1)+COUNTIF($P$37:P49,P49)-1)</f>
        <v>11</v>
      </c>
    </row>
    <row r="50" spans="2:17" ht="15" hidden="1" customHeight="1">
      <c r="B50" s="153">
        <v>14</v>
      </c>
      <c r="C50" s="153" t="str">
        <f t="shared" ca="1" si="3"/>
        <v>1.4.</v>
      </c>
      <c r="D50" s="153" t="str">
        <f t="shared" ca="1" si="6"/>
        <v>USAHA PENGEMBANGAN MADRASAH</v>
      </c>
      <c r="E50" s="168" t="str">
        <f t="shared" ca="1" si="4"/>
        <v>Peningkatan Kualitas Pembelajaran</v>
      </c>
      <c r="F50" s="172">
        <f t="shared" ca="1" si="7"/>
        <v>68.75</v>
      </c>
      <c r="G50" s="172" t="str">
        <f t="shared" ca="1" si="8"/>
        <v>Usaha Pengembangan Madrasah / Peningkatan Kualitas Pembelajaran</v>
      </c>
      <c r="H50" s="172"/>
      <c r="I50" s="172"/>
      <c r="J50" s="172"/>
      <c r="K50" s="172"/>
      <c r="L50" s="175">
        <f ca="1">COUNTIF($G$37:G50,G50)</f>
        <v>1</v>
      </c>
      <c r="M50" s="176">
        <f t="shared" ca="1" si="9"/>
        <v>68.75</v>
      </c>
      <c r="N50" s="177">
        <f ca="1">IF(M50&gt;$S$37,0,RANK(M50,$M$37:$M$67,1)+COUNTIF($M$37:M50,M50)-1)</f>
        <v>13</v>
      </c>
      <c r="O50" s="153">
        <f ca="1">COUNTIF($E$37:E50,E50)</f>
        <v>1</v>
      </c>
      <c r="P50" s="284">
        <f t="shared" ca="1" si="5"/>
        <v>68.75</v>
      </c>
      <c r="Q50" s="177">
        <f ca="1">IF(P50&gt;$S$37,0,RANK(P50,$P$37:$P$67,1)+COUNTIF($P$37:P50,P50)-1)</f>
        <v>12</v>
      </c>
    </row>
    <row r="51" spans="2:17" ht="15" hidden="1" customHeight="1">
      <c r="B51" s="153">
        <v>15</v>
      </c>
      <c r="C51" s="153" t="str">
        <f t="shared" ca="1" si="3"/>
        <v>1.6.</v>
      </c>
      <c r="D51" s="153" t="str">
        <f t="shared" ca="1" si="6"/>
        <v>USAHA PENGEMBANGAN MADRASAH</v>
      </c>
      <c r="E51" s="168" t="str">
        <f t="shared" ca="1" si="4"/>
        <v>Monitoring dan Evaluasi</v>
      </c>
      <c r="F51" s="172">
        <f t="shared" ca="1" si="7"/>
        <v>68.75</v>
      </c>
      <c r="G51" s="172" t="str">
        <f t="shared" ca="1" si="8"/>
        <v>Usaha Pengembangan Madrasah / Monitoring dan Evaluasi</v>
      </c>
      <c r="H51" s="172"/>
      <c r="I51" s="172"/>
      <c r="J51" s="172"/>
      <c r="K51" s="172"/>
      <c r="L51" s="175">
        <f ca="1">COUNTIF($G$37:G51,G51)</f>
        <v>1</v>
      </c>
      <c r="M51" s="176">
        <f t="shared" ca="1" si="9"/>
        <v>68.75</v>
      </c>
      <c r="N51" s="177">
        <f ca="1">IF(M51&gt;$S$37,0,RANK(M51,$M$37:$M$67,1)+COUNTIF($M$37:M51,M51)-1)</f>
        <v>14</v>
      </c>
      <c r="O51" s="153">
        <f ca="1">COUNTIF($E$37:E51,E51)</f>
        <v>2</v>
      </c>
      <c r="P51" s="284">
        <f t="shared" ca="1" si="5"/>
        <v>100</v>
      </c>
      <c r="Q51" s="177">
        <f ca="1">IF(P51&gt;$S$37,0,RANK(P51,$P$37:$P$67,1)+COUNTIF($P$37:P51,P51)-1)</f>
        <v>0</v>
      </c>
    </row>
    <row r="52" spans="2:17" ht="15" hidden="1" customHeight="1">
      <c r="B52" s="153">
        <v>16</v>
      </c>
      <c r="C52" s="153" t="str">
        <f t="shared" ca="1" si="3"/>
        <v>2.1.</v>
      </c>
      <c r="D52" s="153" t="str">
        <f t="shared" ca="1" si="6"/>
        <v>MANAJERIAL</v>
      </c>
      <c r="E52" s="168" t="str">
        <f t="shared" ca="1" si="4"/>
        <v>RKJM dan RKAM</v>
      </c>
      <c r="F52" s="172">
        <f t="shared" ca="1" si="7"/>
        <v>68.75</v>
      </c>
      <c r="G52" s="172" t="str">
        <f t="shared" ca="1" si="8"/>
        <v>Manajerial / RKJM dan RKAM</v>
      </c>
      <c r="H52" s="172"/>
      <c r="I52" s="172"/>
      <c r="J52" s="172"/>
      <c r="K52" s="172"/>
      <c r="L52" s="175">
        <f ca="1">COUNTIF($G$37:G52,G52)</f>
        <v>1</v>
      </c>
      <c r="M52" s="176">
        <f t="shared" ca="1" si="9"/>
        <v>68.75</v>
      </c>
      <c r="N52" s="177">
        <f ca="1">IF(M52&gt;$S$37,0,RANK(M52,$M$37:$M$67,1)+COUNTIF($M$37:M52,M52)-1)</f>
        <v>15</v>
      </c>
      <c r="O52" s="153">
        <f ca="1">COUNTIF($E$37:E52,E52)</f>
        <v>2</v>
      </c>
      <c r="P52" s="284">
        <f t="shared" ca="1" si="5"/>
        <v>100</v>
      </c>
      <c r="Q52" s="177">
        <f ca="1">IF(P52&gt;$S$37,0,RANK(P52,$P$37:$P$67,1)+COUNTIF($P$37:P52,P52)-1)</f>
        <v>0</v>
      </c>
    </row>
    <row r="53" spans="2:17" ht="15" hidden="1" customHeight="1">
      <c r="B53" s="153">
        <v>17</v>
      </c>
      <c r="C53" s="153" t="str">
        <f t="shared" ca="1" si="3"/>
        <v>2.13.</v>
      </c>
      <c r="D53" s="153" t="str">
        <f t="shared" ca="1" si="6"/>
        <v>MANAJERIAL</v>
      </c>
      <c r="E53" s="168" t="str">
        <f t="shared" ca="1" si="4"/>
        <v>Pengelolaan Layanan Khusus</v>
      </c>
      <c r="F53" s="172">
        <f t="shared" ca="1" si="7"/>
        <v>68.75</v>
      </c>
      <c r="G53" s="172" t="str">
        <f t="shared" ca="1" si="8"/>
        <v>Manajerial / Pengelolaan Layanan Khusus</v>
      </c>
      <c r="H53" s="172"/>
      <c r="I53" s="172"/>
      <c r="J53" s="172"/>
      <c r="K53" s="172"/>
      <c r="L53" s="175">
        <f ca="1">COUNTIF($G$37:G53,G53)</f>
        <v>1</v>
      </c>
      <c r="M53" s="176">
        <f t="shared" ca="1" si="9"/>
        <v>68.75</v>
      </c>
      <c r="N53" s="177">
        <f ca="1">IF(M53&gt;$S$37,0,RANK(M53,$M$37:$M$67,1)+COUNTIF($M$37:M53,M53)-1)</f>
        <v>16</v>
      </c>
      <c r="O53" s="153">
        <f ca="1">COUNTIF($E$37:E53,E53)</f>
        <v>1</v>
      </c>
      <c r="P53" s="284">
        <f t="shared" ca="1" si="5"/>
        <v>68.75</v>
      </c>
      <c r="Q53" s="177">
        <f ca="1">IF(P53&gt;$S$37,0,RANK(P53,$P$37:$P$67,1)+COUNTIF($P$37:P53,P53)-1)</f>
        <v>13</v>
      </c>
    </row>
    <row r="54" spans="2:17" ht="15" hidden="1" customHeight="1">
      <c r="B54" s="153">
        <v>18</v>
      </c>
      <c r="C54" s="153" t="str">
        <f t="shared" ca="1" si="3"/>
        <v>3.2.</v>
      </c>
      <c r="D54" s="153" t="str">
        <f t="shared" ca="1" si="6"/>
        <v>KEWIRAUSAHAAN</v>
      </c>
      <c r="E54" s="168" t="str">
        <f t="shared" ca="1" si="4"/>
        <v>Peningkatan Kualitas Pembelajaran</v>
      </c>
      <c r="F54" s="172">
        <f t="shared" ca="1" si="7"/>
        <v>68.75</v>
      </c>
      <c r="G54" s="172" t="str">
        <f t="shared" ca="1" si="8"/>
        <v>Kewirausahaan / Peningkatan Kualitas Pembelajaran</v>
      </c>
      <c r="H54" s="172"/>
      <c r="I54" s="172"/>
      <c r="J54" s="172"/>
      <c r="K54" s="172"/>
      <c r="L54" s="175">
        <f ca="1">COUNTIF($G$37:G54,G54)</f>
        <v>1</v>
      </c>
      <c r="M54" s="176">
        <f t="shared" ca="1" si="9"/>
        <v>68.75</v>
      </c>
      <c r="N54" s="177">
        <f ca="1">IF(M54&gt;$S$37,0,RANK(M54,$M$37:$M$67,1)+COUNTIF($M$37:M54,M54)-1)</f>
        <v>17</v>
      </c>
      <c r="O54" s="153">
        <f ca="1">COUNTIF($E$37:E54,E54)</f>
        <v>2</v>
      </c>
      <c r="P54" s="284">
        <f t="shared" ca="1" si="5"/>
        <v>100</v>
      </c>
      <c r="Q54" s="177">
        <f ca="1">IF(P54&gt;$S$37,0,RANK(P54,$P$37:$P$67,1)+COUNTIF($P$37:P54,P54)-1)</f>
        <v>0</v>
      </c>
    </row>
    <row r="55" spans="2:17" ht="15" hidden="1" customHeight="1">
      <c r="B55" s="153">
        <v>19</v>
      </c>
      <c r="C55" s="153" t="str">
        <f t="shared" ca="1" si="3"/>
        <v>1.5.</v>
      </c>
      <c r="D55" s="153" t="str">
        <f t="shared" ca="1" si="6"/>
        <v>USAHA PENGEMBANGAN MADRASAH</v>
      </c>
      <c r="E55" s="168" t="str">
        <f t="shared" ca="1" si="4"/>
        <v>Monitoring dan Evaluasi</v>
      </c>
      <c r="F55" s="172">
        <f t="shared" ca="1" si="7"/>
        <v>75</v>
      </c>
      <c r="G55" s="172" t="str">
        <f t="shared" ca="1" si="8"/>
        <v>Usaha Pengembangan Madrasah / Monitoring dan Evaluasi</v>
      </c>
      <c r="H55" s="172"/>
      <c r="I55" s="172"/>
      <c r="J55" s="172"/>
      <c r="K55" s="172"/>
      <c r="L55" s="175">
        <f ca="1">COUNTIF($G$37:G55,G55)</f>
        <v>2</v>
      </c>
      <c r="M55" s="176">
        <f t="shared" ca="1" si="9"/>
        <v>100</v>
      </c>
      <c r="N55" s="177">
        <f ca="1">IF(M55&gt;$S$37,0,RANK(M55,$M$37:$M$67,1)+COUNTIF($M$37:M55,M55)-1)</f>
        <v>0</v>
      </c>
      <c r="O55" s="153">
        <f ca="1">COUNTIF($E$37:E55,E55)</f>
        <v>3</v>
      </c>
      <c r="P55" s="284">
        <f t="shared" ca="1" si="5"/>
        <v>100</v>
      </c>
      <c r="Q55" s="177">
        <f ca="1">IF(P55&gt;$S$37,0,RANK(P55,$P$37:$P$67,1)+COUNTIF($P$37:P55,P55)-1)</f>
        <v>0</v>
      </c>
    </row>
    <row r="56" spans="2:17" ht="15" hidden="1" customHeight="1">
      <c r="B56" s="153">
        <v>20</v>
      </c>
      <c r="C56" s="153" t="str">
        <f t="shared" ca="1" si="3"/>
        <v>2.2.</v>
      </c>
      <c r="D56" s="153" t="str">
        <f t="shared" ca="1" si="6"/>
        <v>MANAJERIAL</v>
      </c>
      <c r="E56" s="168" t="str">
        <f t="shared" ca="1" si="4"/>
        <v>Perencanaan dan Pengembangan Madrasah</v>
      </c>
      <c r="F56" s="172">
        <f t="shared" ca="1" si="7"/>
        <v>75</v>
      </c>
      <c r="G56" s="172" t="str">
        <f t="shared" ca="1" si="8"/>
        <v>Manajerial / Perencanaan dan Pengembangan Madrasah</v>
      </c>
      <c r="H56" s="172"/>
      <c r="I56" s="172"/>
      <c r="J56" s="172"/>
      <c r="K56" s="172"/>
      <c r="L56" s="175">
        <f ca="1">COUNTIF($G$37:G56,G56)</f>
        <v>1</v>
      </c>
      <c r="M56" s="176">
        <f t="shared" ca="1" si="9"/>
        <v>75</v>
      </c>
      <c r="N56" s="177">
        <f ca="1">IF(M56&gt;$S$37,0,RANK(M56,$M$37:$M$67,1)+COUNTIF($M$37:M56,M56)-1)</f>
        <v>18</v>
      </c>
      <c r="O56" s="153">
        <f ca="1">COUNTIF($E$37:E56,E56)</f>
        <v>3</v>
      </c>
      <c r="P56" s="284">
        <f t="shared" ca="1" si="5"/>
        <v>100</v>
      </c>
      <c r="Q56" s="177">
        <f ca="1">IF(P56&gt;$S$37,0,RANK(P56,$P$37:$P$67,1)+COUNTIF($P$37:P56,P56)-1)</f>
        <v>0</v>
      </c>
    </row>
    <row r="57" spans="2:17" ht="15" hidden="1" customHeight="1">
      <c r="B57" s="153">
        <v>21</v>
      </c>
      <c r="C57" s="153" t="str">
        <f t="shared" ca="1" si="3"/>
        <v>2.4.</v>
      </c>
      <c r="D57" s="153" t="str">
        <f t="shared" ca="1" si="6"/>
        <v>MANAJERIAL</v>
      </c>
      <c r="E57" s="168" t="str">
        <f t="shared" ca="1" si="4"/>
        <v>Pengelolaan Sarana dan Prasarana</v>
      </c>
      <c r="F57" s="172">
        <f t="shared" ca="1" si="7"/>
        <v>75</v>
      </c>
      <c r="G57" s="172" t="str">
        <f t="shared" ca="1" si="8"/>
        <v>Manajerial / Pengelolaan Sarana dan Prasarana</v>
      </c>
      <c r="H57" s="172"/>
      <c r="I57" s="172"/>
      <c r="J57" s="172"/>
      <c r="K57" s="172"/>
      <c r="L57" s="175">
        <f ca="1">COUNTIF($G$37:G57,G57)</f>
        <v>1</v>
      </c>
      <c r="M57" s="176">
        <f t="shared" ca="1" si="9"/>
        <v>75</v>
      </c>
      <c r="N57" s="177">
        <f ca="1">IF(M57&gt;$S$37,0,RANK(M57,$M$37:$M$67,1)+COUNTIF($M$37:M57,M57)-1)</f>
        <v>19</v>
      </c>
      <c r="O57" s="153">
        <f ca="1">COUNTIF($E$37:E57,E57)</f>
        <v>1</v>
      </c>
      <c r="P57" s="284">
        <f t="shared" ca="1" si="5"/>
        <v>75</v>
      </c>
      <c r="Q57" s="177">
        <f ca="1">IF(P57&gt;$S$37,0,RANK(P57,$P$37:$P$67,1)+COUNTIF($P$37:P57,P57)-1)</f>
        <v>14</v>
      </c>
    </row>
    <row r="58" spans="2:17" ht="15" hidden="1" customHeight="1">
      <c r="B58" s="153">
        <v>22</v>
      </c>
      <c r="C58" s="153" t="str">
        <f t="shared" ca="1" si="3"/>
        <v>2.8.</v>
      </c>
      <c r="D58" s="153" t="str">
        <f t="shared" ca="1" si="6"/>
        <v>MANAJERIAL</v>
      </c>
      <c r="E58" s="168" t="str">
        <f t="shared" ca="1" si="4"/>
        <v>Kepemimpinan dalam Pengelolaan Sumberdaya Madrasah</v>
      </c>
      <c r="F58" s="172">
        <f t="shared" ca="1" si="7"/>
        <v>75</v>
      </c>
      <c r="G58" s="172" t="str">
        <f t="shared" ca="1" si="8"/>
        <v>Manajerial / Kepemimpinan dalam Pengelolaan Sumberdaya Madrasah</v>
      </c>
      <c r="H58" s="172"/>
      <c r="I58" s="172"/>
      <c r="J58" s="172"/>
      <c r="K58" s="172"/>
      <c r="L58" s="175">
        <f ca="1">COUNTIF($G$37:G58,G58)</f>
        <v>1</v>
      </c>
      <c r="M58" s="176">
        <f t="shared" ca="1" si="9"/>
        <v>75</v>
      </c>
      <c r="N58" s="177">
        <f ca="1">IF(M58&gt;$S$37,0,RANK(M58,$M$37:$M$67,1)+COUNTIF($M$37:M58,M58)-1)</f>
        <v>20</v>
      </c>
      <c r="O58" s="153">
        <f ca="1">COUNTIF($E$37:E58,E58)</f>
        <v>1</v>
      </c>
      <c r="P58" s="284">
        <f t="shared" ca="1" si="5"/>
        <v>75</v>
      </c>
      <c r="Q58" s="177">
        <f ca="1">IF(P58&gt;$S$37,0,RANK(P58,$P$37:$P$67,1)+COUNTIF($P$37:P58,P58)-1)</f>
        <v>15</v>
      </c>
    </row>
    <row r="59" spans="2:17" ht="15" hidden="1" customHeight="1">
      <c r="B59" s="153">
        <v>23</v>
      </c>
      <c r="C59" s="153" t="str">
        <f t="shared" ca="1" si="3"/>
        <v>2.12</v>
      </c>
      <c r="D59" s="153" t="str">
        <f t="shared" ca="1" si="6"/>
        <v>MANAJERIAL</v>
      </c>
      <c r="E59" s="168" t="str">
        <f t="shared" ca="1" si="4"/>
        <v>Kepemimpinan dalam Pengelolaan Sistem Administrasi</v>
      </c>
      <c r="F59" s="172">
        <f t="shared" ca="1" si="7"/>
        <v>75</v>
      </c>
      <c r="G59" s="172" t="str">
        <f t="shared" ca="1" si="8"/>
        <v>Manajerial / Kepemimpinan dalam Pengelolaan Sistem Administrasi</v>
      </c>
      <c r="H59" s="172"/>
      <c r="I59" s="172"/>
      <c r="J59" s="172"/>
      <c r="K59" s="172"/>
      <c r="L59" s="175">
        <f ca="1">COUNTIF($G$37:G59,G59)</f>
        <v>1</v>
      </c>
      <c r="M59" s="176">
        <f t="shared" ca="1" si="9"/>
        <v>75</v>
      </c>
      <c r="N59" s="177">
        <f ca="1">IF(M59&gt;$S$37,0,RANK(M59,$M$37:$M$67,1)+COUNTIF($M$37:M59,M59)-1)</f>
        <v>21</v>
      </c>
      <c r="O59" s="153">
        <f ca="1">COUNTIF($E$37:E59,E59)</f>
        <v>1</v>
      </c>
      <c r="P59" s="284">
        <f t="shared" ca="1" si="5"/>
        <v>75</v>
      </c>
      <c r="Q59" s="177">
        <f ca="1">IF(P59&gt;$S$37,0,RANK(P59,$P$37:$P$67,1)+COUNTIF($P$37:P59,P59)-1)</f>
        <v>16</v>
      </c>
    </row>
    <row r="60" spans="2:17" ht="15" hidden="1" customHeight="1">
      <c r="B60" s="153">
        <v>24</v>
      </c>
      <c r="C60" s="153" t="str">
        <f t="shared" ca="1" si="3"/>
        <v>2.14</v>
      </c>
      <c r="D60" s="153" t="str">
        <f t="shared" ca="1" si="6"/>
        <v>MANAJERIAL</v>
      </c>
      <c r="E60" s="168" t="str">
        <f t="shared" ca="1" si="4"/>
        <v>Sistem Informasi Manajemen (SIM)</v>
      </c>
      <c r="F60" s="172">
        <f t="shared" ca="1" si="7"/>
        <v>75</v>
      </c>
      <c r="G60" s="172" t="str">
        <f t="shared" ca="1" si="8"/>
        <v>Manajerial / Sistem Informasi Manajemen (SIM)</v>
      </c>
      <c r="H60" s="172"/>
      <c r="I60" s="172"/>
      <c r="J60" s="172"/>
      <c r="K60" s="172"/>
      <c r="L60" s="175">
        <f ca="1">COUNTIF($G$37:G60,G60)</f>
        <v>1</v>
      </c>
      <c r="M60" s="176">
        <f t="shared" ca="1" si="9"/>
        <v>75</v>
      </c>
      <c r="N60" s="177">
        <f ca="1">IF(M60&gt;$S$37,0,RANK(M60,$M$37:$M$67,1)+COUNTIF($M$37:M60,M60)-1)</f>
        <v>22</v>
      </c>
      <c r="O60" s="153">
        <f ca="1">COUNTIF($E$37:E60,E60)</f>
        <v>1</v>
      </c>
      <c r="P60" s="284">
        <f t="shared" ca="1" si="5"/>
        <v>75</v>
      </c>
      <c r="Q60" s="177">
        <f ca="1">IF(P60&gt;$S$37,0,RANK(P60,$P$37:$P$67,1)+COUNTIF($P$37:P60,P60)-1)</f>
        <v>17</v>
      </c>
    </row>
    <row r="61" spans="2:17" ht="15" hidden="1" customHeight="1">
      <c r="B61" s="153">
        <v>25</v>
      </c>
      <c r="C61" s="153" t="str">
        <f t="shared" ca="1" si="3"/>
        <v>4.2.</v>
      </c>
      <c r="D61" s="153" t="str">
        <f t="shared" ca="1" si="6"/>
        <v>SUPERVISI</v>
      </c>
      <c r="E61" s="168" t="str">
        <f t="shared" ca="1" si="4"/>
        <v>Supervisi Akademik</v>
      </c>
      <c r="F61" s="172">
        <f t="shared" ca="1" si="7"/>
        <v>75</v>
      </c>
      <c r="G61" s="172" t="str">
        <f t="shared" ca="1" si="8"/>
        <v>Supervisi / Supervisi Akademik</v>
      </c>
      <c r="H61" s="172"/>
      <c r="I61" s="172"/>
      <c r="J61" s="172"/>
      <c r="K61" s="172"/>
      <c r="L61" s="175">
        <f ca="1">COUNTIF($G$37:G61,G61)</f>
        <v>2</v>
      </c>
      <c r="M61" s="176">
        <f t="shared" ca="1" si="9"/>
        <v>100</v>
      </c>
      <c r="N61" s="177">
        <f ca="1">IF(M61&gt;$S$37,0,RANK(M61,$M$37:$M$67,1)+COUNTIF($M$37:M61,M61)-1)</f>
        <v>0</v>
      </c>
      <c r="O61" s="153">
        <f ca="1">COUNTIF($E$37:E61,E61)</f>
        <v>2</v>
      </c>
      <c r="P61" s="284">
        <f t="shared" ca="1" si="5"/>
        <v>100</v>
      </c>
      <c r="Q61" s="177">
        <f ca="1">IF(P61&gt;$S$37,0,RANK(P61,$P$37:$P$67,1)+COUNTIF($P$37:P61,P61)-1)</f>
        <v>0</v>
      </c>
    </row>
    <row r="62" spans="2:17" ht="15" hidden="1" customHeight="1">
      <c r="B62" s="153">
        <v>26</v>
      </c>
      <c r="C62" s="153" t="str">
        <f t="shared" ca="1" si="3"/>
        <v>4.3.</v>
      </c>
      <c r="D62" s="153" t="str">
        <f t="shared" ca="1" si="6"/>
        <v>SUPERVISI</v>
      </c>
      <c r="E62" s="168" t="str">
        <f t="shared" ca="1" si="4"/>
        <v>Supervisi Akademik</v>
      </c>
      <c r="F62" s="172">
        <f t="shared" ca="1" si="7"/>
        <v>75</v>
      </c>
      <c r="G62" s="172" t="str">
        <f t="shared" ca="1" si="8"/>
        <v>Supervisi / Supervisi Akademik</v>
      </c>
      <c r="H62" s="172"/>
      <c r="I62" s="172"/>
      <c r="J62" s="172"/>
      <c r="K62" s="172"/>
      <c r="L62" s="175">
        <f ca="1">COUNTIF($G$37:G62,G62)</f>
        <v>3</v>
      </c>
      <c r="M62" s="176">
        <f t="shared" ca="1" si="9"/>
        <v>100</v>
      </c>
      <c r="N62" s="177">
        <f ca="1">IF(M62&gt;$S$37,0,RANK(M62,$M$37:$M$67,1)+COUNTIF($M$37:M62,M62)-1)</f>
        <v>0</v>
      </c>
      <c r="O62" s="153">
        <f ca="1">COUNTIF($E$37:E62,E62)</f>
        <v>3</v>
      </c>
      <c r="P62" s="284">
        <f t="shared" ca="1" si="5"/>
        <v>100</v>
      </c>
      <c r="Q62" s="177">
        <f ca="1">IF(P62&gt;$S$37,0,RANK(P62,$P$37:$P$67,1)+COUNTIF($P$37:P62,P62)-1)</f>
        <v>0</v>
      </c>
    </row>
    <row r="63" spans="2:17" ht="15" hidden="1" customHeight="1">
      <c r="B63" s="153">
        <v>27</v>
      </c>
      <c r="C63" s="153" t="str">
        <f t="shared" ca="1" si="3"/>
        <v>2.3.</v>
      </c>
      <c r="D63" s="153" t="str">
        <f t="shared" ca="1" si="6"/>
        <v>MANAJERIAL</v>
      </c>
      <c r="E63" s="168" t="str">
        <f t="shared" ca="1" si="4"/>
        <v>Kepemimpinan dalam Pengelolaan Sumberdaya Madrasah</v>
      </c>
      <c r="F63" s="172">
        <f t="shared" ca="1" si="7"/>
        <v>81.25</v>
      </c>
      <c r="G63" s="172" t="str">
        <f t="shared" ca="1" si="8"/>
        <v>Manajerial / Kepemimpinan dalam Pengelolaan Sumberdaya Madrasah</v>
      </c>
      <c r="H63" s="172"/>
      <c r="I63" s="172"/>
      <c r="J63" s="172"/>
      <c r="K63" s="172"/>
      <c r="L63" s="175">
        <f ca="1">COUNTIF($G$37:G63,G63)</f>
        <v>2</v>
      </c>
      <c r="M63" s="176">
        <f t="shared" ca="1" si="9"/>
        <v>100</v>
      </c>
      <c r="N63" s="177">
        <f ca="1">IF(M63&gt;$S$37,0,RANK(M63,$M$37:$M$67,1)+COUNTIF($M$37:M63,M63)-1)</f>
        <v>0</v>
      </c>
      <c r="O63" s="153">
        <f ca="1">COUNTIF($E$37:E63,E63)</f>
        <v>2</v>
      </c>
      <c r="P63" s="284">
        <f t="shared" ca="1" si="5"/>
        <v>100</v>
      </c>
      <c r="Q63" s="177">
        <f ca="1">IF(P63&gt;$S$37,0,RANK(P63,$P$37:$P$67,1)+COUNTIF($P$37:P63,P63)-1)</f>
        <v>0</v>
      </c>
    </row>
    <row r="64" spans="2:17" ht="15" hidden="1" customHeight="1">
      <c r="B64" s="153">
        <v>28</v>
      </c>
      <c r="C64" s="153" t="str">
        <f t="shared" ca="1" si="3"/>
        <v>2.9.</v>
      </c>
      <c r="D64" s="153" t="str">
        <f t="shared" ca="1" si="6"/>
        <v>MANAJERIAL</v>
      </c>
      <c r="E64" s="168" t="str">
        <f t="shared" ca="1" si="4"/>
        <v>Pengelolaan Peserta Didik Baru</v>
      </c>
      <c r="F64" s="172">
        <f t="shared" ca="1" si="7"/>
        <v>81.25</v>
      </c>
      <c r="G64" s="172" t="str">
        <f t="shared" ca="1" si="8"/>
        <v>Manajerial / Pengelolaan Peserta Didik Baru</v>
      </c>
      <c r="H64" s="172"/>
      <c r="I64" s="172"/>
      <c r="J64" s="172"/>
      <c r="K64" s="172"/>
      <c r="L64" s="175">
        <f ca="1">COUNTIF($G$37:G64,G64)</f>
        <v>1</v>
      </c>
      <c r="M64" s="176">
        <f t="shared" ca="1" si="9"/>
        <v>81.25</v>
      </c>
      <c r="N64" s="177">
        <f ca="1">IF(M64&gt;$S$37,0,RANK(M64,$M$37:$M$67,1)+COUNTIF($M$37:M64,M64)-1)</f>
        <v>23</v>
      </c>
      <c r="O64" s="153">
        <f ca="1">COUNTIF($E$37:E64,E64)</f>
        <v>1</v>
      </c>
      <c r="P64" s="284">
        <f t="shared" ca="1" si="5"/>
        <v>81.25</v>
      </c>
      <c r="Q64" s="177">
        <f ca="1">IF(P64&gt;$S$37,0,RANK(P64,$P$37:$P$67,1)+COUNTIF($P$37:P64,P64)-1)</f>
        <v>18</v>
      </c>
    </row>
    <row r="65" spans="2:17" ht="15" hidden="1" customHeight="1">
      <c r="B65" s="153">
        <v>29</v>
      </c>
      <c r="C65" s="153" t="str">
        <f t="shared" ca="1" si="3"/>
        <v>2.5.</v>
      </c>
      <c r="D65" s="153" t="str">
        <f t="shared" ca="1" si="6"/>
        <v>MANAJERIAL</v>
      </c>
      <c r="E65" s="168" t="str">
        <f t="shared" ca="1" si="4"/>
        <v>Madrasah Berwawasan Lingkungan</v>
      </c>
      <c r="F65" s="172">
        <f t="shared" ca="1" si="7"/>
        <v>93.75</v>
      </c>
      <c r="G65" s="172" t="str">
        <f t="shared" ca="1" si="8"/>
        <v>Manajerial / Madrasah Berwawasan Lingkungan</v>
      </c>
      <c r="H65" s="172"/>
      <c r="I65" s="172"/>
      <c r="J65" s="172"/>
      <c r="K65" s="172"/>
      <c r="L65" s="175">
        <f ca="1">COUNTIF($G$37:G65,G65)</f>
        <v>1</v>
      </c>
      <c r="M65" s="176">
        <f t="shared" ca="1" si="9"/>
        <v>93.75</v>
      </c>
      <c r="N65" s="177">
        <f ca="1">IF(M65&gt;$S$37,0,RANK(M65,$M$37:$M$67,1)+COUNTIF($M$37:M65,M65)-1)</f>
        <v>0</v>
      </c>
      <c r="O65" s="153">
        <f ca="1">COUNTIF($E$37:E65,E65)</f>
        <v>1</v>
      </c>
      <c r="P65" s="284">
        <f t="shared" ca="1" si="5"/>
        <v>93.75</v>
      </c>
      <c r="Q65" s="177">
        <f ca="1">IF(P65&gt;$S$37,0,RANK(P65,$P$37:$P$67,1)+COUNTIF($P$37:P65,P65)-1)</f>
        <v>0</v>
      </c>
    </row>
    <row r="66" spans="2:17" ht="15" hidden="1" customHeight="1">
      <c r="B66" s="153">
        <v>30</v>
      </c>
      <c r="C66" s="153" t="str">
        <f t="shared" ca="1" si="3"/>
        <v>2.7.</v>
      </c>
      <c r="D66" s="153" t="str">
        <f t="shared" ca="1" si="6"/>
        <v>MANAJERIAL</v>
      </c>
      <c r="E66" s="168" t="str">
        <f t="shared" ca="1" si="4"/>
        <v>Pengelolaan Sarana dan Prasarana</v>
      </c>
      <c r="F66" s="172">
        <f t="shared" ca="1" si="7"/>
        <v>93.75</v>
      </c>
      <c r="G66" s="172" t="str">
        <f t="shared" ca="1" si="8"/>
        <v>Manajerial / Pengelolaan Sarana dan Prasarana</v>
      </c>
      <c r="H66" s="172"/>
      <c r="I66" s="172"/>
      <c r="J66" s="172"/>
      <c r="K66" s="172"/>
      <c r="L66" s="175">
        <f ca="1">COUNTIF($G$37:G66,G66)</f>
        <v>2</v>
      </c>
      <c r="M66" s="176">
        <f t="shared" ca="1" si="9"/>
        <v>100</v>
      </c>
      <c r="N66" s="177">
        <f ca="1">IF(M66&gt;$S$37,0,RANK(M66,$M$37:$M$67,1)+COUNTIF($M$37:M66,M66)-1)</f>
        <v>0</v>
      </c>
      <c r="O66" s="153">
        <f ca="1">COUNTIF($E$37:E66,E66)</f>
        <v>2</v>
      </c>
      <c r="P66" s="284">
        <f t="shared" ca="1" si="5"/>
        <v>100</v>
      </c>
      <c r="Q66" s="177">
        <f ca="1">IF(P66&gt;$S$37,0,RANK(P66,$P$37:$P$67,1)+COUNTIF($P$37:P66,P66)-1)</f>
        <v>0</v>
      </c>
    </row>
    <row r="67" spans="2:17" ht="15" hidden="1" customHeight="1">
      <c r="B67" s="153">
        <v>31</v>
      </c>
      <c r="C67" s="153" t="str">
        <f t="shared" ca="1" si="3"/>
        <v>2.11.</v>
      </c>
      <c r="D67" s="153" t="str">
        <f t="shared" ca="1" si="6"/>
        <v>MANAJERIAL</v>
      </c>
      <c r="E67" s="168" t="str">
        <f t="shared" ca="1" si="4"/>
        <v>Pengelolaan Keuangan</v>
      </c>
      <c r="F67" s="172">
        <f t="shared" ca="1" si="7"/>
        <v>93.75</v>
      </c>
      <c r="G67" s="172" t="str">
        <f t="shared" ca="1" si="8"/>
        <v>Manajerial / Pengelolaan Keuangan</v>
      </c>
      <c r="H67" s="172"/>
      <c r="I67" s="172"/>
      <c r="J67" s="172"/>
      <c r="K67" s="172"/>
      <c r="L67" s="175">
        <f ca="1">COUNTIF($G$37:G67,G67)</f>
        <v>1</v>
      </c>
      <c r="M67" s="176">
        <f t="shared" ca="1" si="9"/>
        <v>93.75</v>
      </c>
      <c r="N67" s="177">
        <f ca="1">IF(M67&gt;$S$37,0,RANK(M67,$M$37:$M$67,1)+COUNTIF($M$37:M67,M67)-1)</f>
        <v>0</v>
      </c>
      <c r="O67" s="153">
        <f ca="1">COUNTIF($E$37:E67,E67)</f>
        <v>1</v>
      </c>
      <c r="P67" s="284">
        <f t="shared" ca="1" si="5"/>
        <v>93.75</v>
      </c>
      <c r="Q67" s="177">
        <f ca="1">IF(P67&gt;$S$37,0,RANK(P67,$P$37:$P$67,1)+COUNTIF($P$37:P67,P67)-1)</f>
        <v>0</v>
      </c>
    </row>
    <row r="68" spans="2:17" ht="13.5" customHeight="1">
      <c r="D68" s="153"/>
      <c r="E68" s="168"/>
      <c r="F68" s="172"/>
      <c r="G68" s="172"/>
      <c r="H68" s="172"/>
      <c r="I68" s="307" t="str">
        <f>HYPERLINK("#Menu!A1","↖")</f>
        <v>↖</v>
      </c>
      <c r="J68" s="172"/>
      <c r="K68" s="172"/>
      <c r="L68" s="175"/>
      <c r="M68" s="176"/>
      <c r="N68" s="177"/>
      <c r="Q68" s="177"/>
    </row>
    <row r="69" spans="2:17" s="156" customFormat="1" ht="15" customHeight="1">
      <c r="C69" s="159" t="s">
        <v>536</v>
      </c>
      <c r="D69" s="186"/>
      <c r="P69" s="285"/>
    </row>
    <row r="70" spans="2:17" ht="15" customHeight="1"/>
    <row r="71" spans="2:17" ht="15" customHeight="1">
      <c r="C71" s="178" t="str">
        <f ca="1">"Periode : Tahun ke " &amp;A1</f>
        <v>Periode : Tahun ke 1</v>
      </c>
    </row>
    <row r="72" spans="2:17" ht="15" customHeight="1">
      <c r="C72" s="157" t="str">
        <f>"Nama Kepala Madrasah : " &amp; Data!E3</f>
        <v>Nama Kepala Madrasah : SIDIQ MUSTAKIM, Lc</v>
      </c>
    </row>
    <row r="73" spans="2:17" ht="15" customHeight="1">
      <c r="C73" s="153" t="str">
        <f>"Unit Kerja : " &amp; Data!E15</f>
        <v>Unit Kerja : MA Tahfidh Al-Amien Prenduan</v>
      </c>
    </row>
    <row r="74" spans="2:17" ht="15" customHeight="1">
      <c r="C74" s="153" t="str">
        <f>"Kecamatan : " &amp; Data!E19</f>
        <v>Kecamatan : Pragaan</v>
      </c>
    </row>
    <row r="75" spans="2:17" ht="15" customHeight="1">
      <c r="C75" s="153" t="str">
        <f>"Kabupaten/Kota : " &amp; Data!E20 &amp; " - "  &amp; Data!E21</f>
        <v>Kabupaten/Kota : Sumenep - Jawa Timur</v>
      </c>
    </row>
    <row r="76" spans="2:17" ht="15" customHeight="1"/>
    <row r="77" spans="2:17" ht="24.75" customHeight="1">
      <c r="C77" s="179" t="s">
        <v>59</v>
      </c>
      <c r="D77" s="179" t="s">
        <v>537</v>
      </c>
      <c r="E77" s="180" t="s">
        <v>534</v>
      </c>
      <c r="F77" s="179" t="s">
        <v>528</v>
      </c>
      <c r="G77" s="179" t="s">
        <v>529</v>
      </c>
    </row>
    <row r="78" spans="2:17" ht="38.25" customHeight="1">
      <c r="C78" s="181">
        <v>1</v>
      </c>
      <c r="D78" s="182" t="str">
        <f ca="1">PROPER(IF($C78&gt;$T$37,"",INDEX($D$37:$D$67,MATCH(C78,$N$37:$N$67,0))))</f>
        <v>Usaha Pengembangan Madrasah</v>
      </c>
      <c r="E78" s="183" t="str">
        <f ca="1">IF($C78&gt;$T$37,"",INDEX($E$37:$E$67,MATCH(C78,$N$37:$N$67,0)))</f>
        <v>Penelitian Tindakan</v>
      </c>
      <c r="F78" s="184">
        <f ca="1">IF($C78&gt;$T$37,"",INDEX($F$37:$F$67,MATCH(C78,$N$37:$N$67,0)))</f>
        <v>25</v>
      </c>
      <c r="G78" s="181" t="str">
        <f ca="1">IF(F78="","",VLOOKUP(F78,$W$38:$X$42,2,TRUE))</f>
        <v>Kurang</v>
      </c>
    </row>
    <row r="79" spans="2:17" ht="38.25" customHeight="1">
      <c r="C79" s="181">
        <v>2</v>
      </c>
      <c r="D79" s="182" t="str">
        <f t="shared" ref="D79:D92" ca="1" si="10">PROPER(IF($C79&gt;$T$37,"",INDEX($D$37:$D$67,MATCH(C79,$N$37:$N$67,0))))</f>
        <v>Kewirausahaan</v>
      </c>
      <c r="E79" s="183" t="str">
        <f t="shared" ref="E79:E92" ca="1" si="11">IF($C79&gt;$T$37,"",INDEX($E$37:$E$67,MATCH(C79,$N$37:$N$67,0)))</f>
        <v>Kewirausahaan</v>
      </c>
      <c r="F79" s="184">
        <f t="shared" ref="F79:F92" ca="1" si="12">IF($C79&gt;$T$37,"",INDEX($F$37:$F$67,MATCH(C79,$N$37:$N$67,0)))</f>
        <v>56.25</v>
      </c>
      <c r="G79" s="181" t="str">
        <f t="shared" ref="G79:G92" ca="1" si="13">IF(F79="","",VLOOKUP(F79,$W$38:$X$42,2,TRUE))</f>
        <v>Sedang</v>
      </c>
    </row>
    <row r="80" spans="2:17" ht="38.25" customHeight="1">
      <c r="C80" s="181">
        <v>3</v>
      </c>
      <c r="D80" s="182" t="str">
        <f t="shared" ca="1" si="10"/>
        <v>Kewirausahaan</v>
      </c>
      <c r="E80" s="183" t="str">
        <f t="shared" ca="1" si="11"/>
        <v>Kepemimpinan Madrasah</v>
      </c>
      <c r="F80" s="184">
        <f t="shared" ca="1" si="12"/>
        <v>58.333333333333336</v>
      </c>
      <c r="G80" s="181" t="str">
        <f t="shared" ca="1" si="13"/>
        <v>Sedang</v>
      </c>
    </row>
    <row r="81" spans="3:7" ht="38.25" customHeight="1">
      <c r="C81" s="181">
        <v>4</v>
      </c>
      <c r="D81" s="182" t="str">
        <f t="shared" ca="1" si="10"/>
        <v>Manajerial</v>
      </c>
      <c r="E81" s="183" t="str">
        <f t="shared" ca="1" si="11"/>
        <v>Pengelolaan Kurikulum</v>
      </c>
      <c r="F81" s="184">
        <f t="shared" ca="1" si="12"/>
        <v>60</v>
      </c>
      <c r="G81" s="181" t="str">
        <f t="shared" ca="1" si="13"/>
        <v>Sedang</v>
      </c>
    </row>
    <row r="82" spans="3:7" ht="38.25" customHeight="1">
      <c r="C82" s="181">
        <v>5</v>
      </c>
      <c r="D82" s="182" t="str">
        <f t="shared" ca="1" si="10"/>
        <v>Usaha Pengembangan Madrasah</v>
      </c>
      <c r="E82" s="183" t="str">
        <f t="shared" ca="1" si="11"/>
        <v>Perencanaan dan Pengembangan Madrasah</v>
      </c>
      <c r="F82" s="184">
        <f t="shared" ca="1" si="12"/>
        <v>62.5</v>
      </c>
      <c r="G82" s="181" t="str">
        <f t="shared" ca="1" si="13"/>
        <v>Cukup</v>
      </c>
    </row>
    <row r="83" spans="3:7" ht="38.25" customHeight="1">
      <c r="C83" s="181">
        <v>6</v>
      </c>
      <c r="D83" s="182" t="str">
        <f t="shared" ca="1" si="10"/>
        <v>Manajerial</v>
      </c>
      <c r="E83" s="183" t="str">
        <f t="shared" ca="1" si="11"/>
        <v>Pengelolaan Pendidikan dan Tenaga Kependidikan</v>
      </c>
      <c r="F83" s="184">
        <f t="shared" ca="1" si="12"/>
        <v>62.5</v>
      </c>
      <c r="G83" s="181" t="str">
        <f t="shared" ca="1" si="13"/>
        <v>Cukup</v>
      </c>
    </row>
    <row r="84" spans="3:7" ht="38.25" customHeight="1">
      <c r="C84" s="181">
        <v>7</v>
      </c>
      <c r="D84" s="182" t="str">
        <f t="shared" ca="1" si="10"/>
        <v>Manajerial</v>
      </c>
      <c r="E84" s="183" t="str">
        <f t="shared" ca="1" si="11"/>
        <v>Monitoring dan Evaluasi</v>
      </c>
      <c r="F84" s="184">
        <f t="shared" ca="1" si="12"/>
        <v>62.5</v>
      </c>
      <c r="G84" s="181" t="str">
        <f t="shared" ca="1" si="13"/>
        <v>Cukup</v>
      </c>
    </row>
    <row r="85" spans="3:7" ht="38.25" customHeight="1">
      <c r="C85" s="181">
        <v>8</v>
      </c>
      <c r="D85" s="182" t="str">
        <f t="shared" ca="1" si="10"/>
        <v>Kewirausahaan</v>
      </c>
      <c r="E85" s="183" t="str">
        <f t="shared" ca="1" si="11"/>
        <v>Perencanaan dan Pengembangan Madrasah</v>
      </c>
      <c r="F85" s="184">
        <f t="shared" ca="1" si="12"/>
        <v>62.5</v>
      </c>
      <c r="G85" s="181" t="str">
        <f t="shared" ca="1" si="13"/>
        <v>Cukup</v>
      </c>
    </row>
    <row r="86" spans="3:7" ht="38.25" customHeight="1">
      <c r="C86" s="181">
        <v>9</v>
      </c>
      <c r="D86" s="182" t="str">
        <f t="shared" ca="1" si="10"/>
        <v>Usaha Pengembangan Madrasah</v>
      </c>
      <c r="E86" s="183" t="str">
        <f t="shared" ca="1" si="11"/>
        <v>RKJM dan RKAM</v>
      </c>
      <c r="F86" s="184">
        <f t="shared" ca="1" si="12"/>
        <v>66.666666666666657</v>
      </c>
      <c r="G86" s="181" t="str">
        <f t="shared" ca="1" si="13"/>
        <v>Cukup</v>
      </c>
    </row>
    <row r="87" spans="3:7" ht="38.25" customHeight="1">
      <c r="C87" s="181">
        <v>10</v>
      </c>
      <c r="D87" s="182" t="str">
        <f t="shared" ca="1" si="10"/>
        <v>Manajerial</v>
      </c>
      <c r="E87" s="183" t="str">
        <f t="shared" ca="1" si="11"/>
        <v>Pembelajaran Berbasis TIK</v>
      </c>
      <c r="F87" s="184">
        <f t="shared" ca="1" si="12"/>
        <v>66.666666666666657</v>
      </c>
      <c r="G87" s="181" t="str">
        <f t="shared" ca="1" si="13"/>
        <v>Cukup</v>
      </c>
    </row>
    <row r="88" spans="3:7" ht="38.25" customHeight="1">
      <c r="C88" s="181">
        <v>11</v>
      </c>
      <c r="D88" s="182" t="str">
        <f t="shared" ca="1" si="10"/>
        <v>Supervisi</v>
      </c>
      <c r="E88" s="183" t="str">
        <f t="shared" ca="1" si="11"/>
        <v>Supervisi Akademik</v>
      </c>
      <c r="F88" s="184">
        <f t="shared" ca="1" si="12"/>
        <v>66.666666666666657</v>
      </c>
      <c r="G88" s="181" t="str">
        <f t="shared" ca="1" si="13"/>
        <v>Cukup</v>
      </c>
    </row>
    <row r="89" spans="3:7" ht="38.25" customHeight="1">
      <c r="C89" s="181">
        <v>12</v>
      </c>
      <c r="D89" s="182" t="str">
        <f t="shared" ca="1" si="10"/>
        <v>Usaha Pengembangan Madrasah</v>
      </c>
      <c r="E89" s="183" t="str">
        <f t="shared" ca="1" si="11"/>
        <v>Pemberdayaan Organisasi Madrasah</v>
      </c>
      <c r="F89" s="184">
        <f t="shared" ca="1" si="12"/>
        <v>68.75</v>
      </c>
      <c r="G89" s="181" t="str">
        <f t="shared" ca="1" si="13"/>
        <v>Cukup</v>
      </c>
    </row>
    <row r="90" spans="3:7" ht="38.25" customHeight="1">
      <c r="C90" s="181">
        <v>13</v>
      </c>
      <c r="D90" s="182" t="str">
        <f t="shared" ca="1" si="10"/>
        <v>Usaha Pengembangan Madrasah</v>
      </c>
      <c r="E90" s="183" t="str">
        <f t="shared" ca="1" si="11"/>
        <v>Peningkatan Kualitas Pembelajaran</v>
      </c>
      <c r="F90" s="184">
        <f t="shared" ca="1" si="12"/>
        <v>68.75</v>
      </c>
      <c r="G90" s="181" t="str">
        <f t="shared" ca="1" si="13"/>
        <v>Cukup</v>
      </c>
    </row>
    <row r="91" spans="3:7" ht="38.25" customHeight="1">
      <c r="C91" s="181">
        <v>14</v>
      </c>
      <c r="D91" s="182" t="str">
        <f t="shared" ca="1" si="10"/>
        <v>Usaha Pengembangan Madrasah</v>
      </c>
      <c r="E91" s="183" t="str">
        <f t="shared" ca="1" si="11"/>
        <v>Monitoring dan Evaluasi</v>
      </c>
      <c r="F91" s="184">
        <f t="shared" ca="1" si="12"/>
        <v>68.75</v>
      </c>
      <c r="G91" s="181" t="str">
        <f t="shared" ca="1" si="13"/>
        <v>Cukup</v>
      </c>
    </row>
    <row r="92" spans="3:7" ht="38.25" customHeight="1">
      <c r="C92" s="181">
        <v>15</v>
      </c>
      <c r="D92" s="182" t="str">
        <f t="shared" ca="1" si="10"/>
        <v>Manajerial</v>
      </c>
      <c r="E92" s="183" t="str">
        <f t="shared" ca="1" si="11"/>
        <v>RKJM dan RKAM</v>
      </c>
      <c r="F92" s="184">
        <f t="shared" ca="1" si="12"/>
        <v>68.75</v>
      </c>
      <c r="G92" s="181" t="str">
        <f t="shared" ca="1" si="13"/>
        <v>Cukup</v>
      </c>
    </row>
    <row r="93" spans="3:7" ht="16.5" customHeight="1"/>
    <row r="94" spans="3:7" ht="15" customHeight="1">
      <c r="E94" s="185" t="str">
        <f>Data!E20 &amp;", "&amp; TEXT(Data!E33,"dd mmmm yyyy")</f>
        <v>Sumenep, 00 January 1900</v>
      </c>
    </row>
    <row r="95" spans="3:7" ht="15" customHeight="1">
      <c r="E95" s="185" t="s">
        <v>533</v>
      </c>
    </row>
    <row r="96" spans="3:7" ht="15" customHeight="1">
      <c r="E96" s="185"/>
    </row>
    <row r="97" spans="5:5" ht="15" customHeight="1">
      <c r="E97" s="185"/>
    </row>
    <row r="98" spans="5:5" ht="15" customHeight="1">
      <c r="E98" s="185"/>
    </row>
    <row r="99" spans="5:5" ht="15" customHeight="1">
      <c r="E99" s="216" t="str">
        <f>Data!E24</f>
        <v>Slamet Riyadi, S.Pd, M.Pd</v>
      </c>
    </row>
    <row r="100" spans="5:5" ht="15" customHeight="1">
      <c r="E100" s="193" t="str">
        <f>"NIP" &amp; Data!E25</f>
        <v>NIP196501112005011002</v>
      </c>
    </row>
    <row r="101" spans="5:5" ht="15" customHeight="1"/>
  </sheetData>
  <sheetProtection sheet="1" objects="1" scenarios="1"/>
  <pageMargins left="0.70866141732283472" right="0.70866141732283472" top="0.74803149606299213" bottom="0.74803149606299213" header="0.31496062992125984" footer="0.31496062992125984"/>
  <pageSetup paperSize="9" scale="74" fitToHeight="15" orientation="portrait" r:id="rId1"/>
</worksheet>
</file>

<file path=xl/worksheets/sheet6.xml><?xml version="1.0" encoding="utf-8"?>
<worksheet xmlns="http://schemas.openxmlformats.org/spreadsheetml/2006/main" xmlns:r="http://schemas.openxmlformats.org/officeDocument/2006/relationships">
  <sheetPr>
    <tabColor rgb="FF009900"/>
  </sheetPr>
  <dimension ref="A1:V23"/>
  <sheetViews>
    <sheetView showGridLines="0" topLeftCell="A2" workbookViewId="0">
      <selection activeCell="E16" sqref="E16"/>
    </sheetView>
  </sheetViews>
  <sheetFormatPr defaultColWidth="0" defaultRowHeight="15.75" zeroHeight="1"/>
  <cols>
    <col min="1" max="1" width="3.7109375" style="163" customWidth="1"/>
    <col min="2" max="2" width="3.5703125" style="163" customWidth="1"/>
    <col min="3" max="3" width="5.85546875" style="163" customWidth="1"/>
    <col min="4" max="4" width="36.5703125" style="163" customWidth="1"/>
    <col min="5" max="5" width="21.7109375" style="163" customWidth="1"/>
    <col min="6" max="6" width="33" style="163" customWidth="1"/>
    <col min="7" max="7" width="34.85546875" style="163" customWidth="1"/>
    <col min="8" max="8" width="4.85546875" style="163" customWidth="1"/>
    <col min="9" max="9" width="3.5703125" style="163" bestFit="1" customWidth="1"/>
    <col min="10" max="11" width="9.140625" style="163" hidden="1" customWidth="1"/>
    <col min="12" max="12" width="21.140625" style="163" hidden="1" customWidth="1"/>
    <col min="13" max="13" width="55.28515625" style="163" hidden="1" customWidth="1"/>
    <col min="14" max="14" width="5.85546875" style="299" hidden="1" customWidth="1"/>
    <col min="15" max="15" width="40.28515625" style="163" hidden="1" customWidth="1"/>
    <col min="16" max="16" width="12" style="164" hidden="1" customWidth="1"/>
    <col min="17" max="17" width="9.85546875" style="163" hidden="1" customWidth="1"/>
    <col min="18" max="18" width="6.42578125" style="164" hidden="1" customWidth="1"/>
    <col min="19" max="19" width="3.5703125" style="163" hidden="1" customWidth="1"/>
    <col min="20" max="20" width="9.140625" style="163" hidden="1" customWidth="1"/>
    <col min="21" max="21" width="8.5703125" style="163" hidden="1" customWidth="1"/>
    <col min="22" max="22" width="10.140625" style="163" hidden="1" customWidth="1"/>
    <col min="23" max="16384" width="9.140625" style="163" hidden="1"/>
  </cols>
  <sheetData>
    <row r="1" spans="1:22" hidden="1">
      <c r="A1" s="162" t="str">
        <f ca="1">RIGHT(MID(CELL("filename",A1),FIND("]",CELL("filename",A1))+1,255),1)</f>
        <v>1</v>
      </c>
      <c r="B1" s="162" t="str">
        <f ca="1">MID(CELL("filename",B1),FIND("]",CELL("filename",B1))+1,255)</f>
        <v>Form2-Pengawas-Thn-1</v>
      </c>
      <c r="C1" s="162" t="str">
        <f ca="1">MID(B1,7,LEN(B1)-6)</f>
        <v>Pengawas-Thn-1</v>
      </c>
      <c r="D1" s="162" t="str">
        <f ca="1">LEFT(C1,LEN(C1)-6)</f>
        <v>Pengawas</v>
      </c>
    </row>
    <row r="2" spans="1:22" ht="13.5" customHeight="1">
      <c r="A2" s="162"/>
      <c r="B2" s="162"/>
      <c r="C2" s="162"/>
      <c r="D2" s="162"/>
      <c r="I2" s="307" t="str">
        <f>HYPERLINK("#Menu!A1","↖")</f>
        <v>↖</v>
      </c>
      <c r="L2" s="290" t="s">
        <v>561</v>
      </c>
      <c r="M2" s="290" t="s">
        <v>564</v>
      </c>
      <c r="N2" s="167" t="s">
        <v>577</v>
      </c>
      <c r="O2" s="290" t="s">
        <v>544</v>
      </c>
      <c r="P2" s="291" t="s">
        <v>528</v>
      </c>
      <c r="Q2" s="290" t="s">
        <v>545</v>
      </c>
      <c r="R2" s="291" t="s">
        <v>546</v>
      </c>
      <c r="S2" s="290"/>
      <c r="U2" s="165" t="s">
        <v>535</v>
      </c>
      <c r="V2" s="290" t="s">
        <v>559</v>
      </c>
    </row>
    <row r="3" spans="1:22" s="160" customFormat="1" ht="11.25" customHeight="1">
      <c r="C3" s="159" t="s">
        <v>542</v>
      </c>
      <c r="L3" s="290" t="s">
        <v>561</v>
      </c>
      <c r="M3" s="297" t="s">
        <v>565</v>
      </c>
      <c r="N3" s="300">
        <v>78</v>
      </c>
      <c r="O3" s="292" t="str">
        <f ca="1">INDIRECT("'Form1-Pengawas-Thn-"&amp;$A$1&amp;"'!E" &amp;$N3)</f>
        <v>Penelitian Tindakan</v>
      </c>
      <c r="P3" s="292">
        <f ca="1">INDIRECT("'Form1-Pengawas-Thn-"&amp;$A$1&amp;"'!F" &amp;$N3)</f>
        <v>25</v>
      </c>
      <c r="Q3" s="292">
        <f ca="1">COUNTIF($O$3:O3,O3)</f>
        <v>1</v>
      </c>
      <c r="R3" s="293">
        <f ca="1">IF(Q3&gt;1,100,P3)</f>
        <v>25</v>
      </c>
      <c r="S3" s="294">
        <f ca="1">IF(R3&gt;$U$3,0,RANK(R3,$R$3:$R$17,1)+COUNTIF($R3:R$17,R3)-1)</f>
        <v>1</v>
      </c>
      <c r="U3" s="158">
        <v>91</v>
      </c>
      <c r="V3" s="298">
        <f ca="1">MAX(S3:S17)</f>
        <v>12</v>
      </c>
    </row>
    <row r="4" spans="1:22">
      <c r="L4" s="290" t="s">
        <v>561</v>
      </c>
      <c r="M4" s="290" t="s">
        <v>566</v>
      </c>
      <c r="N4" s="167">
        <v>79</v>
      </c>
      <c r="O4" s="292" t="str">
        <f t="shared" ref="O4:O17" ca="1" si="0">INDIRECT("'Form1-Pengawas-Thn-"&amp;$A$1&amp;"'!E" &amp;$N4)</f>
        <v>Kewirausahaan</v>
      </c>
      <c r="P4" s="292">
        <f t="shared" ref="P4:P17" ca="1" si="1">INDIRECT("'Form1-Pengawas-Thn-"&amp;$A$1&amp;"'!F" &amp;$N4)</f>
        <v>56.25</v>
      </c>
      <c r="Q4" s="290">
        <f ca="1">COUNTIF($O$3:O4,O4)</f>
        <v>1</v>
      </c>
      <c r="R4" s="295">
        <f t="shared" ref="R4:R17" ca="1" si="2">IF(Q4&gt;1,100,P4)</f>
        <v>56.25</v>
      </c>
      <c r="S4" s="296">
        <f ca="1">IF(R4&gt;$U$3,0,RANK(R4,$R$3:$R$17,1)+COUNTIF($R4:R$17,R4)-1)</f>
        <v>2</v>
      </c>
    </row>
    <row r="5" spans="1:22">
      <c r="C5" s="163" t="str">
        <f ca="1">"Periode : Tahun ke " &amp;A1</f>
        <v>Periode : Tahun ke 1</v>
      </c>
      <c r="L5" s="290" t="s">
        <v>561</v>
      </c>
      <c r="M5" s="290" t="s">
        <v>567</v>
      </c>
      <c r="N5" s="300">
        <v>80</v>
      </c>
      <c r="O5" s="292" t="str">
        <f t="shared" ca="1" si="0"/>
        <v>Kepemimpinan Madrasah</v>
      </c>
      <c r="P5" s="292">
        <f t="shared" ca="1" si="1"/>
        <v>58.333333333333336</v>
      </c>
      <c r="Q5" s="290">
        <f ca="1">COUNTIF($O$3:O5,O5)</f>
        <v>1</v>
      </c>
      <c r="R5" s="295">
        <f t="shared" ca="1" si="2"/>
        <v>58.333333333333336</v>
      </c>
      <c r="S5" s="296">
        <f ca="1">IF(R5&gt;$U$3,0,RANK(R5,$R$3:$R$17,1)+COUNTIF($R5:R$17,R5)-1)</f>
        <v>3</v>
      </c>
    </row>
    <row r="6" spans="1:22">
      <c r="C6" s="161" t="str">
        <f>"Nama Kepala Madrasah : " &amp; Data!E3</f>
        <v>Nama Kepala Madrasah : SIDIQ MUSTAKIM, Lc</v>
      </c>
      <c r="L6" s="290" t="s">
        <v>561</v>
      </c>
      <c r="M6" s="290" t="s">
        <v>568</v>
      </c>
      <c r="N6" s="167">
        <v>81</v>
      </c>
      <c r="O6" s="292" t="str">
        <f t="shared" ca="1" si="0"/>
        <v>Pengelolaan Kurikulum</v>
      </c>
      <c r="P6" s="292">
        <f t="shared" ca="1" si="1"/>
        <v>60</v>
      </c>
      <c r="Q6" s="290">
        <f ca="1">COUNTIF($O$3:O6,O6)</f>
        <v>1</v>
      </c>
      <c r="R6" s="295">
        <f t="shared" ca="1" si="2"/>
        <v>60</v>
      </c>
      <c r="S6" s="296">
        <f ca="1">IF(R6&gt;$U$3,0,RANK(R6,$R$3:$R$17,1)+COUNTIF($R6:R$17,R6)-1)</f>
        <v>4</v>
      </c>
    </row>
    <row r="7" spans="1:22">
      <c r="C7" s="163" t="str">
        <f>"Unit Kerja : " &amp; Data!E15</f>
        <v>Unit Kerja : MA Tahfidh Al-Amien Prenduan</v>
      </c>
      <c r="L7" s="290" t="s">
        <v>561</v>
      </c>
      <c r="M7" s="290" t="s">
        <v>569</v>
      </c>
      <c r="N7" s="300">
        <v>82</v>
      </c>
      <c r="O7" s="292" t="str">
        <f t="shared" ca="1" si="0"/>
        <v>Perencanaan dan Pengembangan Madrasah</v>
      </c>
      <c r="P7" s="292">
        <f t="shared" ca="1" si="1"/>
        <v>62.5</v>
      </c>
      <c r="Q7" s="290">
        <f ca="1">COUNTIF($O$3:O7,O7)</f>
        <v>1</v>
      </c>
      <c r="R7" s="295">
        <f t="shared" ca="1" si="2"/>
        <v>62.5</v>
      </c>
      <c r="S7" s="296">
        <f ca="1">IF(R7&gt;$U$3,0,RANK(R7,$R$3:$R$17,1)+COUNTIF($R7:R$17,R7)-1)</f>
        <v>7</v>
      </c>
    </row>
    <row r="8" spans="1:22">
      <c r="C8" s="163" t="str">
        <f>"Kecamatan : " &amp; Data!E19</f>
        <v>Kecamatan : Pragaan</v>
      </c>
      <c r="L8" s="290" t="s">
        <v>561</v>
      </c>
      <c r="M8" s="290" t="s">
        <v>570</v>
      </c>
      <c r="N8" s="167">
        <v>83</v>
      </c>
      <c r="O8" s="292" t="str">
        <f t="shared" ca="1" si="0"/>
        <v>Pengelolaan Pendidikan dan Tenaga Kependidikan</v>
      </c>
      <c r="P8" s="292">
        <f t="shared" ca="1" si="1"/>
        <v>62.5</v>
      </c>
      <c r="Q8" s="290">
        <f ca="1">COUNTIF($O$3:O8,O8)</f>
        <v>1</v>
      </c>
      <c r="R8" s="295">
        <f t="shared" ca="1" si="2"/>
        <v>62.5</v>
      </c>
      <c r="S8" s="296">
        <f ca="1">IF(R8&gt;$U$3,0,RANK(R8,$R$3:$R$17,1)+COUNTIF($R8:R$17,R8)-1)</f>
        <v>6</v>
      </c>
    </row>
    <row r="9" spans="1:22">
      <c r="C9" s="163" t="str">
        <f>"Kabupaten/Kota : " &amp; Data!E20 &amp; " - "  &amp; Data!E21</f>
        <v>Kabupaten/Kota : Sumenep - Jawa Timur</v>
      </c>
      <c r="L9" s="290" t="s">
        <v>562</v>
      </c>
      <c r="M9" s="290" t="s">
        <v>571</v>
      </c>
      <c r="N9" s="300">
        <v>84</v>
      </c>
      <c r="O9" s="292" t="str">
        <f t="shared" ca="1" si="0"/>
        <v>Monitoring dan Evaluasi</v>
      </c>
      <c r="P9" s="292">
        <f t="shared" ca="1" si="1"/>
        <v>62.5</v>
      </c>
      <c r="Q9" s="290">
        <f ca="1">COUNTIF($O$3:O9,O9)</f>
        <v>1</v>
      </c>
      <c r="R9" s="295">
        <f t="shared" ca="1" si="2"/>
        <v>62.5</v>
      </c>
      <c r="S9" s="296">
        <f ca="1">IF(R9&gt;$U$3,0,RANK(R9,$R$3:$R$17,1)+COUNTIF($R9:R$17,R9)-1)</f>
        <v>5</v>
      </c>
    </row>
    <row r="10" spans="1:22">
      <c r="L10" s="290" t="s">
        <v>562</v>
      </c>
      <c r="M10" s="290" t="s">
        <v>572</v>
      </c>
      <c r="N10" s="167">
        <v>85</v>
      </c>
      <c r="O10" s="292" t="str">
        <f t="shared" ca="1" si="0"/>
        <v>Perencanaan dan Pengembangan Madrasah</v>
      </c>
      <c r="P10" s="292">
        <f t="shared" ca="1" si="1"/>
        <v>62.5</v>
      </c>
      <c r="Q10" s="290">
        <f ca="1">COUNTIF($O$3:O10,O10)</f>
        <v>2</v>
      </c>
      <c r="R10" s="295">
        <f t="shared" ca="1" si="2"/>
        <v>100</v>
      </c>
      <c r="S10" s="296">
        <f ca="1">IF(R10&gt;$U$3,0,RANK(R10,$R$3:$R$17,1)+COUNTIF($R10:R$17,R10)-1)</f>
        <v>0</v>
      </c>
    </row>
    <row r="11" spans="1:22" ht="24.75" customHeight="1">
      <c r="C11" s="167" t="s">
        <v>59</v>
      </c>
      <c r="D11" s="167" t="s">
        <v>547</v>
      </c>
      <c r="E11" s="167" t="s">
        <v>543</v>
      </c>
      <c r="F11" s="167" t="s">
        <v>548</v>
      </c>
      <c r="G11" s="167" t="s">
        <v>527</v>
      </c>
      <c r="L11" s="290" t="s">
        <v>562</v>
      </c>
      <c r="M11" s="290" t="s">
        <v>573</v>
      </c>
      <c r="N11" s="300">
        <v>86</v>
      </c>
      <c r="O11" s="292" t="str">
        <f t="shared" ca="1" si="0"/>
        <v>RKJM dan RKAM</v>
      </c>
      <c r="P11" s="292">
        <f t="shared" ca="1" si="1"/>
        <v>66.666666666666657</v>
      </c>
      <c r="Q11" s="290">
        <f ca="1">COUNTIF($O$3:O11,O11)</f>
        <v>1</v>
      </c>
      <c r="R11" s="295">
        <f t="shared" ca="1" si="2"/>
        <v>66.666666666666657</v>
      </c>
      <c r="S11" s="296">
        <f ca="1">IF(R11&gt;$U$3,0,RANK(R11,$R$3:$R$17,1)+COUNTIF($R11:R$17,R11)-1)</f>
        <v>10</v>
      </c>
    </row>
    <row r="12" spans="1:22" ht="33" customHeight="1">
      <c r="C12" s="167">
        <v>1</v>
      </c>
      <c r="D12" s="187" t="s">
        <v>506</v>
      </c>
      <c r="E12" s="187" t="s">
        <v>561</v>
      </c>
      <c r="F12" s="187" t="s">
        <v>569</v>
      </c>
      <c r="G12" s="187"/>
      <c r="L12" s="290" t="s">
        <v>563</v>
      </c>
      <c r="M12" s="290" t="s">
        <v>574</v>
      </c>
      <c r="N12" s="167">
        <v>87</v>
      </c>
      <c r="O12" s="292" t="str">
        <f t="shared" ca="1" si="0"/>
        <v>Pembelajaran Berbasis TIK</v>
      </c>
      <c r="P12" s="292">
        <f t="shared" ca="1" si="1"/>
        <v>66.666666666666657</v>
      </c>
      <c r="Q12" s="290">
        <f ca="1">COUNTIF($O$3:O12,O12)</f>
        <v>1</v>
      </c>
      <c r="R12" s="295">
        <f t="shared" ca="1" si="2"/>
        <v>66.666666666666657</v>
      </c>
      <c r="S12" s="296">
        <f ca="1">IF(R12&gt;$U$3,0,RANK(R12,$R$3:$R$17,1)+COUNTIF($R12:R$17,R12)-1)</f>
        <v>9</v>
      </c>
    </row>
    <row r="13" spans="1:22" ht="33" customHeight="1">
      <c r="C13" s="167">
        <v>2</v>
      </c>
      <c r="D13" s="187" t="s">
        <v>521</v>
      </c>
      <c r="E13" s="187" t="s">
        <v>561</v>
      </c>
      <c r="F13" s="187" t="s">
        <v>569</v>
      </c>
      <c r="G13" s="187"/>
      <c r="L13" s="290" t="s">
        <v>563</v>
      </c>
      <c r="M13" s="290" t="s">
        <v>575</v>
      </c>
      <c r="N13" s="300">
        <v>88</v>
      </c>
      <c r="O13" s="292" t="str">
        <f t="shared" ca="1" si="0"/>
        <v>Supervisi Akademik</v>
      </c>
      <c r="P13" s="292">
        <f t="shared" ca="1" si="1"/>
        <v>66.666666666666657</v>
      </c>
      <c r="Q13" s="290">
        <f ca="1">COUNTIF($O$3:O13,O13)</f>
        <v>1</v>
      </c>
      <c r="R13" s="295">
        <f t="shared" ca="1" si="2"/>
        <v>66.666666666666657</v>
      </c>
      <c r="S13" s="296">
        <f ca="1">IF(R13&gt;$U$3,0,RANK(R13,$R$3:$R$17,1)+COUNTIF($R13:R$17,R13)-1)</f>
        <v>8</v>
      </c>
    </row>
    <row r="14" spans="1:22" ht="33" customHeight="1">
      <c r="C14" s="167">
        <v>3</v>
      </c>
      <c r="D14" s="187" t="s">
        <v>560</v>
      </c>
      <c r="E14" s="187" t="s">
        <v>561</v>
      </c>
      <c r="F14" s="187" t="s">
        <v>569</v>
      </c>
      <c r="G14" s="187"/>
      <c r="L14" s="290" t="s">
        <v>563</v>
      </c>
      <c r="M14" s="290" t="s">
        <v>576</v>
      </c>
      <c r="N14" s="167">
        <v>89</v>
      </c>
      <c r="O14" s="292" t="str">
        <f t="shared" ca="1" si="0"/>
        <v>Pemberdayaan Organisasi Madrasah</v>
      </c>
      <c r="P14" s="292">
        <f t="shared" ca="1" si="1"/>
        <v>68.75</v>
      </c>
      <c r="Q14" s="290">
        <f ca="1">COUNTIF($O$3:O14,O14)</f>
        <v>1</v>
      </c>
      <c r="R14" s="295">
        <f t="shared" ca="1" si="2"/>
        <v>68.75</v>
      </c>
      <c r="S14" s="296">
        <f ca="1">IF(R14&gt;$U$3,0,RANK(R14,$R$3:$R$17,1)+COUNTIF($R14:R$17,R14)-1)</f>
        <v>12</v>
      </c>
    </row>
    <row r="15" spans="1:22" ht="33" customHeight="1">
      <c r="C15" s="167">
        <v>4</v>
      </c>
      <c r="D15" s="187" t="s">
        <v>532</v>
      </c>
      <c r="E15" s="187" t="s">
        <v>561</v>
      </c>
      <c r="F15" s="187" t="s">
        <v>569</v>
      </c>
      <c r="G15" s="187"/>
      <c r="N15" s="300">
        <v>90</v>
      </c>
      <c r="O15" s="292" t="str">
        <f t="shared" ca="1" si="0"/>
        <v>Peningkatan Kualitas Pembelajaran</v>
      </c>
      <c r="P15" s="292">
        <f t="shared" ca="1" si="1"/>
        <v>68.75</v>
      </c>
      <c r="Q15" s="290">
        <f ca="1">COUNTIF($O$3:O15,O15)</f>
        <v>1</v>
      </c>
      <c r="R15" s="295">
        <f t="shared" ca="1" si="2"/>
        <v>68.75</v>
      </c>
      <c r="S15" s="296">
        <f ca="1">IF(R15&gt;$U$3,0,RANK(R15,$R$3:$R$17,1)+COUNTIF($R15:R$17,R15)-1)</f>
        <v>11</v>
      </c>
    </row>
    <row r="16" spans="1:22" ht="33" customHeight="1">
      <c r="C16" s="167">
        <v>5</v>
      </c>
      <c r="D16" s="187"/>
      <c r="E16" s="187"/>
      <c r="F16" s="187"/>
      <c r="G16" s="187"/>
      <c r="N16" s="167">
        <v>91</v>
      </c>
      <c r="O16" s="292" t="str">
        <f t="shared" ca="1" si="0"/>
        <v>Monitoring dan Evaluasi</v>
      </c>
      <c r="P16" s="292">
        <f t="shared" ca="1" si="1"/>
        <v>68.75</v>
      </c>
      <c r="Q16" s="290">
        <f ca="1">COUNTIF($O$3:O16,O16)</f>
        <v>2</v>
      </c>
      <c r="R16" s="295">
        <f t="shared" ca="1" si="2"/>
        <v>100</v>
      </c>
      <c r="S16" s="296">
        <f ca="1">IF(R16&gt;$U$3,0,RANK(R16,$R$3:$R$17,1)+COUNTIF($R16:R$17,R16)-1)</f>
        <v>0</v>
      </c>
    </row>
    <row r="17" spans="4:19" ht="28.5" customHeight="1">
      <c r="N17" s="300">
        <v>92</v>
      </c>
      <c r="O17" s="292" t="str">
        <f t="shared" ca="1" si="0"/>
        <v>RKJM dan RKAM</v>
      </c>
      <c r="P17" s="292">
        <f t="shared" ca="1" si="1"/>
        <v>68.75</v>
      </c>
      <c r="Q17" s="290">
        <f ca="1">COUNTIF($O$3:O17,O17)</f>
        <v>2</v>
      </c>
      <c r="R17" s="295">
        <f t="shared" ca="1" si="2"/>
        <v>100</v>
      </c>
      <c r="S17" s="296">
        <f ca="1">IF(R17&gt;$U$3,0,RANK(R17,$R$3:$R$17,1)+COUNTIF($R17:R$17,R17)-1)</f>
        <v>0</v>
      </c>
    </row>
    <row r="18" spans="4:19" ht="28.5" customHeight="1">
      <c r="G18" s="188" t="str">
        <f>Data!E20 &amp;", "&amp; TEXT(Data!E33,"dd mmmm yyyy")</f>
        <v>Sumenep, 00 January 1900</v>
      </c>
    </row>
    <row r="19" spans="4:19" ht="28.5" customHeight="1">
      <c r="D19" s="163" t="s">
        <v>533</v>
      </c>
      <c r="G19" s="163" t="s">
        <v>549</v>
      </c>
    </row>
    <row r="20" spans="4:19" ht="28.5" customHeight="1"/>
    <row r="21" spans="4:19" s="191" customFormat="1" ht="28.5" customHeight="1">
      <c r="D21" s="213" t="str">
        <f>Data!E24</f>
        <v>Slamet Riyadi, S.Pd, M.Pd</v>
      </c>
      <c r="G21" s="215" t="str">
        <f>Data!E3</f>
        <v>SIDIQ MUSTAKIM, Lc</v>
      </c>
      <c r="N21" s="301"/>
      <c r="P21" s="192"/>
      <c r="R21" s="192"/>
    </row>
    <row r="22" spans="4:19" s="189" customFormat="1" ht="15.75" customHeight="1">
      <c r="D22" s="214" t="str">
        <f>"NIP" &amp; Data!E25</f>
        <v>NIP196501112005011002</v>
      </c>
      <c r="G22" s="214" t="str">
        <f>"NIP" &amp; Data!E4</f>
        <v>NIP-</v>
      </c>
      <c r="N22" s="302"/>
      <c r="P22" s="190"/>
      <c r="R22" s="190"/>
    </row>
    <row r="23" spans="4:19" ht="28.5" customHeight="1"/>
  </sheetData>
  <sheetProtection sheet="1" objects="1" scenarios="1"/>
  <dataValidations count="3">
    <dataValidation type="list" allowBlank="1" showInputMessage="1" showErrorMessage="1" sqref="D12:D16">
      <formula1>OFFSET(INDIRECT("$O$3"),0,0,$V$3)</formula1>
    </dataValidation>
    <dataValidation type="list" allowBlank="1" showInputMessage="1" showErrorMessage="1" sqref="F12:F16">
      <formula1>OFFSET(INDIRECT("$L$2"),MATCH(E12,INDIRECT("L:L"),0)-2,1, COUNTIF(INDIRECT("L:L"),E12),1)</formula1>
    </dataValidation>
    <dataValidation type="list" allowBlank="1" showInputMessage="1" showErrorMessage="1" sqref="E12:E16">
      <formula1>"1.Pengembangan Diri,2.Publikasi Ilmiah,3.Karya Inovatif"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CC00"/>
  </sheetPr>
  <dimension ref="A1:N31"/>
  <sheetViews>
    <sheetView showGridLines="0" view="pageBreakPreview" topLeftCell="A13" zoomScale="130" zoomScaleSheetLayoutView="130" workbookViewId="0">
      <selection activeCell="I2" sqref="I2"/>
    </sheetView>
  </sheetViews>
  <sheetFormatPr defaultColWidth="0" defaultRowHeight="15" customHeight="1" zeroHeight="1"/>
  <cols>
    <col min="1" max="1" width="2.5703125" customWidth="1"/>
    <col min="2" max="2" width="6.28515625" customWidth="1"/>
    <col min="3" max="3" width="16.7109375" customWidth="1"/>
    <col min="4" max="4" width="1.85546875" customWidth="1"/>
    <col min="5" max="5" width="11" customWidth="1"/>
    <col min="6" max="6" width="6.140625" customWidth="1"/>
    <col min="7" max="7" width="22.140625" customWidth="1"/>
    <col min="8" max="8" width="9.140625" customWidth="1"/>
    <col min="9" max="9" width="2.7109375" customWidth="1"/>
    <col min="10" max="12" width="9.140625" hidden="1" customWidth="1"/>
    <col min="13" max="14" width="8.85546875" hidden="1" customWidth="1"/>
    <col min="15" max="16384" width="9.140625" hidden="1"/>
  </cols>
  <sheetData>
    <row r="1" spans="1:9" ht="13.5" hidden="1" customHeight="1">
      <c r="A1" s="88" t="str">
        <f ca="1">RIGHT(B1,1)</f>
        <v>1</v>
      </c>
      <c r="B1" s="89" t="str">
        <f ca="1">MID(CELL("filename",A1),FIND("]",CELL("filename",A1))+1,255)</f>
        <v>Rekap-Pengawas-Thn-1</v>
      </c>
      <c r="C1" s="89" t="str">
        <f ca="1">MID(B1,7,LEN(B1)-7)</f>
        <v>Pengawas-Thn-</v>
      </c>
    </row>
    <row r="2" spans="1:9" ht="45" customHeight="1">
      <c r="A2" s="58"/>
      <c r="B2" s="394" t="s">
        <v>348</v>
      </c>
      <c r="C2" s="395"/>
      <c r="D2" s="395"/>
      <c r="E2" s="395"/>
      <c r="F2" s="395"/>
      <c r="G2" s="395"/>
      <c r="H2" s="395"/>
      <c r="I2" s="309" t="str">
        <f>HYPERLINK("#Menu!A1","↖")</f>
        <v>↖</v>
      </c>
    </row>
    <row r="3" spans="1:9" ht="18" customHeight="1"/>
    <row r="4" spans="1:9">
      <c r="B4" t="s">
        <v>335</v>
      </c>
    </row>
    <row r="5" spans="1:9">
      <c r="C5" s="61" t="s">
        <v>340</v>
      </c>
      <c r="D5" s="54" t="s">
        <v>24</v>
      </c>
      <c r="E5" s="396" t="str">
        <f>Data!E24</f>
        <v>Slamet Riyadi, S.Pd, M.Pd</v>
      </c>
      <c r="F5" s="397"/>
      <c r="G5" s="397"/>
      <c r="H5" s="397"/>
    </row>
    <row r="6" spans="1:9">
      <c r="C6" s="61" t="s">
        <v>330</v>
      </c>
      <c r="D6" s="54" t="s">
        <v>24</v>
      </c>
      <c r="E6" s="60" t="str">
        <f>Data!E25</f>
        <v>196501112005011002</v>
      </c>
      <c r="F6" s="61"/>
      <c r="G6" s="60"/>
      <c r="H6" s="60"/>
    </row>
    <row r="7" spans="1:9">
      <c r="C7" s="61" t="s">
        <v>341</v>
      </c>
      <c r="D7" s="54" t="s">
        <v>24</v>
      </c>
      <c r="E7" s="60" t="str">
        <f>Data!E26</f>
        <v>Guru Madya  Pembina, IV/a</v>
      </c>
      <c r="F7" s="61"/>
      <c r="G7" s="60"/>
      <c r="H7" s="60"/>
    </row>
    <row r="8" spans="1:9">
      <c r="C8" s="61" t="s">
        <v>336</v>
      </c>
      <c r="D8" s="54" t="s">
        <v>24</v>
      </c>
      <c r="E8" s="60" t="str">
        <f>Data!E27</f>
        <v>Pengawas Manajemen Sekolah</v>
      </c>
      <c r="F8" s="61"/>
      <c r="G8" s="60"/>
      <c r="H8" s="60"/>
    </row>
    <row r="9" spans="1:9">
      <c r="C9" s="61" t="s">
        <v>337</v>
      </c>
      <c r="D9" s="54" t="s">
        <v>24</v>
      </c>
      <c r="E9" s="60">
        <f>Data!E28</f>
        <v>0</v>
      </c>
      <c r="F9" s="61"/>
      <c r="G9" s="60"/>
      <c r="H9" s="60"/>
    </row>
    <row r="10" spans="1:9" ht="9" customHeight="1">
      <c r="D10" s="54"/>
      <c r="E10" s="57"/>
      <c r="F10" s="61"/>
      <c r="G10" s="57"/>
      <c r="H10" s="57"/>
    </row>
    <row r="11" spans="1:9">
      <c r="B11" t="s">
        <v>338</v>
      </c>
      <c r="D11" s="54"/>
      <c r="E11" s="57"/>
      <c r="F11" s="61"/>
      <c r="G11" s="57"/>
      <c r="H11" s="57"/>
    </row>
    <row r="12" spans="1:9">
      <c r="C12" s="61" t="s">
        <v>340</v>
      </c>
      <c r="D12" s="54" t="s">
        <v>24</v>
      </c>
      <c r="E12" s="61" t="str">
        <f>Data!E3</f>
        <v>SIDIQ MUSTAKIM, Lc</v>
      </c>
      <c r="F12" s="61"/>
      <c r="G12" s="61"/>
      <c r="H12" s="61"/>
    </row>
    <row r="13" spans="1:9">
      <c r="C13" s="61" t="s">
        <v>330</v>
      </c>
      <c r="D13" s="54" t="s">
        <v>24</v>
      </c>
      <c r="E13" s="396" t="str">
        <f>Data!E4</f>
        <v>-</v>
      </c>
      <c r="F13" s="396"/>
      <c r="G13" s="396"/>
      <c r="H13" s="60"/>
    </row>
    <row r="14" spans="1:9">
      <c r="C14" s="61" t="s">
        <v>341</v>
      </c>
      <c r="D14" s="54" t="s">
        <v>24</v>
      </c>
      <c r="E14" s="61" t="str">
        <f>Data!E6</f>
        <v>Non PNS</v>
      </c>
      <c r="F14" s="61"/>
      <c r="G14" s="61"/>
      <c r="H14" s="61"/>
    </row>
    <row r="15" spans="1:9">
      <c r="C15" s="61" t="s">
        <v>336</v>
      </c>
      <c r="D15" s="54" t="s">
        <v>24</v>
      </c>
      <c r="E15" s="61" t="s">
        <v>347</v>
      </c>
      <c r="F15" s="61"/>
      <c r="G15" s="61"/>
      <c r="H15" s="61"/>
    </row>
    <row r="16" spans="1:9">
      <c r="C16" s="61" t="s">
        <v>337</v>
      </c>
      <c r="D16" s="54" t="s">
        <v>24</v>
      </c>
      <c r="E16" s="60" t="str">
        <f>Data!E15</f>
        <v>MA Tahfidh Al-Amien Prenduan</v>
      </c>
      <c r="F16" s="61"/>
      <c r="G16" s="61"/>
      <c r="H16" s="61"/>
    </row>
    <row r="17" spans="2:8" ht="8.25" customHeight="1">
      <c r="C17" s="61"/>
    </row>
    <row r="18" spans="2:8" ht="22.5" customHeight="1">
      <c r="B18" s="52" t="s">
        <v>19</v>
      </c>
      <c r="C18" s="398" t="s">
        <v>21</v>
      </c>
      <c r="D18" s="399"/>
      <c r="E18" s="399"/>
      <c r="F18" s="399"/>
      <c r="G18" s="400"/>
      <c r="H18" s="53" t="s">
        <v>22</v>
      </c>
    </row>
    <row r="19" spans="2:8" ht="22.5" customHeight="1">
      <c r="B19" s="10" t="s">
        <v>420</v>
      </c>
      <c r="C19" s="401" t="s">
        <v>343</v>
      </c>
      <c r="D19" s="401"/>
      <c r="E19" s="401"/>
      <c r="F19" s="401"/>
      <c r="G19" s="401"/>
      <c r="H19" s="11">
        <f ca="1">IF(ISERROR(INDIRECT("'"&amp;C1&amp;A1&amp;"'!E41")),"~",INDIRECT("'"&amp;C1&amp;A1&amp;"'!E41"))</f>
        <v>59</v>
      </c>
    </row>
    <row r="20" spans="2:8" ht="22.5" customHeight="1">
      <c r="B20" s="10" t="s">
        <v>421</v>
      </c>
      <c r="C20" s="401" t="s">
        <v>344</v>
      </c>
      <c r="D20" s="401"/>
      <c r="E20" s="401"/>
      <c r="F20" s="401"/>
      <c r="G20" s="401"/>
      <c r="H20" s="11">
        <f ca="1">IF(ISERROR(INDIRECT("'"&amp;C1&amp;A1&amp;"'!E126")),"~",INDIRECT("'"&amp;C1&amp;A1&amp;"'!E126"))</f>
        <v>187</v>
      </c>
    </row>
    <row r="21" spans="2:8" ht="22.5" customHeight="1">
      <c r="B21" s="10" t="s">
        <v>422</v>
      </c>
      <c r="C21" s="401" t="s">
        <v>345</v>
      </c>
      <c r="D21" s="401"/>
      <c r="E21" s="401"/>
      <c r="F21" s="401"/>
      <c r="G21" s="401"/>
      <c r="H21" s="11">
        <f ca="1">IF(ISERROR(INDIRECT("'"&amp;C1&amp;A1&amp;"'!E156")),"~",INDIRECT("'"&amp;C1&amp;A1&amp;"'!E156"))</f>
        <v>44</v>
      </c>
    </row>
    <row r="22" spans="2:8" ht="22.5" customHeight="1">
      <c r="B22" s="10" t="s">
        <v>423</v>
      </c>
      <c r="C22" s="401" t="s">
        <v>346</v>
      </c>
      <c r="D22" s="401"/>
      <c r="E22" s="401"/>
      <c r="F22" s="401"/>
      <c r="G22" s="401"/>
      <c r="H22" s="11">
        <f ca="1">IF(ISERROR(INDIRECT("'"&amp;C1&amp;A1&amp;"'!E177")),"~",INDIRECT("'"&amp;C1&amp;A1&amp;"'!E177"))</f>
        <v>32</v>
      </c>
    </row>
    <row r="23" spans="2:8" ht="22.5" customHeight="1">
      <c r="B23" s="402"/>
      <c r="C23" s="403" t="s">
        <v>342</v>
      </c>
      <c r="D23" s="403"/>
      <c r="E23" s="403"/>
      <c r="F23" s="403"/>
      <c r="G23" s="403"/>
      <c r="H23" s="11">
        <f ca="1">SUM(H19:H22)</f>
        <v>322</v>
      </c>
    </row>
    <row r="24" spans="2:8" ht="22.5" customHeight="1">
      <c r="B24" s="402"/>
      <c r="C24" s="402" t="str">
        <f ca="1">"NKT " &amp; A1</f>
        <v>NKT 1</v>
      </c>
      <c r="D24" s="402"/>
      <c r="E24" s="402"/>
      <c r="F24" s="402"/>
      <c r="G24" s="402"/>
      <c r="H24" s="12">
        <f ca="1">(H23/(115*4))*100</f>
        <v>70</v>
      </c>
    </row>
    <row r="25" spans="2:8" ht="22.5" hidden="1" customHeight="1">
      <c r="B25" s="393"/>
      <c r="C25" s="393"/>
      <c r="D25" s="393"/>
      <c r="E25" s="393"/>
      <c r="F25" s="393"/>
      <c r="G25" s="393"/>
      <c r="H25" s="13">
        <f ca="1">IF(H24&lt;=50,0.25,IF(H24&lt;=60,0.5,IF(H24&lt;=75,0.75,IF(H24&lt;=90,1,1.25))))</f>
        <v>0.75</v>
      </c>
    </row>
    <row r="26" spans="2:8"/>
    <row r="27" spans="2:8" ht="37.5" customHeight="1">
      <c r="C27" s="385" t="s">
        <v>349</v>
      </c>
      <c r="D27" s="386"/>
      <c r="E27" s="386"/>
      <c r="F27" s="386"/>
      <c r="G27" s="386" t="s">
        <v>350</v>
      </c>
      <c r="H27" s="386"/>
    </row>
    <row r="28" spans="2:8" ht="60" customHeight="1"/>
    <row r="29" spans="2:8" ht="15.75">
      <c r="C29" s="387" t="str">
        <f>Data!E3</f>
        <v>SIDIQ MUSTAKIM, Lc</v>
      </c>
      <c r="D29" s="388"/>
      <c r="E29" s="388"/>
      <c r="F29" s="388"/>
      <c r="G29" s="389" t="str">
        <f>Data!E24</f>
        <v>Slamet Riyadi, S.Pd, M.Pd</v>
      </c>
      <c r="H29" s="389"/>
    </row>
    <row r="30" spans="2:8">
      <c r="C30" s="390" t="str">
        <f>Data!E4</f>
        <v>-</v>
      </c>
      <c r="D30" s="391"/>
      <c r="E30" s="391"/>
      <c r="F30" s="391"/>
      <c r="G30" s="392" t="str">
        <f>Data!E25</f>
        <v>196501112005011002</v>
      </c>
      <c r="H30" s="392"/>
    </row>
    <row r="31" spans="2:8"/>
  </sheetData>
  <sheetProtection sheet="1" selectLockedCells="1"/>
  <mergeCells count="18">
    <mergeCell ref="B25:G25"/>
    <mergeCell ref="B2:H2"/>
    <mergeCell ref="E5:H5"/>
    <mergeCell ref="E13:G13"/>
    <mergeCell ref="C18:G18"/>
    <mergeCell ref="C19:G19"/>
    <mergeCell ref="C20:G20"/>
    <mergeCell ref="C21:G21"/>
    <mergeCell ref="C22:G22"/>
    <mergeCell ref="B23:B24"/>
    <mergeCell ref="C23:G23"/>
    <mergeCell ref="C24:G24"/>
    <mergeCell ref="C27:F27"/>
    <mergeCell ref="G27:H27"/>
    <mergeCell ref="C29:F29"/>
    <mergeCell ref="G29:H29"/>
    <mergeCell ref="C30:F30"/>
    <mergeCell ref="G30:H30"/>
  </mergeCells>
  <pageMargins left="0.7" right="0.7" top="0.75" bottom="0.75" header="0.3" footer="0.3"/>
  <pageSetup paperSize="9" scale="82" orientation="portrait" r:id="rId1"/>
</worksheet>
</file>

<file path=xl/worksheets/sheet8.xml><?xml version="1.0" encoding="utf-8"?>
<worksheet xmlns="http://schemas.openxmlformats.org/spreadsheetml/2006/main" xmlns:r="http://schemas.openxmlformats.org/officeDocument/2006/relationships">
  <sheetPr>
    <tabColor rgb="FFFFCC00"/>
    <pageSetUpPr fitToPage="1"/>
  </sheetPr>
  <dimension ref="C1:K56"/>
  <sheetViews>
    <sheetView showGridLines="0" topLeftCell="A10" zoomScale="85" zoomScaleNormal="85" workbookViewId="0">
      <selection activeCell="C22" sqref="C22:J22"/>
    </sheetView>
  </sheetViews>
  <sheetFormatPr defaultColWidth="0" defaultRowHeight="0" customHeight="1" zeroHeight="1"/>
  <cols>
    <col min="1" max="1" width="3.140625" style="207" customWidth="1"/>
    <col min="2" max="2" width="1.5703125" style="207" customWidth="1"/>
    <col min="3" max="3" width="42.85546875" style="206" customWidth="1"/>
    <col min="4" max="4" width="2.5703125" style="207" customWidth="1"/>
    <col min="5" max="5" width="7" style="207" customWidth="1"/>
    <col min="6" max="6" width="4.42578125" style="207" customWidth="1"/>
    <col min="7" max="7" width="8.5703125" style="207" customWidth="1"/>
    <col min="8" max="8" width="7" style="207" customWidth="1"/>
    <col min="9" max="9" width="12.5703125" style="207" customWidth="1"/>
    <col min="10" max="10" width="18" style="207" customWidth="1"/>
    <col min="11" max="11" width="2.85546875" style="207" customWidth="1"/>
    <col min="12" max="16384" width="0" style="207" hidden="1"/>
  </cols>
  <sheetData>
    <row r="1" spans="3:11" s="200" customFormat="1" ht="21" customHeight="1">
      <c r="C1" s="201"/>
      <c r="J1" s="197"/>
      <c r="K1" s="307" t="str">
        <f>HYPERLINK("#Menu!A1","↖")</f>
        <v>↖</v>
      </c>
    </row>
    <row r="2" spans="3:11" s="200" customFormat="1" ht="86.25" customHeight="1">
      <c r="C2" s="201"/>
    </row>
    <row r="3" spans="3:11" s="208" customFormat="1" ht="59.25" customHeight="1">
      <c r="C3" s="209"/>
    </row>
    <row r="4" spans="3:11" s="208" customFormat="1" ht="66.75" customHeight="1">
      <c r="C4" s="342" t="s">
        <v>69</v>
      </c>
      <c r="D4" s="343"/>
      <c r="E4" s="343"/>
      <c r="F4" s="343"/>
      <c r="G4" s="343"/>
      <c r="H4" s="343"/>
      <c r="I4" s="343"/>
      <c r="J4" s="343"/>
    </row>
    <row r="5" spans="3:11" s="200" customFormat="1" ht="16.5" customHeight="1">
      <c r="C5" s="338"/>
      <c r="D5" s="338"/>
      <c r="E5" s="338"/>
      <c r="F5" s="338"/>
      <c r="G5" s="338"/>
      <c r="H5" s="338"/>
      <c r="I5" s="338"/>
      <c r="J5" s="338"/>
    </row>
    <row r="6" spans="3:11" s="200" customFormat="1" ht="28.5">
      <c r="C6" s="344" t="str">
        <f>Data!E34 &amp; " S/D " &amp;Data!G34 &amp;" " &amp;C22</f>
        <v xml:space="preserve"> S/D  2018</v>
      </c>
      <c r="D6" s="344"/>
      <c r="E6" s="344"/>
      <c r="F6" s="344"/>
      <c r="G6" s="344"/>
      <c r="H6" s="344"/>
      <c r="I6" s="344"/>
      <c r="J6" s="344"/>
    </row>
    <row r="7" spans="3:11" s="200" customFormat="1" ht="83.25" customHeight="1">
      <c r="C7" s="202"/>
      <c r="D7" s="202"/>
      <c r="E7" s="202"/>
      <c r="F7" s="202"/>
      <c r="G7" s="202"/>
      <c r="H7" s="202"/>
      <c r="I7" s="202"/>
      <c r="J7" s="202"/>
    </row>
    <row r="8" spans="3:11" s="200" customFormat="1" ht="21.75" customHeight="1">
      <c r="C8" s="210" t="s">
        <v>334</v>
      </c>
      <c r="D8" s="198" t="s">
        <v>24</v>
      </c>
      <c r="E8" s="198" t="str">
        <f>Data!E3</f>
        <v>SIDIQ MUSTAKIM, Lc</v>
      </c>
      <c r="F8" s="198"/>
      <c r="G8" s="198"/>
      <c r="H8" s="198"/>
      <c r="I8" s="198"/>
      <c r="J8" s="198"/>
    </row>
    <row r="9" spans="3:11" s="200" customFormat="1" ht="21.75" customHeight="1">
      <c r="C9" s="210" t="s">
        <v>330</v>
      </c>
      <c r="D9" s="198" t="s">
        <v>24</v>
      </c>
      <c r="E9" s="212" t="str">
        <f>Data!E4</f>
        <v>-</v>
      </c>
      <c r="F9" s="212"/>
      <c r="G9" s="212"/>
      <c r="H9" s="212"/>
      <c r="I9" s="212"/>
      <c r="J9" s="212"/>
    </row>
    <row r="10" spans="3:11" s="200" customFormat="1" ht="21.75" customHeight="1">
      <c r="C10" s="210" t="s">
        <v>36</v>
      </c>
      <c r="D10" s="198" t="s">
        <v>24</v>
      </c>
      <c r="E10" s="335" t="str">
        <f>Data!E15</f>
        <v>MA Tahfidh Al-Amien Prenduan</v>
      </c>
      <c r="F10" s="335"/>
      <c r="G10" s="335"/>
      <c r="H10" s="335"/>
      <c r="I10" s="335"/>
      <c r="J10" s="198"/>
      <c r="K10" s="203"/>
    </row>
    <row r="11" spans="3:11" s="200" customFormat="1" ht="21.75" customHeight="1">
      <c r="C11" s="210" t="s">
        <v>40</v>
      </c>
      <c r="D11" s="198" t="s">
        <v>24</v>
      </c>
      <c r="E11" s="335" t="str">
        <f>Data!E20</f>
        <v>Sumenep</v>
      </c>
      <c r="F11" s="335"/>
      <c r="G11" s="335"/>
      <c r="H11" s="335"/>
      <c r="I11" s="335"/>
      <c r="J11" s="198"/>
      <c r="K11" s="203"/>
    </row>
    <row r="12" spans="3:11" s="200" customFormat="1" ht="21.75" customHeight="1">
      <c r="C12" s="210" t="s">
        <v>41</v>
      </c>
      <c r="D12" s="198" t="s">
        <v>24</v>
      </c>
      <c r="E12" s="335" t="str">
        <f>Data!E21</f>
        <v>Jawa Timur</v>
      </c>
      <c r="F12" s="335"/>
      <c r="G12" s="335"/>
      <c r="H12" s="335"/>
      <c r="I12" s="335"/>
      <c r="J12" s="198"/>
      <c r="K12" s="203"/>
    </row>
    <row r="13" spans="3:11" s="200" customFormat="1" ht="33.75" customHeight="1">
      <c r="C13" s="210"/>
      <c r="D13" s="198"/>
      <c r="E13" s="199"/>
      <c r="F13" s="199"/>
      <c r="G13" s="199"/>
      <c r="H13" s="199"/>
      <c r="I13" s="199"/>
      <c r="J13" s="198"/>
      <c r="K13" s="203"/>
    </row>
    <row r="14" spans="3:11" s="200" customFormat="1" ht="21.75" customHeight="1">
      <c r="C14" s="210" t="s">
        <v>396</v>
      </c>
      <c r="D14" s="198" t="s">
        <v>24</v>
      </c>
      <c r="E14" s="335" t="str">
        <f>Data!E24</f>
        <v>Slamet Riyadi, S.Pd, M.Pd</v>
      </c>
      <c r="F14" s="335"/>
      <c r="G14" s="335"/>
      <c r="H14" s="335"/>
      <c r="I14" s="335"/>
      <c r="J14" s="198"/>
      <c r="K14" s="203"/>
    </row>
    <row r="15" spans="3:11" s="200" customFormat="1" ht="21.75" customHeight="1">
      <c r="C15" s="210" t="s">
        <v>330</v>
      </c>
      <c r="D15" s="198" t="s">
        <v>24</v>
      </c>
      <c r="E15" s="340" t="str">
        <f>Data!E25</f>
        <v>196501112005011002</v>
      </c>
      <c r="F15" s="341"/>
      <c r="G15" s="341"/>
      <c r="H15" s="341"/>
      <c r="I15" s="341"/>
      <c r="J15" s="198"/>
      <c r="K15" s="203"/>
    </row>
    <row r="16" spans="3:11" s="200" customFormat="1" ht="28.5">
      <c r="C16" s="211" t="s">
        <v>551</v>
      </c>
      <c r="D16" s="198" t="s">
        <v>24</v>
      </c>
      <c r="E16" s="336">
        <v>43132</v>
      </c>
      <c r="F16" s="336"/>
      <c r="G16" s="336"/>
      <c r="H16" s="336"/>
      <c r="I16" s="336"/>
      <c r="J16" s="198"/>
      <c r="K16" s="203"/>
    </row>
    <row r="17" spans="3:11" s="200" customFormat="1" ht="139.5" customHeight="1">
      <c r="C17" s="201"/>
      <c r="K17" s="203"/>
    </row>
    <row r="18" spans="3:11" s="200" customFormat="1" ht="28.5">
      <c r="C18" s="338" t="s">
        <v>42</v>
      </c>
      <c r="D18" s="338"/>
      <c r="E18" s="338"/>
      <c r="F18" s="338"/>
      <c r="G18" s="338"/>
      <c r="H18" s="338"/>
      <c r="I18" s="338"/>
      <c r="J18" s="338"/>
    </row>
    <row r="19" spans="3:11" s="200" customFormat="1" ht="28.5">
      <c r="C19" s="338" t="str">
        <f>UPPER(Data!E20)</f>
        <v>SUMENEP</v>
      </c>
      <c r="D19" s="338"/>
      <c r="E19" s="338"/>
      <c r="F19" s="338"/>
      <c r="G19" s="338"/>
      <c r="H19" s="338"/>
      <c r="I19" s="338"/>
      <c r="J19" s="338"/>
    </row>
    <row r="20" spans="3:11" s="200" customFormat="1" ht="28.5">
      <c r="C20" s="339" t="s">
        <v>309</v>
      </c>
      <c r="D20" s="339"/>
      <c r="E20" s="339"/>
      <c r="F20" s="339"/>
      <c r="G20" s="339"/>
      <c r="H20" s="339"/>
      <c r="I20" s="339"/>
      <c r="J20" s="339"/>
    </row>
    <row r="21" spans="3:11" s="200" customFormat="1" ht="5.25" customHeight="1">
      <c r="C21" s="204"/>
      <c r="D21" s="205"/>
      <c r="E21" s="205"/>
      <c r="G21" s="205"/>
    </row>
    <row r="22" spans="3:11" s="200" customFormat="1" ht="18" customHeight="1">
      <c r="C22" s="337">
        <v>2018</v>
      </c>
      <c r="D22" s="337"/>
      <c r="E22" s="337"/>
      <c r="F22" s="337"/>
      <c r="G22" s="337"/>
      <c r="H22" s="337"/>
      <c r="I22" s="337"/>
      <c r="J22" s="337"/>
    </row>
    <row r="23" spans="3:11" s="200" customFormat="1" ht="6" customHeight="1">
      <c r="C23" s="195"/>
      <c r="D23" s="196"/>
      <c r="E23" s="196"/>
      <c r="G23" s="196"/>
    </row>
    <row r="24" spans="3:11" ht="28.5" hidden="1"/>
    <row r="25" spans="3:11" ht="28.5" hidden="1"/>
    <row r="26" spans="3:11" ht="28.5" hidden="1"/>
    <row r="27" spans="3:11" ht="28.5" hidden="1"/>
    <row r="28" spans="3:11" ht="28.5" hidden="1"/>
    <row r="29" spans="3:11" ht="28.5" hidden="1"/>
    <row r="30" spans="3:11" ht="28.5" hidden="1"/>
    <row r="31" spans="3:11" ht="28.5" hidden="1"/>
    <row r="32" spans="3:11" ht="28.5" hidden="1"/>
    <row r="33" ht="28.5"/>
    <row r="34" ht="15" customHeight="1"/>
    <row r="35" ht="15" customHeight="1"/>
    <row r="36" ht="15" hidden="1" customHeight="1"/>
    <row r="37" ht="15" hidden="1" customHeight="1"/>
    <row r="38" ht="15" hidden="1" customHeight="1"/>
    <row r="39" ht="15" hidden="1" customHeight="1"/>
    <row r="40" ht="15" hidden="1" customHeight="1"/>
    <row r="41" ht="15" hidden="1" customHeight="1"/>
    <row r="42" ht="15" hidden="1" customHeight="1"/>
    <row r="43" ht="15" hidden="1" customHeight="1"/>
    <row r="44" ht="15" hidden="1" customHeight="1"/>
    <row r="45" ht="15" hidden="1" customHeight="1"/>
    <row r="46" ht="15" hidden="1" customHeight="1"/>
    <row r="47" ht="15" hidden="1" customHeight="1"/>
    <row r="48" ht="15" hidden="1" customHeight="1"/>
    <row r="49" ht="15" hidden="1" customHeight="1"/>
    <row r="50" ht="15" hidden="1" customHeight="1"/>
    <row r="51" ht="15" hidden="1" customHeight="1"/>
    <row r="52" ht="15" hidden="1" customHeight="1"/>
    <row r="53" ht="15" hidden="1" customHeight="1"/>
    <row r="54" ht="15" hidden="1" customHeight="1"/>
    <row r="55" ht="15" hidden="1" customHeight="1"/>
    <row r="56" ht="15" hidden="1" customHeight="1"/>
  </sheetData>
  <sheetProtection sheet="1" selectLockedCells="1"/>
  <mergeCells count="13">
    <mergeCell ref="C4:J4"/>
    <mergeCell ref="C5:J5"/>
    <mergeCell ref="C6:J6"/>
    <mergeCell ref="E10:I10"/>
    <mergeCell ref="E11:I11"/>
    <mergeCell ref="C20:J20"/>
    <mergeCell ref="C22:J22"/>
    <mergeCell ref="E12:I12"/>
    <mergeCell ref="E14:I14"/>
    <mergeCell ref="E15:I15"/>
    <mergeCell ref="E16:I16"/>
    <mergeCell ref="C18:J18"/>
    <mergeCell ref="C19:J19"/>
  </mergeCells>
  <dataValidations count="1">
    <dataValidation operator="equal" allowBlank="1" showInputMessage="1" showErrorMessage="1" sqref="E15:I15"/>
  </dataValidations>
  <pageMargins left="1.0236220472440944" right="0.70866141732283472" top="0.74803149606299213" bottom="0.74803149606299213" header="0.31496062992125984" footer="0.31496062992125984"/>
  <pageSetup paperSize="9" scale="80" orientation="portrait" r:id="rId1"/>
  <drawing r:id="rId2"/>
</worksheet>
</file>

<file path=xl/worksheets/sheet9.xml><?xml version="1.0" encoding="utf-8"?>
<worksheet xmlns="http://schemas.openxmlformats.org/spreadsheetml/2006/main" xmlns:r="http://schemas.openxmlformats.org/officeDocument/2006/relationships">
  <sheetPr>
    <tabColor rgb="FF009900"/>
    <pageSetUpPr fitToPage="1"/>
  </sheetPr>
  <dimension ref="A1:N391"/>
  <sheetViews>
    <sheetView showGridLines="0" showRowColHeaders="0" topLeftCell="A235" workbookViewId="0">
      <selection activeCell="F192" sqref="F192"/>
    </sheetView>
  </sheetViews>
  <sheetFormatPr defaultColWidth="0" defaultRowHeight="15" customHeight="1" zeroHeight="1"/>
  <cols>
    <col min="1" max="1" width="4.140625" customWidth="1"/>
    <col min="2" max="2" width="5.7109375" customWidth="1"/>
    <col min="3" max="3" width="3" customWidth="1"/>
    <col min="4" max="4" width="79.5703125" style="43" customWidth="1"/>
    <col min="5" max="5" width="18.28515625" customWidth="1"/>
    <col min="6" max="6" width="4" customWidth="1"/>
    <col min="7" max="7" width="35.7109375" style="43" customWidth="1"/>
    <col min="8" max="8" width="31.42578125" customWidth="1"/>
    <col min="9" max="9" width="4" customWidth="1"/>
    <col min="10" max="14" width="0" hidden="1" customWidth="1"/>
    <col min="15" max="16384" width="9.140625" hidden="1"/>
  </cols>
  <sheetData>
    <row r="1" spans="1:9" s="55" customFormat="1" ht="12" customHeight="1">
      <c r="A1" s="55" t="str">
        <f ca="1">RIGHT(MID(CELL("filename",A1),FIND("]",CELL("filename",A1))+1,255),1)</f>
        <v>2</v>
      </c>
      <c r="B1" s="55" t="str">
        <f ca="1">MID(CELL("filename",B1),FIND("]",CELL("filename",B1))+1,255)</f>
        <v>Pengawas-Thn-2</v>
      </c>
      <c r="C1" s="55" t="str">
        <f ca="1">MID(B1,1,LEN(B1)-6)</f>
        <v>Pengawas</v>
      </c>
      <c r="D1" s="55" t="str">
        <f ca="1">INDIRECT("'Sampul-Thn-"&amp;A1&amp;"'!E14") &amp; "    ( " &amp;INDIRECT("'Sampul-Thn-"&amp;A1&amp;"'!E15") &amp; " )"</f>
        <v>Slamet Riyadi, S.Pd, M.Pd    ( 196501112005011002 )</v>
      </c>
      <c r="I1" s="307" t="str">
        <f>HYPERLINK("#Menu!A1","↖")</f>
        <v>↖</v>
      </c>
    </row>
    <row r="2" spans="1:9" ht="23.25">
      <c r="B2" s="50" t="str">
        <f ca="1">"A. Instrumen Penilaian Kinerja Tahunan Kepala Madrasah ( Tahun ke " &amp;A1&amp;" )"</f>
        <v>A. Instrumen Penilaian Kinerja Tahunan Kepala Madrasah ( Tahun ke 2 )</v>
      </c>
    </row>
    <row r="3" spans="1:9" ht="15.75">
      <c r="B3" s="51" t="str">
        <f ca="1">PROPER("Periode Penilaian : " &amp;INDIRECT("'Sampul-Thn-"&amp;A1&amp;"'!C6"))</f>
        <v>Periode Penilaian :  S/D  2018</v>
      </c>
    </row>
    <row r="4" spans="1:9" ht="15.75">
      <c r="B4" s="51" t="str">
        <f ca="1">"Kamad yang dinilai : " &amp;INDIRECT("'Sampul-Thn-"&amp;A1&amp;"'!E8") &amp; "    (" &amp;INDIRECT("'Sampul-Thn-"&amp;A1&amp;"'!E10")&amp;" ) "</f>
        <v xml:space="preserve">Kamad yang dinilai : SIDIQ MUSTAKIM, Lc    (MA Tahfidh Al-Amien Prenduan ) </v>
      </c>
    </row>
    <row r="5" spans="1:9" ht="15.75">
      <c r="B5" s="51" t="str">
        <f ca="1">"Penilai : " &amp;IF(C1="Pengawas",D1,C1)</f>
        <v>Penilai : Slamet Riyadi, S.Pd, M.Pd    ( 196501112005011002 )</v>
      </c>
    </row>
    <row r="6" spans="1:9" ht="7.5" customHeight="1"/>
    <row r="7" spans="1:9" ht="18">
      <c r="B7" s="365" t="s">
        <v>412</v>
      </c>
      <c r="C7" s="366"/>
      <c r="D7" s="366"/>
      <c r="E7" s="366"/>
      <c r="F7" s="367"/>
      <c r="G7" s="48"/>
      <c r="H7" s="49"/>
    </row>
    <row r="8" spans="1:9">
      <c r="B8" s="381" t="s">
        <v>19</v>
      </c>
      <c r="C8" s="382" t="s">
        <v>70</v>
      </c>
      <c r="D8" s="382"/>
      <c r="E8" s="383" t="s">
        <v>17</v>
      </c>
      <c r="F8" s="384"/>
      <c r="G8" s="376" t="s">
        <v>71</v>
      </c>
      <c r="H8" s="377" t="s">
        <v>72</v>
      </c>
    </row>
    <row r="9" spans="1:9">
      <c r="B9" s="381"/>
      <c r="C9" s="382"/>
      <c r="D9" s="382"/>
      <c r="E9" s="40" t="s">
        <v>129</v>
      </c>
      <c r="F9" s="39" t="s">
        <v>392</v>
      </c>
      <c r="G9" s="376"/>
      <c r="H9" s="377"/>
    </row>
    <row r="10" spans="1:9" ht="27.75" customHeight="1">
      <c r="B10" s="38" t="s">
        <v>14</v>
      </c>
      <c r="C10" s="378" t="s">
        <v>73</v>
      </c>
      <c r="D10" s="379"/>
      <c r="E10" s="380"/>
      <c r="F10" s="288">
        <f>(SUBTOTAL(9,F11:F13)/(4*3))*100</f>
        <v>0</v>
      </c>
      <c r="G10" s="45"/>
      <c r="H10" s="7"/>
    </row>
    <row r="11" spans="1:9" ht="38.25">
      <c r="B11" s="6"/>
      <c r="C11" s="5" t="s">
        <v>74</v>
      </c>
      <c r="D11" s="44" t="s">
        <v>75</v>
      </c>
      <c r="E11" s="4"/>
      <c r="F11" s="41"/>
      <c r="G11" s="46" t="s">
        <v>76</v>
      </c>
      <c r="H11" s="3"/>
    </row>
    <row r="12" spans="1:9" ht="25.5">
      <c r="B12" s="6"/>
      <c r="C12" s="5" t="s">
        <v>77</v>
      </c>
      <c r="D12" s="44" t="s">
        <v>78</v>
      </c>
      <c r="E12" s="4"/>
      <c r="F12" s="41"/>
      <c r="G12" s="46" t="s">
        <v>79</v>
      </c>
      <c r="H12" s="3"/>
    </row>
    <row r="13" spans="1:9" ht="38.25">
      <c r="B13" s="6"/>
      <c r="C13" s="5" t="s">
        <v>80</v>
      </c>
      <c r="D13" s="44" t="s">
        <v>81</v>
      </c>
      <c r="E13" s="4"/>
      <c r="F13" s="41"/>
      <c r="G13" s="46" t="s">
        <v>319</v>
      </c>
      <c r="H13" s="3"/>
    </row>
    <row r="14" spans="1:9">
      <c r="B14" s="38" t="s">
        <v>13</v>
      </c>
      <c r="C14" s="378" t="s">
        <v>82</v>
      </c>
      <c r="D14" s="379"/>
      <c r="E14" s="380"/>
      <c r="F14" s="288">
        <f>(SUBTOTAL(9,F15:F18)/(4*4))*100</f>
        <v>0</v>
      </c>
      <c r="G14" s="45"/>
      <c r="H14" s="7"/>
    </row>
    <row r="15" spans="1:9" ht="25.5">
      <c r="B15" s="6"/>
      <c r="C15" s="5" t="s">
        <v>74</v>
      </c>
      <c r="D15" s="44" t="s">
        <v>83</v>
      </c>
      <c r="E15" s="4"/>
      <c r="F15" s="41"/>
      <c r="G15" s="46" t="s">
        <v>84</v>
      </c>
      <c r="H15" s="3"/>
    </row>
    <row r="16" spans="1:9" ht="21" customHeight="1">
      <c r="B16" s="6"/>
      <c r="C16" s="5" t="s">
        <v>77</v>
      </c>
      <c r="D16" s="44" t="s">
        <v>393</v>
      </c>
      <c r="E16" s="4"/>
      <c r="F16" s="41"/>
      <c r="G16" s="46" t="s">
        <v>85</v>
      </c>
      <c r="H16" s="3"/>
    </row>
    <row r="17" spans="2:8" ht="25.5">
      <c r="B17" s="6"/>
      <c r="C17" s="5" t="s">
        <v>80</v>
      </c>
      <c r="D17" s="44" t="s">
        <v>86</v>
      </c>
      <c r="E17" s="4"/>
      <c r="F17" s="41"/>
      <c r="G17" s="46" t="s">
        <v>87</v>
      </c>
      <c r="H17" s="3"/>
    </row>
    <row r="18" spans="2:8" ht="38.25">
      <c r="B18" s="6"/>
      <c r="C18" s="5" t="s">
        <v>88</v>
      </c>
      <c r="D18" s="44" t="s">
        <v>89</v>
      </c>
      <c r="E18" s="4"/>
      <c r="F18" s="41"/>
      <c r="G18" s="46" t="s">
        <v>90</v>
      </c>
      <c r="H18" s="3"/>
    </row>
    <row r="19" spans="2:8" ht="27.75" customHeight="1">
      <c r="B19" s="38" t="s">
        <v>91</v>
      </c>
      <c r="C19" s="378" t="s">
        <v>92</v>
      </c>
      <c r="D19" s="379"/>
      <c r="E19" s="380"/>
      <c r="F19" s="288">
        <f>(SUBTOTAL(9,F20:F21)/(4*2))*100</f>
        <v>0</v>
      </c>
      <c r="G19" s="45"/>
      <c r="H19" s="7"/>
    </row>
    <row r="20" spans="2:8" ht="38.25">
      <c r="B20" s="6"/>
      <c r="C20" s="5" t="s">
        <v>74</v>
      </c>
      <c r="D20" s="44" t="s">
        <v>93</v>
      </c>
      <c r="E20" s="4"/>
      <c r="F20" s="41"/>
      <c r="G20" s="46" t="s">
        <v>94</v>
      </c>
      <c r="H20" s="3"/>
    </row>
    <row r="21" spans="2:8" ht="25.5">
      <c r="B21" s="6"/>
      <c r="C21" s="5" t="s">
        <v>77</v>
      </c>
      <c r="D21" s="44" t="s">
        <v>95</v>
      </c>
      <c r="E21" s="4"/>
      <c r="F21" s="41"/>
      <c r="G21" s="46" t="s">
        <v>96</v>
      </c>
      <c r="H21" s="3"/>
    </row>
    <row r="22" spans="2:8" ht="27.75" customHeight="1">
      <c r="B22" s="38" t="s">
        <v>97</v>
      </c>
      <c r="C22" s="378" t="s">
        <v>98</v>
      </c>
      <c r="D22" s="379"/>
      <c r="E22" s="380"/>
      <c r="F22" s="288">
        <f>(SUBTOTAL(9,F23:F26)/(4*4))*100</f>
        <v>0</v>
      </c>
      <c r="G22" s="45"/>
      <c r="H22" s="7"/>
    </row>
    <row r="23" spans="2:8" ht="51">
      <c r="B23" s="6"/>
      <c r="C23" s="5" t="s">
        <v>74</v>
      </c>
      <c r="D23" s="44" t="s">
        <v>310</v>
      </c>
      <c r="E23" s="4"/>
      <c r="F23" s="41"/>
      <c r="G23" s="46" t="s">
        <v>99</v>
      </c>
      <c r="H23" s="3"/>
    </row>
    <row r="24" spans="2:8" ht="38.25">
      <c r="B24" s="6"/>
      <c r="C24" s="5" t="s">
        <v>77</v>
      </c>
      <c r="D24" s="44" t="s">
        <v>311</v>
      </c>
      <c r="E24" s="4"/>
      <c r="F24" s="41"/>
      <c r="G24" s="46" t="s">
        <v>100</v>
      </c>
      <c r="H24" s="3"/>
    </row>
    <row r="25" spans="2:8" ht="25.5">
      <c r="B25" s="6"/>
      <c r="C25" s="5" t="s">
        <v>80</v>
      </c>
      <c r="D25" s="44" t="s">
        <v>312</v>
      </c>
      <c r="E25" s="4"/>
      <c r="F25" s="41"/>
      <c r="G25" s="46" t="s">
        <v>101</v>
      </c>
      <c r="H25" s="3"/>
    </row>
    <row r="26" spans="2:8" ht="25.5">
      <c r="B26" s="6"/>
      <c r="C26" s="5" t="s">
        <v>88</v>
      </c>
      <c r="D26" s="44" t="s">
        <v>313</v>
      </c>
      <c r="E26" s="4"/>
      <c r="F26" s="41"/>
      <c r="G26" s="46" t="s">
        <v>102</v>
      </c>
      <c r="H26" s="3"/>
    </row>
    <row r="27" spans="2:8" ht="27.75" customHeight="1">
      <c r="B27" s="38" t="s">
        <v>103</v>
      </c>
      <c r="C27" s="378" t="s">
        <v>104</v>
      </c>
      <c r="D27" s="379"/>
      <c r="E27" s="380"/>
      <c r="F27" s="288">
        <f>(SUBTOTAL(9,F28:F30)/(4*3))*100</f>
        <v>0</v>
      </c>
      <c r="G27" s="45"/>
      <c r="H27" s="7"/>
    </row>
    <row r="28" spans="2:8" ht="38.25">
      <c r="B28" s="6"/>
      <c r="C28" s="5" t="s">
        <v>74</v>
      </c>
      <c r="D28" s="44" t="s">
        <v>105</v>
      </c>
      <c r="E28" s="4"/>
      <c r="F28" s="41"/>
      <c r="G28" s="46" t="s">
        <v>106</v>
      </c>
      <c r="H28" s="3"/>
    </row>
    <row r="29" spans="2:8" ht="20.25" customHeight="1">
      <c r="B29" s="6"/>
      <c r="C29" s="5" t="s">
        <v>77</v>
      </c>
      <c r="D29" s="44" t="s">
        <v>107</v>
      </c>
      <c r="E29" s="4"/>
      <c r="F29" s="41"/>
      <c r="G29" s="46" t="s">
        <v>108</v>
      </c>
      <c r="H29" s="3"/>
    </row>
    <row r="30" spans="2:8" ht="25.5">
      <c r="B30" s="6"/>
      <c r="C30" s="5" t="s">
        <v>80</v>
      </c>
      <c r="D30" s="44" t="s">
        <v>109</v>
      </c>
      <c r="E30" s="4"/>
      <c r="F30" s="41"/>
      <c r="G30" s="46" t="s">
        <v>110</v>
      </c>
      <c r="H30" s="3"/>
    </row>
    <row r="31" spans="2:8">
      <c r="B31" s="38" t="s">
        <v>111</v>
      </c>
      <c r="C31" s="378" t="s">
        <v>112</v>
      </c>
      <c r="D31" s="379"/>
      <c r="E31" s="380"/>
      <c r="F31" s="288">
        <f>(SUBTOTAL(9,F32:F35)/(4*4))*100</f>
        <v>0</v>
      </c>
      <c r="G31" s="45"/>
      <c r="H31" s="7"/>
    </row>
    <row r="32" spans="2:8" ht="25.5">
      <c r="B32" s="6"/>
      <c r="C32" s="5" t="s">
        <v>74</v>
      </c>
      <c r="D32" s="44" t="s">
        <v>113</v>
      </c>
      <c r="E32" s="4"/>
      <c r="F32" s="41"/>
      <c r="G32" s="46" t="s">
        <v>114</v>
      </c>
      <c r="H32" s="3"/>
    </row>
    <row r="33" spans="2:8" ht="25.5">
      <c r="B33" s="6"/>
      <c r="C33" s="5" t="s">
        <v>77</v>
      </c>
      <c r="D33" s="44" t="s">
        <v>394</v>
      </c>
      <c r="E33" s="4"/>
      <c r="F33" s="41"/>
      <c r="G33" s="46" t="s">
        <v>115</v>
      </c>
      <c r="H33" s="3"/>
    </row>
    <row r="34" spans="2:8" ht="25.5">
      <c r="B34" s="6"/>
      <c r="C34" s="5" t="s">
        <v>80</v>
      </c>
      <c r="D34" s="44" t="s">
        <v>395</v>
      </c>
      <c r="E34" s="4"/>
      <c r="F34" s="41"/>
      <c r="G34" s="46" t="s">
        <v>116</v>
      </c>
      <c r="H34" s="3"/>
    </row>
    <row r="35" spans="2:8" ht="25.5">
      <c r="B35" s="6"/>
      <c r="C35" s="5" t="s">
        <v>88</v>
      </c>
      <c r="D35" s="44" t="s">
        <v>117</v>
      </c>
      <c r="E35" s="4"/>
      <c r="F35" s="41"/>
      <c r="G35" s="46" t="s">
        <v>118</v>
      </c>
      <c r="H35" s="3"/>
    </row>
    <row r="36" spans="2:8">
      <c r="B36" s="38" t="s">
        <v>119</v>
      </c>
      <c r="C36" s="378" t="s">
        <v>120</v>
      </c>
      <c r="D36" s="379"/>
      <c r="E36" s="380"/>
      <c r="F36" s="288">
        <f>(SUBTOTAL(9,F37:F40)/(4*4))*100</f>
        <v>0</v>
      </c>
      <c r="G36" s="45"/>
      <c r="H36" s="7"/>
    </row>
    <row r="37" spans="2:8" ht="51">
      <c r="B37" s="6"/>
      <c r="C37" s="5" t="s">
        <v>74</v>
      </c>
      <c r="D37" s="44" t="s">
        <v>121</v>
      </c>
      <c r="E37" s="4"/>
      <c r="F37" s="41"/>
      <c r="G37" s="46" t="s">
        <v>122</v>
      </c>
      <c r="H37" s="3"/>
    </row>
    <row r="38" spans="2:8" ht="25.5">
      <c r="B38" s="6"/>
      <c r="C38" s="5" t="s">
        <v>77</v>
      </c>
      <c r="D38" s="44" t="s">
        <v>123</v>
      </c>
      <c r="E38" s="4"/>
      <c r="F38" s="41"/>
      <c r="G38" s="46" t="s">
        <v>124</v>
      </c>
      <c r="H38" s="3"/>
    </row>
    <row r="39" spans="2:8" ht="25.5">
      <c r="B39" s="6"/>
      <c r="C39" s="5" t="s">
        <v>80</v>
      </c>
      <c r="D39" s="44" t="s">
        <v>125</v>
      </c>
      <c r="E39" s="4"/>
      <c r="F39" s="41"/>
      <c r="G39" s="46" t="s">
        <v>126</v>
      </c>
      <c r="H39" s="3"/>
    </row>
    <row r="40" spans="2:8" ht="25.5">
      <c r="B40" s="6"/>
      <c r="C40" s="5" t="s">
        <v>88</v>
      </c>
      <c r="D40" s="44" t="s">
        <v>127</v>
      </c>
      <c r="E40" s="4"/>
      <c r="F40" s="41"/>
      <c r="G40" s="46" t="s">
        <v>128</v>
      </c>
      <c r="H40" s="3"/>
    </row>
    <row r="41" spans="2:8" ht="15" customHeight="1">
      <c r="B41" s="71">
        <f>COUNTIF(C11:C40,"?.")</f>
        <v>24</v>
      </c>
      <c r="C41" s="350" t="s">
        <v>0</v>
      </c>
      <c r="D41" s="351"/>
      <c r="E41" s="352">
        <f>SUBTOTAL(9,F10:F40)</f>
        <v>0</v>
      </c>
      <c r="F41" s="353"/>
      <c r="G41" s="72"/>
      <c r="H41" s="73"/>
    </row>
    <row r="42" spans="2:8" ht="15.75">
      <c r="B42" s="346" t="str">
        <f>"NKT Pengembangan Madrasah (Nilai Kinerja Tahunan)"</f>
        <v>NKT Pengembangan Madrasah (Nilai Kinerja Tahunan)</v>
      </c>
      <c r="C42" s="347"/>
      <c r="D42" s="347"/>
      <c r="E42" s="348">
        <f>E41/(B41*4)*100</f>
        <v>0</v>
      </c>
      <c r="F42" s="349"/>
      <c r="G42" s="47"/>
      <c r="H42" s="2"/>
    </row>
    <row r="43" spans="2:8"/>
    <row r="44" spans="2:8"/>
    <row r="45" spans="2:8" ht="18">
      <c r="B45" s="365" t="s">
        <v>413</v>
      </c>
      <c r="C45" s="366"/>
      <c r="D45" s="366"/>
      <c r="E45" s="366"/>
      <c r="F45" s="367"/>
      <c r="G45" s="48"/>
      <c r="H45" s="49"/>
    </row>
    <row r="46" spans="2:8">
      <c r="B46" s="381" t="s">
        <v>19</v>
      </c>
      <c r="C46" s="382" t="s">
        <v>70</v>
      </c>
      <c r="D46" s="382"/>
      <c r="E46" s="383" t="s">
        <v>17</v>
      </c>
      <c r="F46" s="384"/>
      <c r="G46" s="376" t="s">
        <v>71</v>
      </c>
      <c r="H46" s="377" t="s">
        <v>72</v>
      </c>
    </row>
    <row r="47" spans="2:8">
      <c r="B47" s="381"/>
      <c r="C47" s="382"/>
      <c r="D47" s="382"/>
      <c r="E47" s="40" t="s">
        <v>129</v>
      </c>
      <c r="F47" s="39" t="s">
        <v>392</v>
      </c>
      <c r="G47" s="376"/>
      <c r="H47" s="377"/>
    </row>
    <row r="48" spans="2:8">
      <c r="B48" s="38" t="s">
        <v>11</v>
      </c>
      <c r="C48" s="378" t="s">
        <v>130</v>
      </c>
      <c r="D48" s="379"/>
      <c r="E48" s="380"/>
      <c r="F48" s="288">
        <f>(SUBTOTAL(9,F49:F52)/(4*4))*100</f>
        <v>0</v>
      </c>
      <c r="G48" s="45"/>
      <c r="H48" s="7"/>
    </row>
    <row r="49" spans="2:8" ht="25.5">
      <c r="B49" s="6"/>
      <c r="C49" s="5" t="s">
        <v>74</v>
      </c>
      <c r="D49" s="44" t="s">
        <v>131</v>
      </c>
      <c r="E49" s="4"/>
      <c r="F49" s="41"/>
      <c r="G49" s="46" t="s">
        <v>132</v>
      </c>
      <c r="H49" s="3"/>
    </row>
    <row r="50" spans="2:8" ht="25.5">
      <c r="B50" s="6"/>
      <c r="C50" s="5" t="s">
        <v>77</v>
      </c>
      <c r="D50" s="44" t="s">
        <v>133</v>
      </c>
      <c r="E50" s="4"/>
      <c r="F50" s="41"/>
      <c r="G50" s="46" t="s">
        <v>134</v>
      </c>
      <c r="H50" s="3"/>
    </row>
    <row r="51" spans="2:8" ht="25.5">
      <c r="B51" s="6"/>
      <c r="C51" s="5" t="s">
        <v>80</v>
      </c>
      <c r="D51" s="44" t="s">
        <v>135</v>
      </c>
      <c r="E51" s="4"/>
      <c r="F51" s="41"/>
      <c r="G51" s="46" t="s">
        <v>136</v>
      </c>
      <c r="H51" s="3"/>
    </row>
    <row r="52" spans="2:8" ht="38.25">
      <c r="B52" s="6"/>
      <c r="C52" s="5" t="s">
        <v>88</v>
      </c>
      <c r="D52" s="44" t="s">
        <v>391</v>
      </c>
      <c r="E52" s="4"/>
      <c r="F52" s="41"/>
      <c r="G52" s="46" t="s">
        <v>137</v>
      </c>
      <c r="H52" s="3"/>
    </row>
    <row r="53" spans="2:8">
      <c r="B53" s="38" t="s">
        <v>9</v>
      </c>
      <c r="C53" s="378" t="s">
        <v>138</v>
      </c>
      <c r="D53" s="379"/>
      <c r="E53" s="380"/>
      <c r="F53" s="288">
        <f>(SUBTOTAL(9,F54:F56)/(4*3))*100</f>
        <v>0</v>
      </c>
      <c r="G53" s="45"/>
      <c r="H53" s="7"/>
    </row>
    <row r="54" spans="2:8" ht="25.5">
      <c r="B54" s="6"/>
      <c r="C54" s="5" t="s">
        <v>74</v>
      </c>
      <c r="D54" s="44" t="s">
        <v>139</v>
      </c>
      <c r="E54" s="4"/>
      <c r="F54" s="41"/>
      <c r="G54" s="46" t="s">
        <v>140</v>
      </c>
      <c r="H54" s="3"/>
    </row>
    <row r="55" spans="2:8" ht="25.5">
      <c r="B55" s="6"/>
      <c r="C55" s="5" t="s">
        <v>77</v>
      </c>
      <c r="D55" s="44" t="s">
        <v>141</v>
      </c>
      <c r="E55" s="4"/>
      <c r="F55" s="41"/>
      <c r="G55" s="46" t="s">
        <v>142</v>
      </c>
      <c r="H55" s="3"/>
    </row>
    <row r="56" spans="2:8" ht="25.5">
      <c r="B56" s="6"/>
      <c r="C56" s="5" t="s">
        <v>80</v>
      </c>
      <c r="D56" s="44" t="s">
        <v>390</v>
      </c>
      <c r="E56" s="4"/>
      <c r="F56" s="41"/>
      <c r="G56" s="46" t="s">
        <v>143</v>
      </c>
      <c r="H56" s="3"/>
    </row>
    <row r="57" spans="2:8">
      <c r="B57" s="38" t="s">
        <v>144</v>
      </c>
      <c r="C57" s="378" t="s">
        <v>145</v>
      </c>
      <c r="D57" s="379"/>
      <c r="E57" s="380"/>
      <c r="F57" s="288">
        <f>(SUBTOTAL(9,F58:F61)/(4*4))*100</f>
        <v>0</v>
      </c>
      <c r="G57" s="45"/>
      <c r="H57" s="7"/>
    </row>
    <row r="58" spans="2:8" ht="25.5">
      <c r="B58" s="6"/>
      <c r="C58" s="5" t="s">
        <v>74</v>
      </c>
      <c r="D58" s="44" t="s">
        <v>314</v>
      </c>
      <c r="E58" s="4"/>
      <c r="F58" s="41"/>
      <c r="G58" s="46" t="s">
        <v>146</v>
      </c>
      <c r="H58" s="3"/>
    </row>
    <row r="59" spans="2:8" ht="51">
      <c r="B59" s="6"/>
      <c r="C59" s="5" t="s">
        <v>77</v>
      </c>
      <c r="D59" s="44" t="s">
        <v>147</v>
      </c>
      <c r="E59" s="4"/>
      <c r="F59" s="41"/>
      <c r="G59" s="46" t="s">
        <v>148</v>
      </c>
      <c r="H59" s="3"/>
    </row>
    <row r="60" spans="2:8" ht="76.5">
      <c r="B60" s="6"/>
      <c r="C60" s="5" t="s">
        <v>80</v>
      </c>
      <c r="D60" s="44" t="s">
        <v>149</v>
      </c>
      <c r="E60" s="4"/>
      <c r="F60" s="41"/>
      <c r="G60" s="46" t="s">
        <v>150</v>
      </c>
      <c r="H60" s="3"/>
    </row>
    <row r="61" spans="2:8" ht="76.5">
      <c r="B61" s="6"/>
      <c r="C61" s="5" t="s">
        <v>88</v>
      </c>
      <c r="D61" s="44" t="s">
        <v>151</v>
      </c>
      <c r="E61" s="4"/>
      <c r="F61" s="41"/>
      <c r="G61" s="46" t="s">
        <v>152</v>
      </c>
      <c r="H61" s="3"/>
    </row>
    <row r="62" spans="2:8">
      <c r="B62" s="38" t="s">
        <v>153</v>
      </c>
      <c r="C62" s="378" t="s">
        <v>154</v>
      </c>
      <c r="D62" s="379"/>
      <c r="E62" s="380"/>
      <c r="F62" s="288">
        <f>(SUBTOTAL(9,F63:F66)/(4*4))*100</f>
        <v>0</v>
      </c>
      <c r="G62" s="45"/>
      <c r="H62" s="7"/>
    </row>
    <row r="63" spans="2:8" ht="76.5">
      <c r="B63" s="6"/>
      <c r="C63" s="5" t="s">
        <v>74</v>
      </c>
      <c r="D63" s="44" t="s">
        <v>155</v>
      </c>
      <c r="E63" s="4"/>
      <c r="F63" s="41"/>
      <c r="G63" s="46" t="s">
        <v>156</v>
      </c>
      <c r="H63" s="3"/>
    </row>
    <row r="64" spans="2:8" ht="25.5">
      <c r="B64" s="6"/>
      <c r="C64" s="5" t="s">
        <v>77</v>
      </c>
      <c r="D64" s="44" t="s">
        <v>157</v>
      </c>
      <c r="E64" s="4"/>
      <c r="F64" s="41"/>
      <c r="G64" s="46" t="s">
        <v>158</v>
      </c>
      <c r="H64" s="3"/>
    </row>
    <row r="65" spans="2:8" ht="25.5">
      <c r="B65" s="6"/>
      <c r="C65" s="5" t="s">
        <v>80</v>
      </c>
      <c r="D65" s="44" t="s">
        <v>159</v>
      </c>
      <c r="E65" s="4"/>
      <c r="F65" s="41"/>
      <c r="G65" s="46" t="s">
        <v>160</v>
      </c>
      <c r="H65" s="3"/>
    </row>
    <row r="66" spans="2:8" ht="38.25">
      <c r="B66" s="6"/>
      <c r="C66" s="5" t="s">
        <v>88</v>
      </c>
      <c r="D66" s="44" t="s">
        <v>161</v>
      </c>
      <c r="E66" s="4"/>
      <c r="F66" s="41"/>
      <c r="G66" s="46" t="s">
        <v>162</v>
      </c>
      <c r="H66" s="3"/>
    </row>
    <row r="67" spans="2:8">
      <c r="B67" s="38" t="s">
        <v>163</v>
      </c>
      <c r="C67" s="378" t="s">
        <v>164</v>
      </c>
      <c r="D67" s="379"/>
      <c r="E67" s="380"/>
      <c r="F67" s="288">
        <f>(SUBTOTAL(9,F68:F71)/(4*4))*100</f>
        <v>0</v>
      </c>
      <c r="G67" s="45"/>
      <c r="H67" s="7"/>
    </row>
    <row r="68" spans="2:8" ht="25.5">
      <c r="B68" s="6"/>
      <c r="C68" s="5" t="s">
        <v>74</v>
      </c>
      <c r="D68" s="44" t="s">
        <v>165</v>
      </c>
      <c r="E68" s="4"/>
      <c r="F68" s="41"/>
      <c r="G68" s="46" t="s">
        <v>166</v>
      </c>
      <c r="H68" s="3"/>
    </row>
    <row r="69" spans="2:8" ht="38.25">
      <c r="B69" s="6"/>
      <c r="C69" s="5" t="s">
        <v>77</v>
      </c>
      <c r="D69" s="44" t="s">
        <v>167</v>
      </c>
      <c r="E69" s="4"/>
      <c r="F69" s="41"/>
      <c r="G69" s="46" t="s">
        <v>168</v>
      </c>
      <c r="H69" s="3"/>
    </row>
    <row r="70" spans="2:8" ht="89.25">
      <c r="B70" s="6"/>
      <c r="C70" s="5" t="s">
        <v>80</v>
      </c>
      <c r="D70" s="44" t="s">
        <v>169</v>
      </c>
      <c r="E70" s="4"/>
      <c r="F70" s="41"/>
      <c r="G70" s="46" t="s">
        <v>170</v>
      </c>
      <c r="H70" s="3"/>
    </row>
    <row r="71" spans="2:8" ht="63.75">
      <c r="B71" s="6"/>
      <c r="C71" s="5" t="s">
        <v>88</v>
      </c>
      <c r="D71" s="44" t="s">
        <v>171</v>
      </c>
      <c r="E71" s="4"/>
      <c r="F71" s="41"/>
      <c r="G71" s="46" t="s">
        <v>172</v>
      </c>
      <c r="H71" s="3"/>
    </row>
    <row r="72" spans="2:8">
      <c r="B72" s="38" t="s">
        <v>173</v>
      </c>
      <c r="C72" s="378" t="s">
        <v>174</v>
      </c>
      <c r="D72" s="379"/>
      <c r="E72" s="380"/>
      <c r="F72" s="288">
        <f>(SUBTOTAL(9,F73:F76)/(4*4))*100</f>
        <v>0</v>
      </c>
      <c r="G72" s="45"/>
      <c r="H72" s="7"/>
    </row>
    <row r="73" spans="2:8" ht="25.5">
      <c r="B73" s="6"/>
      <c r="C73" s="5" t="s">
        <v>74</v>
      </c>
      <c r="D73" s="44" t="s">
        <v>175</v>
      </c>
      <c r="E73" s="4"/>
      <c r="F73" s="41"/>
      <c r="G73" s="46" t="s">
        <v>176</v>
      </c>
      <c r="H73" s="3"/>
    </row>
    <row r="74" spans="2:8" ht="25.5">
      <c r="B74" s="6"/>
      <c r="C74" s="5" t="s">
        <v>77</v>
      </c>
      <c r="D74" s="44" t="s">
        <v>177</v>
      </c>
      <c r="E74" s="4"/>
      <c r="F74" s="41"/>
      <c r="G74" s="46" t="s">
        <v>178</v>
      </c>
      <c r="H74" s="3"/>
    </row>
    <row r="75" spans="2:8" ht="51">
      <c r="B75" s="6"/>
      <c r="C75" s="5" t="s">
        <v>80</v>
      </c>
      <c r="D75" s="44" t="s">
        <v>179</v>
      </c>
      <c r="E75" s="4"/>
      <c r="F75" s="41"/>
      <c r="G75" s="46" t="s">
        <v>320</v>
      </c>
      <c r="H75" s="3"/>
    </row>
    <row r="76" spans="2:8" ht="25.5">
      <c r="B76" s="6"/>
      <c r="C76" s="5" t="s">
        <v>88</v>
      </c>
      <c r="D76" s="44" t="s">
        <v>389</v>
      </c>
      <c r="E76" s="4"/>
      <c r="F76" s="41"/>
      <c r="G76" s="46" t="s">
        <v>180</v>
      </c>
      <c r="H76" s="3"/>
    </row>
    <row r="77" spans="2:8">
      <c r="B77" s="38" t="s">
        <v>181</v>
      </c>
      <c r="C77" s="378" t="s">
        <v>182</v>
      </c>
      <c r="D77" s="379"/>
      <c r="E77" s="380"/>
      <c r="F77" s="288">
        <f>(SUBTOTAL(9,F78:F81)/(4*4))*100</f>
        <v>0</v>
      </c>
      <c r="G77" s="45"/>
      <c r="H77" s="7"/>
    </row>
    <row r="78" spans="2:8" ht="25.5">
      <c r="B78" s="6"/>
      <c r="C78" s="5" t="s">
        <v>74</v>
      </c>
      <c r="D78" s="44" t="s">
        <v>183</v>
      </c>
      <c r="E78" s="4"/>
      <c r="F78" s="41"/>
      <c r="G78" s="46" t="s">
        <v>184</v>
      </c>
      <c r="H78" s="3"/>
    </row>
    <row r="79" spans="2:8" ht="25.5">
      <c r="B79" s="6"/>
      <c r="C79" s="5" t="s">
        <v>77</v>
      </c>
      <c r="D79" s="44" t="s">
        <v>387</v>
      </c>
      <c r="E79" s="4"/>
      <c r="F79" s="41"/>
      <c r="G79" s="46" t="s">
        <v>185</v>
      </c>
      <c r="H79" s="3"/>
    </row>
    <row r="80" spans="2:8" ht="25.5">
      <c r="B80" s="6"/>
      <c r="C80" s="5" t="s">
        <v>80</v>
      </c>
      <c r="D80" s="44" t="s">
        <v>388</v>
      </c>
      <c r="E80" s="4"/>
      <c r="F80" s="41"/>
      <c r="G80" s="46" t="s">
        <v>186</v>
      </c>
      <c r="H80" s="3"/>
    </row>
    <row r="81" spans="2:8" ht="25.5">
      <c r="B81" s="6"/>
      <c r="C81" s="5" t="s">
        <v>88</v>
      </c>
      <c r="D81" s="44" t="s">
        <v>187</v>
      </c>
      <c r="E81" s="4"/>
      <c r="F81" s="41"/>
      <c r="G81" s="46" t="s">
        <v>188</v>
      </c>
      <c r="H81" s="3"/>
    </row>
    <row r="82" spans="2:8">
      <c r="B82" s="38" t="s">
        <v>189</v>
      </c>
      <c r="C82" s="378" t="s">
        <v>190</v>
      </c>
      <c r="D82" s="379"/>
      <c r="E82" s="380"/>
      <c r="F82" s="288">
        <f>(SUBTOTAL(9,F83:F85)/(4*3))*100</f>
        <v>0</v>
      </c>
      <c r="G82" s="45"/>
      <c r="H82" s="7"/>
    </row>
    <row r="83" spans="2:8" ht="25.5">
      <c r="B83" s="6"/>
      <c r="C83" s="5" t="s">
        <v>74</v>
      </c>
      <c r="D83" s="44" t="s">
        <v>315</v>
      </c>
      <c r="E83" s="4"/>
      <c r="F83" s="41"/>
      <c r="G83" s="46" t="s">
        <v>191</v>
      </c>
      <c r="H83" s="3"/>
    </row>
    <row r="84" spans="2:8" ht="25.5">
      <c r="B84" s="6"/>
      <c r="C84" s="5" t="s">
        <v>77</v>
      </c>
      <c r="D84" s="44" t="s">
        <v>316</v>
      </c>
      <c r="E84" s="4"/>
      <c r="F84" s="41"/>
      <c r="G84" s="46" t="s">
        <v>192</v>
      </c>
      <c r="H84" s="3"/>
    </row>
    <row r="85" spans="2:8" ht="25.5">
      <c r="B85" s="6"/>
      <c r="C85" s="5" t="s">
        <v>80</v>
      </c>
      <c r="D85" s="44" t="s">
        <v>193</v>
      </c>
      <c r="E85" s="4"/>
      <c r="F85" s="41"/>
      <c r="G85" s="46" t="s">
        <v>194</v>
      </c>
      <c r="H85" s="3"/>
    </row>
    <row r="86" spans="2:8">
      <c r="B86" s="38" t="s">
        <v>195</v>
      </c>
      <c r="C86" s="378" t="s">
        <v>196</v>
      </c>
      <c r="D86" s="379"/>
      <c r="E86" s="380"/>
      <c r="F86" s="288">
        <f>(SUBTOTAL(9,F87:F90)/(4*4))*100</f>
        <v>0</v>
      </c>
      <c r="G86" s="45"/>
      <c r="H86" s="7"/>
    </row>
    <row r="87" spans="2:8" ht="51">
      <c r="B87" s="6"/>
      <c r="C87" s="5" t="s">
        <v>74</v>
      </c>
      <c r="D87" s="44" t="s">
        <v>197</v>
      </c>
      <c r="E87" s="4"/>
      <c r="F87" s="41"/>
      <c r="G87" s="46" t="s">
        <v>198</v>
      </c>
      <c r="H87" s="3"/>
    </row>
    <row r="88" spans="2:8" ht="25.5">
      <c r="B88" s="6"/>
      <c r="C88" s="5" t="s">
        <v>77</v>
      </c>
      <c r="D88" s="44" t="s">
        <v>199</v>
      </c>
      <c r="E88" s="4"/>
      <c r="F88" s="41"/>
      <c r="G88" s="46" t="s">
        <v>200</v>
      </c>
      <c r="H88" s="3"/>
    </row>
    <row r="89" spans="2:8" ht="38.25">
      <c r="B89" s="6"/>
      <c r="C89" s="5" t="s">
        <v>80</v>
      </c>
      <c r="D89" s="44" t="s">
        <v>201</v>
      </c>
      <c r="E89" s="4"/>
      <c r="F89" s="41"/>
      <c r="G89" s="46" t="s">
        <v>321</v>
      </c>
      <c r="H89" s="3"/>
    </row>
    <row r="90" spans="2:8" ht="38.25">
      <c r="B90" s="6"/>
      <c r="C90" s="5" t="s">
        <v>88</v>
      </c>
      <c r="D90" s="44" t="s">
        <v>202</v>
      </c>
      <c r="E90" s="4"/>
      <c r="F90" s="41"/>
      <c r="G90" s="46" t="s">
        <v>203</v>
      </c>
      <c r="H90" s="3"/>
    </row>
    <row r="91" spans="2:8">
      <c r="B91" s="38" t="s">
        <v>204</v>
      </c>
      <c r="C91" s="378" t="s">
        <v>205</v>
      </c>
      <c r="D91" s="379"/>
      <c r="E91" s="380"/>
      <c r="F91" s="288">
        <f>(SUBTOTAL(9,F92:F96)/(4*5))*100</f>
        <v>0</v>
      </c>
      <c r="G91" s="45"/>
      <c r="H91" s="7"/>
    </row>
    <row r="92" spans="2:8" ht="51">
      <c r="B92" s="6"/>
      <c r="C92" s="5" t="s">
        <v>74</v>
      </c>
      <c r="D92" s="44" t="s">
        <v>206</v>
      </c>
      <c r="E92" s="4"/>
      <c r="F92" s="41"/>
      <c r="G92" s="46" t="s">
        <v>322</v>
      </c>
      <c r="H92" s="3"/>
    </row>
    <row r="93" spans="2:8" ht="51">
      <c r="B93" s="6"/>
      <c r="C93" s="5" t="s">
        <v>77</v>
      </c>
      <c r="D93" s="44" t="s">
        <v>207</v>
      </c>
      <c r="E93" s="4"/>
      <c r="F93" s="41"/>
      <c r="G93" s="46" t="s">
        <v>208</v>
      </c>
      <c r="H93" s="3"/>
    </row>
    <row r="94" spans="2:8" ht="51">
      <c r="B94" s="6"/>
      <c r="C94" s="5" t="s">
        <v>80</v>
      </c>
      <c r="D94" s="44" t="s">
        <v>209</v>
      </c>
      <c r="E94" s="4"/>
      <c r="F94" s="41"/>
      <c r="G94" s="46" t="s">
        <v>210</v>
      </c>
      <c r="H94" s="3"/>
    </row>
    <row r="95" spans="2:8" ht="89.25">
      <c r="B95" s="6"/>
      <c r="C95" s="5" t="s">
        <v>88</v>
      </c>
      <c r="D95" s="44" t="s">
        <v>211</v>
      </c>
      <c r="E95" s="4"/>
      <c r="F95" s="41"/>
      <c r="G95" s="46" t="s">
        <v>212</v>
      </c>
      <c r="H95" s="3"/>
    </row>
    <row r="96" spans="2:8" ht="38.25">
      <c r="B96" s="6"/>
      <c r="C96" s="5" t="s">
        <v>213</v>
      </c>
      <c r="D96" s="44" t="s">
        <v>214</v>
      </c>
      <c r="E96" s="4"/>
      <c r="F96" s="41"/>
      <c r="G96" s="46" t="s">
        <v>215</v>
      </c>
      <c r="H96" s="3"/>
    </row>
    <row r="97" spans="2:8">
      <c r="B97" s="38" t="s">
        <v>216</v>
      </c>
      <c r="C97" s="378" t="s">
        <v>217</v>
      </c>
      <c r="D97" s="379"/>
      <c r="E97" s="380"/>
      <c r="F97" s="288">
        <f>(SUBTOTAL(9,F98:F101)/(4*4))*100</f>
        <v>0</v>
      </c>
      <c r="G97" s="45"/>
      <c r="H97" s="7"/>
    </row>
    <row r="98" spans="2:8" ht="55.5" customHeight="1">
      <c r="B98" s="6"/>
      <c r="C98" s="5" t="s">
        <v>74</v>
      </c>
      <c r="D98" s="44" t="s">
        <v>478</v>
      </c>
      <c r="E98" s="4"/>
      <c r="F98" s="41"/>
      <c r="G98" s="46" t="s">
        <v>494</v>
      </c>
      <c r="H98" s="3"/>
    </row>
    <row r="99" spans="2:8" ht="25.5">
      <c r="B99" s="6"/>
      <c r="C99" s="5" t="s">
        <v>77</v>
      </c>
      <c r="D99" s="44" t="s">
        <v>477</v>
      </c>
      <c r="E99" s="4"/>
      <c r="F99" s="41"/>
      <c r="G99" s="46" t="s">
        <v>495</v>
      </c>
      <c r="H99" s="3"/>
    </row>
    <row r="100" spans="2:8" ht="38.25">
      <c r="B100" s="6"/>
      <c r="C100" s="5" t="s">
        <v>80</v>
      </c>
      <c r="D100" s="44" t="s">
        <v>479</v>
      </c>
      <c r="E100" s="4"/>
      <c r="F100" s="41"/>
      <c r="G100" s="46" t="s">
        <v>496</v>
      </c>
      <c r="H100" s="3"/>
    </row>
    <row r="101" spans="2:8" ht="38.25">
      <c r="B101" s="6"/>
      <c r="C101" s="5" t="s">
        <v>88</v>
      </c>
      <c r="D101" s="44" t="s">
        <v>480</v>
      </c>
      <c r="E101" s="4"/>
      <c r="F101" s="41"/>
      <c r="G101" s="46" t="s">
        <v>496</v>
      </c>
      <c r="H101" s="3"/>
    </row>
    <row r="102" spans="2:8">
      <c r="B102" s="38" t="s">
        <v>218</v>
      </c>
      <c r="C102" s="378" t="s">
        <v>219</v>
      </c>
      <c r="D102" s="379"/>
      <c r="E102" s="380"/>
      <c r="F102" s="288">
        <f>(SUBTOTAL(9,F103:F106)/(4*4))*100</f>
        <v>0</v>
      </c>
      <c r="G102" s="45"/>
      <c r="H102" s="7"/>
    </row>
    <row r="103" spans="2:8" ht="25.5">
      <c r="B103" s="6"/>
      <c r="C103" s="5" t="s">
        <v>74</v>
      </c>
      <c r="D103" s="44" t="s">
        <v>481</v>
      </c>
      <c r="E103" s="4"/>
      <c r="F103" s="41"/>
      <c r="G103" s="46" t="s">
        <v>497</v>
      </c>
      <c r="H103" s="3"/>
    </row>
    <row r="104" spans="2:8" ht="51">
      <c r="B104" s="6"/>
      <c r="C104" s="5" t="s">
        <v>77</v>
      </c>
      <c r="D104" s="44" t="s">
        <v>482</v>
      </c>
      <c r="E104" s="4"/>
      <c r="F104" s="41"/>
      <c r="G104" s="46" t="s">
        <v>498</v>
      </c>
      <c r="H104" s="3"/>
    </row>
    <row r="105" spans="2:8" ht="25.5">
      <c r="B105" s="6"/>
      <c r="C105" s="5" t="s">
        <v>80</v>
      </c>
      <c r="D105" s="44" t="s">
        <v>483</v>
      </c>
      <c r="E105" s="4"/>
      <c r="F105" s="41"/>
      <c r="G105" s="46" t="s">
        <v>497</v>
      </c>
      <c r="H105" s="3"/>
    </row>
    <row r="106" spans="2:8" ht="38.25">
      <c r="B106" s="6"/>
      <c r="C106" s="5" t="s">
        <v>88</v>
      </c>
      <c r="D106" s="44" t="s">
        <v>484</v>
      </c>
      <c r="E106" s="4"/>
      <c r="F106" s="41"/>
      <c r="G106" s="46" t="s">
        <v>499</v>
      </c>
      <c r="H106" s="3"/>
    </row>
    <row r="107" spans="2:8">
      <c r="B107" s="38" t="s">
        <v>220</v>
      </c>
      <c r="C107" s="378" t="s">
        <v>221</v>
      </c>
      <c r="D107" s="379"/>
      <c r="E107" s="380"/>
      <c r="F107" s="288">
        <f>(SUBTOTAL(9,F108:F111)/(4*4))*100</f>
        <v>0</v>
      </c>
      <c r="G107" s="45"/>
      <c r="H107" s="7"/>
    </row>
    <row r="108" spans="2:8" ht="25.5">
      <c r="B108" s="6"/>
      <c r="C108" s="5" t="s">
        <v>74</v>
      </c>
      <c r="D108" s="44" t="s">
        <v>485</v>
      </c>
      <c r="E108" s="4"/>
      <c r="F108" s="41"/>
      <c r="G108" s="46" t="s">
        <v>500</v>
      </c>
      <c r="H108" s="3"/>
    </row>
    <row r="109" spans="2:8" ht="38.25">
      <c r="B109" s="6"/>
      <c r="C109" s="5" t="s">
        <v>77</v>
      </c>
      <c r="D109" s="44" t="s">
        <v>486</v>
      </c>
      <c r="E109" s="4"/>
      <c r="F109" s="41"/>
      <c r="G109" s="46" t="s">
        <v>501</v>
      </c>
      <c r="H109" s="3"/>
    </row>
    <row r="110" spans="2:8" ht="38.25">
      <c r="B110" s="6"/>
      <c r="C110" s="5" t="s">
        <v>80</v>
      </c>
      <c r="D110" s="44" t="s">
        <v>487</v>
      </c>
      <c r="E110" s="4"/>
      <c r="F110" s="41"/>
      <c r="G110" s="46" t="s">
        <v>502</v>
      </c>
      <c r="H110" s="3"/>
    </row>
    <row r="111" spans="2:8" ht="38.25">
      <c r="B111" s="6"/>
      <c r="C111" s="5" t="s">
        <v>88</v>
      </c>
      <c r="D111" s="44" t="s">
        <v>488</v>
      </c>
      <c r="E111" s="4"/>
      <c r="F111" s="41"/>
      <c r="G111" s="46" t="s">
        <v>503</v>
      </c>
      <c r="H111" s="3"/>
    </row>
    <row r="112" spans="2:8">
      <c r="B112" s="38" t="s">
        <v>222</v>
      </c>
      <c r="C112" s="378" t="s">
        <v>223</v>
      </c>
      <c r="D112" s="379"/>
      <c r="E112" s="380"/>
      <c r="F112" s="288">
        <f>(SUBTOTAL(9,F113:F116)/(4*4))*100</f>
        <v>0</v>
      </c>
      <c r="G112" s="45"/>
      <c r="H112" s="7"/>
    </row>
    <row r="113" spans="2:8" ht="38.25">
      <c r="B113" s="6"/>
      <c r="C113" s="5" t="s">
        <v>74</v>
      </c>
      <c r="D113" s="44" t="s">
        <v>224</v>
      </c>
      <c r="E113" s="4"/>
      <c r="F113" s="41"/>
      <c r="G113" s="46" t="s">
        <v>225</v>
      </c>
      <c r="H113" s="3"/>
    </row>
    <row r="114" spans="2:8" ht="38.25">
      <c r="B114" s="6"/>
      <c r="C114" s="5" t="s">
        <v>77</v>
      </c>
      <c r="D114" s="44" t="s">
        <v>226</v>
      </c>
      <c r="E114" s="4"/>
      <c r="F114" s="41"/>
      <c r="G114" s="46" t="s">
        <v>227</v>
      </c>
      <c r="H114" s="3"/>
    </row>
    <row r="115" spans="2:8" ht="38.25">
      <c r="B115" s="6"/>
      <c r="C115" s="5" t="s">
        <v>80</v>
      </c>
      <c r="D115" s="44" t="s">
        <v>228</v>
      </c>
      <c r="E115" s="4"/>
      <c r="F115" s="41"/>
      <c r="G115" s="46" t="s">
        <v>229</v>
      </c>
      <c r="H115" s="3"/>
    </row>
    <row r="116" spans="2:8" ht="51">
      <c r="B116" s="6"/>
      <c r="C116" s="5" t="s">
        <v>88</v>
      </c>
      <c r="D116" s="44" t="s">
        <v>230</v>
      </c>
      <c r="E116" s="4"/>
      <c r="F116" s="41"/>
      <c r="G116" s="46" t="s">
        <v>231</v>
      </c>
      <c r="H116" s="3"/>
    </row>
    <row r="117" spans="2:8">
      <c r="B117" s="38" t="s">
        <v>232</v>
      </c>
      <c r="C117" s="378" t="s">
        <v>233</v>
      </c>
      <c r="D117" s="379"/>
      <c r="E117" s="380"/>
      <c r="F117" s="288">
        <f>(SUBTOTAL(9,F118:F120)/(4*3))*100</f>
        <v>0</v>
      </c>
      <c r="G117" s="45"/>
      <c r="H117" s="7"/>
    </row>
    <row r="118" spans="2:8" ht="76.5">
      <c r="B118" s="6"/>
      <c r="C118" s="5" t="s">
        <v>74</v>
      </c>
      <c r="D118" s="44" t="s">
        <v>234</v>
      </c>
      <c r="E118" s="4"/>
      <c r="F118" s="41"/>
      <c r="G118" s="46" t="s">
        <v>235</v>
      </c>
      <c r="H118" s="3"/>
    </row>
    <row r="119" spans="2:8" ht="63.75">
      <c r="B119" s="6"/>
      <c r="C119" s="5" t="s">
        <v>77</v>
      </c>
      <c r="D119" s="44" t="s">
        <v>236</v>
      </c>
      <c r="E119" s="4"/>
      <c r="F119" s="41"/>
      <c r="G119" s="46" t="s">
        <v>237</v>
      </c>
      <c r="H119" s="3"/>
    </row>
    <row r="120" spans="2:8" ht="38.25">
      <c r="B120" s="6"/>
      <c r="C120" s="5" t="s">
        <v>80</v>
      </c>
      <c r="D120" s="44" t="s">
        <v>238</v>
      </c>
      <c r="E120" s="4"/>
      <c r="F120" s="41"/>
      <c r="G120" s="46" t="s">
        <v>239</v>
      </c>
      <c r="H120" s="3"/>
    </row>
    <row r="121" spans="2:8">
      <c r="B121" s="38" t="s">
        <v>240</v>
      </c>
      <c r="C121" s="378" t="s">
        <v>241</v>
      </c>
      <c r="D121" s="379"/>
      <c r="E121" s="380"/>
      <c r="F121" s="288">
        <f>(SUBTOTAL(9,F122:F125)/(4*4))*100</f>
        <v>0</v>
      </c>
      <c r="G121" s="45"/>
      <c r="H121" s="7"/>
    </row>
    <row r="122" spans="2:8" ht="25.5">
      <c r="B122" s="6"/>
      <c r="C122" s="5" t="s">
        <v>74</v>
      </c>
      <c r="D122" s="44" t="s">
        <v>383</v>
      </c>
      <c r="E122" s="4"/>
      <c r="F122" s="41"/>
      <c r="G122" s="46" t="s">
        <v>242</v>
      </c>
      <c r="H122" s="3"/>
    </row>
    <row r="123" spans="2:8" ht="25.5">
      <c r="B123" s="6"/>
      <c r="C123" s="5" t="s">
        <v>77</v>
      </c>
      <c r="D123" s="44" t="s">
        <v>243</v>
      </c>
      <c r="E123" s="4"/>
      <c r="F123" s="41"/>
      <c r="G123" s="46" t="s">
        <v>244</v>
      </c>
      <c r="H123" s="3"/>
    </row>
    <row r="124" spans="2:8" ht="25.5">
      <c r="B124" s="6"/>
      <c r="C124" s="5" t="s">
        <v>80</v>
      </c>
      <c r="D124" s="44" t="s">
        <v>245</v>
      </c>
      <c r="E124" s="4"/>
      <c r="F124" s="41"/>
      <c r="G124" s="46" t="s">
        <v>246</v>
      </c>
      <c r="H124" s="3"/>
    </row>
    <row r="125" spans="2:8" ht="38.25">
      <c r="B125" s="6"/>
      <c r="C125" s="5" t="s">
        <v>88</v>
      </c>
      <c r="D125" s="44" t="s">
        <v>247</v>
      </c>
      <c r="E125" s="4"/>
      <c r="F125" s="41"/>
      <c r="G125" s="46" t="s">
        <v>323</v>
      </c>
      <c r="H125" s="3"/>
    </row>
    <row r="126" spans="2:8" ht="15" customHeight="1">
      <c r="B126" s="71">
        <f>COUNTIF(C49:C125,"?.")</f>
        <v>62</v>
      </c>
      <c r="C126" s="350" t="s">
        <v>0</v>
      </c>
      <c r="D126" s="351"/>
      <c r="E126" s="352">
        <f>SUBTOTAL(9,F49:F125)</f>
        <v>0</v>
      </c>
      <c r="F126" s="353"/>
      <c r="G126" s="72"/>
      <c r="H126" s="73"/>
    </row>
    <row r="127" spans="2:8" ht="15.75">
      <c r="B127" s="346" t="str">
        <f>"NKT (Nilai Kinerja Tahunan)"</f>
        <v>NKT (Nilai Kinerja Tahunan)</v>
      </c>
      <c r="C127" s="347"/>
      <c r="D127" s="347"/>
      <c r="E127" s="348">
        <f>E126/(B126*4)*100</f>
        <v>0</v>
      </c>
      <c r="F127" s="349"/>
      <c r="G127" s="47"/>
      <c r="H127" s="2"/>
    </row>
    <row r="128" spans="2:8"/>
    <row r="129" spans="2:8"/>
    <row r="130" spans="2:8" ht="18">
      <c r="B130" s="365" t="s">
        <v>414</v>
      </c>
      <c r="C130" s="366"/>
      <c r="D130" s="366"/>
      <c r="E130" s="366"/>
      <c r="F130" s="367"/>
      <c r="G130" s="48"/>
      <c r="H130" s="49"/>
    </row>
    <row r="131" spans="2:8">
      <c r="B131" s="381" t="s">
        <v>19</v>
      </c>
      <c r="C131" s="382" t="s">
        <v>70</v>
      </c>
      <c r="D131" s="382"/>
      <c r="E131" s="383" t="s">
        <v>17</v>
      </c>
      <c r="F131" s="384"/>
      <c r="G131" s="376" t="s">
        <v>71</v>
      </c>
      <c r="H131" s="377" t="s">
        <v>72</v>
      </c>
    </row>
    <row r="132" spans="2:8">
      <c r="B132" s="381"/>
      <c r="C132" s="382"/>
      <c r="D132" s="382"/>
      <c r="E132" s="40" t="s">
        <v>129</v>
      </c>
      <c r="F132" s="39" t="s">
        <v>392</v>
      </c>
      <c r="G132" s="376"/>
      <c r="H132" s="377"/>
    </row>
    <row r="133" spans="2:8">
      <c r="B133" s="38" t="s">
        <v>7</v>
      </c>
      <c r="C133" s="378" t="s">
        <v>248</v>
      </c>
      <c r="D133" s="379"/>
      <c r="E133" s="380"/>
      <c r="F133" s="288">
        <f>(SUBTOTAL(9,F134:F137)/(4*4))*100</f>
        <v>0</v>
      </c>
      <c r="G133" s="45"/>
      <c r="H133" s="7"/>
    </row>
    <row r="134" spans="2:8" ht="25.5">
      <c r="B134" s="6"/>
      <c r="C134" s="5" t="s">
        <v>74</v>
      </c>
      <c r="D134" s="44" t="s">
        <v>249</v>
      </c>
      <c r="E134" s="4"/>
      <c r="F134" s="41"/>
      <c r="G134" s="46" t="s">
        <v>250</v>
      </c>
      <c r="H134" s="3"/>
    </row>
    <row r="135" spans="2:8" ht="25.5">
      <c r="B135" s="6"/>
      <c r="C135" s="5" t="s">
        <v>77</v>
      </c>
      <c r="D135" s="44" t="s">
        <v>251</v>
      </c>
      <c r="E135" s="4"/>
      <c r="F135" s="41"/>
      <c r="G135" s="46" t="s">
        <v>324</v>
      </c>
      <c r="H135" s="3"/>
    </row>
    <row r="136" spans="2:8" ht="51">
      <c r="B136" s="6"/>
      <c r="C136" s="5" t="s">
        <v>80</v>
      </c>
      <c r="D136" s="44" t="s">
        <v>252</v>
      </c>
      <c r="E136" s="4"/>
      <c r="F136" s="41"/>
      <c r="G136" s="46" t="s">
        <v>253</v>
      </c>
      <c r="H136" s="3"/>
    </row>
    <row r="137" spans="2:8" ht="51">
      <c r="B137" s="6"/>
      <c r="C137" s="5" t="s">
        <v>88</v>
      </c>
      <c r="D137" s="44" t="s">
        <v>254</v>
      </c>
      <c r="E137" s="4"/>
      <c r="F137" s="41"/>
      <c r="G137" s="46" t="s">
        <v>255</v>
      </c>
      <c r="H137" s="3"/>
    </row>
    <row r="138" spans="2:8">
      <c r="B138" s="38" t="s">
        <v>6</v>
      </c>
      <c r="C138" s="378" t="s">
        <v>256</v>
      </c>
      <c r="D138" s="379"/>
      <c r="E138" s="380"/>
      <c r="F138" s="288">
        <f>(SUBTOTAL(9,F139:F142)/(4*4))*100</f>
        <v>0</v>
      </c>
      <c r="G138" s="45"/>
      <c r="H138" s="7"/>
    </row>
    <row r="139" spans="2:8" ht="25.5">
      <c r="B139" s="6"/>
      <c r="C139" s="5" t="s">
        <v>74</v>
      </c>
      <c r="D139" s="44" t="s">
        <v>257</v>
      </c>
      <c r="E139" s="4"/>
      <c r="F139" s="41"/>
      <c r="G139" s="46" t="s">
        <v>258</v>
      </c>
      <c r="H139" s="3"/>
    </row>
    <row r="140" spans="2:8" ht="38.25">
      <c r="B140" s="6"/>
      <c r="C140" s="5" t="s">
        <v>77</v>
      </c>
      <c r="D140" s="44" t="s">
        <v>259</v>
      </c>
      <c r="E140" s="4"/>
      <c r="F140" s="41"/>
      <c r="G140" s="46" t="s">
        <v>260</v>
      </c>
      <c r="H140" s="3"/>
    </row>
    <row r="141" spans="2:8" ht="38.25">
      <c r="B141" s="6"/>
      <c r="C141" s="5" t="s">
        <v>80</v>
      </c>
      <c r="D141" s="44" t="s">
        <v>261</v>
      </c>
      <c r="E141" s="4"/>
      <c r="F141" s="41"/>
      <c r="G141" s="46" t="s">
        <v>262</v>
      </c>
      <c r="H141" s="3"/>
    </row>
    <row r="142" spans="2:8" ht="25.5">
      <c r="B142" s="6"/>
      <c r="C142" s="5" t="s">
        <v>88</v>
      </c>
      <c r="D142" s="44" t="s">
        <v>263</v>
      </c>
      <c r="E142" s="4"/>
      <c r="F142" s="41"/>
      <c r="G142" s="46" t="s">
        <v>264</v>
      </c>
      <c r="H142" s="3"/>
    </row>
    <row r="143" spans="2:8">
      <c r="B143" s="38" t="s">
        <v>5</v>
      </c>
      <c r="C143" s="378" t="s">
        <v>265</v>
      </c>
      <c r="D143" s="379"/>
      <c r="E143" s="380"/>
      <c r="F143" s="288">
        <f>(SUBTOTAL(9,F144:F146)/(4*3))*100</f>
        <v>0</v>
      </c>
      <c r="G143" s="45"/>
      <c r="H143" s="7"/>
    </row>
    <row r="144" spans="2:8" ht="38.25">
      <c r="B144" s="6"/>
      <c r="C144" s="5" t="s">
        <v>74</v>
      </c>
      <c r="D144" s="44" t="s">
        <v>266</v>
      </c>
      <c r="E144" s="4"/>
      <c r="F144" s="41"/>
      <c r="G144" s="46" t="s">
        <v>267</v>
      </c>
      <c r="H144" s="3"/>
    </row>
    <row r="145" spans="2:8" ht="25.5">
      <c r="B145" s="6"/>
      <c r="C145" s="5" t="s">
        <v>77</v>
      </c>
      <c r="D145" s="44" t="s">
        <v>268</v>
      </c>
      <c r="E145" s="4"/>
      <c r="F145" s="41"/>
      <c r="G145" s="46" t="s">
        <v>269</v>
      </c>
      <c r="H145" s="3"/>
    </row>
    <row r="146" spans="2:8" ht="25.5">
      <c r="B146" s="6"/>
      <c r="C146" s="5" t="s">
        <v>80</v>
      </c>
      <c r="D146" s="44" t="s">
        <v>386</v>
      </c>
      <c r="E146" s="4"/>
      <c r="F146" s="41"/>
      <c r="G146" s="46" t="s">
        <v>270</v>
      </c>
      <c r="H146" s="3"/>
    </row>
    <row r="147" spans="2:8">
      <c r="B147" s="38" t="s">
        <v>271</v>
      </c>
      <c r="C147" s="378" t="s">
        <v>272</v>
      </c>
      <c r="D147" s="379"/>
      <c r="E147" s="380"/>
      <c r="F147" s="288">
        <f>(SUBTOTAL(9,F148:F150)/(4*3))*100</f>
        <v>0</v>
      </c>
      <c r="G147" s="45"/>
      <c r="H147" s="7"/>
    </row>
    <row r="148" spans="2:8" ht="25.5">
      <c r="B148" s="6"/>
      <c r="C148" s="5" t="s">
        <v>74</v>
      </c>
      <c r="D148" s="44" t="s">
        <v>273</v>
      </c>
      <c r="E148" s="4"/>
      <c r="F148" s="41"/>
      <c r="G148" s="46" t="s">
        <v>274</v>
      </c>
      <c r="H148" s="3"/>
    </row>
    <row r="149" spans="2:8" ht="21.75" customHeight="1">
      <c r="B149" s="6"/>
      <c r="C149" s="5" t="s">
        <v>77</v>
      </c>
      <c r="D149" s="44" t="s">
        <v>384</v>
      </c>
      <c r="E149" s="4"/>
      <c r="F149" s="41"/>
      <c r="G149" s="46" t="s">
        <v>275</v>
      </c>
      <c r="H149" s="3"/>
    </row>
    <row r="150" spans="2:8" ht="25.5">
      <c r="B150" s="6"/>
      <c r="C150" s="5" t="s">
        <v>80</v>
      </c>
      <c r="D150" s="44" t="s">
        <v>385</v>
      </c>
      <c r="E150" s="4"/>
      <c r="F150" s="41"/>
      <c r="G150" s="46" t="s">
        <v>276</v>
      </c>
      <c r="H150" s="3"/>
    </row>
    <row r="151" spans="2:8">
      <c r="B151" s="38" t="s">
        <v>277</v>
      </c>
      <c r="C151" s="378" t="s">
        <v>278</v>
      </c>
      <c r="D151" s="379"/>
      <c r="E151" s="380"/>
      <c r="F151" s="288">
        <f>(SUBTOTAL(9,F152:F155)/(4*4))*100</f>
        <v>0</v>
      </c>
      <c r="G151" s="45"/>
      <c r="H151" s="7"/>
    </row>
    <row r="152" spans="2:8" ht="25.5">
      <c r="B152" s="6"/>
      <c r="C152" s="5" t="s">
        <v>74</v>
      </c>
      <c r="D152" s="44" t="s">
        <v>279</v>
      </c>
      <c r="E152" s="4"/>
      <c r="F152" s="41"/>
      <c r="G152" s="46" t="s">
        <v>280</v>
      </c>
      <c r="H152" s="3"/>
    </row>
    <row r="153" spans="2:8" ht="38.25">
      <c r="B153" s="6"/>
      <c r="C153" s="5" t="s">
        <v>77</v>
      </c>
      <c r="D153" s="44" t="s">
        <v>281</v>
      </c>
      <c r="E153" s="4"/>
      <c r="F153" s="41"/>
      <c r="G153" s="46" t="s">
        <v>282</v>
      </c>
      <c r="H153" s="3"/>
    </row>
    <row r="154" spans="2:8" ht="38.25">
      <c r="B154" s="6"/>
      <c r="C154" s="5" t="s">
        <v>80</v>
      </c>
      <c r="D154" s="44" t="s">
        <v>283</v>
      </c>
      <c r="E154" s="4"/>
      <c r="F154" s="41"/>
      <c r="G154" s="46" t="s">
        <v>284</v>
      </c>
      <c r="H154" s="3"/>
    </row>
    <row r="155" spans="2:8" ht="22.5" customHeight="1">
      <c r="B155" s="6"/>
      <c r="C155" s="5" t="s">
        <v>88</v>
      </c>
      <c r="D155" s="44" t="s">
        <v>285</v>
      </c>
      <c r="E155" s="4"/>
      <c r="F155" s="41"/>
      <c r="G155" s="46" t="s">
        <v>286</v>
      </c>
      <c r="H155" s="3"/>
    </row>
    <row r="156" spans="2:8" ht="15" customHeight="1">
      <c r="B156" s="71">
        <f>COUNTIF(C134:C155,"?.")</f>
        <v>18</v>
      </c>
      <c r="C156" s="350" t="s">
        <v>0</v>
      </c>
      <c r="D156" s="351"/>
      <c r="E156" s="352">
        <f>SUBTOTAL(9,F134:F155)</f>
        <v>0</v>
      </c>
      <c r="F156" s="353"/>
      <c r="G156" s="72"/>
      <c r="H156" s="73"/>
    </row>
    <row r="157" spans="2:8" ht="15.75">
      <c r="B157" s="346" t="str">
        <f>"NKT Manajerial (Nilai Kinerja Tahunan)"</f>
        <v>NKT Manajerial (Nilai Kinerja Tahunan)</v>
      </c>
      <c r="C157" s="347"/>
      <c r="D157" s="347"/>
      <c r="E157" s="348">
        <f>E156/(B156*4)*100</f>
        <v>0</v>
      </c>
      <c r="F157" s="349"/>
      <c r="G157" s="47"/>
      <c r="H157" s="2"/>
    </row>
    <row r="158" spans="2:8"/>
    <row r="159" spans="2:8"/>
    <row r="160" spans="2:8" ht="18">
      <c r="B160" s="365" t="s">
        <v>415</v>
      </c>
      <c r="C160" s="366"/>
      <c r="D160" s="366"/>
      <c r="E160" s="366"/>
      <c r="F160" s="367"/>
      <c r="G160" s="48"/>
      <c r="H160" s="49"/>
    </row>
    <row r="161" spans="2:8">
      <c r="B161" s="381" t="s">
        <v>19</v>
      </c>
      <c r="C161" s="382" t="s">
        <v>70</v>
      </c>
      <c r="D161" s="382"/>
      <c r="E161" s="383" t="s">
        <v>17</v>
      </c>
      <c r="F161" s="384"/>
      <c r="G161" s="376" t="s">
        <v>71</v>
      </c>
      <c r="H161" s="377" t="s">
        <v>72</v>
      </c>
    </row>
    <row r="162" spans="2:8">
      <c r="B162" s="381"/>
      <c r="C162" s="382"/>
      <c r="D162" s="382"/>
      <c r="E162" s="40" t="s">
        <v>129</v>
      </c>
      <c r="F162" s="39" t="s">
        <v>392</v>
      </c>
      <c r="G162" s="376"/>
      <c r="H162" s="377"/>
    </row>
    <row r="163" spans="2:8">
      <c r="B163" s="38" t="s">
        <v>3</v>
      </c>
      <c r="C163" s="378" t="s">
        <v>287</v>
      </c>
      <c r="D163" s="379"/>
      <c r="E163" s="380"/>
      <c r="F163" s="288">
        <f>(SUBTOTAL(9,F164:F166)/(4*3))*100</f>
        <v>0</v>
      </c>
      <c r="G163" s="45"/>
      <c r="H163" s="7"/>
    </row>
    <row r="164" spans="2:8" ht="51" customHeight="1">
      <c r="B164" s="6"/>
      <c r="C164" s="5" t="s">
        <v>74</v>
      </c>
      <c r="D164" s="44" t="s">
        <v>288</v>
      </c>
      <c r="E164" s="4"/>
      <c r="F164" s="41"/>
      <c r="G164" s="46" t="s">
        <v>308</v>
      </c>
      <c r="H164" s="3"/>
    </row>
    <row r="165" spans="2:8" ht="42" customHeight="1">
      <c r="B165" s="6"/>
      <c r="C165" s="5" t="s">
        <v>77</v>
      </c>
      <c r="D165" s="44" t="s">
        <v>317</v>
      </c>
      <c r="E165" s="4"/>
      <c r="F165" s="41"/>
      <c r="G165" s="46" t="s">
        <v>289</v>
      </c>
      <c r="H165" s="3"/>
    </row>
    <row r="166" spans="2:8" ht="38.25">
      <c r="B166" s="6"/>
      <c r="C166" s="5" t="s">
        <v>80</v>
      </c>
      <c r="D166" s="44" t="s">
        <v>290</v>
      </c>
      <c r="E166" s="4"/>
      <c r="F166" s="41"/>
      <c r="G166" s="46" t="s">
        <v>291</v>
      </c>
      <c r="H166" s="3"/>
    </row>
    <row r="167" spans="2:8">
      <c r="B167" s="38" t="s">
        <v>2</v>
      </c>
      <c r="C167" s="378" t="s">
        <v>292</v>
      </c>
      <c r="D167" s="379"/>
      <c r="E167" s="380"/>
      <c r="F167" s="288">
        <f>(SUBTOTAL(9,F168:F171)/(4*4))*100</f>
        <v>0</v>
      </c>
      <c r="G167" s="45"/>
      <c r="H167" s="7"/>
    </row>
    <row r="168" spans="2:8" ht="38.25">
      <c r="B168" s="6"/>
      <c r="C168" s="5" t="s">
        <v>74</v>
      </c>
      <c r="D168" s="44" t="s">
        <v>293</v>
      </c>
      <c r="E168" s="4"/>
      <c r="F168" s="41"/>
      <c r="G168" s="46" t="s">
        <v>294</v>
      </c>
      <c r="H168" s="3"/>
    </row>
    <row r="169" spans="2:8" ht="51">
      <c r="B169" s="6"/>
      <c r="C169" s="5" t="s">
        <v>77</v>
      </c>
      <c r="D169" s="44" t="s">
        <v>295</v>
      </c>
      <c r="E169" s="4"/>
      <c r="F169" s="41"/>
      <c r="G169" s="46" t="s">
        <v>296</v>
      </c>
      <c r="H169" s="3"/>
    </row>
    <row r="170" spans="2:8" ht="66.75" customHeight="1">
      <c r="B170" s="6"/>
      <c r="C170" s="5" t="s">
        <v>80</v>
      </c>
      <c r="D170" s="44" t="s">
        <v>297</v>
      </c>
      <c r="E170" s="4"/>
      <c r="F170" s="41"/>
      <c r="G170" s="46" t="s">
        <v>325</v>
      </c>
      <c r="H170" s="3"/>
    </row>
    <row r="171" spans="2:8" ht="38.25">
      <c r="B171" s="6"/>
      <c r="C171" s="5" t="s">
        <v>88</v>
      </c>
      <c r="D171" s="44" t="s">
        <v>318</v>
      </c>
      <c r="E171" s="4"/>
      <c r="F171" s="41"/>
      <c r="G171" s="46" t="s">
        <v>298</v>
      </c>
      <c r="H171" s="3"/>
    </row>
    <row r="172" spans="2:8">
      <c r="B172" s="38" t="s">
        <v>1</v>
      </c>
      <c r="C172" s="378" t="s">
        <v>299</v>
      </c>
      <c r="D172" s="379"/>
      <c r="E172" s="380"/>
      <c r="F172" s="288">
        <f>(SUBTOTAL(9,F173:F176)/(4*4))*100</f>
        <v>0</v>
      </c>
      <c r="G172" s="45"/>
      <c r="H172" s="7"/>
    </row>
    <row r="173" spans="2:8" ht="25.5">
      <c r="B173" s="6"/>
      <c r="C173" s="5" t="s">
        <v>74</v>
      </c>
      <c r="D173" s="44" t="s">
        <v>300</v>
      </c>
      <c r="E173" s="4"/>
      <c r="F173" s="41"/>
      <c r="G173" s="46" t="s">
        <v>301</v>
      </c>
      <c r="H173" s="3"/>
    </row>
    <row r="174" spans="2:8" ht="27" customHeight="1">
      <c r="B174" s="6"/>
      <c r="C174" s="5" t="s">
        <v>77</v>
      </c>
      <c r="D174" s="44" t="s">
        <v>302</v>
      </c>
      <c r="E174" s="4"/>
      <c r="F174" s="41"/>
      <c r="G174" s="46" t="s">
        <v>303</v>
      </c>
      <c r="H174" s="3"/>
    </row>
    <row r="175" spans="2:8" ht="38.25">
      <c r="B175" s="6"/>
      <c r="C175" s="5" t="s">
        <v>80</v>
      </c>
      <c r="D175" s="44" t="s">
        <v>304</v>
      </c>
      <c r="E175" s="4"/>
      <c r="F175" s="41"/>
      <c r="G175" s="46" t="s">
        <v>305</v>
      </c>
      <c r="H175" s="3"/>
    </row>
    <row r="176" spans="2:8" ht="63.75">
      <c r="B176" s="6"/>
      <c r="C176" s="66" t="s">
        <v>88</v>
      </c>
      <c r="D176" s="67" t="s">
        <v>306</v>
      </c>
      <c r="E176" s="68"/>
      <c r="F176" s="41"/>
      <c r="G176" s="69" t="s">
        <v>307</v>
      </c>
      <c r="H176" s="70"/>
    </row>
    <row r="177" spans="1:8" ht="15" customHeight="1">
      <c r="B177" s="71">
        <f>COUNTIF(C164:C176,"?.")</f>
        <v>11</v>
      </c>
      <c r="C177" s="350" t="s">
        <v>0</v>
      </c>
      <c r="D177" s="351"/>
      <c r="E177" s="352">
        <f>SUBTOTAL(9,F164:F176)</f>
        <v>0</v>
      </c>
      <c r="F177" s="353"/>
      <c r="G177" s="72"/>
      <c r="H177" s="73"/>
    </row>
    <row r="178" spans="1:8" ht="15.75">
      <c r="B178" s="346" t="str">
        <f>"NKT Supervisi (Nilai Kinerja Tahunan)"</f>
        <v>NKT Supervisi (Nilai Kinerja Tahunan)</v>
      </c>
      <c r="C178" s="347"/>
      <c r="D178" s="347"/>
      <c r="E178" s="348">
        <f>E177/(B177*4)*100</f>
        <v>0</v>
      </c>
      <c r="F178" s="349"/>
      <c r="G178" s="47"/>
      <c r="H178" s="2"/>
    </row>
    <row r="179" spans="1:8"/>
    <row r="180" spans="1:8" ht="42" customHeight="1">
      <c r="A180" s="55"/>
    </row>
    <row r="181" spans="1:8" ht="23.25">
      <c r="B181" s="50" t="str">
        <f>"B. Instrumen Penilaian Kinerja 4 Tahunan Kepala Madrasah"</f>
        <v>B. Instrumen Penilaian Kinerja 4 Tahunan Kepala Madrasah</v>
      </c>
    </row>
    <row r="182" spans="1:8" ht="15.75" hidden="1">
      <c r="B182" s="51"/>
    </row>
    <row r="183" spans="1:8" ht="15.75" hidden="1">
      <c r="B183" s="51"/>
    </row>
    <row r="184" spans="1:8" ht="15.75" hidden="1">
      <c r="B184" s="51"/>
    </row>
    <row r="185" spans="1:8" ht="7.5" customHeight="1"/>
    <row r="186" spans="1:8" ht="18">
      <c r="B186" s="365" t="s">
        <v>416</v>
      </c>
      <c r="C186" s="366"/>
      <c r="D186" s="366"/>
      <c r="E186" s="366"/>
      <c r="F186" s="367"/>
      <c r="G186" s="48"/>
      <c r="H186" s="49"/>
    </row>
    <row r="187" spans="1:8" s="1" customFormat="1" ht="17.25" customHeight="1">
      <c r="B187" s="368" t="s">
        <v>19</v>
      </c>
      <c r="C187" s="370" t="s">
        <v>18</v>
      </c>
      <c r="D187" s="371"/>
      <c r="E187" s="374" t="s">
        <v>17</v>
      </c>
      <c r="F187" s="375"/>
      <c r="G187" s="361" t="s">
        <v>16</v>
      </c>
      <c r="H187" s="362"/>
    </row>
    <row r="188" spans="1:8">
      <c r="B188" s="369"/>
      <c r="C188" s="372"/>
      <c r="D188" s="373"/>
      <c r="E188" s="40" t="s">
        <v>129</v>
      </c>
      <c r="F188" s="39" t="s">
        <v>392</v>
      </c>
      <c r="G188" s="363"/>
      <c r="H188" s="364"/>
    </row>
    <row r="189" spans="1:8" s="1" customFormat="1" ht="14.25">
      <c r="B189" s="8" t="s">
        <v>352</v>
      </c>
      <c r="C189" s="358" t="s">
        <v>351</v>
      </c>
      <c r="D189" s="358"/>
      <c r="E189" s="358"/>
      <c r="F189" s="289" t="str">
        <f ca="1">IF(INT($A$1)&gt;3,(SUBTOTAL(9,F190:F190)/(4*1))*100,"")</f>
        <v/>
      </c>
      <c r="G189" s="359"/>
      <c r="H189" s="360"/>
    </row>
    <row r="190" spans="1:8" s="1" customFormat="1" ht="57.75" customHeight="1">
      <c r="B190" s="6"/>
      <c r="C190" s="5"/>
      <c r="D190" s="64" t="s">
        <v>354</v>
      </c>
      <c r="E190" s="4"/>
      <c r="F190" s="41">
        <v>1</v>
      </c>
      <c r="G190" s="356"/>
      <c r="H190" s="357"/>
    </row>
    <row r="191" spans="1:8" s="1" customFormat="1" ht="14.25">
      <c r="B191" s="8" t="s">
        <v>355</v>
      </c>
      <c r="C191" s="358" t="s">
        <v>353</v>
      </c>
      <c r="D191" s="358"/>
      <c r="E191" s="358"/>
      <c r="F191" s="289" t="str">
        <f ca="1">IF(INT($A$1)&gt;3,(SUBTOTAL(9,F192:F192)/(4*1))*100,"")</f>
        <v/>
      </c>
      <c r="G191" s="359"/>
      <c r="H191" s="360"/>
    </row>
    <row r="192" spans="1:8" s="1" customFormat="1" ht="57.75" customHeight="1">
      <c r="B192" s="6"/>
      <c r="C192" s="5"/>
      <c r="D192" s="64" t="s">
        <v>354</v>
      </c>
      <c r="E192" s="4"/>
      <c r="F192" s="41"/>
      <c r="G192" s="356"/>
      <c r="H192" s="357"/>
    </row>
    <row r="193" spans="2:14" ht="15" customHeight="1">
      <c r="B193" s="71">
        <v>2</v>
      </c>
      <c r="C193" s="350" t="s">
        <v>0</v>
      </c>
      <c r="D193" s="351"/>
      <c r="E193" s="352">
        <f ca="1">IF(INT($A$1)&gt;3,SUBTOTAL(9,F190:F192),0)</f>
        <v>0</v>
      </c>
      <c r="F193" s="353"/>
      <c r="G193" s="72"/>
      <c r="H193" s="73"/>
    </row>
    <row r="194" spans="2:14" ht="15.75" customHeight="1">
      <c r="B194" s="346" t="s">
        <v>398</v>
      </c>
      <c r="C194" s="347"/>
      <c r="D194" s="347"/>
      <c r="E194" s="348">
        <f ca="1">E193/(B193*4)*100</f>
        <v>0</v>
      </c>
      <c r="F194" s="349"/>
      <c r="G194" s="47"/>
      <c r="H194" s="2"/>
    </row>
    <row r="195" spans="2:14"/>
    <row r="196" spans="2:14"/>
    <row r="197" spans="2:14" ht="18">
      <c r="B197" s="365" t="s">
        <v>417</v>
      </c>
      <c r="C197" s="366"/>
      <c r="D197" s="366"/>
      <c r="E197" s="366"/>
      <c r="F197" s="367"/>
      <c r="G197" s="48"/>
      <c r="H197" s="49"/>
    </row>
    <row r="198" spans="2:14" s="1" customFormat="1" ht="17.25" customHeight="1">
      <c r="B198" s="368" t="s">
        <v>19</v>
      </c>
      <c r="C198" s="370" t="s">
        <v>18</v>
      </c>
      <c r="D198" s="371"/>
      <c r="E198" s="374" t="s">
        <v>17</v>
      </c>
      <c r="F198" s="375"/>
      <c r="G198" s="361" t="s">
        <v>16</v>
      </c>
      <c r="H198" s="362"/>
    </row>
    <row r="199" spans="2:14">
      <c r="B199" s="369"/>
      <c r="C199" s="372"/>
      <c r="D199" s="373"/>
      <c r="E199" s="40" t="s">
        <v>129</v>
      </c>
      <c r="F199" s="39" t="s">
        <v>392</v>
      </c>
      <c r="G199" s="363"/>
      <c r="H199" s="364"/>
    </row>
    <row r="200" spans="2:14" s="1" customFormat="1" ht="14.25">
      <c r="B200" s="8" t="s">
        <v>356</v>
      </c>
      <c r="C200" s="358" t="s">
        <v>357</v>
      </c>
      <c r="D200" s="358"/>
      <c r="E200" s="358"/>
      <c r="F200" s="289" t="str">
        <f ca="1">IF(INT($A$1)&gt;3,(SUBTOTAL(9,F201:F201)/(4*1))*100,"")</f>
        <v/>
      </c>
      <c r="G200" s="359"/>
      <c r="H200" s="360"/>
    </row>
    <row r="201" spans="2:14" s="1" customFormat="1" ht="57.75" customHeight="1">
      <c r="B201" s="6"/>
      <c r="C201" s="5"/>
      <c r="D201" s="64" t="s">
        <v>354</v>
      </c>
      <c r="E201" s="4"/>
      <c r="F201" s="41"/>
      <c r="G201" s="356"/>
      <c r="H201" s="357"/>
      <c r="N201" s="1" t="s">
        <v>10</v>
      </c>
    </row>
    <row r="202" spans="2:14" s="1" customFormat="1" ht="14.25">
      <c r="B202" s="8" t="s">
        <v>360</v>
      </c>
      <c r="C202" s="358" t="s">
        <v>358</v>
      </c>
      <c r="D202" s="358"/>
      <c r="E202" s="358"/>
      <c r="F202" s="289" t="str">
        <f ca="1">IF(INT($A$1)&gt;3,(SUBTOTAL(9,F203:F203)/(4*1))*100,"")</f>
        <v/>
      </c>
      <c r="G202" s="359"/>
      <c r="H202" s="360"/>
    </row>
    <row r="203" spans="2:14" s="1" customFormat="1" ht="57.75" customHeight="1">
      <c r="B203" s="6"/>
      <c r="C203" s="5"/>
      <c r="D203" s="64" t="s">
        <v>359</v>
      </c>
      <c r="E203" s="4"/>
      <c r="F203" s="41"/>
      <c r="G203" s="356"/>
      <c r="H203" s="357"/>
    </row>
    <row r="204" spans="2:14" ht="15" customHeight="1">
      <c r="B204" s="71">
        <v>2</v>
      </c>
      <c r="C204" s="350" t="s">
        <v>0</v>
      </c>
      <c r="D204" s="351"/>
      <c r="E204" s="352">
        <f ca="1">IF(INT($A$1)&gt;3,SUBTOTAL(9,F201:F203),0)</f>
        <v>0</v>
      </c>
      <c r="F204" s="353"/>
      <c r="G204" s="72"/>
      <c r="H204" s="73"/>
    </row>
    <row r="205" spans="2:14" ht="15.75" customHeight="1">
      <c r="B205" s="346" t="s">
        <v>397</v>
      </c>
      <c r="C205" s="347"/>
      <c r="D205" s="347"/>
      <c r="E205" s="348">
        <f ca="1">E204/(B204*4)*100</f>
        <v>0</v>
      </c>
      <c r="F205" s="349"/>
      <c r="G205" s="47"/>
      <c r="H205" s="2"/>
    </row>
    <row r="206" spans="2:14"/>
    <row r="207" spans="2:14"/>
    <row r="208" spans="2:14" ht="18">
      <c r="B208" s="365" t="s">
        <v>418</v>
      </c>
      <c r="C208" s="366"/>
      <c r="D208" s="366"/>
      <c r="E208" s="366"/>
      <c r="F208" s="367"/>
      <c r="G208" s="48"/>
      <c r="H208" s="49"/>
    </row>
    <row r="209" spans="2:8" s="1" customFormat="1" ht="17.25" customHeight="1">
      <c r="B209" s="368" t="s">
        <v>19</v>
      </c>
      <c r="C209" s="370" t="s">
        <v>18</v>
      </c>
      <c r="D209" s="371"/>
      <c r="E209" s="374" t="s">
        <v>17</v>
      </c>
      <c r="F209" s="375"/>
      <c r="G209" s="361" t="s">
        <v>16</v>
      </c>
      <c r="H209" s="362"/>
    </row>
    <row r="210" spans="2:8">
      <c r="B210" s="369"/>
      <c r="C210" s="372"/>
      <c r="D210" s="373"/>
      <c r="E210" s="40" t="s">
        <v>129</v>
      </c>
      <c r="F210" s="39" t="s">
        <v>392</v>
      </c>
      <c r="G210" s="363"/>
      <c r="H210" s="364"/>
    </row>
    <row r="211" spans="2:8" s="1" customFormat="1" ht="14.25">
      <c r="B211" s="8" t="s">
        <v>363</v>
      </c>
      <c r="C211" s="358" t="s">
        <v>361</v>
      </c>
      <c r="D211" s="358"/>
      <c r="E211" s="358"/>
      <c r="F211" s="289" t="str">
        <f ca="1">IF(INT($A$1)&gt;3,(SUBTOTAL(9,F212:F212)/(4*1))*100,"")</f>
        <v/>
      </c>
      <c r="G211" s="359"/>
      <c r="H211" s="360"/>
    </row>
    <row r="212" spans="2:8" s="1" customFormat="1" ht="57.75" customHeight="1">
      <c r="B212" s="6"/>
      <c r="C212" s="5"/>
      <c r="D212" s="64" t="s">
        <v>362</v>
      </c>
      <c r="E212" s="4"/>
      <c r="F212" s="41"/>
      <c r="G212" s="356"/>
      <c r="H212" s="357"/>
    </row>
    <row r="213" spans="2:8" s="1" customFormat="1" ht="14.25">
      <c r="B213" s="8" t="s">
        <v>364</v>
      </c>
      <c r="C213" s="358" t="s">
        <v>366</v>
      </c>
      <c r="D213" s="358"/>
      <c r="E213" s="358"/>
      <c r="F213" s="289" t="str">
        <f ca="1">IF(INT($A$1)&gt;3,(SUBTOTAL(9,F214:F214)/(4*1))*100,"")</f>
        <v/>
      </c>
      <c r="G213" s="359"/>
      <c r="H213" s="360"/>
    </row>
    <row r="214" spans="2:8" s="1" customFormat="1" ht="57.75" customHeight="1">
      <c r="B214" s="6"/>
      <c r="C214" s="5"/>
      <c r="D214" s="64" t="s">
        <v>365</v>
      </c>
      <c r="E214" s="4"/>
      <c r="F214" s="41"/>
      <c r="G214" s="356"/>
      <c r="H214" s="357"/>
    </row>
    <row r="215" spans="2:8" s="1" customFormat="1" ht="14.25">
      <c r="B215" s="8" t="s">
        <v>364</v>
      </c>
      <c r="C215" s="358" t="s">
        <v>367</v>
      </c>
      <c r="D215" s="358"/>
      <c r="E215" s="358"/>
      <c r="F215" s="289" t="str">
        <f ca="1">IF(INT($A$1)&gt;3,(SUBTOTAL(9,F216:F216)/(4*1))*100,"")</f>
        <v/>
      </c>
      <c r="G215" s="359"/>
      <c r="H215" s="360"/>
    </row>
    <row r="216" spans="2:8" s="1" customFormat="1" ht="57.75" customHeight="1">
      <c r="B216" s="6"/>
      <c r="C216" s="5"/>
      <c r="D216" s="64" t="s">
        <v>362</v>
      </c>
      <c r="E216" s="4"/>
      <c r="F216" s="41"/>
      <c r="G216" s="356"/>
      <c r="H216" s="357"/>
    </row>
    <row r="217" spans="2:8" ht="15" customHeight="1">
      <c r="B217" s="71">
        <v>3</v>
      </c>
      <c r="C217" s="350" t="s">
        <v>0</v>
      </c>
      <c r="D217" s="351"/>
      <c r="E217" s="352">
        <f ca="1">IF(INT($A$1)&gt;3,SUBTOTAL(9,F212:F216),0)</f>
        <v>0</v>
      </c>
      <c r="F217" s="353"/>
      <c r="G217" s="72"/>
      <c r="H217" s="73"/>
    </row>
    <row r="218" spans="2:8" ht="15.75" customHeight="1">
      <c r="B218" s="346" t="s">
        <v>399</v>
      </c>
      <c r="C218" s="347"/>
      <c r="D218" s="347"/>
      <c r="E218" s="348">
        <f ca="1">E217/(B217*4)*100</f>
        <v>0</v>
      </c>
      <c r="F218" s="349"/>
      <c r="G218" s="47"/>
      <c r="H218" s="2"/>
    </row>
    <row r="219" spans="2:8"/>
    <row r="220" spans="2:8"/>
    <row r="221" spans="2:8" ht="18">
      <c r="B221" s="365" t="s">
        <v>419</v>
      </c>
      <c r="C221" s="366"/>
      <c r="D221" s="366"/>
      <c r="E221" s="366"/>
      <c r="F221" s="367"/>
      <c r="G221" s="48"/>
      <c r="H221" s="49"/>
    </row>
    <row r="222" spans="2:8" s="1" customFormat="1" ht="17.25" customHeight="1">
      <c r="B222" s="368" t="s">
        <v>19</v>
      </c>
      <c r="C222" s="370" t="s">
        <v>18</v>
      </c>
      <c r="D222" s="371"/>
      <c r="E222" s="374" t="s">
        <v>17</v>
      </c>
      <c r="F222" s="375"/>
      <c r="G222" s="361" t="s">
        <v>16</v>
      </c>
      <c r="H222" s="362"/>
    </row>
    <row r="223" spans="2:8">
      <c r="B223" s="369"/>
      <c r="C223" s="372"/>
      <c r="D223" s="373"/>
      <c r="E223" s="40" t="s">
        <v>129</v>
      </c>
      <c r="F223" s="39" t="s">
        <v>392</v>
      </c>
      <c r="G223" s="363"/>
      <c r="H223" s="364"/>
    </row>
    <row r="224" spans="2:8" s="1" customFormat="1" ht="14.25">
      <c r="B224" s="8" t="s">
        <v>371</v>
      </c>
      <c r="C224" s="358" t="s">
        <v>368</v>
      </c>
      <c r="D224" s="358"/>
      <c r="E224" s="358"/>
      <c r="F224" s="289" t="str">
        <f ca="1">IF(INT($A$1)&gt;3,(SUBTOTAL(9,F225:F225)/(4*1))*100,"")</f>
        <v/>
      </c>
      <c r="G224" s="359"/>
      <c r="H224" s="360"/>
    </row>
    <row r="225" spans="2:8" s="1" customFormat="1" ht="57.75" customHeight="1">
      <c r="B225" s="6"/>
      <c r="C225" s="5"/>
      <c r="D225" s="64" t="s">
        <v>369</v>
      </c>
      <c r="E225" s="4"/>
      <c r="F225" s="41"/>
      <c r="G225" s="356"/>
      <c r="H225" s="357"/>
    </row>
    <row r="226" spans="2:8" s="1" customFormat="1" ht="14.25">
      <c r="B226" s="8" t="s">
        <v>372</v>
      </c>
      <c r="C226" s="358" t="s">
        <v>370</v>
      </c>
      <c r="D226" s="358"/>
      <c r="E226" s="358"/>
      <c r="F226" s="289" t="str">
        <f ca="1">IF(INT($A$1)&gt;3,(SUBTOTAL(9,F227:F227)/(4*1))*100,"")</f>
        <v/>
      </c>
      <c r="G226" s="359"/>
      <c r="H226" s="360"/>
    </row>
    <row r="227" spans="2:8" s="1" customFormat="1" ht="57.75" customHeight="1">
      <c r="B227" s="6"/>
      <c r="C227" s="5"/>
      <c r="D227" s="64" t="s">
        <v>373</v>
      </c>
      <c r="E227" s="4"/>
      <c r="F227" s="41"/>
      <c r="G227" s="356"/>
      <c r="H227" s="357"/>
    </row>
    <row r="228" spans="2:8" s="1" customFormat="1" ht="14.25">
      <c r="B228" s="8" t="s">
        <v>376</v>
      </c>
      <c r="C228" s="358" t="s">
        <v>375</v>
      </c>
      <c r="D228" s="358"/>
      <c r="E228" s="358"/>
      <c r="F228" s="289" t="str">
        <f ca="1">IF(INT($A$1)&gt;3,(SUBTOTAL(9,F229:F229)/(4*1))*100,"")</f>
        <v/>
      </c>
      <c r="G228" s="359"/>
      <c r="H228" s="360"/>
    </row>
    <row r="229" spans="2:8" s="1" customFormat="1" ht="57.75" customHeight="1">
      <c r="B229" s="6"/>
      <c r="C229" s="5"/>
      <c r="D229" s="64" t="s">
        <v>374</v>
      </c>
      <c r="E229" s="4"/>
      <c r="F229" s="41"/>
      <c r="G229" s="356"/>
      <c r="H229" s="357"/>
    </row>
    <row r="230" spans="2:8" s="1" customFormat="1" ht="14.25">
      <c r="B230" s="8" t="s">
        <v>377</v>
      </c>
      <c r="C230" s="358" t="s">
        <v>380</v>
      </c>
      <c r="D230" s="358"/>
      <c r="E230" s="358"/>
      <c r="F230" s="289" t="str">
        <f ca="1">IF(INT($A$1)&gt;3,(SUBTOTAL(9,F231:F231)/(4*1))*100,"")</f>
        <v/>
      </c>
      <c r="G230" s="359"/>
      <c r="H230" s="360"/>
    </row>
    <row r="231" spans="2:8" s="1" customFormat="1" ht="57.75" customHeight="1">
      <c r="B231" s="6"/>
      <c r="C231" s="5"/>
      <c r="D231" s="64" t="s">
        <v>379</v>
      </c>
      <c r="E231" s="4"/>
      <c r="F231" s="41"/>
      <c r="G231" s="356"/>
      <c r="H231" s="357"/>
    </row>
    <row r="232" spans="2:8" s="1" customFormat="1" ht="14.25">
      <c r="B232" s="8" t="s">
        <v>378</v>
      </c>
      <c r="C232" s="358" t="s">
        <v>382</v>
      </c>
      <c r="D232" s="358"/>
      <c r="E232" s="358"/>
      <c r="F232" s="289" t="str">
        <f ca="1">IF(INT($A$1)&gt;3,(SUBTOTAL(9,F233:F233)/(4*1))*100,"")</f>
        <v/>
      </c>
      <c r="G232" s="359"/>
      <c r="H232" s="360"/>
    </row>
    <row r="233" spans="2:8" s="1" customFormat="1" ht="57.75" customHeight="1">
      <c r="B233" s="6"/>
      <c r="C233" s="5"/>
      <c r="D233" s="64" t="s">
        <v>381</v>
      </c>
      <c r="E233" s="4"/>
      <c r="F233" s="41"/>
      <c r="G233" s="356"/>
      <c r="H233" s="357"/>
    </row>
    <row r="234" spans="2:8" s="1" customFormat="1" ht="14.25">
      <c r="B234" s="8" t="s">
        <v>470</v>
      </c>
      <c r="C234" s="358" t="s">
        <v>472</v>
      </c>
      <c r="D234" s="358"/>
      <c r="E234" s="358"/>
      <c r="F234" s="289" t="str">
        <f ca="1">IF(INT($A$1)&gt;3,(SUBTOTAL(9,F235:F235)/(4*1))*100,"")</f>
        <v/>
      </c>
      <c r="G234" s="359"/>
      <c r="H234" s="360"/>
    </row>
    <row r="235" spans="2:8" s="1" customFormat="1" ht="89.25">
      <c r="B235" s="6"/>
      <c r="C235" s="5"/>
      <c r="D235" s="64" t="s">
        <v>475</v>
      </c>
      <c r="E235" s="4"/>
      <c r="F235" s="41"/>
      <c r="G235" s="356"/>
      <c r="H235" s="357"/>
    </row>
    <row r="236" spans="2:8" s="1" customFormat="1" ht="14.25">
      <c r="B236" s="8" t="s">
        <v>471</v>
      </c>
      <c r="C236" s="358" t="s">
        <v>473</v>
      </c>
      <c r="D236" s="358"/>
      <c r="E236" s="358"/>
      <c r="F236" s="289" t="str">
        <f ca="1">IF(INT($A$1)&gt;3,(SUBTOTAL(9,F237:F237)/(4*1))*100,"")</f>
        <v/>
      </c>
      <c r="G236" s="359"/>
      <c r="H236" s="360"/>
    </row>
    <row r="237" spans="2:8" s="1" customFormat="1" ht="140.25">
      <c r="B237" s="6"/>
      <c r="C237" s="5"/>
      <c r="D237" s="64" t="s">
        <v>476</v>
      </c>
      <c r="E237" s="4"/>
      <c r="F237" s="41"/>
      <c r="G237" s="356"/>
      <c r="H237" s="357"/>
    </row>
    <row r="238" spans="2:8" ht="15" customHeight="1">
      <c r="B238" s="71">
        <v>7</v>
      </c>
      <c r="C238" s="350" t="s">
        <v>0</v>
      </c>
      <c r="D238" s="351"/>
      <c r="E238" s="352">
        <f ca="1">IF(INT($A$1)&gt;3,SUBTOTAL(9,F225:F237),0)</f>
        <v>0</v>
      </c>
      <c r="F238" s="353"/>
      <c r="G238" s="72"/>
      <c r="H238" s="73"/>
    </row>
    <row r="239" spans="2:8" ht="15.75" customHeight="1">
      <c r="B239" s="346" t="s">
        <v>400</v>
      </c>
      <c r="C239" s="347"/>
      <c r="D239" s="347"/>
      <c r="E239" s="348">
        <f ca="1">E238/(B238*4)*100</f>
        <v>0</v>
      </c>
      <c r="F239" s="349"/>
      <c r="G239" s="47"/>
      <c r="H239" s="2"/>
    </row>
    <row r="240" spans="2:8" ht="15.75" customHeight="1"/>
    <row r="241" spans="2:8" ht="15" customHeight="1"/>
    <row r="242" spans="2:8" ht="15" customHeight="1">
      <c r="B242" s="71">
        <f>SUM(B10:B177)</f>
        <v>115</v>
      </c>
      <c r="C242" s="350" t="s">
        <v>436</v>
      </c>
      <c r="D242" s="351"/>
      <c r="E242" s="352">
        <f ca="1">IF(A1=4,SUBTOTAL(9,F1:F237),SUBTOTAL(9,F1:F176))</f>
        <v>0</v>
      </c>
      <c r="F242" s="353"/>
      <c r="G242" s="72"/>
      <c r="H242" s="73"/>
    </row>
    <row r="243" spans="2:8" ht="15.75" customHeight="1">
      <c r="B243" s="90">
        <f>B242+SUM(B192:B238)</f>
        <v>129</v>
      </c>
      <c r="C243" s="354" t="str">
        <f ca="1">IF(A1="4","Total NKET (Nilai Kinerja 4 Tahunan)","Total NKT (Nilai Kinerja Tahunan)"&amp;" Tahun Ke : " &amp; A1)</f>
        <v>Total NKT (Nilai Kinerja Tahunan) Tahun Ke : 2</v>
      </c>
      <c r="D243" s="355"/>
      <c r="E243" s="348">
        <f ca="1">IF(A1="4",E242/(B243*4)*100,E242/(B242*4)*100)</f>
        <v>0</v>
      </c>
      <c r="F243" s="349"/>
      <c r="G243" s="47"/>
      <c r="H243" s="2"/>
    </row>
    <row r="244" spans="2:8" ht="15" customHeight="1"/>
    <row r="245" spans="2:8" ht="15" hidden="1" customHeight="1"/>
    <row r="246" spans="2:8" ht="15" hidden="1" customHeight="1"/>
    <row r="247" spans="2:8" ht="15" hidden="1" customHeight="1"/>
    <row r="248" spans="2:8" ht="15" hidden="1" customHeight="1"/>
    <row r="249" spans="2:8" ht="15" hidden="1" customHeight="1"/>
    <row r="250" spans="2:8" ht="15" hidden="1" customHeight="1"/>
    <row r="251" spans="2:8" ht="15" hidden="1" customHeight="1"/>
    <row r="252" spans="2:8" ht="15" hidden="1" customHeight="1"/>
    <row r="253" spans="2:8" ht="15" hidden="1" customHeight="1"/>
    <row r="254" spans="2:8" ht="15" hidden="1" customHeight="1"/>
    <row r="255" spans="2:8" ht="15" hidden="1" customHeight="1"/>
    <row r="256" spans="2:8"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sheetData>
  <sheetProtection sheet="1" selectLockedCells="1"/>
  <mergeCells count="153">
    <mergeCell ref="B239:D239"/>
    <mergeCell ref="E239:F239"/>
    <mergeCell ref="C242:D242"/>
    <mergeCell ref="E242:F242"/>
    <mergeCell ref="C243:D243"/>
    <mergeCell ref="E243:F243"/>
    <mergeCell ref="G235:H235"/>
    <mergeCell ref="C236:E236"/>
    <mergeCell ref="G236:H236"/>
    <mergeCell ref="G237:H237"/>
    <mergeCell ref="C238:D238"/>
    <mergeCell ref="E238:F238"/>
    <mergeCell ref="G231:H231"/>
    <mergeCell ref="C232:E232"/>
    <mergeCell ref="G232:H232"/>
    <mergeCell ref="G233:H233"/>
    <mergeCell ref="C234:E234"/>
    <mergeCell ref="G234:H234"/>
    <mergeCell ref="G227:H227"/>
    <mergeCell ref="C228:E228"/>
    <mergeCell ref="G228:H228"/>
    <mergeCell ref="G229:H229"/>
    <mergeCell ref="C230:E230"/>
    <mergeCell ref="G230:H230"/>
    <mergeCell ref="G222:H223"/>
    <mergeCell ref="C224:E224"/>
    <mergeCell ref="G224:H224"/>
    <mergeCell ref="G225:H225"/>
    <mergeCell ref="C226:E226"/>
    <mergeCell ref="G226:H226"/>
    <mergeCell ref="B218:D218"/>
    <mergeCell ref="E218:F218"/>
    <mergeCell ref="B221:F221"/>
    <mergeCell ref="B222:B223"/>
    <mergeCell ref="C222:D223"/>
    <mergeCell ref="E222:F222"/>
    <mergeCell ref="G214:H214"/>
    <mergeCell ref="C215:E215"/>
    <mergeCell ref="G215:H215"/>
    <mergeCell ref="G216:H216"/>
    <mergeCell ref="C217:D217"/>
    <mergeCell ref="E217:F217"/>
    <mergeCell ref="G209:H210"/>
    <mergeCell ref="C211:E211"/>
    <mergeCell ref="G211:H211"/>
    <mergeCell ref="G212:H212"/>
    <mergeCell ref="C213:E213"/>
    <mergeCell ref="G213:H213"/>
    <mergeCell ref="B205:D205"/>
    <mergeCell ref="E205:F205"/>
    <mergeCell ref="B208:F208"/>
    <mergeCell ref="B209:B210"/>
    <mergeCell ref="C209:D210"/>
    <mergeCell ref="E209:F209"/>
    <mergeCell ref="G201:H201"/>
    <mergeCell ref="C202:E202"/>
    <mergeCell ref="G202:H202"/>
    <mergeCell ref="G203:H203"/>
    <mergeCell ref="C204:D204"/>
    <mergeCell ref="E204:F204"/>
    <mergeCell ref="B198:B199"/>
    <mergeCell ref="C198:D199"/>
    <mergeCell ref="E198:F198"/>
    <mergeCell ref="G198:H199"/>
    <mergeCell ref="C200:E200"/>
    <mergeCell ref="G200:H200"/>
    <mergeCell ref="G192:H192"/>
    <mergeCell ref="C193:D193"/>
    <mergeCell ref="E193:F193"/>
    <mergeCell ref="B194:D194"/>
    <mergeCell ref="E194:F194"/>
    <mergeCell ref="B197:F197"/>
    <mergeCell ref="G187:H188"/>
    <mergeCell ref="C189:E189"/>
    <mergeCell ref="G189:H189"/>
    <mergeCell ref="G190:H190"/>
    <mergeCell ref="C191:E191"/>
    <mergeCell ref="G191:H191"/>
    <mergeCell ref="B178:D178"/>
    <mergeCell ref="E178:F178"/>
    <mergeCell ref="B186:F186"/>
    <mergeCell ref="B187:B188"/>
    <mergeCell ref="C187:D188"/>
    <mergeCell ref="E187:F187"/>
    <mergeCell ref="G161:G162"/>
    <mergeCell ref="H161:H162"/>
    <mergeCell ref="C163:E163"/>
    <mergeCell ref="C167:E167"/>
    <mergeCell ref="C172:E172"/>
    <mergeCell ref="C177:D177"/>
    <mergeCell ref="E177:F177"/>
    <mergeCell ref="B157:D157"/>
    <mergeCell ref="E157:F157"/>
    <mergeCell ref="B160:F160"/>
    <mergeCell ref="B161:B162"/>
    <mergeCell ref="C161:D162"/>
    <mergeCell ref="E161:F161"/>
    <mergeCell ref="C133:E133"/>
    <mergeCell ref="C138:E138"/>
    <mergeCell ref="C143:E143"/>
    <mergeCell ref="C147:E147"/>
    <mergeCell ref="C151:E151"/>
    <mergeCell ref="C156:D156"/>
    <mergeCell ref="E156:F156"/>
    <mergeCell ref="B130:F130"/>
    <mergeCell ref="B131:B132"/>
    <mergeCell ref="C131:D132"/>
    <mergeCell ref="E131:F131"/>
    <mergeCell ref="G131:G132"/>
    <mergeCell ref="H131:H132"/>
    <mergeCell ref="C112:E112"/>
    <mergeCell ref="C117:E117"/>
    <mergeCell ref="C121:E121"/>
    <mergeCell ref="C126:D126"/>
    <mergeCell ref="E126:F126"/>
    <mergeCell ref="B127:D127"/>
    <mergeCell ref="E127:F127"/>
    <mergeCell ref="C82:E82"/>
    <mergeCell ref="C86:E86"/>
    <mergeCell ref="C91:E91"/>
    <mergeCell ref="C97:E97"/>
    <mergeCell ref="C102:E102"/>
    <mergeCell ref="C107:E107"/>
    <mergeCell ref="C53:E53"/>
    <mergeCell ref="C57:E57"/>
    <mergeCell ref="C62:E62"/>
    <mergeCell ref="C67:E67"/>
    <mergeCell ref="C72:E72"/>
    <mergeCell ref="C77:E77"/>
    <mergeCell ref="B46:B47"/>
    <mergeCell ref="C46:D47"/>
    <mergeCell ref="E46:F46"/>
    <mergeCell ref="G46:G47"/>
    <mergeCell ref="H46:H47"/>
    <mergeCell ref="C48:E48"/>
    <mergeCell ref="C36:E36"/>
    <mergeCell ref="C41:D41"/>
    <mergeCell ref="E41:F41"/>
    <mergeCell ref="B42:D42"/>
    <mergeCell ref="E42:F42"/>
    <mergeCell ref="B45:F45"/>
    <mergeCell ref="G8:G9"/>
    <mergeCell ref="H8:H9"/>
    <mergeCell ref="C10:E10"/>
    <mergeCell ref="C14:E14"/>
    <mergeCell ref="C19:E19"/>
    <mergeCell ref="C22:E22"/>
    <mergeCell ref="C27:E27"/>
    <mergeCell ref="C31:E31"/>
    <mergeCell ref="B7:F7"/>
    <mergeCell ref="B8:B9"/>
    <mergeCell ref="C8:D9"/>
    <mergeCell ref="E8:F8"/>
  </mergeCells>
  <conditionalFormatting sqref="A180:I240">
    <cfRule type="expression" dxfId="568" priority="2">
      <formula>IF($A$1="4",FALSE,TRUE)</formula>
    </cfRule>
  </conditionalFormatting>
  <conditionalFormatting sqref="A234:XFD234 A236:XFD236 G235:XFD235 A237:E237 G237:XFD237 A235:E235">
    <cfRule type="expression" dxfId="567" priority="1">
      <formula>IF($A$1="4",FALSE,TRUE)</formula>
    </cfRule>
  </conditionalFormatting>
  <dataValidations count="1">
    <dataValidation type="whole" allowBlank="1" showInputMessage="1" showErrorMessage="1" errorTitle="Nilai Salah" error="Masukkan nilai antara 1 - 4 saja !" sqref="F11:F13 F15:F18 F20:F21 F23:F26 F28:F30 F32:F35 F37:F40 F49:F52 F54:F56 F58:F61 F63:F66 F68:F71 F73:F76 F78:F81 F83:F85 F87:F90 F92:F96 F98:F101 F113:F116 F118:F120 F122:F125 F134:F137 F139:F142 F144:F146 F148:F150 F152:F155 F164:F166 F168:F171 F173:F176 F190 F192 F201 F203 F212 F214 F216 F225 F227 F229 F231 F233 F235 F237 F103:F106 F108:F111">
      <formula1>1</formula1>
      <formula2>4</formula2>
    </dataValidation>
  </dataValidations>
  <pageMargins left="0.70866141732283472" right="0.70866141732283472" top="0.74803149606299213" bottom="0.74803149606299213" header="0.31496062992125984" footer="0.31496062992125984"/>
  <pageSetup paperSize="9" scale="47" fitToHeight="15"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8</vt:i4>
      </vt:variant>
    </vt:vector>
  </HeadingPairs>
  <TitlesOfParts>
    <vt:vector size="35" baseType="lpstr">
      <vt:lpstr>Menu</vt:lpstr>
      <vt:lpstr>Data</vt:lpstr>
      <vt:lpstr>Sampul-Thn-1</vt:lpstr>
      <vt:lpstr>Pengawas-Thn-1</vt:lpstr>
      <vt:lpstr>Form1-Pengawas-Thn-1</vt:lpstr>
      <vt:lpstr>Form2-Pengawas-Thn-1</vt:lpstr>
      <vt:lpstr>Rekap-Pengawas-Thn-1</vt:lpstr>
      <vt:lpstr>Sampul-Thn-2</vt:lpstr>
      <vt:lpstr>Pengawas-Thn-2</vt:lpstr>
      <vt:lpstr>Form1-Pengawas-Thn-2</vt:lpstr>
      <vt:lpstr>Form2-Pengawas-Thn-2</vt:lpstr>
      <vt:lpstr>Sampul-Thn-3</vt:lpstr>
      <vt:lpstr>Pengawas-Thn-3</vt:lpstr>
      <vt:lpstr>Form1-Pengawas-Thn-3</vt:lpstr>
      <vt:lpstr>Form2-Pengawas-Thn-3</vt:lpstr>
      <vt:lpstr>Sampul-Thn-4</vt:lpstr>
      <vt:lpstr>Kabid-Thn-4</vt:lpstr>
      <vt:lpstr>Kasi-Thn-4</vt:lpstr>
      <vt:lpstr>Pengawas-Thn-4</vt:lpstr>
      <vt:lpstr>Guru-Thn-4</vt:lpstr>
      <vt:lpstr>Tendik-Thn-4</vt:lpstr>
      <vt:lpstr>Komite-Thn-4</vt:lpstr>
      <vt:lpstr>Rekap-Thn-4</vt:lpstr>
      <vt:lpstr>Rekap_Detil</vt:lpstr>
      <vt:lpstr>Rekap_Detil2</vt:lpstr>
      <vt:lpstr>Rekap</vt:lpstr>
      <vt:lpstr>MASTER</vt:lpstr>
      <vt:lpstr>Data!Print_Area</vt:lpstr>
      <vt:lpstr>'Rekap-Pengawas-Thn-1'!Print_Area</vt:lpstr>
      <vt:lpstr>'Rekap-Thn-4'!Print_Area</vt:lpstr>
      <vt:lpstr>'Sampul-Thn-1'!Print_Area</vt:lpstr>
      <vt:lpstr>'Sampul-Thn-2'!Print_Area</vt:lpstr>
      <vt:lpstr>'Sampul-Thn-3'!Print_Area</vt:lpstr>
      <vt:lpstr>'Sampul-Thn-4'!Print_Area</vt:lpstr>
      <vt:lpstr>Tabel_IK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tjipto</dc:creator>
  <cp:lastModifiedBy>LENOVO</cp:lastModifiedBy>
  <cp:lastPrinted>2018-06-07T02:42:15Z</cp:lastPrinted>
  <dcterms:created xsi:type="dcterms:W3CDTF">2018-05-21T22:57:01Z</dcterms:created>
  <dcterms:modified xsi:type="dcterms:W3CDTF">2018-07-25T05:23:08Z</dcterms:modified>
</cp:coreProperties>
</file>