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3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4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8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9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40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1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2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3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4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5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6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7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8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9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50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51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52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66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67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75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76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81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82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83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84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85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86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87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88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89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90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91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92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93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94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E:\PhD\New Setup\"/>
    </mc:Choice>
  </mc:AlternateContent>
  <xr:revisionPtr revIDLastSave="0" documentId="13_ncr:1_{A44C40D0-32C0-43E5-A2A4-9E974858F5E8}" xr6:coauthVersionLast="47" xr6:coauthVersionMax="47" xr10:uidLastSave="{00000000-0000-0000-0000-000000000000}"/>
  <bookViews>
    <workbookView xWindow="-108" yWindow="-108" windowWidth="23256" windowHeight="12576" tabRatio="699" firstSheet="1" activeTab="1" xr2:uid="{00000000-000D-0000-FFFF-FFFF00000000}"/>
  </bookViews>
  <sheets>
    <sheet name="Su K. oro stendu" sheetId="7" r:id="rId1"/>
    <sheet name="Sheet3" sheetId="8" r:id="rId2"/>
    <sheet name="Seni eksp." sheetId="1" r:id="rId3"/>
    <sheet name="Nauji eks(2 ruozai)" sheetId="3" r:id="rId4"/>
    <sheet name="Nauji eks(2 ruozai-darbinis" sheetId="5" r:id="rId5"/>
    <sheet name="Sheet1" sheetId="4" r:id="rId6"/>
    <sheet name="Sheet2" sheetId="2" r:id="rId7"/>
    <sheet name="Seni eksp" sheetId="6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</externalReferences>
  <definedNames>
    <definedName name="_xlnm._FilterDatabase" localSheetId="3" hidden="1">'Nauji eks(2 ruozai)'!$A$4:$V$28</definedName>
    <definedName name="_xlnm._FilterDatabase" localSheetId="4" hidden="1">'Nauji eks(2 ruozai-darbinis'!$A$4:$V$24</definedName>
    <definedName name="_xlnm._FilterDatabase" localSheetId="2" hidden="1">'Seni eksp.'!$B$4:$S$38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X14" i="8" l="1" a="1"/>
  <c r="BX14" i="8" s="1"/>
  <c r="BP14" i="8" a="1"/>
  <c r="BP14" i="8" s="1"/>
  <c r="AP14" i="8" a="1"/>
  <c r="AP14" i="8" s="1"/>
  <c r="AH14" i="8" a="1"/>
  <c r="AH14" i="8" s="1"/>
  <c r="Z14" i="8" a="1"/>
  <c r="Z14" i="8" s="1"/>
  <c r="BX7" i="8" l="1" a="1"/>
  <c r="BX7" i="8" s="1"/>
  <c r="BP7" i="8" a="1"/>
  <c r="BP7" i="8" s="1"/>
  <c r="AP7" i="8" a="1"/>
  <c r="AP7" i="8" s="1"/>
  <c r="AH7" i="8" a="1"/>
  <c r="AH7" i="8" s="1"/>
  <c r="Z7" i="8" a="1"/>
  <c r="Z7" i="8" s="1"/>
  <c r="AP4" i="8" a="1"/>
  <c r="AP4" i="8" s="1"/>
  <c r="AH4" i="8" a="1"/>
  <c r="AH4" i="8" s="1"/>
  <c r="BX4" i="8" l="1" a="1"/>
  <c r="BX4" i="8" s="1"/>
  <c r="BP4" i="8" a="1"/>
  <c r="BP4" i="8" s="1"/>
  <c r="Z4" i="8" a="1"/>
  <c r="Z4" i="8" s="1"/>
  <c r="Z16" i="8" l="1" a="1"/>
  <c r="Z16" i="8" s="1"/>
  <c r="AH16" i="8" l="1" a="1"/>
  <c r="AH16" i="8" s="1"/>
  <c r="AP16" i="8" a="1"/>
  <c r="AP16" i="8" s="1"/>
  <c r="BP16" i="8" l="1" a="1"/>
  <c r="BP16" i="8" s="1"/>
  <c r="BD3" i="8"/>
  <c r="BF3" i="8"/>
  <c r="BH3" i="8"/>
  <c r="BJ3" i="8"/>
  <c r="BL3" i="8"/>
  <c r="BN3" i="8"/>
  <c r="BB3" i="8"/>
  <c r="AZ3" i="8"/>
  <c r="AX3" i="8"/>
  <c r="AX53" i="8"/>
  <c r="AX54" i="8"/>
  <c r="AX55" i="8"/>
  <c r="AX56" i="8"/>
  <c r="AX57" i="8"/>
  <c r="AY2" i="8"/>
  <c r="BX16" i="8" a="1"/>
  <c r="BX16" i="8" s="1"/>
  <c r="CJ46" i="8" l="1"/>
  <c r="CJ47" i="8"/>
  <c r="CJ48" i="8"/>
  <c r="CJ49" i="8"/>
  <c r="CJ50" i="8"/>
  <c r="CJ51" i="8"/>
  <c r="CJ52" i="8"/>
  <c r="CB53" i="8"/>
  <c r="CB54" i="8"/>
  <c r="R49" i="8" a="1"/>
  <c r="R49" i="8" s="1"/>
  <c r="J49" i="8" a="1"/>
  <c r="J49" i="8" s="1"/>
  <c r="R93" i="7"/>
  <c r="P93" i="7"/>
  <c r="R48" i="8" l="1" a="1"/>
  <c r="R48" i="8" s="1"/>
  <c r="J48" i="8" a="1"/>
  <c r="J48" i="8" s="1"/>
  <c r="R92" i="7"/>
  <c r="P92" i="7"/>
  <c r="CR44" i="8" l="1"/>
  <c r="CR45" i="8"/>
  <c r="CR46" i="8"/>
  <c r="CR47" i="8"/>
  <c r="CR48" i="8"/>
  <c r="CR49" i="8"/>
  <c r="CR50" i="8"/>
  <c r="CR51" i="8"/>
  <c r="CR52" i="8"/>
  <c r="CQ42" i="8"/>
  <c r="CQ43" i="8"/>
  <c r="CQ44" i="8"/>
  <c r="CQ45" i="8"/>
  <c r="CQ46" i="8"/>
  <c r="CQ47" i="8"/>
  <c r="CQ48" i="8"/>
  <c r="CQ49" i="8"/>
  <c r="CQ50" i="8"/>
  <c r="CP44" i="8"/>
  <c r="CP45" i="8"/>
  <c r="CP46" i="8"/>
  <c r="CP47" i="8"/>
  <c r="CP48" i="8"/>
  <c r="CP49" i="8"/>
  <c r="CP50" i="8"/>
  <c r="CP51" i="8"/>
  <c r="CP52" i="8"/>
  <c r="CO47" i="8"/>
  <c r="CO48" i="8"/>
  <c r="CO49" i="8"/>
  <c r="CO50" i="8"/>
  <c r="CO51" i="8"/>
  <c r="CO52" i="8"/>
  <c r="CG53" i="8"/>
  <c r="CN45" i="8"/>
  <c r="CN46" i="8"/>
  <c r="CN47" i="8"/>
  <c r="CN48" i="8"/>
  <c r="CN49" i="8"/>
  <c r="BF49" i="8" s="1"/>
  <c r="CN50" i="8"/>
  <c r="AX50" i="8" s="1"/>
  <c r="CN51" i="8"/>
  <c r="CN52" i="8"/>
  <c r="CF53" i="8"/>
  <c r="CM44" i="8"/>
  <c r="CM45" i="8"/>
  <c r="CM46" i="8"/>
  <c r="CM47" i="8"/>
  <c r="CM48" i="8"/>
  <c r="CM49" i="8"/>
  <c r="CM50" i="8"/>
  <c r="CM51" i="8"/>
  <c r="CM52" i="8"/>
  <c r="CE53" i="8"/>
  <c r="CL41" i="8"/>
  <c r="CL42" i="8"/>
  <c r="CL43" i="8"/>
  <c r="CL44" i="8"/>
  <c r="CL45" i="8"/>
  <c r="CL46" i="8"/>
  <c r="CL47" i="8"/>
  <c r="CL48" i="8"/>
  <c r="CL49" i="8"/>
  <c r="CL50" i="8"/>
  <c r="CL51" i="8"/>
  <c r="CL52" i="8"/>
  <c r="CD53" i="8"/>
  <c r="R47" i="8" a="1"/>
  <c r="R47" i="8" s="1"/>
  <c r="J47" i="8" a="1"/>
  <c r="J47" i="8" s="1"/>
  <c r="R91" i="7"/>
  <c r="P91" i="7"/>
  <c r="A47" i="8"/>
  <c r="BF48" i="8" l="1"/>
  <c r="BF47" i="8"/>
  <c r="BF46" i="8"/>
  <c r="BF45" i="8"/>
  <c r="AX49" i="8"/>
  <c r="AX48" i="8"/>
  <c r="AX47" i="8"/>
  <c r="AX46" i="8"/>
  <c r="AX45" i="8"/>
  <c r="AX52" i="8"/>
  <c r="AX51" i="8"/>
  <c r="R46" i="8" a="1"/>
  <c r="R46" i="8" s="1"/>
  <c r="J46" i="8" a="1"/>
  <c r="J46" i="8" s="1"/>
  <c r="R90" i="7"/>
  <c r="P90" i="7"/>
  <c r="CI42" i="8" l="1"/>
  <c r="CI43" i="8"/>
  <c r="CI44" i="8"/>
  <c r="CI45" i="8"/>
  <c r="CI46" i="8"/>
  <c r="CI47" i="8"/>
  <c r="CI48" i="8"/>
  <c r="CI49" i="8"/>
  <c r="R45" i="8" a="1"/>
  <c r="R45" i="8" s="1"/>
  <c r="J45" i="8" a="1"/>
  <c r="J45" i="8" s="1"/>
  <c r="CJ45" i="8" l="1"/>
  <c r="R89" i="7"/>
  <c r="P89" i="7"/>
  <c r="CJ41" i="8"/>
  <c r="CJ42" i="8"/>
  <c r="CJ43" i="8"/>
  <c r="CJ44" i="8"/>
  <c r="R44" i="8" a="1"/>
  <c r="R44" i="8" s="1"/>
  <c r="J44" i="8" a="1"/>
  <c r="J44" i="8" s="1"/>
  <c r="R88" i="7"/>
  <c r="P88" i="7"/>
  <c r="R43" i="8" l="1" a="1"/>
  <c r="R43" i="8" s="1"/>
  <c r="J43" i="8" a="1"/>
  <c r="J43" i="8" s="1"/>
  <c r="R87" i="7"/>
  <c r="P87" i="7"/>
  <c r="R42" i="8" l="1" a="1"/>
  <c r="R42" i="8" s="1"/>
  <c r="J42" i="8" a="1"/>
  <c r="J42" i="8" s="1"/>
  <c r="R86" i="7"/>
  <c r="P86" i="7"/>
  <c r="R41" i="8" l="1" a="1"/>
  <c r="R41" i="8" s="1"/>
  <c r="J41" i="8" a="1"/>
  <c r="J41" i="8" s="1"/>
  <c r="P85" i="7"/>
  <c r="R85" i="7"/>
  <c r="R40" i="8" l="1" a="1"/>
  <c r="R40" i="8" s="1"/>
  <c r="J40" i="8" a="1"/>
  <c r="J40" i="8" s="1"/>
  <c r="R84" i="7"/>
  <c r="P84" i="7"/>
  <c r="CI33" i="8" l="1"/>
  <c r="CI34" i="8"/>
  <c r="CI35" i="8"/>
  <c r="CI36" i="8"/>
  <c r="CI37" i="8"/>
  <c r="CI38" i="8"/>
  <c r="CI39" i="8"/>
  <c r="CI40" i="8"/>
  <c r="CI41" i="8"/>
  <c r="R39" i="8" a="1"/>
  <c r="R39" i="8" s="1"/>
  <c r="J39" i="8" a="1"/>
  <c r="J39" i="8" s="1"/>
  <c r="R83" i="7"/>
  <c r="P83" i="7"/>
  <c r="R38" i="8" l="1" a="1"/>
  <c r="R38" i="8" s="1"/>
  <c r="J38" i="8" a="1"/>
  <c r="J38" i="8" s="1"/>
  <c r="R82" i="7"/>
  <c r="P82" i="7"/>
  <c r="R37" i="8" l="1" a="1"/>
  <c r="R37" i="8" s="1"/>
  <c r="J37" i="8" a="1"/>
  <c r="J37" i="8" s="1"/>
  <c r="R81" i="7"/>
  <c r="P81" i="7"/>
  <c r="R36" i="8" l="1" a="1"/>
  <c r="R36" i="8" s="1"/>
  <c r="J36" i="8" a="1"/>
  <c r="J36" i="8" s="1"/>
  <c r="R80" i="7"/>
  <c r="P80" i="7"/>
  <c r="R35" i="8" l="1" a="1"/>
  <c r="R35" i="8" s="1"/>
  <c r="J35" i="8" a="1"/>
  <c r="J35" i="8" s="1"/>
  <c r="R79" i="7"/>
  <c r="P79" i="7"/>
  <c r="R33" i="8" l="1" a="1"/>
  <c r="R33" i="8" s="1"/>
  <c r="J33" i="8" a="1"/>
  <c r="J33" i="8" s="1"/>
  <c r="R34" i="8" l="1" a="1"/>
  <c r="R34" i="8" s="1"/>
  <c r="J34" i="8" a="1"/>
  <c r="J34" i="8" s="1"/>
  <c r="R78" i="7"/>
  <c r="P78" i="7"/>
  <c r="R77" i="7" l="1"/>
  <c r="P77" i="7"/>
  <c r="R32" i="8" l="1" a="1"/>
  <c r="R32" i="8" s="1"/>
  <c r="J32" i="8" a="1"/>
  <c r="J32" i="8" s="1"/>
  <c r="R76" i="7" l="1"/>
  <c r="P76" i="7"/>
  <c r="A32" i="8" l="1"/>
  <c r="R31" i="8" a="1"/>
  <c r="R31" i="8" s="1"/>
  <c r="J31" i="8" a="1"/>
  <c r="J31" i="8" s="1"/>
  <c r="R30" i="8" l="1" a="1"/>
  <c r="R30" i="8" s="1"/>
  <c r="J30" i="8" a="1"/>
  <c r="J30" i="8" s="1"/>
  <c r="R29" i="8" l="1" a="1"/>
  <c r="R29" i="8" s="1"/>
  <c r="J29" i="8" a="1"/>
  <c r="J29" i="8" s="1"/>
  <c r="R28" i="8" l="1" a="1"/>
  <c r="R28" i="8" s="1"/>
  <c r="J28" i="8" a="1"/>
  <c r="J28" i="8" s="1"/>
  <c r="R27" i="8" l="1" a="1"/>
  <c r="R27" i="8" s="1"/>
  <c r="J27" i="8" a="1"/>
  <c r="J27" i="8" s="1"/>
  <c r="R26" i="8" l="1" a="1"/>
  <c r="R26" i="8" s="1"/>
  <c r="J26" i="8" a="1"/>
  <c r="J26" i="8" s="1"/>
  <c r="R25" i="8" l="1" a="1"/>
  <c r="R25" i="8" s="1"/>
  <c r="J25" i="8" a="1"/>
  <c r="J25" i="8" s="1"/>
  <c r="R24" i="8" l="1" a="1"/>
  <c r="R24" i="8" s="1"/>
  <c r="J24" i="8" a="1"/>
  <c r="J24" i="8" s="1"/>
  <c r="R23" i="8" l="1" a="1"/>
  <c r="R23" i="8" s="1"/>
  <c r="J23" i="8" a="1"/>
  <c r="J23" i="8" s="1"/>
  <c r="R22" i="8" l="1" a="1"/>
  <c r="R22" i="8" s="1"/>
  <c r="J22" i="8" a="1"/>
  <c r="J22" i="8" s="1"/>
  <c r="R21" i="8" l="1" a="1"/>
  <c r="R21" i="8" s="1"/>
  <c r="J21" i="8" a="1"/>
  <c r="J21" i="8" s="1"/>
  <c r="R20" i="8" l="1" a="1"/>
  <c r="R20" i="8" s="1"/>
  <c r="J20" i="8" a="1"/>
  <c r="J20" i="8" s="1"/>
  <c r="R19" i="8" l="1" a="1"/>
  <c r="R19" i="8" s="1"/>
  <c r="J19" i="8" a="1"/>
  <c r="J19" i="8" s="1"/>
  <c r="R18" i="8" l="1" a="1"/>
  <c r="R18" i="8" s="1"/>
  <c r="J18" i="8" a="1"/>
  <c r="J18" i="8" s="1"/>
  <c r="R17" i="8" l="1" a="1"/>
  <c r="R17" i="8" s="1"/>
  <c r="J17" i="8" a="1"/>
  <c r="J17" i="8" s="1"/>
  <c r="R16" i="8" l="1" a="1"/>
  <c r="R16" i="8" s="1"/>
  <c r="J16" i="8" a="1"/>
  <c r="J16" i="8" s="1"/>
  <c r="R15" i="8" l="1" a="1"/>
  <c r="R15" i="8" s="1"/>
  <c r="J15" i="8" a="1"/>
  <c r="J15" i="8" s="1"/>
  <c r="R14" i="8" l="1" a="1"/>
  <c r="R14" i="8" s="1"/>
  <c r="J14" i="8" a="1"/>
  <c r="J14" i="8" s="1"/>
  <c r="R13" i="8" l="1" a="1"/>
  <c r="R13" i="8" s="1"/>
  <c r="J13" i="8" a="1"/>
  <c r="J13" i="8" s="1"/>
  <c r="R12" i="8" l="1" a="1"/>
  <c r="R12" i="8" s="1"/>
  <c r="J12" i="8" a="1"/>
  <c r="J12" i="8" s="1"/>
  <c r="R11" i="8" l="1" a="1"/>
  <c r="R11" i="8" s="1"/>
  <c r="J11" i="8" a="1"/>
  <c r="J11" i="8" s="1"/>
  <c r="R10" i="8" l="1" a="1"/>
  <c r="R10" i="8" s="1"/>
  <c r="J10" i="8" a="1"/>
  <c r="J10" i="8" s="1"/>
  <c r="R9" i="8" l="1" a="1"/>
  <c r="R9" i="8" s="1"/>
  <c r="J9" i="8" a="1"/>
  <c r="J9" i="8" s="1"/>
  <c r="R8" i="8" l="1" a="1"/>
  <c r="R8" i="8" s="1"/>
  <c r="J8" i="8" a="1"/>
  <c r="J8" i="8" s="1"/>
  <c r="R7" i="8" l="1" a="1"/>
  <c r="R7" i="8" s="1"/>
  <c r="J7" i="8" a="1"/>
  <c r="J7" i="8" s="1"/>
  <c r="R6" i="8" l="1" a="1"/>
  <c r="R6" i="8" s="1"/>
  <c r="J6" i="8" a="1"/>
  <c r="J6" i="8" s="1"/>
  <c r="R5" i="8" l="1" a="1"/>
  <c r="R5" i="8" s="1"/>
  <c r="J5" i="8" a="1"/>
  <c r="J5" i="8" s="1"/>
  <c r="CF3" i="8" l="1"/>
  <c r="CF4" i="8"/>
  <c r="CF5" i="8"/>
  <c r="CF6" i="8"/>
  <c r="CF7" i="8"/>
  <c r="CF8" i="8"/>
  <c r="CF9" i="8"/>
  <c r="CF10" i="8"/>
  <c r="CF11" i="8"/>
  <c r="CF12" i="8"/>
  <c r="CF13" i="8"/>
  <c r="CF14" i="8"/>
  <c r="CF15" i="8"/>
  <c r="CF16" i="8"/>
  <c r="CF17" i="8"/>
  <c r="CF18" i="8"/>
  <c r="CF19" i="8"/>
  <c r="CF20" i="8"/>
  <c r="CF21" i="8"/>
  <c r="CF22" i="8"/>
  <c r="CF23" i="8"/>
  <c r="CF24" i="8"/>
  <c r="CF25" i="8"/>
  <c r="CF26" i="8"/>
  <c r="CF27" i="8"/>
  <c r="CF28" i="8"/>
  <c r="CF29" i="8"/>
  <c r="CF30" i="8"/>
  <c r="CF31" i="8"/>
  <c r="CF32" i="8"/>
  <c r="CF33" i="8"/>
  <c r="CF34" i="8"/>
  <c r="CF35" i="8"/>
  <c r="CF36" i="8"/>
  <c r="CF37" i="8"/>
  <c r="CF38" i="8"/>
  <c r="CF39" i="8"/>
  <c r="CF40" i="8"/>
  <c r="CF41" i="8"/>
  <c r="CF42" i="8"/>
  <c r="CF43" i="8"/>
  <c r="CF44" i="8"/>
  <c r="CF45" i="8"/>
  <c r="CF46" i="8"/>
  <c r="CF47" i="8"/>
  <c r="CF48" i="8"/>
  <c r="CF49" i="8"/>
  <c r="CF50" i="8"/>
  <c r="CF51" i="8"/>
  <c r="CF52" i="8"/>
  <c r="CF2" i="8"/>
  <c r="R4" i="8" a="1"/>
  <c r="R4" i="8" s="1"/>
  <c r="J4" i="8" a="1"/>
  <c r="J4" i="8" s="1"/>
  <c r="CR4" i="8" l="1"/>
  <c r="CR5" i="8"/>
  <c r="CR6" i="8"/>
  <c r="CR7" i="8"/>
  <c r="CR8" i="8"/>
  <c r="CR9" i="8"/>
  <c r="CR10" i="8"/>
  <c r="CR11" i="8"/>
  <c r="CR12" i="8"/>
  <c r="CR13" i="8"/>
  <c r="CR14" i="8"/>
  <c r="CR15" i="8"/>
  <c r="CR16" i="8"/>
  <c r="CR17" i="8"/>
  <c r="CR18" i="8"/>
  <c r="CR19" i="8"/>
  <c r="CR20" i="8"/>
  <c r="CR21" i="8"/>
  <c r="CR22" i="8"/>
  <c r="CR23" i="8"/>
  <c r="CR24" i="8"/>
  <c r="CR25" i="8"/>
  <c r="CR26" i="8"/>
  <c r="CR27" i="8"/>
  <c r="CR28" i="8"/>
  <c r="CR29" i="8"/>
  <c r="CR30" i="8"/>
  <c r="CR31" i="8"/>
  <c r="CR32" i="8"/>
  <c r="CR33" i="8"/>
  <c r="CR34" i="8"/>
  <c r="CR35" i="8"/>
  <c r="CR36" i="8"/>
  <c r="CR37" i="8"/>
  <c r="CR38" i="8"/>
  <c r="CR39" i="8"/>
  <c r="CR40" i="8"/>
  <c r="CR41" i="8"/>
  <c r="CR42" i="8"/>
  <c r="CR43" i="8"/>
  <c r="CR2" i="8"/>
  <c r="CQ4" i="8"/>
  <c r="CQ5" i="8"/>
  <c r="CQ6" i="8"/>
  <c r="CQ7" i="8"/>
  <c r="CQ8" i="8"/>
  <c r="CQ9" i="8"/>
  <c r="CQ10" i="8"/>
  <c r="CQ11" i="8"/>
  <c r="CQ12" i="8"/>
  <c r="CQ13" i="8"/>
  <c r="CQ14" i="8"/>
  <c r="CQ15" i="8"/>
  <c r="CQ16" i="8"/>
  <c r="CQ17" i="8"/>
  <c r="CQ18" i="8"/>
  <c r="CQ19" i="8"/>
  <c r="CQ20" i="8"/>
  <c r="CQ21" i="8"/>
  <c r="CQ22" i="8"/>
  <c r="CQ23" i="8"/>
  <c r="CQ24" i="8"/>
  <c r="CQ25" i="8"/>
  <c r="CQ26" i="8"/>
  <c r="CQ27" i="8"/>
  <c r="CQ28" i="8"/>
  <c r="CQ29" i="8"/>
  <c r="CQ30" i="8"/>
  <c r="CQ31" i="8"/>
  <c r="CQ32" i="8"/>
  <c r="CQ33" i="8"/>
  <c r="CQ34" i="8"/>
  <c r="CQ35" i="8"/>
  <c r="CQ36" i="8"/>
  <c r="CQ37" i="8"/>
  <c r="CQ38" i="8"/>
  <c r="CQ39" i="8"/>
  <c r="CQ40" i="8"/>
  <c r="CQ41" i="8"/>
  <c r="CQ2" i="8"/>
  <c r="CP4" i="8"/>
  <c r="CP5" i="8"/>
  <c r="CP6" i="8"/>
  <c r="CP7" i="8"/>
  <c r="CP8" i="8"/>
  <c r="CP9" i="8"/>
  <c r="CP10" i="8"/>
  <c r="CP11" i="8"/>
  <c r="CP12" i="8"/>
  <c r="CP13" i="8"/>
  <c r="CP14" i="8"/>
  <c r="CP15" i="8"/>
  <c r="CP16" i="8"/>
  <c r="CP17" i="8"/>
  <c r="CP18" i="8"/>
  <c r="CP19" i="8"/>
  <c r="CP20" i="8"/>
  <c r="CP21" i="8"/>
  <c r="CP22" i="8"/>
  <c r="CP23" i="8"/>
  <c r="CP24" i="8"/>
  <c r="CP25" i="8"/>
  <c r="CP26" i="8"/>
  <c r="CP27" i="8"/>
  <c r="CP28" i="8"/>
  <c r="CP29" i="8"/>
  <c r="CP30" i="8"/>
  <c r="CP31" i="8"/>
  <c r="CP32" i="8"/>
  <c r="CP33" i="8"/>
  <c r="CP34" i="8"/>
  <c r="CP35" i="8"/>
  <c r="CP36" i="8"/>
  <c r="CP37" i="8"/>
  <c r="CP38" i="8"/>
  <c r="CP39" i="8"/>
  <c r="CP40" i="8"/>
  <c r="CP41" i="8"/>
  <c r="CP42" i="8"/>
  <c r="CP43" i="8"/>
  <c r="CP2" i="8"/>
  <c r="CO4" i="8"/>
  <c r="CO5" i="8"/>
  <c r="CO6" i="8"/>
  <c r="CO7" i="8"/>
  <c r="CO8" i="8"/>
  <c r="CO9" i="8"/>
  <c r="CO10" i="8"/>
  <c r="CO11" i="8"/>
  <c r="CO12" i="8"/>
  <c r="CO13" i="8"/>
  <c r="CO14" i="8"/>
  <c r="CO15" i="8"/>
  <c r="CO16" i="8"/>
  <c r="CO17" i="8"/>
  <c r="CO18" i="8"/>
  <c r="CO19" i="8"/>
  <c r="CO20" i="8"/>
  <c r="CO21" i="8"/>
  <c r="CO22" i="8"/>
  <c r="CO23" i="8"/>
  <c r="CO24" i="8"/>
  <c r="CO25" i="8"/>
  <c r="CO26" i="8"/>
  <c r="CO27" i="8"/>
  <c r="CO28" i="8"/>
  <c r="CO29" i="8"/>
  <c r="CO30" i="8"/>
  <c r="CO31" i="8"/>
  <c r="CO32" i="8"/>
  <c r="CO33" i="8"/>
  <c r="CO34" i="8"/>
  <c r="CO35" i="8"/>
  <c r="CO36" i="8"/>
  <c r="CO37" i="8"/>
  <c r="CO38" i="8"/>
  <c r="CO39" i="8"/>
  <c r="CO40" i="8"/>
  <c r="CO41" i="8"/>
  <c r="CO42" i="8"/>
  <c r="CO43" i="8"/>
  <c r="CO44" i="8"/>
  <c r="CO45" i="8"/>
  <c r="CO46" i="8"/>
  <c r="CO2" i="8"/>
  <c r="CN4" i="8"/>
  <c r="CN5" i="8"/>
  <c r="CN6" i="8"/>
  <c r="CN7" i="8"/>
  <c r="CN8" i="8"/>
  <c r="CN9" i="8"/>
  <c r="CN10" i="8"/>
  <c r="CN11" i="8"/>
  <c r="CN12" i="8"/>
  <c r="CN13" i="8"/>
  <c r="CN14" i="8"/>
  <c r="CN15" i="8"/>
  <c r="CN16" i="8"/>
  <c r="CN17" i="8"/>
  <c r="CN18" i="8"/>
  <c r="CN19" i="8"/>
  <c r="CN20" i="8"/>
  <c r="CN21" i="8"/>
  <c r="CN22" i="8"/>
  <c r="CN23" i="8"/>
  <c r="CN24" i="8"/>
  <c r="CN25" i="8"/>
  <c r="CN26" i="8"/>
  <c r="CN27" i="8"/>
  <c r="CN28" i="8"/>
  <c r="CN29" i="8"/>
  <c r="CN30" i="8"/>
  <c r="CN31" i="8"/>
  <c r="CN32" i="8"/>
  <c r="CN33" i="8"/>
  <c r="CN34" i="8"/>
  <c r="CN35" i="8"/>
  <c r="CN36" i="8"/>
  <c r="CN37" i="8"/>
  <c r="CN38" i="8"/>
  <c r="CN39" i="8"/>
  <c r="CN40" i="8"/>
  <c r="CN41" i="8"/>
  <c r="CN42" i="8"/>
  <c r="CN43" i="8"/>
  <c r="CN44" i="8"/>
  <c r="CN2" i="8"/>
  <c r="CM4" i="8"/>
  <c r="CM5" i="8"/>
  <c r="CM6" i="8"/>
  <c r="CM7" i="8"/>
  <c r="CM8" i="8"/>
  <c r="CM9" i="8"/>
  <c r="CM10" i="8"/>
  <c r="CM11" i="8"/>
  <c r="CM12" i="8"/>
  <c r="CM13" i="8"/>
  <c r="CM14" i="8"/>
  <c r="CM15" i="8"/>
  <c r="CM16" i="8"/>
  <c r="CM17" i="8"/>
  <c r="CM18" i="8"/>
  <c r="CM19" i="8"/>
  <c r="CM20" i="8"/>
  <c r="CM21" i="8"/>
  <c r="CM22" i="8"/>
  <c r="CM23" i="8"/>
  <c r="CM24" i="8"/>
  <c r="CM25" i="8"/>
  <c r="CM26" i="8"/>
  <c r="CM27" i="8"/>
  <c r="CM28" i="8"/>
  <c r="CM29" i="8"/>
  <c r="CM30" i="8"/>
  <c r="CM31" i="8"/>
  <c r="CM32" i="8"/>
  <c r="CM33" i="8"/>
  <c r="CM34" i="8"/>
  <c r="CM35" i="8"/>
  <c r="CM36" i="8"/>
  <c r="CM37" i="8"/>
  <c r="CM38" i="8"/>
  <c r="CM39" i="8"/>
  <c r="CM40" i="8"/>
  <c r="CM41" i="8"/>
  <c r="CM42" i="8"/>
  <c r="CM43" i="8"/>
  <c r="CM2" i="8"/>
  <c r="CL4" i="8"/>
  <c r="CL5" i="8"/>
  <c r="CL6" i="8"/>
  <c r="CL7" i="8"/>
  <c r="CL8" i="8"/>
  <c r="CL9" i="8"/>
  <c r="CL10" i="8"/>
  <c r="CL11" i="8"/>
  <c r="CL12" i="8"/>
  <c r="CL13" i="8"/>
  <c r="CL14" i="8"/>
  <c r="CL15" i="8"/>
  <c r="CL16" i="8"/>
  <c r="CL17" i="8"/>
  <c r="CL18" i="8"/>
  <c r="CL19" i="8"/>
  <c r="CL20" i="8"/>
  <c r="CL21" i="8"/>
  <c r="CL22" i="8"/>
  <c r="CL23" i="8"/>
  <c r="CL24" i="8"/>
  <c r="CL25" i="8"/>
  <c r="CL26" i="8"/>
  <c r="CL27" i="8"/>
  <c r="CL28" i="8"/>
  <c r="CL29" i="8"/>
  <c r="CL30" i="8"/>
  <c r="CL31" i="8"/>
  <c r="CL32" i="8"/>
  <c r="CL33" i="8"/>
  <c r="CL34" i="8"/>
  <c r="CL35" i="8"/>
  <c r="CL36" i="8"/>
  <c r="CL37" i="8"/>
  <c r="CL38" i="8"/>
  <c r="CL39" i="8"/>
  <c r="CL40" i="8"/>
  <c r="CL2" i="8"/>
  <c r="CJ4" i="8"/>
  <c r="CJ5" i="8"/>
  <c r="CJ6" i="8"/>
  <c r="CJ7" i="8"/>
  <c r="CJ8" i="8"/>
  <c r="CJ9" i="8"/>
  <c r="CJ10" i="8"/>
  <c r="CJ11" i="8"/>
  <c r="CJ12" i="8"/>
  <c r="CJ13" i="8"/>
  <c r="CJ14" i="8"/>
  <c r="CJ15" i="8"/>
  <c r="CJ16" i="8"/>
  <c r="CJ17" i="8"/>
  <c r="CJ18" i="8"/>
  <c r="CJ19" i="8"/>
  <c r="CJ20" i="8"/>
  <c r="CJ21" i="8"/>
  <c r="CJ22" i="8"/>
  <c r="CJ23" i="8"/>
  <c r="CJ24" i="8"/>
  <c r="CJ25" i="8"/>
  <c r="CJ26" i="8"/>
  <c r="CJ27" i="8"/>
  <c r="CJ28" i="8"/>
  <c r="CJ29" i="8"/>
  <c r="CJ30" i="8"/>
  <c r="CJ31" i="8"/>
  <c r="CJ32" i="8"/>
  <c r="CJ33" i="8"/>
  <c r="CJ34" i="8"/>
  <c r="CJ35" i="8"/>
  <c r="CJ36" i="8"/>
  <c r="CJ37" i="8"/>
  <c r="CJ38" i="8"/>
  <c r="CJ39" i="8"/>
  <c r="CJ40" i="8"/>
  <c r="CJ2" i="8"/>
  <c r="CI4" i="8"/>
  <c r="CI5" i="8"/>
  <c r="CI6" i="8"/>
  <c r="CI7" i="8"/>
  <c r="CI8" i="8"/>
  <c r="CI9" i="8"/>
  <c r="CI10" i="8"/>
  <c r="CI11" i="8"/>
  <c r="CI12" i="8"/>
  <c r="CI13" i="8"/>
  <c r="CI14" i="8"/>
  <c r="CI15" i="8"/>
  <c r="CI16" i="8"/>
  <c r="CI17" i="8"/>
  <c r="CI18" i="8"/>
  <c r="CI19" i="8"/>
  <c r="CI20" i="8"/>
  <c r="CI21" i="8"/>
  <c r="CI22" i="8"/>
  <c r="CI23" i="8"/>
  <c r="CI24" i="8"/>
  <c r="CI25" i="8"/>
  <c r="CI26" i="8"/>
  <c r="CI27" i="8"/>
  <c r="CI28" i="8"/>
  <c r="CI29" i="8"/>
  <c r="CI30" i="8"/>
  <c r="CI31" i="8"/>
  <c r="CI32" i="8"/>
  <c r="CI2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8" i="8"/>
  <c r="A49" i="8"/>
  <c r="A50" i="8"/>
  <c r="A51" i="8"/>
  <c r="A52" i="8"/>
  <c r="A53" i="8"/>
  <c r="A54" i="8"/>
  <c r="A55" i="8"/>
  <c r="A56" i="8"/>
  <c r="A57" i="8"/>
  <c r="A2" i="8"/>
  <c r="AX6" i="8" l="1"/>
  <c r="BJ6" i="8"/>
  <c r="BB6" i="8"/>
  <c r="BD6" i="8"/>
  <c r="BL6" i="8"/>
  <c r="BH6" i="8"/>
  <c r="AZ6" i="8"/>
  <c r="BF6" i="8"/>
  <c r="BN6" i="8"/>
  <c r="AX21" i="8"/>
  <c r="BD21" i="8"/>
  <c r="BL21" i="8"/>
  <c r="BH21" i="8"/>
  <c r="BF21" i="8"/>
  <c r="BN21" i="8"/>
  <c r="BJ21" i="8"/>
  <c r="AX44" i="8"/>
  <c r="BF44" i="8"/>
  <c r="BF36" i="8"/>
  <c r="BN36" i="8"/>
  <c r="BL36" i="8"/>
  <c r="BD36" i="8"/>
  <c r="BH28" i="8"/>
  <c r="BF28" i="8"/>
  <c r="BN28" i="8"/>
  <c r="BJ28" i="8"/>
  <c r="BL28" i="8"/>
  <c r="BD28" i="8"/>
  <c r="BH20" i="8"/>
  <c r="BF20" i="8"/>
  <c r="BN20" i="8"/>
  <c r="BJ20" i="8"/>
  <c r="BL20" i="8"/>
  <c r="BB20" i="8"/>
  <c r="BD20" i="8"/>
  <c r="BH12" i="8"/>
  <c r="AZ12" i="8"/>
  <c r="BF12" i="8"/>
  <c r="BN12" i="8"/>
  <c r="BJ12" i="8"/>
  <c r="BL12" i="8"/>
  <c r="BB12" i="8"/>
  <c r="BD12" i="8"/>
  <c r="BH4" i="8"/>
  <c r="AZ4" i="8"/>
  <c r="BF4" i="8"/>
  <c r="BN4" i="8"/>
  <c r="BJ4" i="8"/>
  <c r="BL4" i="8"/>
  <c r="BB4" i="8"/>
  <c r="BD4" i="8"/>
  <c r="AX22" i="8"/>
  <c r="BJ22" i="8"/>
  <c r="BD22" i="8"/>
  <c r="BL22" i="8"/>
  <c r="BH22" i="8"/>
  <c r="BF22" i="8"/>
  <c r="BN22" i="8"/>
  <c r="AX37" i="8"/>
  <c r="BD37" i="8"/>
  <c r="BL37" i="8"/>
  <c r="BF37" i="8"/>
  <c r="BN37" i="8"/>
  <c r="BF43" i="8"/>
  <c r="BF35" i="8"/>
  <c r="BJ35" i="8"/>
  <c r="BD35" i="8"/>
  <c r="BL35" i="8"/>
  <c r="BN35" i="8"/>
  <c r="BH27" i="8"/>
  <c r="BF27" i="8"/>
  <c r="BJ27" i="8"/>
  <c r="BD27" i="8"/>
  <c r="BL27" i="8"/>
  <c r="BN27" i="8"/>
  <c r="BH19" i="8"/>
  <c r="BF19" i="8"/>
  <c r="BJ19" i="8"/>
  <c r="BB19" i="8"/>
  <c r="BD19" i="8"/>
  <c r="BL19" i="8"/>
  <c r="BN19" i="8"/>
  <c r="BH11" i="8"/>
  <c r="AZ11" i="8"/>
  <c r="BF11" i="8"/>
  <c r="BJ11" i="8"/>
  <c r="BB11" i="8"/>
  <c r="BD11" i="8"/>
  <c r="BL11" i="8"/>
  <c r="BN11" i="8"/>
  <c r="BL2" i="8"/>
  <c r="AZ2" i="8"/>
  <c r="AX2" i="8"/>
  <c r="BJ2" i="8"/>
  <c r="BH2" i="8"/>
  <c r="BF2" i="8"/>
  <c r="BD2" i="8"/>
  <c r="BN2" i="8"/>
  <c r="BB2" i="8"/>
  <c r="BF42" i="8"/>
  <c r="BF34" i="8"/>
  <c r="BN34" i="8"/>
  <c r="BD34" i="8"/>
  <c r="BL34" i="8"/>
  <c r="BJ34" i="8"/>
  <c r="BF26" i="8"/>
  <c r="BN26" i="8"/>
  <c r="BD26" i="8"/>
  <c r="BL26" i="8"/>
  <c r="BJ26" i="8"/>
  <c r="BH26" i="8"/>
  <c r="BF18" i="8"/>
  <c r="BN18" i="8"/>
  <c r="BD18" i="8"/>
  <c r="BL18" i="8"/>
  <c r="BJ18" i="8"/>
  <c r="BB18" i="8"/>
  <c r="BH18" i="8"/>
  <c r="BF10" i="8"/>
  <c r="BN10" i="8"/>
  <c r="BD10" i="8"/>
  <c r="BL10" i="8"/>
  <c r="BJ10" i="8"/>
  <c r="BB10" i="8"/>
  <c r="AZ10" i="8"/>
  <c r="BH10" i="8"/>
  <c r="AX38" i="8"/>
  <c r="BL38" i="8"/>
  <c r="BF38" i="8"/>
  <c r="BD5" i="8"/>
  <c r="BL5" i="8"/>
  <c r="BH5" i="8"/>
  <c r="AZ5" i="8"/>
  <c r="BF5" i="8"/>
  <c r="BN5" i="8"/>
  <c r="BB5" i="8"/>
  <c r="BJ5" i="8"/>
  <c r="BF41" i="8"/>
  <c r="BN33" i="8"/>
  <c r="BJ33" i="8"/>
  <c r="BD33" i="8"/>
  <c r="BL33" i="8"/>
  <c r="BF33" i="8"/>
  <c r="BN25" i="8"/>
  <c r="BJ25" i="8"/>
  <c r="BH25" i="8"/>
  <c r="BD25" i="8"/>
  <c r="BL25" i="8"/>
  <c r="BF25" i="8"/>
  <c r="BN17" i="8"/>
  <c r="BJ17" i="8"/>
  <c r="BB17" i="8"/>
  <c r="BH17" i="8"/>
  <c r="BD17" i="8"/>
  <c r="BL17" i="8"/>
  <c r="BF17" i="8"/>
  <c r="AZ17" i="8"/>
  <c r="BN9" i="8"/>
  <c r="BJ9" i="8"/>
  <c r="BB9" i="8"/>
  <c r="BH9" i="8"/>
  <c r="BD9" i="8"/>
  <c r="BL9" i="8"/>
  <c r="BF9" i="8"/>
  <c r="AZ9" i="8"/>
  <c r="AX30" i="8"/>
  <c r="BJ30" i="8"/>
  <c r="BD30" i="8"/>
  <c r="BL30" i="8"/>
  <c r="BH30" i="8"/>
  <c r="BF30" i="8"/>
  <c r="BN30" i="8"/>
  <c r="BD13" i="8"/>
  <c r="BL13" i="8"/>
  <c r="BH13" i="8"/>
  <c r="AZ13" i="8"/>
  <c r="BF13" i="8"/>
  <c r="BN13" i="8"/>
  <c r="BB13" i="8"/>
  <c r="BJ13" i="8"/>
  <c r="BL40" i="8"/>
  <c r="BF40" i="8"/>
  <c r="BN32" i="8"/>
  <c r="BJ32" i="8"/>
  <c r="BD32" i="8"/>
  <c r="BL32" i="8"/>
  <c r="BF32" i="8"/>
  <c r="BN24" i="8"/>
  <c r="BJ24" i="8"/>
  <c r="BD24" i="8"/>
  <c r="BL24" i="8"/>
  <c r="BH24" i="8"/>
  <c r="BF24" i="8"/>
  <c r="BN16" i="8"/>
  <c r="BJ16" i="8"/>
  <c r="BB16" i="8"/>
  <c r="BD16" i="8"/>
  <c r="BL16" i="8"/>
  <c r="BH16" i="8"/>
  <c r="AZ16" i="8"/>
  <c r="BF16" i="8"/>
  <c r="BN8" i="8"/>
  <c r="BJ8" i="8"/>
  <c r="BB8" i="8"/>
  <c r="BD8" i="8"/>
  <c r="BL8" i="8"/>
  <c r="BH8" i="8"/>
  <c r="AZ8" i="8"/>
  <c r="BF8" i="8"/>
  <c r="AX14" i="8"/>
  <c r="BJ14" i="8"/>
  <c r="BB14" i="8"/>
  <c r="BD14" i="8"/>
  <c r="BL14" i="8"/>
  <c r="BH14" i="8"/>
  <c r="AZ14" i="8"/>
  <c r="BF14" i="8"/>
  <c r="BN14" i="8"/>
  <c r="AX29" i="8"/>
  <c r="BD29" i="8"/>
  <c r="BL29" i="8"/>
  <c r="BH29" i="8"/>
  <c r="BF29" i="8"/>
  <c r="BN29" i="8"/>
  <c r="BJ29" i="8"/>
  <c r="BL39" i="8"/>
  <c r="BF39" i="8"/>
  <c r="BN31" i="8"/>
  <c r="BJ31" i="8"/>
  <c r="BD31" i="8"/>
  <c r="BL31" i="8"/>
  <c r="BF31" i="8"/>
  <c r="BH31" i="8"/>
  <c r="BN23" i="8"/>
  <c r="BJ23" i="8"/>
  <c r="BD23" i="8"/>
  <c r="BL23" i="8"/>
  <c r="BF23" i="8"/>
  <c r="BH23" i="8"/>
  <c r="BN15" i="8"/>
  <c r="BJ15" i="8"/>
  <c r="BB15" i="8"/>
  <c r="BD15" i="8"/>
  <c r="BL15" i="8"/>
  <c r="BF15" i="8"/>
  <c r="BH15" i="8"/>
  <c r="AZ15" i="8"/>
  <c r="BN7" i="8"/>
  <c r="BJ7" i="8"/>
  <c r="BB7" i="8"/>
  <c r="BD7" i="8"/>
  <c r="BL7" i="8"/>
  <c r="BF7" i="8"/>
  <c r="BH7" i="8"/>
  <c r="AZ7" i="8"/>
  <c r="AX13" i="8"/>
  <c r="AX11" i="8"/>
  <c r="AX43" i="8"/>
  <c r="AX27" i="8"/>
  <c r="AX19" i="8"/>
  <c r="AX35" i="8"/>
  <c r="AX5" i="8"/>
  <c r="AX28" i="8"/>
  <c r="AX42" i="8"/>
  <c r="AX34" i="8"/>
  <c r="AX26" i="8"/>
  <c r="AX18" i="8"/>
  <c r="AX10" i="8"/>
  <c r="AX4" i="8"/>
  <c r="AX41" i="8"/>
  <c r="AX33" i="8"/>
  <c r="AX25" i="8"/>
  <c r="AX17" i="8"/>
  <c r="AX9" i="8"/>
  <c r="AX20" i="8"/>
  <c r="AX40" i="8"/>
  <c r="AX32" i="8"/>
  <c r="AX24" i="8"/>
  <c r="AX16" i="8"/>
  <c r="AX8" i="8"/>
  <c r="AX36" i="8"/>
  <c r="AX12" i="8"/>
  <c r="AX39" i="8"/>
  <c r="AX31" i="8"/>
  <c r="AX23" i="8"/>
  <c r="AX15" i="8"/>
  <c r="AX7" i="8"/>
  <c r="R75" i="7"/>
  <c r="P75" i="7"/>
  <c r="R74" i="7" l="1"/>
  <c r="P74" i="7"/>
  <c r="R73" i="7"/>
  <c r="P73" i="7"/>
  <c r="R2" i="8" l="1" a="1"/>
  <c r="R2" i="8" s="1"/>
  <c r="R76" i="8"/>
  <c r="R3" i="7" l="1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2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9" i="7" l="1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5" i="7"/>
  <c r="P26" i="7"/>
  <c r="P27" i="7"/>
  <c r="P28" i="7"/>
  <c r="P29" i="7"/>
  <c r="P30" i="7"/>
  <c r="P31" i="7"/>
  <c r="P32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8" i="7"/>
  <c r="P49" i="7"/>
  <c r="P50" i="7"/>
  <c r="P51" i="7"/>
  <c r="P52" i="7"/>
  <c r="P53" i="7"/>
  <c r="P54" i="7"/>
  <c r="P55" i="7"/>
  <c r="P57" i="7"/>
  <c r="P7" i="7"/>
  <c r="P8" i="7"/>
  <c r="P6" i="7"/>
  <c r="P5" i="7"/>
  <c r="F57" i="7"/>
  <c r="F56" i="7" l="1"/>
  <c r="P56" i="7" s="1"/>
  <c r="L48" i="7"/>
  <c r="L50" i="7" l="1"/>
  <c r="L49" i="7" l="1"/>
  <c r="L45" i="7" l="1"/>
  <c r="L43" i="7" l="1"/>
  <c r="L42" i="7" l="1"/>
  <c r="K41" i="7" l="1"/>
  <c r="L41" i="7" s="1"/>
  <c r="K40" i="7" l="1"/>
  <c r="L38" i="7" l="1"/>
  <c r="L39" i="7"/>
  <c r="I37" i="7" l="1"/>
  <c r="L37" i="7" l="1"/>
  <c r="L36" i="7" l="1"/>
  <c r="I36" i="7"/>
  <c r="L35" i="7" l="1"/>
  <c r="I35" i="7"/>
  <c r="L34" i="7" l="1"/>
  <c r="I34" i="7"/>
  <c r="L40" i="7" l="1"/>
  <c r="L32" i="7"/>
  <c r="L31" i="7" l="1"/>
  <c r="L30" i="7" l="1"/>
  <c r="L29" i="7" l="1"/>
  <c r="L28" i="7"/>
  <c r="L27" i="7" l="1"/>
  <c r="L26" i="7" l="1"/>
  <c r="L25" i="7" l="1"/>
  <c r="C24" i="7" l="1"/>
  <c r="L24" i="7" l="1"/>
  <c r="P24" i="7"/>
  <c r="L23" i="7"/>
  <c r="L22" i="7" l="1"/>
  <c r="L21" i="7" l="1"/>
  <c r="L19" i="7" l="1"/>
  <c r="L18" i="7" l="1"/>
  <c r="L17" i="7" l="1"/>
  <c r="L16" i="7" l="1"/>
  <c r="L15" i="7" l="1"/>
  <c r="L14" i="7" l="1"/>
  <c r="L13" i="7" l="1"/>
  <c r="L12" i="7"/>
  <c r="L10" i="7" l="1"/>
  <c r="L11" i="7"/>
  <c r="K9" i="7" l="1"/>
  <c r="L9" i="7" s="1"/>
  <c r="K8" i="7" l="1"/>
  <c r="L8" i="7" l="1"/>
  <c r="L7" i="7" l="1"/>
  <c r="L6" i="7" l="1"/>
  <c r="L5" i="7" l="1"/>
  <c r="L4" i="7" l="1"/>
  <c r="L3" i="7" l="1"/>
  <c r="L2" i="7"/>
  <c r="I36" i="5" l="1"/>
  <c r="I63" i="5"/>
  <c r="J47" i="5" l="1"/>
  <c r="J52" i="5"/>
  <c r="J36" i="5"/>
  <c r="J41" i="5"/>
  <c r="I48" i="5"/>
  <c r="I52" i="5"/>
  <c r="I37" i="5"/>
  <c r="I41" i="5"/>
  <c r="O47" i="5" l="1"/>
  <c r="O52" i="5"/>
  <c r="O37" i="5"/>
  <c r="O41" i="5"/>
  <c r="N47" i="5"/>
  <c r="N52" i="5"/>
  <c r="N36" i="5"/>
  <c r="N41" i="5"/>
  <c r="I47" i="5"/>
  <c r="J70" i="5" l="1"/>
  <c r="I64" i="5"/>
  <c r="O70" i="5" l="1"/>
  <c r="O51" i="5"/>
  <c r="O69" i="5" s="1"/>
  <c r="O48" i="5"/>
  <c r="O74" i="5" s="1"/>
  <c r="O73" i="5"/>
  <c r="N51" i="5"/>
  <c r="J69" i="5" s="1"/>
  <c r="N48" i="5"/>
  <c r="J74" i="5" s="1"/>
  <c r="J73" i="5"/>
  <c r="O60" i="5"/>
  <c r="O40" i="5"/>
  <c r="O59" i="5" s="1"/>
  <c r="O64" i="5"/>
  <c r="O36" i="5"/>
  <c r="O63" i="5" s="1"/>
  <c r="J60" i="5"/>
  <c r="N40" i="5"/>
  <c r="J59" i="5" s="1"/>
  <c r="N37" i="5"/>
  <c r="J64" i="5" s="1"/>
  <c r="J63" i="5"/>
  <c r="N70" i="5"/>
  <c r="I70" i="5"/>
  <c r="I51" i="5"/>
  <c r="I69" i="5" s="1"/>
  <c r="J48" i="5"/>
  <c r="N74" i="5" s="1"/>
  <c r="N73" i="5"/>
  <c r="I74" i="5"/>
  <c r="I73" i="5"/>
  <c r="N60" i="5"/>
  <c r="I60" i="5"/>
  <c r="J40" i="5"/>
  <c r="N59" i="5" s="1"/>
  <c r="I40" i="5"/>
  <c r="I59" i="5" s="1"/>
  <c r="J37" i="5"/>
  <c r="N64" i="5" s="1"/>
  <c r="N63" i="5"/>
  <c r="J51" i="5"/>
  <c r="N69" i="5" s="1"/>
  <c r="N4" i="3" l="1"/>
  <c r="K10" i="2" l="1"/>
  <c r="J10" i="2"/>
  <c r="I10" i="2"/>
  <c r="H10" i="2"/>
  <c r="G10" i="2"/>
  <c r="F10" i="2"/>
  <c r="E10" i="2"/>
  <c r="D10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<sst xmlns="http://schemas.openxmlformats.org/spreadsheetml/2006/main" count="695" uniqueCount="309">
  <si>
    <t>Eksperimento data</t>
  </si>
  <si>
    <t>Vandens purškimas į kūrykla</t>
  </si>
  <si>
    <t>Pastaba</t>
  </si>
  <si>
    <t>Ne</t>
  </si>
  <si>
    <t>-</t>
  </si>
  <si>
    <t>Kartojamas 07.02 eksperimentas</t>
  </si>
  <si>
    <t>Kartojamas 07.03 eksperimentas</t>
  </si>
  <si>
    <t>Taip</t>
  </si>
  <si>
    <t>HORIZONTALUS DŪMUOSE ESANČIOS DRĖGMĖS KONDENSACIJOS RUOŽAS.</t>
  </si>
  <si>
    <t>EKSPERIMENTAI:</t>
  </si>
  <si>
    <t>Nuo 2020.07.02 ruožas izoliuotas papildoma 30 mm storio izoliacija.</t>
  </si>
  <si>
    <t>Dūmų tiekimas per ekonomaizerį</t>
  </si>
  <si>
    <r>
      <t>Dūmų Re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  <r>
      <rPr>
        <b/>
        <sz val="11"/>
        <color theme="1"/>
        <rFont val="Calibri"/>
        <family val="2"/>
        <charset val="186"/>
        <scheme val="minor"/>
      </rPr>
      <t xml:space="preserve"> (orientacinis)</t>
    </r>
  </si>
  <si>
    <r>
      <t>Dūmų t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  <r>
      <rPr>
        <b/>
        <sz val="11"/>
        <color theme="1"/>
        <rFont val="Calibri"/>
        <family val="2"/>
        <charset val="186"/>
        <scheme val="minor"/>
      </rPr>
      <t xml:space="preserve">, </t>
    </r>
    <r>
      <rPr>
        <b/>
        <vertAlign val="superscript"/>
        <sz val="11"/>
        <color theme="1"/>
        <rFont val="Calibri"/>
        <family val="2"/>
        <charset val="186"/>
        <scheme val="minor"/>
      </rPr>
      <t>o</t>
    </r>
    <r>
      <rPr>
        <b/>
        <sz val="11"/>
        <color theme="1"/>
        <rFont val="Calibri"/>
        <family val="2"/>
        <charset val="186"/>
        <scheme val="minor"/>
      </rPr>
      <t>C</t>
    </r>
  </si>
  <si>
    <r>
      <t>Dūmų RH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  <r>
      <rPr>
        <b/>
        <sz val="11"/>
        <color theme="1"/>
        <rFont val="Calibri"/>
        <family val="2"/>
        <charset val="186"/>
        <scheme val="minor"/>
      </rPr>
      <t>, %</t>
    </r>
  </si>
  <si>
    <r>
      <t>Aušinančio H</t>
    </r>
    <r>
      <rPr>
        <b/>
        <vertAlign val="subscript"/>
        <sz val="11"/>
        <color theme="1"/>
        <rFont val="Calibri"/>
        <family val="2"/>
        <charset val="186"/>
        <scheme val="minor"/>
      </rPr>
      <t>2</t>
    </r>
    <r>
      <rPr>
        <b/>
        <sz val="11"/>
        <color theme="1"/>
        <rFont val="Calibri"/>
        <family val="2"/>
        <charset val="186"/>
        <scheme val="minor"/>
      </rPr>
      <t>O t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  <r>
      <rPr>
        <b/>
        <sz val="11"/>
        <color theme="1"/>
        <rFont val="Calibri"/>
        <family val="2"/>
        <charset val="186"/>
        <scheme val="minor"/>
      </rPr>
      <t xml:space="preserve">, </t>
    </r>
    <r>
      <rPr>
        <b/>
        <vertAlign val="superscript"/>
        <sz val="11"/>
        <color theme="1"/>
        <rFont val="Calibri"/>
        <family val="2"/>
        <charset val="186"/>
        <scheme val="minor"/>
      </rPr>
      <t>o</t>
    </r>
    <r>
      <rPr>
        <b/>
        <sz val="11"/>
        <color theme="1"/>
        <rFont val="Calibri"/>
        <family val="2"/>
        <charset val="186"/>
        <scheme val="minor"/>
      </rPr>
      <t>C</t>
    </r>
  </si>
  <si>
    <t>Purkštukai kūrykloje, vnt</t>
  </si>
  <si>
    <r>
      <t>Aušinančio H</t>
    </r>
    <r>
      <rPr>
        <b/>
        <vertAlign val="subscript"/>
        <sz val="11"/>
        <color theme="1"/>
        <rFont val="Calibri"/>
        <family val="2"/>
        <charset val="186"/>
        <scheme val="minor"/>
      </rPr>
      <t>2</t>
    </r>
    <r>
      <rPr>
        <b/>
        <sz val="11"/>
        <color theme="1"/>
        <rFont val="Calibri"/>
        <family val="2"/>
        <charset val="186"/>
        <scheme val="minor"/>
      </rPr>
      <t>O Re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</si>
  <si>
    <r>
      <t>Aušinančio H</t>
    </r>
    <r>
      <rPr>
        <b/>
        <vertAlign val="subscript"/>
        <sz val="11"/>
        <color theme="1"/>
        <rFont val="Calibri"/>
        <family val="2"/>
        <charset val="186"/>
        <scheme val="minor"/>
      </rPr>
      <t>2</t>
    </r>
    <r>
      <rPr>
        <b/>
        <sz val="11"/>
        <color theme="1"/>
        <rFont val="Calibri"/>
        <family val="2"/>
        <charset val="186"/>
        <scheme val="minor"/>
      </rPr>
      <t>O debitas, l/min</t>
    </r>
  </si>
  <si>
    <t>Dūmų debitas, m3/h</t>
  </si>
  <si>
    <t>Kartojamas 07.14 eksperimentas, kai vandens debitas 3 l/min</t>
  </si>
  <si>
    <t>12 (11)</t>
  </si>
  <si>
    <t xml:space="preserve">Taip </t>
  </si>
  <si>
    <t>Eil. Nr.</t>
  </si>
  <si>
    <t>24.</t>
  </si>
  <si>
    <t>Per ruožą leidžiamas vandentiekio aušinantis vanduo</t>
  </si>
  <si>
    <t>25.</t>
  </si>
  <si>
    <t>26.</t>
  </si>
  <si>
    <t>27.</t>
  </si>
  <si>
    <t xml:space="preserve">28. </t>
  </si>
  <si>
    <t>29.</t>
  </si>
  <si>
    <t>30.</t>
  </si>
  <si>
    <t>31.</t>
  </si>
  <si>
    <t xml:space="preserve">Ne </t>
  </si>
  <si>
    <t>32.</t>
  </si>
  <si>
    <t>33.</t>
  </si>
  <si>
    <t>Per ruožą leidžiamas vandentiekio aušinantis vanduo. Režimo metu buvo kažkoks vandens tiekimo sutrikimas, dėl ko nusimušusį debitą teko atsatinėti</t>
  </si>
  <si>
    <t>H2O suapval.</t>
  </si>
  <si>
    <t>Rh
suapval.</t>
  </si>
  <si>
    <t>M cd fraction</t>
  </si>
  <si>
    <t>Re suapval</t>
  </si>
  <si>
    <t>kond efektyvumas</t>
  </si>
  <si>
    <t>kond debitas kg/min</t>
  </si>
  <si>
    <t>34.</t>
  </si>
  <si>
    <t>35.</t>
  </si>
  <si>
    <t>Gyatuku daliu pav. Plotas m2</t>
  </si>
  <si>
    <t>EKSPERIMENTAI, KAI NAUDOJAMI DU SUJUNGTI RUOŽAI:</t>
  </si>
  <si>
    <t>Bendras kondensac. Efektyvumas</t>
  </si>
  <si>
    <t>97?</t>
  </si>
  <si>
    <t>03:.16</t>
  </si>
  <si>
    <t>1l</t>
  </si>
  <si>
    <t>100 C</t>
  </si>
  <si>
    <t>2L</t>
  </si>
  <si>
    <t>03.:23</t>
  </si>
  <si>
    <t>re=350</t>
  </si>
  <si>
    <t>re=750</t>
  </si>
  <si>
    <t>03:.21</t>
  </si>
  <si>
    <t>111 C</t>
  </si>
  <si>
    <t>03.:22</t>
  </si>
  <si>
    <t>114 C</t>
  </si>
  <si>
    <t>103 C</t>
  </si>
  <si>
    <t>154 C</t>
  </si>
  <si>
    <t>1L+Auksta t.</t>
  </si>
  <si>
    <t>03.:25</t>
  </si>
  <si>
    <t>03.:28</t>
  </si>
  <si>
    <t>2L+Aukšta</t>
  </si>
  <si>
    <t>03.:29</t>
  </si>
  <si>
    <t>Purškiama į katilą</t>
  </si>
  <si>
    <t>Nepurškiama į katilą</t>
  </si>
  <si>
    <t>128 C</t>
  </si>
  <si>
    <t>03:.31</t>
  </si>
  <si>
    <t>1l-nepurškiama</t>
  </si>
  <si>
    <t>160 C</t>
  </si>
  <si>
    <t>04.:01</t>
  </si>
  <si>
    <t>04:.04</t>
  </si>
  <si>
    <t>141 C</t>
  </si>
  <si>
    <t>04.:05</t>
  </si>
  <si>
    <t>1l-nep. aukšta t.</t>
  </si>
  <si>
    <t>04.:06</t>
  </si>
  <si>
    <t>2 l nep. Auksta t.</t>
  </si>
  <si>
    <t>04.:11</t>
  </si>
  <si>
    <t>2l-nep. Auksta. T</t>
  </si>
  <si>
    <t>04.:12</t>
  </si>
  <si>
    <t>2 l. nep.žema temp.</t>
  </si>
  <si>
    <t>04.:13</t>
  </si>
  <si>
    <t>03.:16 (04.14)</t>
  </si>
  <si>
    <t>1l-kartotas</t>
  </si>
  <si>
    <t>03.:21 (04.15)</t>
  </si>
  <si>
    <t>1 l-kartotas</t>
  </si>
  <si>
    <t>Per ruožą leidžiamas vandentiekio aušinantis vanduo. Kartojamas 03.21  eksperimentas.</t>
  </si>
  <si>
    <t>M cd dalis</t>
  </si>
  <si>
    <t>Per ruožą leidžiamas vandentiekio aušinantis vanduo. Ekonom. Ventilaitorius neįjungtas.</t>
  </si>
  <si>
    <t>Tin į 2 ruožą</t>
  </si>
  <si>
    <t>Tout iš 2 ruožo</t>
  </si>
  <si>
    <t>Tmaišyt in</t>
  </si>
  <si>
    <t>Tmaišyt out</t>
  </si>
  <si>
    <t>Nu vidutinis</t>
  </si>
  <si>
    <t xml:space="preserve">Per ruožą leidžiamas vandentiekio aušinantis vanduo. </t>
  </si>
  <si>
    <t>NE</t>
  </si>
  <si>
    <t xml:space="preserve">I ruožas Δt log </t>
  </si>
  <si>
    <t xml:space="preserve">II ruožas Δt log </t>
  </si>
  <si>
    <t>I ruožas Q H2O, W</t>
  </si>
  <si>
    <t>II ruožas Q H2O, W</t>
  </si>
  <si>
    <t>I ruožas Alfa, W/m2K</t>
  </si>
  <si>
    <t>II ruožas Alfa, W/m2K</t>
  </si>
  <si>
    <t>I ruožas Nu vidut.</t>
  </si>
  <si>
    <t>II ruožas Nu vidut.</t>
  </si>
  <si>
    <t>Per ruožą leidžiamas vandentiekio aušinantis vanduo. Kartojamas 03.16 eksperimentas. Naišku ar geras buvo vand. debitas per II ruožą?</t>
  </si>
  <si>
    <t>1l/min+drėgna</t>
  </si>
  <si>
    <t>2 l/min+drėgna</t>
  </si>
  <si>
    <t>1l/min+sausa</t>
  </si>
  <si>
    <t>2 l/min+sausa</t>
  </si>
  <si>
    <t>Ruožo Nr.</t>
  </si>
  <si>
    <t>I ruožas,drėgni d.</t>
  </si>
  <si>
    <t>II ruožas, drėgni d.</t>
  </si>
  <si>
    <t>I ruožas,sausi d.</t>
  </si>
  <si>
    <t>II ruožas, sausi d.</t>
  </si>
  <si>
    <t>Re=350</t>
  </si>
  <si>
    <t>Re=750</t>
  </si>
  <si>
    <t>SU EKONOMAIZERIU</t>
  </si>
  <si>
    <t>BE EKONOMAIZERIO</t>
  </si>
  <si>
    <t>Sausi d. +ekonimaizeris, 1l/min</t>
  </si>
  <si>
    <t>Sausi, be ekonomaizerio</t>
  </si>
  <si>
    <t>Dregni d.+ekojn</t>
  </si>
  <si>
    <t>Dregnid. Be ekon.</t>
  </si>
  <si>
    <t>Aušinimas 1l/min</t>
  </si>
  <si>
    <t>Aušinimas 2l/min</t>
  </si>
  <si>
    <t>Q cw logiškas?</t>
  </si>
  <si>
    <t>??</t>
  </si>
  <si>
    <t>Ne?</t>
  </si>
  <si>
    <t>Per ruožą  vanduo neleidžiamas visai.</t>
  </si>
  <si>
    <t>Per I ruožą  vanduo leidžiamas. II ruože vandens nėra  visai.</t>
  </si>
  <si>
    <t>Per ruožą leidžiamas vandentiekio aušinantis vanduo. Rinktas kondnesatas laike. Nusimušė vandens debitas per vidurinį gyvatuką.</t>
  </si>
  <si>
    <t>?</t>
  </si>
  <si>
    <t>Per ruožą leidžiamas vandentiekio aušinantis vanduo. Tikrinama kondensato dinamika.</t>
  </si>
  <si>
    <t>????</t>
  </si>
  <si>
    <t>RUOŽAS BE PAILDOMOS IZOLIACIJOS</t>
  </si>
  <si>
    <t>AUŠINIMUI NAUDOJAMAS  VANDUO TEKANTIS PER ŠILUMOKAITĮ</t>
  </si>
  <si>
    <t>AUŠINIMUI NAUDOJAMAS VANDENTIEKIO VANDUO</t>
  </si>
  <si>
    <t>UŽDĖTA PAPILDOMA IZOLIACIJA (antras sluoksnis)</t>
  </si>
  <si>
    <t>2022.10.18-1</t>
  </si>
  <si>
    <t>2022.10.18-2</t>
  </si>
  <si>
    <t>2022.10.19-1</t>
  </si>
  <si>
    <t>2022.10.19-2</t>
  </si>
  <si>
    <t>2022.10.20-1</t>
  </si>
  <si>
    <t>2022.10.20-2</t>
  </si>
  <si>
    <t>2022.10.25-1</t>
  </si>
  <si>
    <t>2022.10.25-2</t>
  </si>
  <si>
    <t>2022.10.26-1</t>
  </si>
  <si>
    <t>2022.10.26-2</t>
  </si>
  <si>
    <t>2022.10.27-1</t>
  </si>
  <si>
    <t>2022.10.27-2</t>
  </si>
  <si>
    <t>2022.11.03-1</t>
  </si>
  <si>
    <t>2022.11.03-2</t>
  </si>
  <si>
    <t>2022.11.07-1</t>
  </si>
  <si>
    <t>2022.11.07-2</t>
  </si>
  <si>
    <t>2022.11.08-1</t>
  </si>
  <si>
    <t>2022.11.08-2</t>
  </si>
  <si>
    <t>2022.11.09-1</t>
  </si>
  <si>
    <t>2022.11.09-2</t>
  </si>
  <si>
    <t>2022.11.10-1</t>
  </si>
  <si>
    <t>2022.11.10-2</t>
  </si>
  <si>
    <t>2022.11.14-1</t>
  </si>
  <si>
    <t>2022.11.14-2</t>
  </si>
  <si>
    <t>masinė dalis-</t>
  </si>
  <si>
    <t>2022.11.15-2</t>
  </si>
  <si>
    <t>2022.11.15-1</t>
  </si>
  <si>
    <t>2022.11.16-1</t>
  </si>
  <si>
    <t>2022.11.16-2</t>
  </si>
  <si>
    <t>2022.11.17-1</t>
  </si>
  <si>
    <t>Generatorius neduoda 120 kg/h. Max apie 108-110 kg/h</t>
  </si>
  <si>
    <t>2022.11.17-2</t>
  </si>
  <si>
    <t>2022.11.21-1</t>
  </si>
  <si>
    <t>2022.11.21-2</t>
  </si>
  <si>
    <t>Data</t>
  </si>
  <si>
    <t>Mixture  (air+vapour) flow rate, kg/h</t>
  </si>
  <si>
    <r>
      <t>Mixture Re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  <r>
      <rPr>
        <b/>
        <sz val="11"/>
        <color theme="1"/>
        <rFont val="Calibri"/>
        <family val="2"/>
        <charset val="186"/>
        <scheme val="minor"/>
      </rPr>
      <t xml:space="preserve"> (orientacinis)</t>
    </r>
  </si>
  <si>
    <r>
      <t>Mixture Re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</si>
  <si>
    <t>Vapour flow rate, kg/h</t>
  </si>
  <si>
    <r>
      <t>Mixture t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  <r>
      <rPr>
        <b/>
        <sz val="11"/>
        <color theme="1"/>
        <rFont val="Calibri"/>
        <family val="2"/>
        <charset val="186"/>
        <scheme val="minor"/>
      </rPr>
      <t xml:space="preserve">, </t>
    </r>
    <r>
      <rPr>
        <b/>
        <vertAlign val="superscript"/>
        <sz val="11"/>
        <color theme="1"/>
        <rFont val="Calibri"/>
        <family val="2"/>
        <charset val="186"/>
        <scheme val="minor"/>
      </rPr>
      <t>o</t>
    </r>
    <r>
      <rPr>
        <b/>
        <sz val="11"/>
        <color theme="1"/>
        <rFont val="Calibri"/>
        <family val="2"/>
        <charset val="186"/>
        <scheme val="minor"/>
      </rPr>
      <t>C</t>
    </r>
  </si>
  <si>
    <r>
      <t xml:space="preserve"> Mixture RH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  <r>
      <rPr>
        <b/>
        <sz val="11"/>
        <color theme="1"/>
        <rFont val="Calibri"/>
        <family val="2"/>
        <charset val="186"/>
        <scheme val="minor"/>
      </rPr>
      <t>, % (shown by device)</t>
    </r>
  </si>
  <si>
    <t>M cd mass fraction %</t>
  </si>
  <si>
    <t>Cond. Efficiency</t>
  </si>
  <si>
    <t>Cooling water flow rate, l/h</t>
  </si>
  <si>
    <t>Ratio of water/mixture flow rates</t>
  </si>
  <si>
    <r>
      <t>Cooling H</t>
    </r>
    <r>
      <rPr>
        <b/>
        <vertAlign val="subscript"/>
        <sz val="11"/>
        <color theme="1"/>
        <rFont val="Calibri"/>
        <family val="2"/>
        <charset val="186"/>
        <scheme val="minor"/>
      </rPr>
      <t>2</t>
    </r>
    <r>
      <rPr>
        <b/>
        <sz val="11"/>
        <color theme="1"/>
        <rFont val="Calibri"/>
        <family val="2"/>
        <charset val="186"/>
        <scheme val="minor"/>
      </rPr>
      <t>O t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  <r>
      <rPr>
        <b/>
        <sz val="11"/>
        <color theme="1"/>
        <rFont val="Calibri"/>
        <family val="2"/>
        <charset val="186"/>
        <scheme val="minor"/>
      </rPr>
      <t xml:space="preserve">, </t>
    </r>
    <r>
      <rPr>
        <b/>
        <vertAlign val="superscript"/>
        <sz val="11"/>
        <color theme="1"/>
        <rFont val="Calibri"/>
        <family val="2"/>
        <charset val="186"/>
        <scheme val="minor"/>
      </rPr>
      <t>o</t>
    </r>
    <r>
      <rPr>
        <b/>
        <sz val="11"/>
        <color theme="1"/>
        <rFont val="Calibri"/>
        <family val="2"/>
        <charset val="186"/>
        <scheme val="minor"/>
      </rPr>
      <t>C</t>
    </r>
  </si>
  <si>
    <t>Delta t, H2O in mixers before and after test section</t>
  </si>
  <si>
    <t>Remark</t>
  </si>
  <si>
    <t>kartotas 2022.11.21-2 režimas</t>
  </si>
  <si>
    <t>2022.11.24-1</t>
  </si>
  <si>
    <t>2022.11.24-2</t>
  </si>
  <si>
    <t>30.11.2022</t>
  </si>
  <si>
    <t>01.12.2022</t>
  </si>
  <si>
    <t>02.12.2022</t>
  </si>
  <si>
    <t>05.12.2022</t>
  </si>
  <si>
    <t>06.12.2022</t>
  </si>
  <si>
    <t>Dew point</t>
  </si>
  <si>
    <t>Real one</t>
  </si>
  <si>
    <t xml:space="preserve">  63.987	</t>
  </si>
  <si>
    <t>Heat gained</t>
  </si>
  <si>
    <t>Date</t>
  </si>
  <si>
    <t>Re</t>
  </si>
  <si>
    <t xml:space="preserve">Mass Fraction </t>
  </si>
  <si>
    <t xml:space="preserve">Heat lost </t>
  </si>
  <si>
    <t>Condensation flow rate</t>
  </si>
  <si>
    <t>Condensation efficiecny</t>
  </si>
  <si>
    <t>07.12.2022</t>
  </si>
  <si>
    <t>08.12.2022</t>
  </si>
  <si>
    <t>09.12.2022</t>
  </si>
  <si>
    <t>12.12.2022</t>
  </si>
  <si>
    <t>13.12.2022</t>
  </si>
  <si>
    <t>14.12.2022</t>
  </si>
  <si>
    <t>First_Cond</t>
  </si>
  <si>
    <t>Second_Cond</t>
  </si>
  <si>
    <t>Third_Cond</t>
  </si>
  <si>
    <t>Fourth_Cond</t>
  </si>
  <si>
    <t>Fifth_Cond</t>
  </si>
  <si>
    <t>Sixth_Cond</t>
  </si>
  <si>
    <t>Seventh_Cond</t>
  </si>
  <si>
    <t>Eighth_Cond</t>
  </si>
  <si>
    <t>First_Nusselt</t>
  </si>
  <si>
    <t>Second_Nusselt</t>
  </si>
  <si>
    <t>Third_Nusselt</t>
  </si>
  <si>
    <t>Fourth_Nusselt</t>
  </si>
  <si>
    <t>Fifth_Nusselt</t>
  </si>
  <si>
    <t>Sixth_Nusselt</t>
  </si>
  <si>
    <t>Seventh_Nusselt</t>
  </si>
  <si>
    <t>Eighth_Nusselt</t>
  </si>
  <si>
    <t>First_heat_Coef</t>
  </si>
  <si>
    <t>Eighth_heat_Coef</t>
  </si>
  <si>
    <t>Seventh_heat_Coef</t>
  </si>
  <si>
    <t>Sixth_heat_Coef</t>
  </si>
  <si>
    <t>Fifth_heat_Coef</t>
  </si>
  <si>
    <t>Fourth_heat_Coef</t>
  </si>
  <si>
    <t>Third_heat_Coef</t>
  </si>
  <si>
    <t>Second_heat_Coef</t>
  </si>
  <si>
    <t>15.12.2022</t>
  </si>
  <si>
    <t>16.12.2022</t>
  </si>
  <si>
    <t>19.12.2022</t>
  </si>
  <si>
    <t>23.12.2022</t>
  </si>
  <si>
    <t>20.12.2022</t>
  </si>
  <si>
    <t>22.12.2022</t>
  </si>
  <si>
    <t>27.12.2022</t>
  </si>
  <si>
    <t>28.12.2022</t>
  </si>
  <si>
    <t>29.12.2022</t>
  </si>
  <si>
    <t>30.12.2022</t>
  </si>
  <si>
    <t>03.01.2023</t>
  </si>
  <si>
    <t>04.01.2023</t>
  </si>
  <si>
    <t>05.01.2023</t>
  </si>
  <si>
    <t>06.01.2023</t>
  </si>
  <si>
    <t>09.01.2023</t>
  </si>
  <si>
    <t>Heat of condensate_1</t>
  </si>
  <si>
    <t>Heat of condensate_2</t>
  </si>
  <si>
    <t>Heat of condensate_3</t>
  </si>
  <si>
    <t>Heat of condensate_4</t>
  </si>
  <si>
    <t>Heat of condensate_5</t>
  </si>
  <si>
    <t>Heat of condensate_6</t>
  </si>
  <si>
    <t>Heat of condensate_7</t>
  </si>
  <si>
    <t>Heat of condensate_8</t>
  </si>
  <si>
    <t>Heat released by the mixture_1</t>
  </si>
  <si>
    <t>Heat released by the mixture_2</t>
  </si>
  <si>
    <t>Heat released by the mixture_3</t>
  </si>
  <si>
    <t>Heat released by the mixture_4</t>
  </si>
  <si>
    <t>Heat released by the mixture_5</t>
  </si>
  <si>
    <t>Heat released by the mixture_6</t>
  </si>
  <si>
    <t>Heat released by the mixture_7</t>
  </si>
  <si>
    <t>Heat released by the mixture_8</t>
  </si>
  <si>
    <t>Dew point_1</t>
  </si>
  <si>
    <t>Dew point_2</t>
  </si>
  <si>
    <t>Dew point_3</t>
  </si>
  <si>
    <t>Dew point_4</t>
  </si>
  <si>
    <t>Dew point_5</t>
  </si>
  <si>
    <t>Dew point_6</t>
  </si>
  <si>
    <t>Dew point_7</t>
  </si>
  <si>
    <t>Dew point_8</t>
  </si>
  <si>
    <t>Temperature decrease of the mixture_1</t>
  </si>
  <si>
    <t>Temperature decrease of the mixture_2</t>
  </si>
  <si>
    <t>Temperature decrease of the mixture_3</t>
  </si>
  <si>
    <t>Temperature decrease of the mixture_4</t>
  </si>
  <si>
    <t>Temperature decrease of the mixture_5</t>
  </si>
  <si>
    <t>Temperature decrease of the mixture_6</t>
  </si>
  <si>
    <t>Temperature decrease of the mixture_7</t>
  </si>
  <si>
    <t>Temperature decrease of the mixture_8</t>
  </si>
  <si>
    <t>Temperature increase of the cooling water_1</t>
  </si>
  <si>
    <t>Temperature increase of the cooling water_2</t>
  </si>
  <si>
    <t>Temperature increase of the cooling water_3</t>
  </si>
  <si>
    <t>Temperature increase of the cooling water_4</t>
  </si>
  <si>
    <t>Temperature increase of the cooling water_5</t>
  </si>
  <si>
    <t>Temperature increase of the cooling water_6</t>
  </si>
  <si>
    <t>Temperature increase of the cooling water_7</t>
  </si>
  <si>
    <t>Temperature increase of the cooling water_8</t>
  </si>
  <si>
    <t>Specific humidity</t>
  </si>
  <si>
    <t>Dewpoint</t>
  </si>
  <si>
    <t>Specific humidity_1</t>
  </si>
  <si>
    <t>Specific humidity_8</t>
  </si>
  <si>
    <t>Specific humidity_7</t>
  </si>
  <si>
    <t>Specific humidity_6</t>
  </si>
  <si>
    <t>Specific humidity_5</t>
  </si>
  <si>
    <t>Specific humidity_4</t>
  </si>
  <si>
    <t>Specific humidity_3</t>
  </si>
  <si>
    <t>Specific humidity_2</t>
  </si>
  <si>
    <t>Heat gained by cooling water_1</t>
  </si>
  <si>
    <t>Heat gained by cooling water_2</t>
  </si>
  <si>
    <t>Heat gained by cooling water_3</t>
  </si>
  <si>
    <t>Heat gained by cooling water_4</t>
  </si>
  <si>
    <t>Heat gained by cooling water_5</t>
  </si>
  <si>
    <t>Heat gained by cooling water_6</t>
  </si>
  <si>
    <t>Heat gained by cooling water_7</t>
  </si>
  <si>
    <t>Heat gained by cooling water_8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</si>
</sst>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0"/>
    <numFmt numFmtId="166" formatCode="0.000"/>
  </numFmts>
  <fonts count="16" x14ac:knownFonts="1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86"/>
      <scheme val="minor"/>
    </font>
    <font>
      <b/>
      <vertAlign val="subscript"/>
      <sz val="11"/>
      <color theme="1"/>
      <name val="Calibri"/>
      <family val="2"/>
      <charset val="186"/>
      <scheme val="minor"/>
    </font>
    <font>
      <b/>
      <vertAlign val="superscript"/>
      <sz val="11"/>
      <color theme="1"/>
      <name val="Calibri"/>
      <family val="2"/>
      <charset val="186"/>
      <scheme val="minor"/>
    </font>
    <font>
      <strike/>
      <sz val="11"/>
      <color theme="1"/>
      <name val="Calibri"/>
      <family val="2"/>
      <charset val="186"/>
      <scheme val="minor"/>
    </font>
    <font>
      <b/>
      <sz val="11"/>
      <color rgb="FFFF0000"/>
      <name val="Calibri"/>
      <family val="2"/>
      <charset val="186"/>
      <scheme val="minor"/>
    </font>
    <font>
      <sz val="11"/>
      <color rgb="FFFF0000"/>
      <name val="Calibri"/>
      <family val="2"/>
      <charset val="186"/>
      <scheme val="minor"/>
    </font>
    <font>
      <b/>
      <sz val="11"/>
      <color theme="1"/>
      <name val="Calibri"/>
      <family val="2"/>
      <charset val="186"/>
    </font>
    <font>
      <sz val="11"/>
      <name val="Calibri"/>
      <family val="2"/>
      <charset val="186"/>
      <scheme val="minor"/>
    </font>
    <font>
      <sz val="9"/>
      <color rgb="FF333333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86"/>
      <scheme val="minor"/>
    </font>
    <font>
      <sz val="8"/>
      <name val="Calibri"/>
      <family val="2"/>
      <charset val="186"/>
      <scheme val="minor"/>
    </font>
    <font>
      <sz val="1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39997558519241921"/>
        <bgColor indexed="65"/>
      </patternFill>
    </fill>
    <fill>
      <patternFill patternType="solid">
        <fgColor rgb="FFF8F8F8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rgb="FFDDDDDD"/>
      </bottom>
      <diagonal/>
    </border>
  </borders>
  <cellStyleXfs count="9">
    <xf numFmtId="0" fontId="0" fillId="0" borderId="0"/>
    <xf numFmtId="0" fontId="2" fillId="20" borderId="0" applyNumberFormat="0" applyBorder="0" applyAlignment="0" applyProtection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</cellStyleXfs>
  <cellXfs count="187">
    <xf numFmtId="0" fontId="0" fillId="0" borderId="0" xfId="0"/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horizontal="left" vertical="center" wrapText="1"/>
    </xf>
    <xf numFmtId="14" fontId="0" fillId="0" borderId="3" xfId="0" applyNumberFormat="1" applyBorder="1" applyAlignment="1">
      <alignment horizontal="center" vertical="center" wrapText="1"/>
    </xf>
    <xf numFmtId="14" fontId="0" fillId="0" borderId="3" xfId="0" applyNumberFormat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7" fillId="0" borderId="3" xfId="0" applyFont="1" applyBorder="1" applyAlignment="1">
      <alignment horizontal="left" vertical="center" wrapText="1"/>
    </xf>
    <xf numFmtId="0" fontId="0" fillId="0" borderId="6" xfId="0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4" fontId="0" fillId="2" borderId="3" xfId="0" applyNumberFormat="1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6" fillId="0" borderId="3" xfId="0" applyFont="1" applyBorder="1" applyAlignment="1">
      <alignment horizontal="left" vertical="center" wrapText="1"/>
    </xf>
    <xf numFmtId="0" fontId="0" fillId="0" borderId="5" xfId="0" applyBorder="1" applyAlignment="1">
      <alignment horizontal="center" vertical="center"/>
    </xf>
    <xf numFmtId="0" fontId="0" fillId="2" borderId="3" xfId="0" applyFill="1" applyBorder="1" applyAlignment="1">
      <alignment horizontal="left" vertical="center" wrapText="1"/>
    </xf>
    <xf numFmtId="0" fontId="0" fillId="2" borderId="3" xfId="0" applyFill="1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3" fillId="3" borderId="2" xfId="0" applyFont="1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/>
    </xf>
    <xf numFmtId="0" fontId="0" fillId="3" borderId="3" xfId="0" applyFill="1" applyBorder="1" applyAlignment="1">
      <alignment horizontal="center"/>
    </xf>
    <xf numFmtId="0" fontId="0" fillId="2" borderId="3" xfId="0" applyFill="1" applyBorder="1" applyAlignment="1">
      <alignment vertical="center" wrapText="1"/>
    </xf>
    <xf numFmtId="0" fontId="0" fillId="0" borderId="3" xfId="0" applyBorder="1"/>
    <xf numFmtId="1" fontId="0" fillId="2" borderId="3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 vertical="center"/>
    </xf>
    <xf numFmtId="14" fontId="0" fillId="2" borderId="0" xfId="0" applyNumberFormat="1" applyFill="1" applyAlignment="1">
      <alignment horizontal="center" vertical="center"/>
    </xf>
    <xf numFmtId="0" fontId="0" fillId="2" borderId="0" xfId="0" applyFill="1"/>
    <xf numFmtId="0" fontId="0" fillId="2" borderId="4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3" fillId="4" borderId="2" xfId="0" applyFont="1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/>
    </xf>
    <xf numFmtId="0" fontId="9" fillId="4" borderId="2" xfId="0" applyFont="1" applyFill="1" applyBorder="1" applyAlignment="1">
      <alignment horizontal="center" vertical="center" wrapText="1"/>
    </xf>
    <xf numFmtId="0" fontId="8" fillId="4" borderId="3" xfId="0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14" fontId="0" fillId="5" borderId="0" xfId="0" applyNumberFormat="1" applyFill="1" applyAlignment="1">
      <alignment horizontal="center" vertical="center"/>
    </xf>
    <xf numFmtId="14" fontId="0" fillId="5" borderId="3" xfId="0" applyNumberFormat="1" applyFill="1" applyBorder="1" applyAlignment="1">
      <alignment horizontal="center"/>
    </xf>
    <xf numFmtId="14" fontId="0" fillId="5" borderId="3" xfId="0" applyNumberForma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14" fontId="0" fillId="5" borderId="7" xfId="0" applyNumberFormat="1" applyFill="1" applyBorder="1" applyAlignment="1">
      <alignment horizontal="center" vertical="center"/>
    </xf>
    <xf numFmtId="0" fontId="0" fillId="5" borderId="4" xfId="0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0" fillId="6" borderId="0" xfId="0" applyFill="1"/>
    <xf numFmtId="0" fontId="0" fillId="7" borderId="3" xfId="0" applyFill="1" applyBorder="1" applyAlignment="1">
      <alignment horizontal="center"/>
    </xf>
    <xf numFmtId="0" fontId="0" fillId="8" borderId="3" xfId="0" applyFill="1" applyBorder="1" applyAlignment="1">
      <alignment horizontal="center" vertical="center"/>
    </xf>
    <xf numFmtId="0" fontId="0" fillId="9" borderId="3" xfId="0" applyFill="1" applyBorder="1" applyAlignment="1">
      <alignment horizontal="center"/>
    </xf>
    <xf numFmtId="0" fontId="0" fillId="7" borderId="3" xfId="0" applyFill="1" applyBorder="1" applyAlignment="1">
      <alignment horizontal="center" vertical="center"/>
    </xf>
    <xf numFmtId="1" fontId="0" fillId="2" borderId="3" xfId="0" applyNumberFormat="1" applyFill="1" applyBorder="1" applyAlignment="1">
      <alignment horizontal="center" vertical="center"/>
    </xf>
    <xf numFmtId="14" fontId="0" fillId="8" borderId="3" xfId="0" applyNumberFormat="1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0" fontId="0" fillId="11" borderId="3" xfId="0" applyFill="1" applyBorder="1" applyAlignment="1">
      <alignment horizontal="center" vertical="center"/>
    </xf>
    <xf numFmtId="14" fontId="0" fillId="11" borderId="3" xfId="0" applyNumberFormat="1" applyFill="1" applyBorder="1" applyAlignment="1">
      <alignment horizontal="center" vertical="center" wrapText="1"/>
    </xf>
    <xf numFmtId="0" fontId="0" fillId="11" borderId="3" xfId="0" applyFill="1" applyBorder="1" applyAlignment="1">
      <alignment horizontal="center" vertical="center" wrapText="1"/>
    </xf>
    <xf numFmtId="0" fontId="0" fillId="11" borderId="3" xfId="0" applyFill="1" applyBorder="1" applyAlignment="1">
      <alignment horizontal="left" vertical="center" wrapText="1"/>
    </xf>
    <xf numFmtId="0" fontId="0" fillId="11" borderId="0" xfId="0" applyFill="1"/>
    <xf numFmtId="14" fontId="0" fillId="11" borderId="3" xfId="0" applyNumberFormat="1" applyFill="1" applyBorder="1" applyAlignment="1">
      <alignment horizontal="center" vertical="center"/>
    </xf>
    <xf numFmtId="1" fontId="0" fillId="11" borderId="3" xfId="0" applyNumberFormat="1" applyFill="1" applyBorder="1" applyAlignment="1">
      <alignment horizontal="center" vertical="center"/>
    </xf>
    <xf numFmtId="0" fontId="0" fillId="12" borderId="3" xfId="0" applyFill="1" applyBorder="1" applyAlignment="1">
      <alignment horizontal="center" vertical="center"/>
    </xf>
    <xf numFmtId="14" fontId="0" fillId="12" borderId="3" xfId="0" applyNumberFormat="1" applyFill="1" applyBorder="1" applyAlignment="1">
      <alignment horizontal="center" vertical="center" wrapText="1"/>
    </xf>
    <xf numFmtId="0" fontId="0" fillId="12" borderId="3" xfId="0" applyFill="1" applyBorder="1" applyAlignment="1">
      <alignment horizontal="center" vertical="center" wrapText="1"/>
    </xf>
    <xf numFmtId="0" fontId="0" fillId="12" borderId="3" xfId="0" applyFill="1" applyBorder="1" applyAlignment="1">
      <alignment horizontal="left" vertical="center" wrapText="1"/>
    </xf>
    <xf numFmtId="0" fontId="0" fillId="12" borderId="0" xfId="0" applyFill="1"/>
    <xf numFmtId="14" fontId="0" fillId="10" borderId="3" xfId="0" applyNumberFormat="1" applyFill="1" applyBorder="1" applyAlignment="1">
      <alignment horizontal="center"/>
    </xf>
    <xf numFmtId="14" fontId="0" fillId="10" borderId="7" xfId="0" applyNumberFormat="1" applyFill="1" applyBorder="1" applyAlignment="1">
      <alignment horizontal="center" vertical="center"/>
    </xf>
    <xf numFmtId="0" fontId="8" fillId="2" borderId="0" xfId="0" applyFont="1" applyFill="1"/>
    <xf numFmtId="2" fontId="0" fillId="0" borderId="4" xfId="0" applyNumberForma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/>
    </xf>
    <xf numFmtId="0" fontId="10" fillId="0" borderId="3" xfId="0" applyFont="1" applyBorder="1"/>
    <xf numFmtId="0" fontId="10" fillId="0" borderId="3" xfId="0" applyFont="1" applyBorder="1" applyAlignment="1">
      <alignment horizontal="center" vertical="center"/>
    </xf>
    <xf numFmtId="0" fontId="0" fillId="13" borderId="3" xfId="0" applyFill="1" applyBorder="1" applyAlignment="1">
      <alignment horizontal="center"/>
    </xf>
    <xf numFmtId="14" fontId="0" fillId="13" borderId="3" xfId="0" applyNumberFormat="1" applyFill="1" applyBorder="1" applyAlignment="1">
      <alignment horizontal="center" vertical="center"/>
    </xf>
    <xf numFmtId="0" fontId="10" fillId="13" borderId="3" xfId="0" applyFont="1" applyFill="1" applyBorder="1" applyAlignment="1">
      <alignment horizontal="center" vertical="center" wrapText="1"/>
    </xf>
    <xf numFmtId="2" fontId="10" fillId="13" borderId="4" xfId="0" applyNumberFormat="1" applyFont="1" applyFill="1" applyBorder="1" applyAlignment="1">
      <alignment horizontal="center" vertical="center" wrapText="1"/>
    </xf>
    <xf numFmtId="164" fontId="10" fillId="13" borderId="3" xfId="0" applyNumberFormat="1" applyFont="1" applyFill="1" applyBorder="1" applyAlignment="1">
      <alignment horizontal="center" vertical="center" wrapText="1"/>
    </xf>
    <xf numFmtId="164" fontId="10" fillId="13" borderId="4" xfId="0" applyNumberFormat="1" applyFont="1" applyFill="1" applyBorder="1" applyAlignment="1">
      <alignment horizontal="center" vertical="center" wrapText="1"/>
    </xf>
    <xf numFmtId="0" fontId="10" fillId="13" borderId="3" xfId="0" applyFont="1" applyFill="1" applyBorder="1" applyAlignment="1">
      <alignment horizontal="center"/>
    </xf>
    <xf numFmtId="14" fontId="10" fillId="13" borderId="3" xfId="0" applyNumberFormat="1" applyFont="1" applyFill="1" applyBorder="1" applyAlignment="1">
      <alignment horizontal="center"/>
    </xf>
    <xf numFmtId="164" fontId="10" fillId="13" borderId="3" xfId="0" applyNumberFormat="1" applyFon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14" fontId="10" fillId="6" borderId="3" xfId="0" applyNumberFormat="1" applyFont="1" applyFill="1" applyBorder="1" applyAlignment="1">
      <alignment horizontal="center" vertical="center" wrapText="1"/>
    </xf>
    <xf numFmtId="0" fontId="10" fillId="6" borderId="3" xfId="0" applyFont="1" applyFill="1" applyBorder="1" applyAlignment="1">
      <alignment horizontal="center" vertical="center" wrapText="1"/>
    </xf>
    <xf numFmtId="2" fontId="10" fillId="6" borderId="4" xfId="0" applyNumberFormat="1" applyFont="1" applyFill="1" applyBorder="1" applyAlignment="1">
      <alignment horizontal="center" vertical="center" wrapText="1"/>
    </xf>
    <xf numFmtId="0" fontId="10" fillId="14" borderId="3" xfId="0" applyFont="1" applyFill="1" applyBorder="1" applyAlignment="1">
      <alignment horizontal="center"/>
    </xf>
    <xf numFmtId="14" fontId="10" fillId="14" borderId="3" xfId="0" applyNumberFormat="1" applyFont="1" applyFill="1" applyBorder="1" applyAlignment="1">
      <alignment horizontal="center"/>
    </xf>
    <xf numFmtId="0" fontId="10" fillId="14" borderId="3" xfId="0" applyFont="1" applyFill="1" applyBorder="1" applyAlignment="1">
      <alignment horizontal="center" vertical="center" wrapText="1"/>
    </xf>
    <xf numFmtId="164" fontId="10" fillId="14" borderId="3" xfId="0" applyNumberFormat="1" applyFont="1" applyFill="1" applyBorder="1" applyAlignment="1">
      <alignment horizontal="center"/>
    </xf>
    <xf numFmtId="0" fontId="10" fillId="14" borderId="3" xfId="0" applyFont="1" applyFill="1" applyBorder="1" applyAlignment="1">
      <alignment horizontal="center" vertical="center"/>
    </xf>
    <xf numFmtId="14" fontId="10" fillId="14" borderId="3" xfId="0" applyNumberFormat="1" applyFont="1" applyFill="1" applyBorder="1" applyAlignment="1">
      <alignment horizontal="center" vertical="center"/>
    </xf>
    <xf numFmtId="164" fontId="10" fillId="14" borderId="3" xfId="0" applyNumberFormat="1" applyFont="1" applyFill="1" applyBorder="1" applyAlignment="1">
      <alignment horizontal="center" vertical="center"/>
    </xf>
    <xf numFmtId="14" fontId="0" fillId="15" borderId="3" xfId="0" applyNumberFormat="1" applyFill="1" applyBorder="1" applyAlignment="1">
      <alignment horizontal="center" vertical="center"/>
    </xf>
    <xf numFmtId="0" fontId="0" fillId="15" borderId="3" xfId="0" applyFill="1" applyBorder="1" applyAlignment="1">
      <alignment horizontal="center" vertical="center"/>
    </xf>
    <xf numFmtId="0" fontId="10" fillId="15" borderId="3" xfId="0" applyFont="1" applyFill="1" applyBorder="1" applyAlignment="1">
      <alignment horizontal="center" vertical="center" wrapText="1"/>
    </xf>
    <xf numFmtId="164" fontId="0" fillId="15" borderId="3" xfId="0" applyNumberFormat="1" applyFill="1" applyBorder="1" applyAlignment="1">
      <alignment horizontal="center" vertical="center"/>
    </xf>
    <xf numFmtId="0" fontId="10" fillId="5" borderId="3" xfId="0" applyFont="1" applyFill="1" applyBorder="1" applyAlignment="1">
      <alignment horizontal="center" vertical="center"/>
    </xf>
    <xf numFmtId="14" fontId="0" fillId="6" borderId="3" xfId="0" applyNumberFormat="1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 wrapText="1"/>
    </xf>
    <xf numFmtId="2" fontId="0" fillId="6" borderId="4" xfId="0" applyNumberFormat="1" applyFill="1" applyBorder="1" applyAlignment="1">
      <alignment horizontal="center" vertical="center" wrapText="1"/>
    </xf>
    <xf numFmtId="0" fontId="0" fillId="12" borderId="3" xfId="0" applyFill="1" applyBorder="1"/>
    <xf numFmtId="0" fontId="10" fillId="16" borderId="3" xfId="0" applyFont="1" applyFill="1" applyBorder="1" applyAlignment="1">
      <alignment horizontal="center" vertical="center" wrapText="1"/>
    </xf>
    <xf numFmtId="0" fontId="0" fillId="16" borderId="3" xfId="0" applyFill="1" applyBorder="1" applyAlignment="1">
      <alignment horizontal="center" vertical="center"/>
    </xf>
    <xf numFmtId="14" fontId="0" fillId="16" borderId="3" xfId="0" applyNumberFormat="1" applyFill="1" applyBorder="1" applyAlignment="1">
      <alignment horizontal="center" vertical="center"/>
    </xf>
    <xf numFmtId="164" fontId="0" fillId="16" borderId="3" xfId="0" applyNumberFormat="1" applyFill="1" applyBorder="1" applyAlignment="1">
      <alignment horizontal="center" vertical="center"/>
    </xf>
    <xf numFmtId="0" fontId="10" fillId="10" borderId="3" xfId="0" applyFont="1" applyFill="1" applyBorder="1" applyAlignment="1">
      <alignment horizontal="center" vertical="center" wrapText="1"/>
    </xf>
    <xf numFmtId="164" fontId="10" fillId="10" borderId="3" xfId="0" applyNumberFormat="1" applyFont="1" applyFill="1" applyBorder="1" applyAlignment="1">
      <alignment horizontal="center" vertical="center" wrapText="1"/>
    </xf>
    <xf numFmtId="0" fontId="0" fillId="10" borderId="3" xfId="0" applyFill="1" applyBorder="1" applyAlignment="1">
      <alignment horizontal="center"/>
    </xf>
    <xf numFmtId="14" fontId="0" fillId="10" borderId="3" xfId="0" applyNumberFormat="1" applyFill="1" applyBorder="1" applyAlignment="1">
      <alignment horizontal="center" vertical="center"/>
    </xf>
    <xf numFmtId="0" fontId="0" fillId="17" borderId="3" xfId="0" applyFill="1" applyBorder="1" applyAlignment="1">
      <alignment horizontal="center"/>
    </xf>
    <xf numFmtId="164" fontId="10" fillId="17" borderId="3" xfId="0" applyNumberFormat="1" applyFont="1" applyFill="1" applyBorder="1" applyAlignment="1">
      <alignment horizontal="center" vertical="center" wrapText="1"/>
    </xf>
    <xf numFmtId="0" fontId="10" fillId="8" borderId="3" xfId="0" applyFont="1" applyFill="1" applyBorder="1" applyAlignment="1">
      <alignment horizontal="center" vertical="center" wrapText="1"/>
    </xf>
    <xf numFmtId="164" fontId="0" fillId="8" borderId="3" xfId="0" applyNumberFormat="1" applyFill="1" applyBorder="1" applyAlignment="1">
      <alignment horizontal="center" vertical="center"/>
    </xf>
    <xf numFmtId="0" fontId="0" fillId="8" borderId="3" xfId="0" applyFill="1" applyBorder="1"/>
    <xf numFmtId="14" fontId="0" fillId="17" borderId="3" xfId="0" applyNumberFormat="1" applyFill="1" applyBorder="1" applyAlignment="1">
      <alignment horizontal="center"/>
    </xf>
    <xf numFmtId="0" fontId="0" fillId="18" borderId="8" xfId="0" applyFill="1" applyBorder="1" applyAlignment="1">
      <alignment horizontal="center"/>
    </xf>
    <xf numFmtId="14" fontId="0" fillId="18" borderId="3" xfId="0" applyNumberFormat="1" applyFill="1" applyBorder="1" applyAlignment="1">
      <alignment horizontal="center"/>
    </xf>
    <xf numFmtId="0" fontId="10" fillId="18" borderId="3" xfId="0" applyFont="1" applyFill="1" applyBorder="1" applyAlignment="1">
      <alignment horizontal="center" vertical="center" wrapText="1"/>
    </xf>
    <xf numFmtId="0" fontId="10" fillId="18" borderId="3" xfId="0" applyFont="1" applyFill="1" applyBorder="1" applyAlignment="1">
      <alignment horizontal="center" vertical="center"/>
    </xf>
    <xf numFmtId="164" fontId="10" fillId="18" borderId="3" xfId="0" applyNumberFormat="1" applyFont="1" applyFill="1" applyBorder="1" applyAlignment="1">
      <alignment horizontal="center" vertical="center"/>
    </xf>
    <xf numFmtId="0" fontId="0" fillId="18" borderId="3" xfId="0" applyFill="1" applyBorder="1" applyAlignment="1">
      <alignment horizontal="center"/>
    </xf>
    <xf numFmtId="0" fontId="10" fillId="19" borderId="3" xfId="0" applyFont="1" applyFill="1" applyBorder="1" applyAlignment="1">
      <alignment horizontal="center" vertical="center"/>
    </xf>
    <xf numFmtId="14" fontId="0" fillId="19" borderId="3" xfId="0" applyNumberFormat="1" applyFill="1" applyBorder="1" applyAlignment="1">
      <alignment horizontal="center" vertical="center"/>
    </xf>
    <xf numFmtId="0" fontId="0" fillId="19" borderId="3" xfId="0" applyFill="1" applyBorder="1" applyAlignment="1">
      <alignment horizontal="center" vertical="center"/>
    </xf>
    <xf numFmtId="0" fontId="10" fillId="19" borderId="3" xfId="0" applyFont="1" applyFill="1" applyBorder="1" applyAlignment="1">
      <alignment horizontal="center" vertical="center" wrapText="1"/>
    </xf>
    <xf numFmtId="164" fontId="0" fillId="19" borderId="3" xfId="0" applyNumberFormat="1" applyFill="1" applyBorder="1" applyAlignment="1">
      <alignment horizontal="center" vertical="center"/>
    </xf>
    <xf numFmtId="2" fontId="10" fillId="6" borderId="3" xfId="0" applyNumberFormat="1" applyFont="1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/>
    </xf>
    <xf numFmtId="164" fontId="10" fillId="6" borderId="3" xfId="0" applyNumberFormat="1" applyFont="1" applyFill="1" applyBorder="1" applyAlignment="1">
      <alignment horizontal="center" vertical="center" wrapText="1"/>
    </xf>
    <xf numFmtId="0" fontId="10" fillId="11" borderId="3" xfId="0" applyFont="1" applyFill="1" applyBorder="1" applyAlignment="1">
      <alignment horizontal="center"/>
    </xf>
    <xf numFmtId="14" fontId="10" fillId="11" borderId="3" xfId="0" applyNumberFormat="1" applyFont="1" applyFill="1" applyBorder="1" applyAlignment="1">
      <alignment horizontal="center"/>
    </xf>
    <xf numFmtId="0" fontId="10" fillId="11" borderId="3" xfId="0" applyFont="1" applyFill="1" applyBorder="1" applyAlignment="1">
      <alignment horizontal="center" vertical="center" wrapText="1"/>
    </xf>
    <xf numFmtId="164" fontId="10" fillId="11" borderId="3" xfId="0" applyNumberFormat="1" applyFont="1" applyFill="1" applyBorder="1" applyAlignment="1">
      <alignment horizontal="center"/>
    </xf>
    <xf numFmtId="0" fontId="0" fillId="11" borderId="3" xfId="0" applyFill="1" applyBorder="1" applyAlignment="1">
      <alignment horizontal="center"/>
    </xf>
    <xf numFmtId="0" fontId="3" fillId="8" borderId="3" xfId="0" applyFont="1" applyFill="1" applyBorder="1" applyAlignment="1">
      <alignment horizontal="left" vertical="center"/>
    </xf>
    <xf numFmtId="14" fontId="0" fillId="11" borderId="3" xfId="0" applyNumberFormat="1" applyFill="1" applyBorder="1" applyAlignment="1">
      <alignment horizontal="center"/>
    </xf>
    <xf numFmtId="1" fontId="10" fillId="6" borderId="3" xfId="0" applyNumberFormat="1" applyFont="1" applyFill="1" applyBorder="1" applyAlignment="1">
      <alignment horizontal="center" vertical="center" wrapText="1"/>
    </xf>
    <xf numFmtId="1" fontId="10" fillId="11" borderId="3" xfId="0" applyNumberFormat="1" applyFont="1" applyFill="1" applyBorder="1" applyAlignment="1">
      <alignment horizontal="center" vertical="center" wrapText="1"/>
    </xf>
    <xf numFmtId="2" fontId="10" fillId="19" borderId="3" xfId="0" applyNumberFormat="1" applyFont="1" applyFill="1" applyBorder="1" applyAlignment="1">
      <alignment horizontal="center" vertical="center" wrapText="1"/>
    </xf>
    <xf numFmtId="0" fontId="0" fillId="19" borderId="3" xfId="0" applyFill="1" applyBorder="1"/>
    <xf numFmtId="14" fontId="0" fillId="3" borderId="3" xfId="0" applyNumberForma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 wrapText="1"/>
    </xf>
    <xf numFmtId="164" fontId="0" fillId="3" borderId="3" xfId="0" applyNumberForma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4" fontId="0" fillId="3" borderId="0" xfId="0" applyNumberFormat="1" applyFill="1" applyAlignment="1">
      <alignment horizontal="center" vertical="center"/>
    </xf>
    <xf numFmtId="14" fontId="10" fillId="19" borderId="3" xfId="0" applyNumberFormat="1" applyFont="1" applyFill="1" applyBorder="1" applyAlignment="1">
      <alignment horizontal="center" vertical="center" wrapText="1"/>
    </xf>
    <xf numFmtId="0" fontId="0" fillId="19" borderId="3" xfId="0" applyFill="1" applyBorder="1" applyAlignment="1">
      <alignment horizontal="center"/>
    </xf>
    <xf numFmtId="14" fontId="2" fillId="20" borderId="0" xfId="1" applyNumberFormat="1"/>
    <xf numFmtId="164" fontId="2" fillId="20" borderId="0" xfId="1" applyNumberFormat="1" applyAlignment="1">
      <alignment horizontal="center"/>
    </xf>
    <xf numFmtId="0" fontId="2" fillId="20" borderId="8" xfId="1" applyBorder="1" applyAlignment="1">
      <alignment horizontal="center" vertical="center" wrapText="1"/>
    </xf>
    <xf numFmtId="0" fontId="2" fillId="20" borderId="0" xfId="1" applyBorder="1" applyAlignment="1">
      <alignment horizontal="center" vertical="center" wrapText="1"/>
    </xf>
    <xf numFmtId="0" fontId="2" fillId="20" borderId="0" xfId="1"/>
    <xf numFmtId="165" fontId="0" fillId="2" borderId="0" xfId="0" applyNumberFormat="1" applyFill="1"/>
    <xf numFmtId="0" fontId="10" fillId="19" borderId="8" xfId="0" applyFont="1" applyFill="1" applyBorder="1" applyAlignment="1">
      <alignment horizontal="center" vertical="center" wrapText="1"/>
    </xf>
    <xf numFmtId="0" fontId="10" fillId="19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10" fillId="19" borderId="9" xfId="0" applyFont="1" applyFill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11" fillId="0" borderId="0" xfId="0" applyFont="1"/>
    <xf numFmtId="0" fontId="11" fillId="21" borderId="11" xfId="0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1" fillId="21" borderId="11" xfId="0" applyFont="1" applyFill="1" applyBorder="1" applyAlignment="1">
      <alignment vertical="center" wrapText="1"/>
    </xf>
    <xf numFmtId="0" fontId="0" fillId="0" borderId="8" xfId="0" applyBorder="1" applyAlignment="1">
      <alignment horizontal="center" vertical="center" wrapText="1"/>
    </xf>
    <xf numFmtId="0" fontId="0" fillId="2" borderId="0" xfId="0" applyFill="1" applyAlignment="1">
      <alignment wrapText="1"/>
    </xf>
    <xf numFmtId="14" fontId="0" fillId="0" borderId="0" xfId="0" applyNumberFormat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166" fontId="0" fillId="0" borderId="3" xfId="0" applyNumberFormat="1" applyBorder="1" applyAlignment="1">
      <alignment horizontal="center"/>
    </xf>
    <xf numFmtId="0" fontId="1" fillId="0" borderId="3" xfId="2" applyBorder="1" applyAlignment="1">
      <alignment horizontal="center"/>
    </xf>
    <xf numFmtId="14" fontId="15" fillId="2" borderId="0" xfId="0" applyNumberFormat="1" applyFont="1" applyFill="1" applyAlignment="1">
      <alignment horizontal="center" wrapText="1"/>
    </xf>
    <xf numFmtId="0" fontId="15" fillId="2" borderId="3" xfId="2" applyFont="1" applyFill="1" applyBorder="1" applyAlignment="1">
      <alignment horizontal="center"/>
    </xf>
    <xf numFmtId="0" fontId="15" fillId="2" borderId="0" xfId="0" applyFont="1" applyFill="1" applyAlignment="1">
      <alignment horizontal="center" wrapText="1"/>
    </xf>
    <xf numFmtId="0" fontId="15" fillId="2" borderId="0" xfId="0" applyFont="1" applyFill="1" applyAlignment="1">
      <alignment wrapText="1"/>
    </xf>
    <xf numFmtId="0" fontId="12" fillId="0" borderId="0" xfId="0" applyFont="1" applyAlignment="1">
      <alignment horizontal="center" vertical="center" wrapText="1"/>
    </xf>
    <xf numFmtId="14" fontId="0" fillId="2" borderId="0" xfId="0" applyNumberFormat="1" applyFill="1" applyAlignment="1">
      <alignment horizontal="center" wrapText="1"/>
    </xf>
    <xf numFmtId="0" fontId="0" fillId="2" borderId="0" xfId="0" applyFill="1" applyAlignment="1">
      <alignment horizontal="center" wrapText="1"/>
    </xf>
    <xf numFmtId="166" fontId="0" fillId="2" borderId="3" xfId="0" applyNumberFormat="1" applyFill="1" applyBorder="1" applyAlignment="1">
      <alignment horizontal="center"/>
    </xf>
    <xf numFmtId="0" fontId="3" fillId="3" borderId="0" xfId="0" applyFont="1" applyFill="1" applyAlignment="1">
      <alignment horizontal="center" vertical="center" wrapText="1"/>
    </xf>
    <xf numFmtId="0" fontId="12" fillId="3" borderId="0" xfId="0" applyFont="1" applyFill="1" applyAlignment="1">
      <alignment horizontal="center" vertical="center" wrapText="1"/>
    </xf>
    <xf numFmtId="0" fontId="0" fillId="3" borderId="0" xfId="0" applyFill="1" applyAlignment="1">
      <alignment wrapText="1"/>
    </xf>
    <xf numFmtId="0" fontId="15" fillId="3" borderId="0" xfId="0" applyFont="1" applyFill="1" applyAlignment="1">
      <alignment wrapText="1"/>
    </xf>
  </cellXfs>
  <cellStyles count="9">
    <cellStyle name="60% - Accent3" xfId="1" builtinId="40"/>
    <cellStyle name="Normal" xfId="0" builtinId="0"/>
    <cellStyle name="Normal 2" xfId="4" xr:uid="{C5EC5196-564B-4A4D-8409-4B010BCFA7C9}"/>
    <cellStyle name="Normal 2 2" xfId="6" xr:uid="{A6B27F8F-B05F-4B71-8A36-AB9F1B0D18F3}"/>
    <cellStyle name="Normal 2 3" xfId="8" xr:uid="{036DE2D5-4A1E-4281-91B0-7B7A49B868BD}"/>
    <cellStyle name="Normal 3" xfId="2" xr:uid="{D2DBDDEB-C183-47C3-99B5-8429CADF2133}"/>
    <cellStyle name="Paprastas 2" xfId="3" xr:uid="{72549FB3-3D04-4CA8-9DE3-191F61873649}"/>
    <cellStyle name="Paprastas 2 2" xfId="5" xr:uid="{310407AC-B9FA-4C31-B02E-D49C948B6E0E}"/>
    <cellStyle name="Paprastas 2 3" xfId="7" xr:uid="{3344A06E-BB26-4BB4-9EC5-19F94887ED4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8.xml"/><Relationship Id="rId21" Type="http://schemas.openxmlformats.org/officeDocument/2006/relationships/externalLink" Target="externalLinks/externalLink13.xml"/><Relationship Id="rId42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9.xml"/><Relationship Id="rId63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60.xml"/><Relationship Id="rId84" Type="http://schemas.openxmlformats.org/officeDocument/2006/relationships/externalLink" Target="externalLinks/externalLink76.xml"/><Relationship Id="rId89" Type="http://schemas.openxmlformats.org/officeDocument/2006/relationships/sheetMetadata" Target="metadata.xml"/><Relationship Id="rId16" Type="http://schemas.openxmlformats.org/officeDocument/2006/relationships/externalLink" Target="externalLinks/externalLink8.xml"/><Relationship Id="rId11" Type="http://schemas.openxmlformats.org/officeDocument/2006/relationships/externalLink" Target="externalLinks/externalLink3.xml"/><Relationship Id="rId32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9.xml"/><Relationship Id="rId53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50.xml"/><Relationship Id="rId74" Type="http://schemas.openxmlformats.org/officeDocument/2006/relationships/externalLink" Target="externalLinks/externalLink66.xml"/><Relationship Id="rId79" Type="http://schemas.openxmlformats.org/officeDocument/2006/relationships/externalLink" Target="externalLinks/externalLink71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externalLink" Target="externalLinks/externalLink6.xml"/><Relationship Id="rId22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9.xml"/><Relationship Id="rId30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7.xml"/><Relationship Id="rId43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40.xml"/><Relationship Id="rId56" Type="http://schemas.openxmlformats.org/officeDocument/2006/relationships/externalLink" Target="externalLinks/externalLink48.xml"/><Relationship Id="rId64" Type="http://schemas.openxmlformats.org/officeDocument/2006/relationships/externalLink" Target="externalLinks/externalLink56.xml"/><Relationship Id="rId69" Type="http://schemas.openxmlformats.org/officeDocument/2006/relationships/externalLink" Target="externalLinks/externalLink61.xml"/><Relationship Id="rId77" Type="http://schemas.openxmlformats.org/officeDocument/2006/relationships/externalLink" Target="externalLinks/externalLink69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3.xml"/><Relationship Id="rId72" Type="http://schemas.openxmlformats.org/officeDocument/2006/relationships/externalLink" Target="externalLinks/externalLink64.xml"/><Relationship Id="rId80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7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4.xml"/><Relationship Id="rId17" Type="http://schemas.openxmlformats.org/officeDocument/2006/relationships/externalLink" Target="externalLinks/externalLink9.xml"/><Relationship Id="rId25" Type="http://schemas.openxmlformats.org/officeDocument/2006/relationships/externalLink" Target="externalLinks/externalLink17.xml"/><Relationship Id="rId33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30.xml"/><Relationship Id="rId46" Type="http://schemas.openxmlformats.org/officeDocument/2006/relationships/externalLink" Target="externalLinks/externalLink38.xml"/><Relationship Id="rId59" Type="http://schemas.openxmlformats.org/officeDocument/2006/relationships/externalLink" Target="externalLinks/externalLink51.xml"/><Relationship Id="rId67" Type="http://schemas.openxmlformats.org/officeDocument/2006/relationships/externalLink" Target="externalLinks/externalLink59.xml"/><Relationship Id="rId20" Type="http://schemas.openxmlformats.org/officeDocument/2006/relationships/externalLink" Target="externalLinks/externalLink12.xml"/><Relationship Id="rId41" Type="http://schemas.openxmlformats.org/officeDocument/2006/relationships/externalLink" Target="externalLinks/externalLink33.xml"/><Relationship Id="rId54" Type="http://schemas.openxmlformats.org/officeDocument/2006/relationships/externalLink" Target="externalLinks/externalLink46.xml"/><Relationship Id="rId62" Type="http://schemas.openxmlformats.org/officeDocument/2006/relationships/externalLink" Target="externalLinks/externalLink54.xml"/><Relationship Id="rId70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7.xml"/><Relationship Id="rId83" Type="http://schemas.openxmlformats.org/officeDocument/2006/relationships/externalLink" Target="externalLinks/externalLink75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7.xml"/><Relationship Id="rId23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20.xml"/><Relationship Id="rId36" Type="http://schemas.openxmlformats.org/officeDocument/2006/relationships/externalLink" Target="externalLinks/externalLink28.xml"/><Relationship Id="rId49" Type="http://schemas.openxmlformats.org/officeDocument/2006/relationships/externalLink" Target="externalLinks/externalLink41.xml"/><Relationship Id="rId57" Type="http://schemas.openxmlformats.org/officeDocument/2006/relationships/externalLink" Target="externalLinks/externalLink49.xml"/><Relationship Id="rId10" Type="http://schemas.openxmlformats.org/officeDocument/2006/relationships/externalLink" Target="externalLinks/externalLink2.xml"/><Relationship Id="rId31" Type="http://schemas.openxmlformats.org/officeDocument/2006/relationships/externalLink" Target="externalLinks/externalLink23.xml"/><Relationship Id="rId44" Type="http://schemas.openxmlformats.org/officeDocument/2006/relationships/externalLink" Target="externalLinks/externalLink36.xml"/><Relationship Id="rId52" Type="http://schemas.openxmlformats.org/officeDocument/2006/relationships/externalLink" Target="externalLinks/externalLink44.xml"/><Relationship Id="rId60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7.xml"/><Relationship Id="rId73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70.xml"/><Relationship Id="rId81" Type="http://schemas.openxmlformats.org/officeDocument/2006/relationships/externalLink" Target="externalLinks/externalLink73.xml"/><Relationship Id="rId8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3" Type="http://schemas.openxmlformats.org/officeDocument/2006/relationships/externalLink" Target="externalLinks/externalLink5.xml"/><Relationship Id="rId18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31.xml"/><Relationship Id="rId34" Type="http://schemas.openxmlformats.org/officeDocument/2006/relationships/externalLink" Target="externalLinks/externalLink26.xml"/><Relationship Id="rId50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7.xml"/><Relationship Id="rId76" Type="http://schemas.openxmlformats.org/officeDocument/2006/relationships/externalLink" Target="externalLinks/externalLink68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63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1.xml"/><Relationship Id="rId24" Type="http://schemas.openxmlformats.org/officeDocument/2006/relationships/externalLink" Target="externalLinks/externalLink16.xml"/><Relationship Id="rId40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7.xml"/><Relationship Id="rId66" Type="http://schemas.openxmlformats.org/officeDocument/2006/relationships/externalLink" Target="externalLinks/externalLink58.xml"/><Relationship Id="rId87" Type="http://schemas.openxmlformats.org/officeDocument/2006/relationships/styles" Target="styles.xml"/><Relationship Id="rId61" Type="http://schemas.openxmlformats.org/officeDocument/2006/relationships/externalLink" Target="externalLinks/externalLink53.xml"/><Relationship Id="rId82" Type="http://schemas.openxmlformats.org/officeDocument/2006/relationships/externalLink" Target="externalLinks/externalLink74.xml"/><Relationship Id="rId19" Type="http://schemas.openxmlformats.org/officeDocument/2006/relationships/externalLink" Target="externalLinks/externalLink1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Sheet1!$C$3</c:f>
              <c:strCache>
                <c:ptCount val="1"/>
                <c:pt idx="0">
                  <c:v>1l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Sheet1!$C$5:$C$12</c:f>
              <c:numCache>
                <c:formatCode>General</c:formatCode>
                <c:ptCount val="8"/>
                <c:pt idx="0">
                  <c:v>41.985101991667683</c:v>
                </c:pt>
                <c:pt idx="1">
                  <c:v>49.282258578055746</c:v>
                </c:pt>
                <c:pt idx="2">
                  <c:v>56.112060945716529</c:v>
                </c:pt>
                <c:pt idx="3">
                  <c:v>62.126298536609447</c:v>
                </c:pt>
                <c:pt idx="4">
                  <c:v>68.449426057386432</c:v>
                </c:pt>
                <c:pt idx="5">
                  <c:v>75.849160056081871</c:v>
                </c:pt>
                <c:pt idx="6">
                  <c:v>84.584352049683062</c:v>
                </c:pt>
                <c:pt idx="7">
                  <c:v>97.249747038981255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D7-4A1B-AD7A-2E4007859921}"/>
            </c:ext>
          </c:extLst>
        </c:ser>
        <c:ser>
          <c:idx val="1"/>
          <c:order val="1"/>
          <c:tx>
            <c:strRef>
              <c:f>Sheet1!$D$3</c:f>
              <c:strCache>
                <c:ptCount val="1"/>
                <c:pt idx="0">
                  <c:v>2L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Sheet1!$D$5:$D$12</c:f>
              <c:numCache>
                <c:formatCode>General</c:formatCode>
                <c:ptCount val="8"/>
                <c:pt idx="0">
                  <c:v>22.024874175846552</c:v>
                </c:pt>
                <c:pt idx="1">
                  <c:v>31.584524259657137</c:v>
                </c:pt>
                <c:pt idx="2">
                  <c:v>39.977921758776091</c:v>
                </c:pt>
                <c:pt idx="3">
                  <c:v>46.930083603549249</c:v>
                </c:pt>
                <c:pt idx="4">
                  <c:v>52.285902466709906</c:v>
                </c:pt>
                <c:pt idx="5">
                  <c:v>54.399187975487308</c:v>
                </c:pt>
                <c:pt idx="6">
                  <c:v>51.074394883886306</c:v>
                </c:pt>
                <c:pt idx="7">
                  <c:v>41.529378758478579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D7-4A1B-AD7A-2E4007859921}"/>
            </c:ext>
          </c:extLst>
        </c:ser>
        <c:ser>
          <c:idx val="2"/>
          <c:order val="2"/>
          <c:tx>
            <c:strRef>
              <c:f>Sheet1!$E$3</c:f>
              <c:strCache>
                <c:ptCount val="1"/>
                <c:pt idx="0">
                  <c:v>1L+Auksta t.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Sheet1!$E$5:$E$12</c:f>
              <c:numCache>
                <c:formatCode>General</c:formatCode>
                <c:ptCount val="8"/>
                <c:pt idx="0">
                  <c:v>20.707500152419239</c:v>
                </c:pt>
                <c:pt idx="1">
                  <c:v>33.647594328842345</c:v>
                </c:pt>
                <c:pt idx="2">
                  <c:v>44.287285805038358</c:v>
                </c:pt>
                <c:pt idx="3">
                  <c:v>52.483483751548199</c:v>
                </c:pt>
                <c:pt idx="4">
                  <c:v>57.983271386731566</c:v>
                </c:pt>
                <c:pt idx="5">
                  <c:v>60.050730345213175</c:v>
                </c:pt>
                <c:pt idx="6">
                  <c:v>56.804087822024577</c:v>
                </c:pt>
                <c:pt idx="7">
                  <c:v>47.591982197079531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D7-4A1B-AD7A-2E4007859921}"/>
            </c:ext>
          </c:extLst>
        </c:ser>
        <c:ser>
          <c:idx val="3"/>
          <c:order val="3"/>
          <c:tx>
            <c:strRef>
              <c:f>Sheet1!$F$3</c:f>
              <c:strCache>
                <c:ptCount val="1"/>
                <c:pt idx="0">
                  <c:v>2L+Aukšta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Sheet1!$F$5:$F$12</c:f>
              <c:numCache>
                <c:formatCode>General</c:formatCode>
                <c:ptCount val="8"/>
                <c:pt idx="0">
                  <c:v>10.913316318355035</c:v>
                </c:pt>
                <c:pt idx="1">
                  <c:v>24.699344808552063</c:v>
                </c:pt>
                <c:pt idx="2">
                  <c:v>37.132849805841396</c:v>
                </c:pt>
                <c:pt idx="3">
                  <c:v>48.536798383258734</c:v>
                </c:pt>
                <c:pt idx="4">
                  <c:v>58.55921354554269</c:v>
                </c:pt>
                <c:pt idx="5">
                  <c:v>64.588208834264151</c:v>
                </c:pt>
                <c:pt idx="6">
                  <c:v>63.409111539046883</c:v>
                </c:pt>
                <c:pt idx="7">
                  <c:v>53.724749183277915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0D7-4A1B-AD7A-2E4007859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17904"/>
        <c:axId val="515024960"/>
      </c:scatterChart>
      <c:valAx>
        <c:axId val="515017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4960"/>
        <c:crosses val="autoZero"/>
        <c:crossBetween val="midCat"/>
      </c:valAx>
      <c:valAx>
        <c:axId val="51502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17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Sheet1!$C$22</c:f>
              <c:strCache>
                <c:ptCount val="1"/>
                <c:pt idx="0">
                  <c:v>1l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Sheet1!$C$24:$C$31</c:f>
              <c:numCache>
                <c:formatCode>General</c:formatCode>
                <c:ptCount val="8"/>
                <c:pt idx="0">
                  <c:v>106.34172574293588</c:v>
                </c:pt>
                <c:pt idx="1">
                  <c:v>83.671935779220291</c:v>
                </c:pt>
                <c:pt idx="2">
                  <c:v>68.905599121991045</c:v>
                </c:pt>
                <c:pt idx="3">
                  <c:v>61.149096768051443</c:v>
                </c:pt>
                <c:pt idx="4">
                  <c:v>67.191787492884416</c:v>
                </c:pt>
                <c:pt idx="5">
                  <c:v>84.042382410705144</c:v>
                </c:pt>
                <c:pt idx="6">
                  <c:v>113.43681092980887</c:v>
                </c:pt>
                <c:pt idx="7">
                  <c:v>161.23640954039141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E8-4D48-87C3-8EE334F91A74}"/>
            </c:ext>
          </c:extLst>
        </c:ser>
        <c:ser>
          <c:idx val="1"/>
          <c:order val="1"/>
          <c:tx>
            <c:strRef>
              <c:f>Sheet1!$D$22</c:f>
              <c:strCache>
                <c:ptCount val="1"/>
                <c:pt idx="0">
                  <c:v>2L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Sheet1!$D$24:$D$31</c:f>
              <c:numCache>
                <c:formatCode>General</c:formatCode>
                <c:ptCount val="8"/>
                <c:pt idx="0">
                  <c:v>48.737866390965372</c:v>
                </c:pt>
                <c:pt idx="1">
                  <c:v>45.268908286921722</c:v>
                </c:pt>
                <c:pt idx="2">
                  <c:v>45.386677583210826</c:v>
                </c:pt>
                <c:pt idx="3">
                  <c:v>49.956504386318194</c:v>
                </c:pt>
                <c:pt idx="4">
                  <c:v>59.256931622789452</c:v>
                </c:pt>
                <c:pt idx="5">
                  <c:v>74.925592054529545</c:v>
                </c:pt>
                <c:pt idx="6">
                  <c:v>97.643957097093889</c:v>
                </c:pt>
                <c:pt idx="7">
                  <c:v>129.98102419843897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E8-4D48-87C3-8EE334F91A74}"/>
            </c:ext>
          </c:extLst>
        </c:ser>
        <c:ser>
          <c:idx val="2"/>
          <c:order val="2"/>
          <c:tx>
            <c:strRef>
              <c:f>Sheet1!$E$22</c:f>
              <c:strCache>
                <c:ptCount val="1"/>
                <c:pt idx="0">
                  <c:v>1L+Auksta t.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Sheet1!$E$24:$E$31</c:f>
              <c:numCache>
                <c:formatCode>General</c:formatCode>
                <c:ptCount val="8"/>
                <c:pt idx="0">
                  <c:v>59.023997356036695</c:v>
                </c:pt>
                <c:pt idx="1">
                  <c:v>53.784096966661586</c:v>
                </c:pt>
                <c:pt idx="2">
                  <c:v>50.8026344740287</c:v>
                </c:pt>
                <c:pt idx="3">
                  <c:v>52.886557025522166</c:v>
                </c:pt>
                <c:pt idx="4">
                  <c:v>62.102159890608796</c:v>
                </c:pt>
                <c:pt idx="5">
                  <c:v>78.437819139753543</c:v>
                </c:pt>
                <c:pt idx="6">
                  <c:v>103.06724515222547</c:v>
                </c:pt>
                <c:pt idx="7">
                  <c:v>141.2771076215304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E8-4D48-87C3-8EE334F91A74}"/>
            </c:ext>
          </c:extLst>
        </c:ser>
        <c:ser>
          <c:idx val="3"/>
          <c:order val="3"/>
          <c:tx>
            <c:strRef>
              <c:f>Sheet1!$F$22</c:f>
              <c:strCache>
                <c:ptCount val="1"/>
                <c:pt idx="0">
                  <c:v>2L+Aukšta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Sheet1!$F$24:$F$31</c:f>
              <c:numCache>
                <c:formatCode>General</c:formatCode>
                <c:ptCount val="8"/>
                <c:pt idx="0">
                  <c:v>32.513483163440867</c:v>
                </c:pt>
                <c:pt idx="1">
                  <c:v>34.560189595439375</c:v>
                </c:pt>
                <c:pt idx="2">
                  <c:v>40.379987874589681</c:v>
                </c:pt>
                <c:pt idx="3">
                  <c:v>48.713075620426373</c:v>
                </c:pt>
                <c:pt idx="4">
                  <c:v>61.059909283788357</c:v>
                </c:pt>
                <c:pt idx="5">
                  <c:v>78.206583768120311</c:v>
                </c:pt>
                <c:pt idx="6">
                  <c:v>102.89844147221589</c:v>
                </c:pt>
                <c:pt idx="7">
                  <c:v>138.15783459848433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E8-4D48-87C3-8EE334F91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25352"/>
        <c:axId val="515025744"/>
      </c:scatterChart>
      <c:valAx>
        <c:axId val="515025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5744"/>
        <c:crosses val="autoZero"/>
        <c:crossBetween val="midCat"/>
      </c:valAx>
      <c:valAx>
        <c:axId val="51502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5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Sheet1!$C$3</c:f>
              <c:strCache>
                <c:ptCount val="1"/>
                <c:pt idx="0">
                  <c:v>1l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Sheet1!$C$5:$C$12</c:f>
              <c:numCache>
                <c:formatCode>General</c:formatCode>
                <c:ptCount val="8"/>
                <c:pt idx="0">
                  <c:v>41.985101991667683</c:v>
                </c:pt>
                <c:pt idx="1">
                  <c:v>49.282258578055746</c:v>
                </c:pt>
                <c:pt idx="2">
                  <c:v>56.112060945716529</c:v>
                </c:pt>
                <c:pt idx="3">
                  <c:v>62.126298536609447</c:v>
                </c:pt>
                <c:pt idx="4">
                  <c:v>68.449426057386432</c:v>
                </c:pt>
                <c:pt idx="5">
                  <c:v>75.849160056081871</c:v>
                </c:pt>
                <c:pt idx="6">
                  <c:v>84.584352049683062</c:v>
                </c:pt>
                <c:pt idx="7">
                  <c:v>97.249747038981255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9E-49B2-B060-954570A8CED8}"/>
            </c:ext>
          </c:extLst>
        </c:ser>
        <c:ser>
          <c:idx val="2"/>
          <c:order val="1"/>
          <c:tx>
            <c:strRef>
              <c:f>Sheet1!$E$3</c:f>
              <c:strCache>
                <c:ptCount val="1"/>
                <c:pt idx="0">
                  <c:v>1L+Auksta t.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Sheet1!$E$5:$E$12</c:f>
              <c:numCache>
                <c:formatCode>General</c:formatCode>
                <c:ptCount val="8"/>
                <c:pt idx="0">
                  <c:v>20.707500152419239</c:v>
                </c:pt>
                <c:pt idx="1">
                  <c:v>33.647594328842345</c:v>
                </c:pt>
                <c:pt idx="2">
                  <c:v>44.287285805038358</c:v>
                </c:pt>
                <c:pt idx="3">
                  <c:v>52.483483751548199</c:v>
                </c:pt>
                <c:pt idx="4">
                  <c:v>57.983271386731566</c:v>
                </c:pt>
                <c:pt idx="5">
                  <c:v>60.050730345213175</c:v>
                </c:pt>
                <c:pt idx="6">
                  <c:v>56.804087822024577</c:v>
                </c:pt>
                <c:pt idx="7">
                  <c:v>47.591982197079531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9E-49B2-B060-954570A8CED8}"/>
            </c:ext>
          </c:extLst>
        </c:ser>
        <c:ser>
          <c:idx val="1"/>
          <c:order val="2"/>
          <c:tx>
            <c:strRef>
              <c:f>Sheet1!$G$3</c:f>
              <c:strCache>
                <c:ptCount val="1"/>
                <c:pt idx="0">
                  <c:v>1l-kartotas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Sheet1!$G$5:$G$12</c:f>
              <c:numCache>
                <c:formatCode>General</c:formatCode>
                <c:ptCount val="8"/>
                <c:pt idx="0">
                  <c:v>19.009780541994434</c:v>
                </c:pt>
                <c:pt idx="1">
                  <c:v>33.199651598495713</c:v>
                </c:pt>
                <c:pt idx="2">
                  <c:v>45.597050010439666</c:v>
                </c:pt>
                <c:pt idx="3">
                  <c:v>55.547303924020291</c:v>
                </c:pt>
                <c:pt idx="4">
                  <c:v>62.066643532956313</c:v>
                </c:pt>
                <c:pt idx="5">
                  <c:v>63.597579580591642</c:v>
                </c:pt>
                <c:pt idx="6">
                  <c:v>58.444844630519718</c:v>
                </c:pt>
                <c:pt idx="7">
                  <c:v>44.588051513600092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9E-49B2-B060-954570A8C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23784"/>
        <c:axId val="515023392"/>
      </c:scatterChart>
      <c:valAx>
        <c:axId val="515023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3392"/>
        <c:crosses val="autoZero"/>
        <c:crossBetween val="midCat"/>
      </c:valAx>
      <c:valAx>
        <c:axId val="51502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3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Sheet1!$C$22</c:f>
              <c:strCache>
                <c:ptCount val="1"/>
                <c:pt idx="0">
                  <c:v>1l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Sheet1!$C$24:$C$31</c:f>
              <c:numCache>
                <c:formatCode>General</c:formatCode>
                <c:ptCount val="8"/>
                <c:pt idx="0">
                  <c:v>106.34172574293588</c:v>
                </c:pt>
                <c:pt idx="1">
                  <c:v>83.671935779220291</c:v>
                </c:pt>
                <c:pt idx="2">
                  <c:v>68.905599121991045</c:v>
                </c:pt>
                <c:pt idx="3">
                  <c:v>61.149096768051443</c:v>
                </c:pt>
                <c:pt idx="4">
                  <c:v>67.191787492884416</c:v>
                </c:pt>
                <c:pt idx="5">
                  <c:v>84.042382410705144</c:v>
                </c:pt>
                <c:pt idx="6">
                  <c:v>113.43681092980887</c:v>
                </c:pt>
                <c:pt idx="7">
                  <c:v>161.23640954039141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92-4D3D-8408-FE9CB152403A}"/>
            </c:ext>
          </c:extLst>
        </c:ser>
        <c:ser>
          <c:idx val="2"/>
          <c:order val="1"/>
          <c:tx>
            <c:strRef>
              <c:f>Sheet1!$E$22</c:f>
              <c:strCache>
                <c:ptCount val="1"/>
                <c:pt idx="0">
                  <c:v>1L+Auksta t.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Sheet1!$E$24:$E$31</c:f>
              <c:numCache>
                <c:formatCode>General</c:formatCode>
                <c:ptCount val="8"/>
                <c:pt idx="0">
                  <c:v>59.023997356036695</c:v>
                </c:pt>
                <c:pt idx="1">
                  <c:v>53.784096966661586</c:v>
                </c:pt>
                <c:pt idx="2">
                  <c:v>50.8026344740287</c:v>
                </c:pt>
                <c:pt idx="3">
                  <c:v>52.886557025522166</c:v>
                </c:pt>
                <c:pt idx="4">
                  <c:v>62.102159890608796</c:v>
                </c:pt>
                <c:pt idx="5">
                  <c:v>78.437819139753543</c:v>
                </c:pt>
                <c:pt idx="6">
                  <c:v>103.06724515222547</c:v>
                </c:pt>
                <c:pt idx="7">
                  <c:v>141.2771076215304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92-4D3D-8408-FE9CB152403A}"/>
            </c:ext>
          </c:extLst>
        </c:ser>
        <c:ser>
          <c:idx val="1"/>
          <c:order val="2"/>
          <c:tx>
            <c:strRef>
              <c:f>Sheet1!$G$22</c:f>
              <c:strCache>
                <c:ptCount val="1"/>
                <c:pt idx="0">
                  <c:v>1 l-kartotas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Sheet1!$G$24:$G$31</c:f>
              <c:numCache>
                <c:formatCode>General</c:formatCode>
                <c:ptCount val="8"/>
                <c:pt idx="0">
                  <c:v>49.681861640066721</c:v>
                </c:pt>
                <c:pt idx="1">
                  <c:v>59.327509535026202</c:v>
                </c:pt>
                <c:pt idx="2">
                  <c:v>71.987212831319525</c:v>
                </c:pt>
                <c:pt idx="3">
                  <c:v>81.676532791937689</c:v>
                </c:pt>
                <c:pt idx="4">
                  <c:v>89.561475041445476</c:v>
                </c:pt>
                <c:pt idx="5">
                  <c:v>99.643223606208352</c:v>
                </c:pt>
                <c:pt idx="6">
                  <c:v>113.05997719961599</c:v>
                </c:pt>
                <c:pt idx="7">
                  <c:v>133.10385106576129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92-4D3D-8408-FE9CB1524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21040"/>
        <c:axId val="515015552"/>
      </c:scatterChart>
      <c:valAx>
        <c:axId val="51502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15552"/>
        <c:crosses val="autoZero"/>
        <c:crossBetween val="midCat"/>
      </c:valAx>
      <c:valAx>
        <c:axId val="51501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1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Sheet1!$D$3</c:f>
              <c:strCache>
                <c:ptCount val="1"/>
                <c:pt idx="0">
                  <c:v>2L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Sheet1!$D$5:$D$12</c:f>
              <c:numCache>
                <c:formatCode>General</c:formatCode>
                <c:ptCount val="8"/>
                <c:pt idx="0">
                  <c:v>22.024874175846552</c:v>
                </c:pt>
                <c:pt idx="1">
                  <c:v>31.584524259657137</c:v>
                </c:pt>
                <c:pt idx="2">
                  <c:v>39.977921758776091</c:v>
                </c:pt>
                <c:pt idx="3">
                  <c:v>46.930083603549249</c:v>
                </c:pt>
                <c:pt idx="4">
                  <c:v>52.285902466709906</c:v>
                </c:pt>
                <c:pt idx="5">
                  <c:v>54.399187975487308</c:v>
                </c:pt>
                <c:pt idx="6">
                  <c:v>51.074394883886306</c:v>
                </c:pt>
                <c:pt idx="7">
                  <c:v>41.529378758478579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DD-412C-8863-A67F009131CF}"/>
            </c:ext>
          </c:extLst>
        </c:ser>
        <c:ser>
          <c:idx val="2"/>
          <c:order val="1"/>
          <c:tx>
            <c:strRef>
              <c:f>Sheet1!$F$3</c:f>
              <c:strCache>
                <c:ptCount val="1"/>
                <c:pt idx="0">
                  <c:v>2L+Aukšta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Sheet1!$F$5:$F$12</c:f>
              <c:numCache>
                <c:formatCode>General</c:formatCode>
                <c:ptCount val="8"/>
                <c:pt idx="0">
                  <c:v>10.913316318355035</c:v>
                </c:pt>
                <c:pt idx="1">
                  <c:v>24.699344808552063</c:v>
                </c:pt>
                <c:pt idx="2">
                  <c:v>37.132849805841396</c:v>
                </c:pt>
                <c:pt idx="3">
                  <c:v>48.536798383258734</c:v>
                </c:pt>
                <c:pt idx="4">
                  <c:v>58.55921354554269</c:v>
                </c:pt>
                <c:pt idx="5">
                  <c:v>64.588208834264151</c:v>
                </c:pt>
                <c:pt idx="6">
                  <c:v>63.409111539046883</c:v>
                </c:pt>
                <c:pt idx="7">
                  <c:v>53.724749183277915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DD-412C-8863-A67F00913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26528"/>
        <c:axId val="515021432"/>
      </c:scatterChart>
      <c:valAx>
        <c:axId val="51502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1432"/>
        <c:crosses val="autoZero"/>
        <c:crossBetween val="midCat"/>
      </c:valAx>
      <c:valAx>
        <c:axId val="515021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Sheet1!$D$22</c:f>
              <c:strCache>
                <c:ptCount val="1"/>
                <c:pt idx="0">
                  <c:v>2L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Sheet1!$D$24:$D$31</c:f>
              <c:numCache>
                <c:formatCode>General</c:formatCode>
                <c:ptCount val="8"/>
                <c:pt idx="0">
                  <c:v>48.737866390965372</c:v>
                </c:pt>
                <c:pt idx="1">
                  <c:v>45.268908286921722</c:v>
                </c:pt>
                <c:pt idx="2">
                  <c:v>45.386677583210826</c:v>
                </c:pt>
                <c:pt idx="3">
                  <c:v>49.956504386318194</c:v>
                </c:pt>
                <c:pt idx="4">
                  <c:v>59.256931622789452</c:v>
                </c:pt>
                <c:pt idx="5">
                  <c:v>74.925592054529545</c:v>
                </c:pt>
                <c:pt idx="6">
                  <c:v>97.643957097093889</c:v>
                </c:pt>
                <c:pt idx="7">
                  <c:v>129.98102419843897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47-431B-B619-DE2DFFC2499D}"/>
            </c:ext>
          </c:extLst>
        </c:ser>
        <c:ser>
          <c:idx val="2"/>
          <c:order val="1"/>
          <c:tx>
            <c:strRef>
              <c:f>Sheet1!$F$22</c:f>
              <c:strCache>
                <c:ptCount val="1"/>
                <c:pt idx="0">
                  <c:v>2L+Aukšta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Sheet1!$F$24:$F$31</c:f>
              <c:numCache>
                <c:formatCode>General</c:formatCode>
                <c:ptCount val="8"/>
                <c:pt idx="0">
                  <c:v>32.513483163440867</c:v>
                </c:pt>
                <c:pt idx="1">
                  <c:v>34.560189595439375</c:v>
                </c:pt>
                <c:pt idx="2">
                  <c:v>40.379987874589681</c:v>
                </c:pt>
                <c:pt idx="3">
                  <c:v>48.713075620426373</c:v>
                </c:pt>
                <c:pt idx="4">
                  <c:v>61.059909283788357</c:v>
                </c:pt>
                <c:pt idx="5">
                  <c:v>78.206583768120311</c:v>
                </c:pt>
                <c:pt idx="6">
                  <c:v>102.89844147221589</c:v>
                </c:pt>
                <c:pt idx="7">
                  <c:v>138.15783459848433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47-431B-B619-DE2DFFC24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26920"/>
        <c:axId val="515014768"/>
      </c:scatterChart>
      <c:valAx>
        <c:axId val="515026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14768"/>
        <c:crosses val="autoZero"/>
        <c:crossBetween val="midCat"/>
      </c:valAx>
      <c:valAx>
        <c:axId val="51501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6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  <a:r>
              <a:rPr lang="en-US"/>
              <a:t>, nepur</a:t>
            </a:r>
            <a:r>
              <a:rPr lang="lt-LT"/>
              <a:t>škiama</a:t>
            </a:r>
            <a:r>
              <a:rPr lang="lt-LT" baseline="0"/>
              <a:t> į katilą</a:t>
            </a:r>
            <a:endParaRPr lang="lt-LT"/>
          </a:p>
        </c:rich>
      </c:tx>
      <c:layout>
        <c:manualLayout>
          <c:xMode val="edge"/>
          <c:yMode val="edge"/>
          <c:x val="0.3035239915783875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Sheet1!$C$40</c:f>
              <c:strCache>
                <c:ptCount val="1"/>
                <c:pt idx="0">
                  <c:v>1l-nepurškiama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Sheet1!$B$42:$B$49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Sheet1!$C$42:$C$49</c:f>
              <c:numCache>
                <c:formatCode>General</c:formatCode>
                <c:ptCount val="8"/>
                <c:pt idx="0">
                  <c:v>9.0762929191626576</c:v>
                </c:pt>
                <c:pt idx="1">
                  <c:v>20.25162420505864</c:v>
                </c:pt>
                <c:pt idx="2">
                  <c:v>31.038664299026262</c:v>
                </c:pt>
                <c:pt idx="3">
                  <c:v>40.40261733394717</c:v>
                </c:pt>
                <c:pt idx="4">
                  <c:v>47.720594740671672</c:v>
                </c:pt>
                <c:pt idx="5">
                  <c:v>50.592013090357639</c:v>
                </c:pt>
                <c:pt idx="6">
                  <c:v>45.347951127188132</c:v>
                </c:pt>
                <c:pt idx="7">
                  <c:v>27.886859084876434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66-4C36-8EEA-BCBD5BB19539}"/>
            </c:ext>
          </c:extLst>
        </c:ser>
        <c:ser>
          <c:idx val="1"/>
          <c:order val="1"/>
          <c:tx>
            <c:strRef>
              <c:f>Sheet1!$D$40</c:f>
              <c:strCache>
                <c:ptCount val="1"/>
                <c:pt idx="0">
                  <c:v>1l-nep. aukšta 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Sheet1!$B$42:$B$49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Sheet1!$D$42:$D$49</c:f>
              <c:numCache>
                <c:formatCode>General</c:formatCode>
                <c:ptCount val="8"/>
                <c:pt idx="0">
                  <c:v>8.3641762715067109</c:v>
                </c:pt>
                <c:pt idx="1">
                  <c:v>19.197021097115371</c:v>
                </c:pt>
                <c:pt idx="2">
                  <c:v>30.249587333799582</c:v>
                </c:pt>
                <c:pt idx="3">
                  <c:v>40.694475476941349</c:v>
                </c:pt>
                <c:pt idx="4">
                  <c:v>48.749610877536171</c:v>
                </c:pt>
                <c:pt idx="5">
                  <c:v>51.870243419183069</c:v>
                </c:pt>
                <c:pt idx="6">
                  <c:v>47.336333198410458</c:v>
                </c:pt>
                <c:pt idx="7">
                  <c:v>31.200175517703808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66-4C36-8EEA-BCBD5BB19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15944"/>
        <c:axId val="515022216"/>
      </c:scatterChart>
      <c:valAx>
        <c:axId val="515015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2216"/>
        <c:crosses val="autoZero"/>
        <c:crossBetween val="midCat"/>
      </c:valAx>
      <c:valAx>
        <c:axId val="51502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15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  <a:r>
              <a:rPr lang="en-US"/>
              <a:t>, nepur</a:t>
            </a:r>
            <a:r>
              <a:rPr lang="lt-LT"/>
              <a:t>škiama</a:t>
            </a:r>
            <a:r>
              <a:rPr lang="lt-LT" baseline="0"/>
              <a:t> į katilą</a:t>
            </a:r>
            <a:endParaRPr lang="lt-LT"/>
          </a:p>
        </c:rich>
      </c:tx>
      <c:layout>
        <c:manualLayout>
          <c:xMode val="edge"/>
          <c:yMode val="edge"/>
          <c:x val="0.3035239915783875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Sheet1!$C$56</c:f>
              <c:strCache>
                <c:ptCount val="1"/>
                <c:pt idx="0">
                  <c:v>1l-nepurškiama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Sheet1!$B$58:$B$65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Sheet1!$C$58:$C$65</c:f>
              <c:numCache>
                <c:formatCode>General</c:formatCode>
                <c:ptCount val="8"/>
                <c:pt idx="0">
                  <c:v>15.29276972508818</c:v>
                </c:pt>
                <c:pt idx="1">
                  <c:v>23.969693078602567</c:v>
                </c:pt>
                <c:pt idx="2">
                  <c:v>33.303353752982311</c:v>
                </c:pt>
                <c:pt idx="3">
                  <c:v>42.556084619172836</c:v>
                </c:pt>
                <c:pt idx="4">
                  <c:v>51.088188746809145</c:v>
                </c:pt>
                <c:pt idx="5">
                  <c:v>60.673623025383968</c:v>
                </c:pt>
                <c:pt idx="6">
                  <c:v>69.348604651846344</c:v>
                </c:pt>
                <c:pt idx="7">
                  <c:v>76.679718726057146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8E-49A2-9DAF-37D8A79B45EF}"/>
            </c:ext>
          </c:extLst>
        </c:ser>
        <c:ser>
          <c:idx val="1"/>
          <c:order val="1"/>
          <c:tx>
            <c:strRef>
              <c:f>Sheet1!$D$56</c:f>
              <c:strCache>
                <c:ptCount val="1"/>
                <c:pt idx="0">
                  <c:v>1l-nep. aukšta 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Sheet1!$B$58:$B$65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Sheet1!$D$58:$D$65</c:f>
              <c:numCache>
                <c:formatCode>General</c:formatCode>
                <c:ptCount val="8"/>
                <c:pt idx="0">
                  <c:v>13.911176458406626</c:v>
                </c:pt>
                <c:pt idx="1">
                  <c:v>20.931350356799214</c:v>
                </c:pt>
                <c:pt idx="2">
                  <c:v>28.894878165163369</c:v>
                </c:pt>
                <c:pt idx="3">
                  <c:v>37.190437728827739</c:v>
                </c:pt>
                <c:pt idx="4">
                  <c:v>45.884911441504116</c:v>
                </c:pt>
                <c:pt idx="5">
                  <c:v>56.42229186717416</c:v>
                </c:pt>
                <c:pt idx="6">
                  <c:v>67.084400155938241</c:v>
                </c:pt>
                <c:pt idx="7">
                  <c:v>77.753696473132464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8E-49A2-9DAF-37D8A79B4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19080"/>
        <c:axId val="515022608"/>
      </c:scatterChart>
      <c:valAx>
        <c:axId val="515019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2608"/>
        <c:crosses val="autoZero"/>
        <c:crossBetween val="midCat"/>
      </c:valAx>
      <c:valAx>
        <c:axId val="51502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19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  <a:r>
              <a:rPr lang="en-US"/>
              <a:t>, nepur</a:t>
            </a:r>
            <a:r>
              <a:rPr lang="lt-LT"/>
              <a:t>škiama</a:t>
            </a:r>
            <a:r>
              <a:rPr lang="lt-LT" baseline="0"/>
              <a:t> į katilą</a:t>
            </a:r>
            <a:endParaRPr lang="lt-LT"/>
          </a:p>
        </c:rich>
      </c:tx>
      <c:layout>
        <c:manualLayout>
          <c:xMode val="edge"/>
          <c:yMode val="edge"/>
          <c:x val="0.3035239915783875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Sheet1!$F$40</c:f>
              <c:strCache>
                <c:ptCount val="1"/>
                <c:pt idx="0">
                  <c:v>2 l. nep.žema temp.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Sheet1!$B$42:$B$49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Sheet1!$F$42:$F$49</c:f>
              <c:numCache>
                <c:formatCode>General</c:formatCode>
                <c:ptCount val="8"/>
                <c:pt idx="0">
                  <c:v>20.114764206195609</c:v>
                </c:pt>
                <c:pt idx="1">
                  <c:v>24.203835579921048</c:v>
                </c:pt>
                <c:pt idx="2">
                  <c:v>27.963773682096033</c:v>
                </c:pt>
                <c:pt idx="3">
                  <c:v>32.161449938700407</c:v>
                </c:pt>
                <c:pt idx="4">
                  <c:v>36.66294371434762</c:v>
                </c:pt>
                <c:pt idx="5">
                  <c:v>39.89688892530036</c:v>
                </c:pt>
                <c:pt idx="6">
                  <c:v>41.922290921700544</c:v>
                </c:pt>
                <c:pt idx="7">
                  <c:v>41.462303433123672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C7-45F5-AE52-230631382D31}"/>
            </c:ext>
          </c:extLst>
        </c:ser>
        <c:ser>
          <c:idx val="2"/>
          <c:order val="1"/>
          <c:tx>
            <c:strRef>
              <c:f>Sheet1!$E$40</c:f>
              <c:strCache>
                <c:ptCount val="1"/>
                <c:pt idx="0">
                  <c:v>2l-nep. Auksta. 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Sheet1!$B$42:$B$49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Sheet1!$E$42:$E$49</c:f>
              <c:numCache>
                <c:formatCode>General</c:formatCode>
                <c:ptCount val="8"/>
                <c:pt idx="0">
                  <c:v>20.884449931006078</c:v>
                </c:pt>
                <c:pt idx="1">
                  <c:v>21.099168083223073</c:v>
                </c:pt>
                <c:pt idx="2">
                  <c:v>21.429191262340211</c:v>
                </c:pt>
                <c:pt idx="3">
                  <c:v>23.171610799663686</c:v>
                </c:pt>
                <c:pt idx="4">
                  <c:v>27.63475335953094</c:v>
                </c:pt>
                <c:pt idx="5">
                  <c:v>35.702483169269058</c:v>
                </c:pt>
                <c:pt idx="6">
                  <c:v>47.709019700904953</c:v>
                </c:pt>
                <c:pt idx="7">
                  <c:v>64.139764183958576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C7-45F5-AE52-230631382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16728"/>
        <c:axId val="515019472"/>
      </c:scatterChart>
      <c:valAx>
        <c:axId val="515016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19472"/>
        <c:crosses val="autoZero"/>
        <c:crossBetween val="midCat"/>
      </c:valAx>
      <c:valAx>
        <c:axId val="51501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16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  <a:r>
              <a:rPr lang="en-US"/>
              <a:t>, nepur</a:t>
            </a:r>
            <a:r>
              <a:rPr lang="lt-LT"/>
              <a:t>škiama</a:t>
            </a:r>
            <a:r>
              <a:rPr lang="lt-LT" baseline="0"/>
              <a:t> į katilą</a:t>
            </a:r>
            <a:endParaRPr lang="lt-LT"/>
          </a:p>
        </c:rich>
      </c:tx>
      <c:layout>
        <c:manualLayout>
          <c:xMode val="edge"/>
          <c:yMode val="edge"/>
          <c:x val="0.3035239915783875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Sheet1!$F$56</c:f>
              <c:strCache>
                <c:ptCount val="1"/>
                <c:pt idx="0">
                  <c:v>2 l. nep.žema temp.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Sheet1!$B$58:$B$65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Sheet1!$F$58:$F$65</c:f>
              <c:numCache>
                <c:formatCode>General</c:formatCode>
                <c:ptCount val="8"/>
                <c:pt idx="0">
                  <c:v>30.783229278233875</c:v>
                </c:pt>
                <c:pt idx="1">
                  <c:v>28.179686119546325</c:v>
                </c:pt>
                <c:pt idx="2">
                  <c:v>25.904978951131802</c:v>
                </c:pt>
                <c:pt idx="3">
                  <c:v>25.146079179828966</c:v>
                </c:pt>
                <c:pt idx="4">
                  <c:v>27.327609426313483</c:v>
                </c:pt>
                <c:pt idx="5">
                  <c:v>34.745080221575108</c:v>
                </c:pt>
                <c:pt idx="6">
                  <c:v>47.8177268636951</c:v>
                </c:pt>
                <c:pt idx="7">
                  <c:v>67.276705081719555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6B-4D2C-9166-0E4B10CB5EEE}"/>
            </c:ext>
          </c:extLst>
        </c:ser>
        <c:ser>
          <c:idx val="1"/>
          <c:order val="1"/>
          <c:tx>
            <c:strRef>
              <c:f>Sheet1!$E$56</c:f>
              <c:strCache>
                <c:ptCount val="1"/>
                <c:pt idx="0">
                  <c:v>2 l nep. Auksta 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Sheet1!$B$58:$B$65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Sheet1!$E$58:$E$65</c:f>
              <c:numCache>
                <c:formatCode>General</c:formatCode>
                <c:ptCount val="8"/>
                <c:pt idx="0">
                  <c:v>17.19301678612015</c:v>
                </c:pt>
                <c:pt idx="1">
                  <c:v>18.498166374402604</c:v>
                </c:pt>
                <c:pt idx="2">
                  <c:v>20.593452103186557</c:v>
                </c:pt>
                <c:pt idx="3">
                  <c:v>24.444111491416411</c:v>
                </c:pt>
                <c:pt idx="4">
                  <c:v>30.435868544225613</c:v>
                </c:pt>
                <c:pt idx="5">
                  <c:v>41.83365508831757</c:v>
                </c:pt>
                <c:pt idx="6">
                  <c:v>56.143118755618353</c:v>
                </c:pt>
                <c:pt idx="7">
                  <c:v>70.043894586068745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6B-4D2C-9166-0E4B10CB5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28488"/>
        <c:axId val="515028880"/>
      </c:scatterChart>
      <c:valAx>
        <c:axId val="51502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8880"/>
        <c:crosses val="autoZero"/>
        <c:crossBetween val="midCat"/>
      </c:valAx>
      <c:valAx>
        <c:axId val="51502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'[48]Eksp.200406 (13)'!$F$5:$F$13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xVal>
          <c:yVal>
            <c:numRef>
              <c:f>'[48]Eksp.200406 (13)'!$T$5:$T$13</c:f>
              <c:numCache>
                <c:formatCode>General</c:formatCode>
                <c:ptCount val="9"/>
                <c:pt idx="0">
                  <c:v>77.201732741488456</c:v>
                </c:pt>
                <c:pt idx="1">
                  <c:v>65.944537646656471</c:v>
                </c:pt>
                <c:pt idx="2">
                  <c:v>49.626110499116805</c:v>
                </c:pt>
                <c:pt idx="3">
                  <c:v>39.362720503455364</c:v>
                </c:pt>
                <c:pt idx="4">
                  <c:v>32.22099197183293</c:v>
                </c:pt>
                <c:pt idx="5">
                  <c:v>25.304966787768212</c:v>
                </c:pt>
                <c:pt idx="6">
                  <c:v>20.26327736708399</c:v>
                </c:pt>
                <c:pt idx="7">
                  <c:v>15.289930380278797</c:v>
                </c:pt>
                <c:pt idx="8">
                  <c:v>9.1899954925026037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21-406A-A20E-031326871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30448"/>
        <c:axId val="515029664"/>
      </c:scatterChart>
      <c:valAx>
        <c:axId val="515030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9664"/>
        <c:crosses val="autoZero"/>
        <c:crossBetween val="midCat"/>
        <c:majorUnit val="1"/>
      </c:valAx>
      <c:valAx>
        <c:axId val="5150296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30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20200406 Re=350, au</a:t>
            </a:r>
            <a:r>
              <a:rPr lang="lt-LT"/>
              <a:t>š.</a:t>
            </a:r>
            <a:r>
              <a:rPr lang="lt-LT" baseline="0"/>
              <a:t> </a:t>
            </a:r>
            <a:r>
              <a:rPr lang="en-US" baseline="0"/>
              <a:t>= 2l/m nepur</a:t>
            </a:r>
            <a:r>
              <a:rPr lang="lt-LT" baseline="0"/>
              <a:t>š</a:t>
            </a:r>
            <a:r>
              <a:rPr lang="en-US" baseline="0"/>
              <a:t>kiama</a:t>
            </a:r>
            <a:endParaRPr lang="lt-L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[48]Chronologija!$E$32:$L$32</c:f>
              <c:numCache>
                <c:formatCode>General</c:formatCode>
                <c:ptCount val="8"/>
                <c:pt idx="0">
                  <c:v>135</c:v>
                </c:pt>
                <c:pt idx="1">
                  <c:v>113</c:v>
                </c:pt>
                <c:pt idx="2">
                  <c:v>0</c:v>
                </c:pt>
                <c:pt idx="3">
                  <c:v>26.5</c:v>
                </c:pt>
                <c:pt idx="4">
                  <c:v>0</c:v>
                </c:pt>
                <c:pt idx="5">
                  <c:v>8.5</c:v>
                </c:pt>
                <c:pt idx="6">
                  <c:v>0</c:v>
                </c:pt>
                <c:pt idx="7">
                  <c:v>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5-44AF-88F1-793C9B8CF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5027312"/>
        <c:axId val="515027704"/>
      </c:barChart>
      <c:catAx>
        <c:axId val="515027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7704"/>
        <c:crosses val="autoZero"/>
        <c:auto val="1"/>
        <c:lblAlgn val="ctr"/>
        <c:lblOffset val="100"/>
        <c:noMultiLvlLbl val="0"/>
      </c:catAx>
      <c:valAx>
        <c:axId val="515027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20200406 Re=350, au</a:t>
            </a:r>
            <a:r>
              <a:rPr lang="lt-LT" sz="1600" b="0" i="0" baseline="0">
                <a:effectLst/>
              </a:rPr>
              <a:t>š. </a:t>
            </a:r>
            <a:r>
              <a:rPr lang="en-US" sz="1600" b="0" i="0" baseline="0">
                <a:effectLst/>
              </a:rPr>
              <a:t>= 2l/m nepur</a:t>
            </a:r>
            <a:r>
              <a:rPr lang="lt-LT" sz="1600" b="0" i="0" baseline="0">
                <a:effectLst/>
              </a:rPr>
              <a:t>š</a:t>
            </a:r>
            <a:r>
              <a:rPr lang="en-US" sz="1600" b="0" i="0" baseline="0">
                <a:effectLst/>
              </a:rPr>
              <a:t>kiama</a:t>
            </a:r>
            <a:endParaRPr lang="lt-LT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[48]Chronologija!$E$33:$L$33</c:f>
              <c:numCache>
                <c:formatCode>General</c:formatCode>
                <c:ptCount val="8"/>
                <c:pt idx="1">
                  <c:v>248</c:v>
                </c:pt>
                <c:pt idx="3">
                  <c:v>26.5</c:v>
                </c:pt>
                <c:pt idx="5">
                  <c:v>8.5</c:v>
                </c:pt>
                <c:pt idx="7">
                  <c:v>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6B-4D18-94B2-1EFDFFB0D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2493552"/>
        <c:axId val="512488848"/>
      </c:barChart>
      <c:catAx>
        <c:axId val="512493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88848"/>
        <c:crosses val="autoZero"/>
        <c:auto val="1"/>
        <c:lblAlgn val="ctr"/>
        <c:lblOffset val="100"/>
        <c:noMultiLvlLbl val="0"/>
      </c:catAx>
      <c:valAx>
        <c:axId val="51248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9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20200409</a:t>
            </a:r>
            <a:r>
              <a:rPr lang="en-US" baseline="0"/>
              <a:t> Re=500, au</a:t>
            </a:r>
            <a:r>
              <a:rPr lang="lt-LT" baseline="0"/>
              <a:t>š. 2 l/min</a:t>
            </a:r>
            <a:r>
              <a:rPr lang="en-US" baseline="0"/>
              <a:t>. nepu</a:t>
            </a:r>
            <a:r>
              <a:rPr lang="lt-LT" baseline="0"/>
              <a:t>rškiama</a:t>
            </a:r>
            <a:endParaRPr lang="lt-L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[49]chronologija!$C$32:$J$32</c:f>
              <c:numCache>
                <c:formatCode>General</c:formatCode>
                <c:ptCount val="8"/>
                <c:pt idx="0">
                  <c:v>199.5</c:v>
                </c:pt>
                <c:pt idx="1">
                  <c:v>130.19999999999999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119.8</c:v>
                </c:pt>
                <c:pt idx="6">
                  <c:v>24.6</c:v>
                </c:pt>
                <c:pt idx="7">
                  <c:v>772.7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7F-42BA-BEAB-AE27711A5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487672"/>
        <c:axId val="512489240"/>
      </c:barChart>
      <c:catAx>
        <c:axId val="512487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89240"/>
        <c:crosses val="autoZero"/>
        <c:auto val="1"/>
        <c:lblAlgn val="ctr"/>
        <c:lblOffset val="100"/>
        <c:noMultiLvlLbl val="0"/>
      </c:catAx>
      <c:valAx>
        <c:axId val="51248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87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20200409</a:t>
            </a:r>
            <a:r>
              <a:rPr lang="en-US" baseline="0"/>
              <a:t> Re=500, au</a:t>
            </a:r>
            <a:r>
              <a:rPr lang="lt-LT" baseline="0"/>
              <a:t>š. 2 l/min. </a:t>
            </a:r>
            <a:r>
              <a:rPr lang="en-US" sz="1400" b="0" i="0" u="none" strike="noStrike" baseline="0">
                <a:effectLst/>
              </a:rPr>
              <a:t>nepu</a:t>
            </a:r>
            <a:r>
              <a:rPr lang="lt-LT" sz="1400" b="0" i="0" u="none" strike="noStrike" baseline="0">
                <a:effectLst/>
              </a:rPr>
              <a:t>rškiama</a:t>
            </a:r>
            <a:endParaRPr lang="lt-L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[49]chronologija!$C$33:$J$33</c:f>
              <c:numCache>
                <c:formatCode>General</c:formatCode>
                <c:ptCount val="8"/>
                <c:pt idx="1">
                  <c:v>329.7</c:v>
                </c:pt>
                <c:pt idx="3">
                  <c:v>0</c:v>
                </c:pt>
                <c:pt idx="5">
                  <c:v>119.8</c:v>
                </c:pt>
                <c:pt idx="7">
                  <c:v>797.30000000000007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54-4437-B249-1D9ED1DBD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490416"/>
        <c:axId val="360566184"/>
      </c:barChart>
      <c:catAx>
        <c:axId val="51249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566184"/>
        <c:crosses val="autoZero"/>
        <c:auto val="1"/>
        <c:lblAlgn val="ctr"/>
        <c:lblOffset val="100"/>
        <c:noMultiLvlLbl val="0"/>
      </c:catAx>
      <c:valAx>
        <c:axId val="360566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9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6"/>
          <c:w val="0.80811184702995154"/>
          <c:h val="0.73585526631585707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'[50]Keithley Matavimai'!$S$5:$S$12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'[50]Keithley Matavimai'!$V$6:$V$13</c:f>
              <c:numCache>
                <c:formatCode>General</c:formatCode>
                <c:ptCount val="8"/>
                <c:pt idx="0">
                  <c:v>65.853533738175486</c:v>
                </c:pt>
                <c:pt idx="1">
                  <c:v>56.266062900856873</c:v>
                </c:pt>
                <c:pt idx="2">
                  <c:v>43.75198425416594</c:v>
                </c:pt>
                <c:pt idx="3">
                  <c:v>38.230932611973415</c:v>
                </c:pt>
                <c:pt idx="4">
                  <c:v>31.072344282598433</c:v>
                </c:pt>
                <c:pt idx="5">
                  <c:v>25.816406728256137</c:v>
                </c:pt>
                <c:pt idx="6">
                  <c:v>21.544500681209108</c:v>
                </c:pt>
                <c:pt idx="7">
                  <c:v>17.86527328714919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35-4F43-85F7-E4603858A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095760"/>
        <c:axId val="509096936"/>
      </c:scatterChart>
      <c:valAx>
        <c:axId val="509095760"/>
        <c:scaling>
          <c:orientation val="minMax"/>
        </c:scaling>
        <c:delete val="0"/>
        <c:axPos val="b"/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96936"/>
        <c:crosses val="autoZero"/>
        <c:crossBetween val="midCat"/>
        <c:majorUnit val="1"/>
      </c:valAx>
      <c:valAx>
        <c:axId val="509096936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en-US">
                    <a:latin typeface="Calibri" panose="020F0502020204030204" pitchFamily="34" charset="0"/>
                    <a:cs typeface="Calibri" panose="020F0502020204030204" pitchFamily="34" charset="0"/>
                  </a:rPr>
                  <a:t>t, C</a:t>
                </a:r>
                <a:endParaRPr lang="lt-LT">
                  <a:latin typeface="Calibri" panose="020F0502020204030204" pitchFamily="34" charset="0"/>
                  <a:cs typeface="Calibri" panose="020F0502020204030204" pitchFamily="34" charset="0"/>
                </a:endParaRPr>
              </a:p>
            </c:rich>
          </c:tx>
          <c:layout>
            <c:manualLayout>
              <c:xMode val="edge"/>
              <c:yMode val="edge"/>
              <c:x val="4.6233958186487151E-2"/>
              <c:y val="0.4441212648738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95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2020.04.15 Re=700, au</a:t>
            </a:r>
            <a:r>
              <a:rPr lang="lt-LT"/>
              <a:t>š.</a:t>
            </a:r>
            <a:r>
              <a:rPr lang="lt-LT" baseline="0"/>
              <a:t> </a:t>
            </a:r>
            <a:r>
              <a:rPr lang="en-US" baseline="0"/>
              <a:t>=2l/min</a:t>
            </a:r>
            <a:r>
              <a:rPr lang="lt-LT" baseline="0"/>
              <a:t>, </a:t>
            </a:r>
            <a:r>
              <a:rPr lang="en-US" sz="1400" b="0" i="0" u="none" strike="noStrike" baseline="0">
                <a:effectLst/>
              </a:rPr>
              <a:t>nepu</a:t>
            </a:r>
            <a:r>
              <a:rPr lang="lt-LT" sz="1400" b="0" i="0" u="none" strike="noStrike" baseline="0">
                <a:effectLst/>
              </a:rPr>
              <a:t>rškiama</a:t>
            </a:r>
            <a:endParaRPr lang="lt-L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[51]Chronologija!$D$32:$K$32</c:f>
              <c:numCache>
                <c:formatCode>General</c:formatCode>
                <c:ptCount val="8"/>
                <c:pt idx="0">
                  <c:v>19.3</c:v>
                </c:pt>
                <c:pt idx="1">
                  <c:v>233</c:v>
                </c:pt>
                <c:pt idx="2">
                  <c:v>5</c:v>
                </c:pt>
                <c:pt idx="3">
                  <c:v>276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EA-4A29-9B17-D20D4F8D4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2594304"/>
        <c:axId val="513875688"/>
      </c:barChart>
      <c:catAx>
        <c:axId val="362594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5688"/>
        <c:crosses val="autoZero"/>
        <c:auto val="1"/>
        <c:lblAlgn val="ctr"/>
        <c:lblOffset val="100"/>
        <c:noMultiLvlLbl val="0"/>
      </c:catAx>
      <c:valAx>
        <c:axId val="51387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59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2020.04.15 Re=700, au</a:t>
            </a:r>
            <a:r>
              <a:rPr lang="lt-LT"/>
              <a:t>š.</a:t>
            </a:r>
            <a:r>
              <a:rPr lang="lt-LT" baseline="0"/>
              <a:t> </a:t>
            </a:r>
            <a:r>
              <a:rPr lang="en-US" baseline="0"/>
              <a:t>=2l/min</a:t>
            </a:r>
            <a:r>
              <a:rPr lang="lt-LT" baseline="0"/>
              <a:t>, </a:t>
            </a:r>
            <a:r>
              <a:rPr lang="en-US" sz="1400" b="0" i="0" u="none" strike="noStrike" baseline="0">
                <a:effectLst/>
              </a:rPr>
              <a:t>nepu</a:t>
            </a:r>
            <a:r>
              <a:rPr lang="lt-LT" sz="1400" b="0" i="0" u="none" strike="noStrike" baseline="0">
                <a:effectLst/>
              </a:rPr>
              <a:t>rškiama</a:t>
            </a:r>
            <a:endParaRPr lang="lt-L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[51]Chronologija!$D$33:$K$33</c:f>
              <c:numCache>
                <c:formatCode>General</c:formatCode>
                <c:ptCount val="8"/>
                <c:pt idx="1">
                  <c:v>252.3</c:v>
                </c:pt>
                <c:pt idx="3">
                  <c:v>281</c:v>
                </c:pt>
                <c:pt idx="5">
                  <c:v>0</c:v>
                </c:pt>
                <c:pt idx="7">
                  <c:v>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EC-4D79-B826-E4F8B662B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80000"/>
        <c:axId val="513877256"/>
      </c:barChart>
      <c:catAx>
        <c:axId val="513880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7256"/>
        <c:crosses val="autoZero"/>
        <c:auto val="1"/>
        <c:lblAlgn val="ctr"/>
        <c:lblOffset val="100"/>
        <c:noMultiLvlLbl val="0"/>
      </c:catAx>
      <c:valAx>
        <c:axId val="51387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8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6"/>
          <c:w val="0.80811184702995154"/>
          <c:h val="0.73585526631585707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'[52]Keithley Matavimai'!$S$5:$S$13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xVal>
          <c:yVal>
            <c:numRef>
              <c:f>'[52]Keithley Matavimai'!$V$6:$V$14</c:f>
              <c:numCache>
                <c:formatCode>General</c:formatCode>
                <c:ptCount val="9"/>
                <c:pt idx="0">
                  <c:v>73.764450834106384</c:v>
                </c:pt>
                <c:pt idx="1">
                  <c:v>65.032283490142362</c:v>
                </c:pt>
                <c:pt idx="2">
                  <c:v>52.094397415862964</c:v>
                </c:pt>
                <c:pt idx="3">
                  <c:v>48.017438173986648</c:v>
                </c:pt>
                <c:pt idx="4">
                  <c:v>39.740800320475344</c:v>
                </c:pt>
                <c:pt idx="5">
                  <c:v>33.923414687700159</c:v>
                </c:pt>
                <c:pt idx="6">
                  <c:v>29.222359205093554</c:v>
                </c:pt>
                <c:pt idx="7">
                  <c:v>24.684157044256889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27-4E28-9E26-10BA5CA36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869808"/>
        <c:axId val="513870200"/>
      </c:scatterChart>
      <c:valAx>
        <c:axId val="513869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0200"/>
        <c:crosses val="autoZero"/>
        <c:crossBetween val="midCat"/>
        <c:majorUnit val="1"/>
      </c:valAx>
      <c:valAx>
        <c:axId val="513870200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69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2020.04.20. Re</a:t>
            </a:r>
            <a:r>
              <a:rPr lang="ru-RU"/>
              <a:t> </a:t>
            </a:r>
            <a:r>
              <a:rPr lang="en-US"/>
              <a:t>orientac=980, au</a:t>
            </a:r>
            <a:r>
              <a:rPr lang="lt-LT"/>
              <a:t>š.</a:t>
            </a:r>
            <a:r>
              <a:rPr lang="lt-LT" baseline="0"/>
              <a:t> 2l/min, nepurškiama</a:t>
            </a:r>
            <a:endParaRPr lang="en-US"/>
          </a:p>
        </c:rich>
      </c:tx>
      <c:layout>
        <c:manualLayout>
          <c:xMode val="edge"/>
          <c:yMode val="edge"/>
          <c:x val="0.15525712063769806"/>
          <c:y val="2.66666666666666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[53]Chronologija!$D$29:$K$29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[53]Chronologija!$D$31:$K$31</c:f>
              <c:numCache>
                <c:formatCode>General</c:formatCode>
                <c:ptCount val="8"/>
                <c:pt idx="0">
                  <c:v>81</c:v>
                </c:pt>
                <c:pt idx="1">
                  <c:v>65</c:v>
                </c:pt>
                <c:pt idx="2">
                  <c:v>29</c:v>
                </c:pt>
                <c:pt idx="3">
                  <c:v>21</c:v>
                </c:pt>
                <c:pt idx="4">
                  <c:v>29</c:v>
                </c:pt>
                <c:pt idx="5">
                  <c:v>764</c:v>
                </c:pt>
                <c:pt idx="6">
                  <c:v>15</c:v>
                </c:pt>
                <c:pt idx="7">
                  <c:v>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4A-40CC-B00D-843F5D5F2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70984"/>
        <c:axId val="513876080"/>
      </c:barChart>
      <c:catAx>
        <c:axId val="513870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6080"/>
        <c:crosses val="autoZero"/>
        <c:auto val="1"/>
        <c:lblAlgn val="ctr"/>
        <c:lblOffset val="100"/>
        <c:noMultiLvlLbl val="0"/>
      </c:catAx>
      <c:valAx>
        <c:axId val="51387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0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2020.04.20. Re</a:t>
            </a:r>
            <a:r>
              <a:rPr lang="ru-RU"/>
              <a:t> </a:t>
            </a:r>
            <a:r>
              <a:rPr lang="en-US"/>
              <a:t>orientac=980, au</a:t>
            </a:r>
            <a:r>
              <a:rPr lang="lt-LT"/>
              <a:t>š.</a:t>
            </a:r>
            <a:r>
              <a:rPr lang="lt-LT" baseline="0"/>
              <a:t> 2l/min, nepurškiama</a:t>
            </a:r>
            <a:endParaRPr lang="en-US"/>
          </a:p>
        </c:rich>
      </c:tx>
      <c:layout>
        <c:manualLayout>
          <c:xMode val="edge"/>
          <c:yMode val="edge"/>
          <c:x val="0.15525712063769806"/>
          <c:y val="2.66666666666666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[53]Chronologija!$D$29:$K$29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[53]Chronologija!$D$32:$K$32</c:f>
              <c:numCache>
                <c:formatCode>General</c:formatCode>
                <c:ptCount val="8"/>
                <c:pt idx="1">
                  <c:v>146</c:v>
                </c:pt>
                <c:pt idx="3">
                  <c:v>50</c:v>
                </c:pt>
                <c:pt idx="5">
                  <c:v>793</c:v>
                </c:pt>
                <c:pt idx="7">
                  <c:v>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82-46DB-84A2-1D57F5257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73728"/>
        <c:axId val="513877648"/>
      </c:barChart>
      <c:catAx>
        <c:axId val="513873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7648"/>
        <c:crosses val="autoZero"/>
        <c:auto val="1"/>
        <c:lblAlgn val="ctr"/>
        <c:lblOffset val="100"/>
        <c:noMultiLvlLbl val="0"/>
      </c:catAx>
      <c:valAx>
        <c:axId val="51387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3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6"/>
          <c:w val="0.80811184702995154"/>
          <c:h val="0.73585526631585707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'[53]Keithley Matavimai'!$S$5:$S$13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xVal>
          <c:yVal>
            <c:numRef>
              <c:f>'[53]Keithley Matavimai'!$V$6:$V$14</c:f>
              <c:numCache>
                <c:formatCode>General</c:formatCode>
                <c:ptCount val="9"/>
                <c:pt idx="0">
                  <c:v>82.028315686619038</c:v>
                </c:pt>
                <c:pt idx="1">
                  <c:v>71.744159400466117</c:v>
                </c:pt>
                <c:pt idx="2">
                  <c:v>61.318507192890642</c:v>
                </c:pt>
                <c:pt idx="3">
                  <c:v>57.484958665275293</c:v>
                </c:pt>
                <c:pt idx="4">
                  <c:v>49.432901791101919</c:v>
                </c:pt>
                <c:pt idx="5">
                  <c:v>43.068196832234236</c:v>
                </c:pt>
                <c:pt idx="6">
                  <c:v>38.762089601949214</c:v>
                </c:pt>
                <c:pt idx="7">
                  <c:v>33.37256270697759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DE-4594-A5F3-19FB57201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878432"/>
        <c:axId val="513873336"/>
      </c:scatterChart>
      <c:valAx>
        <c:axId val="513878432"/>
        <c:scaling>
          <c:orientation val="minMax"/>
          <c:max val="9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3336"/>
        <c:crosses val="autoZero"/>
        <c:crossBetween val="midCat"/>
        <c:majorUnit val="1"/>
      </c:valAx>
      <c:valAx>
        <c:axId val="513873336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8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</a:t>
            </a:r>
            <a:r>
              <a:rPr lang="en-US"/>
              <a:t>0</a:t>
            </a:r>
            <a:r>
              <a:rPr lang="lt-LT"/>
              <a:t>2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orientac=9</a:t>
            </a:r>
            <a:r>
              <a:rPr lang="lt-LT"/>
              <a:t>9</a:t>
            </a:r>
            <a:r>
              <a:rPr lang="en-US"/>
              <a:t>0</a:t>
            </a:r>
            <a:r>
              <a:rPr lang="lt-LT"/>
              <a:t>, nepurškiama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[54]Chronologija!$D$38:$K$38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[54]Chronologija!$D$39:$K$39</c:f>
              <c:numCache>
                <c:formatCode>General</c:formatCode>
                <c:ptCount val="8"/>
                <c:pt idx="0">
                  <c:v>12</c:v>
                </c:pt>
                <c:pt idx="1">
                  <c:v>13</c:v>
                </c:pt>
                <c:pt idx="2">
                  <c:v>13</c:v>
                </c:pt>
                <c:pt idx="3">
                  <c:v>16</c:v>
                </c:pt>
                <c:pt idx="4">
                  <c:v>9</c:v>
                </c:pt>
                <c:pt idx="5">
                  <c:v>16</c:v>
                </c:pt>
                <c:pt idx="6">
                  <c:v>13</c:v>
                </c:pt>
                <c:pt idx="7">
                  <c:v>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68240"/>
        <c:axId val="513876864"/>
      </c:barChart>
      <c:catAx>
        <c:axId val="513868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6864"/>
        <c:crosses val="autoZero"/>
        <c:auto val="1"/>
        <c:lblAlgn val="ctr"/>
        <c:lblOffset val="100"/>
        <c:noMultiLvlLbl val="0"/>
      </c:catAx>
      <c:valAx>
        <c:axId val="5138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68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</a:t>
            </a:r>
            <a:r>
              <a:rPr lang="en-US"/>
              <a:t>0</a:t>
            </a:r>
            <a:r>
              <a:rPr lang="lt-LT"/>
              <a:t>2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orientac=9</a:t>
            </a:r>
            <a:r>
              <a:rPr lang="lt-LT"/>
              <a:t>9</a:t>
            </a:r>
            <a:r>
              <a:rPr lang="en-US"/>
              <a:t>0</a:t>
            </a:r>
            <a:r>
              <a:rPr lang="lt-LT"/>
              <a:t>, nepurškiama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[54]Chronologija!$D$38:$K$38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[54]Chronologija!$D$40:$K$40</c:f>
              <c:numCache>
                <c:formatCode>General</c:formatCode>
                <c:ptCount val="8"/>
                <c:pt idx="1">
                  <c:v>25</c:v>
                </c:pt>
                <c:pt idx="3">
                  <c:v>29</c:v>
                </c:pt>
                <c:pt idx="5">
                  <c:v>25</c:v>
                </c:pt>
                <c:pt idx="7">
                  <c:v>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78824"/>
        <c:axId val="513879216"/>
      </c:barChart>
      <c:catAx>
        <c:axId val="513878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9216"/>
        <c:crosses val="autoZero"/>
        <c:auto val="1"/>
        <c:lblAlgn val="ctr"/>
        <c:lblOffset val="100"/>
        <c:noMultiLvlLbl val="0"/>
      </c:catAx>
      <c:valAx>
        <c:axId val="51387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8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584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'[54]Keithley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'[54]Keithley Matavimai'!$X$6:$X$13</c:f>
              <c:numCache>
                <c:formatCode>General</c:formatCode>
                <c:ptCount val="8"/>
                <c:pt idx="0">
                  <c:v>80.499116437146625</c:v>
                </c:pt>
                <c:pt idx="1">
                  <c:v>69.428492384183215</c:v>
                </c:pt>
                <c:pt idx="2">
                  <c:v>59.920445527338053</c:v>
                </c:pt>
                <c:pt idx="3">
                  <c:v>54.191906945817799</c:v>
                </c:pt>
                <c:pt idx="4">
                  <c:v>47.529611272292307</c:v>
                </c:pt>
                <c:pt idx="5">
                  <c:v>40.2169217565026</c:v>
                </c:pt>
                <c:pt idx="6">
                  <c:v>36.244192739249705</c:v>
                </c:pt>
                <c:pt idx="7">
                  <c:v>30.624145220958063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870592"/>
        <c:axId val="513869416"/>
      </c:scatterChart>
      <c:valAx>
        <c:axId val="513870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69416"/>
        <c:crosses val="autoZero"/>
        <c:crossBetween val="midCat"/>
        <c:majorUnit val="1"/>
      </c:valAx>
      <c:valAx>
        <c:axId val="513869416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</a:t>
            </a:r>
            <a:r>
              <a:rPr lang="en-US"/>
              <a:t>0</a:t>
            </a:r>
            <a:r>
              <a:rPr lang="lt-LT"/>
              <a:t>3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orientac=9</a:t>
            </a:r>
            <a:r>
              <a:rPr lang="lt-LT"/>
              <a:t>15</a:t>
            </a:r>
            <a:r>
              <a:rPr lang="en-US"/>
              <a:t>, nepu</a:t>
            </a:r>
            <a:r>
              <a:rPr lang="lt-LT"/>
              <a:t>rsk.</a:t>
            </a:r>
            <a:r>
              <a:rPr lang="lt-LT" baseline="0"/>
              <a:t> naud. ekonomaizeris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[55]Chronologija!$D$37:$K$37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[55]Chronologija!$D$38:$K$38</c:f>
              <c:numCache>
                <c:formatCode>General</c:formatCode>
                <c:ptCount val="8"/>
                <c:pt idx="0">
                  <c:v>14</c:v>
                </c:pt>
                <c:pt idx="1">
                  <c:v>14</c:v>
                </c:pt>
                <c:pt idx="2">
                  <c:v>21</c:v>
                </c:pt>
                <c:pt idx="3">
                  <c:v>32</c:v>
                </c:pt>
                <c:pt idx="4">
                  <c:v>41</c:v>
                </c:pt>
                <c:pt idx="5">
                  <c:v>111</c:v>
                </c:pt>
                <c:pt idx="6">
                  <c:v>14</c:v>
                </c:pt>
                <c:pt idx="7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71376"/>
        <c:axId val="513872552"/>
      </c:barChart>
      <c:catAx>
        <c:axId val="513871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2552"/>
        <c:crosses val="autoZero"/>
        <c:auto val="1"/>
        <c:lblAlgn val="ctr"/>
        <c:lblOffset val="100"/>
        <c:noMultiLvlLbl val="0"/>
      </c:catAx>
      <c:valAx>
        <c:axId val="51387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1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</a:t>
            </a:r>
            <a:r>
              <a:rPr lang="en-US"/>
              <a:t>0</a:t>
            </a:r>
            <a:r>
              <a:rPr lang="lt-LT"/>
              <a:t>3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orientac=9</a:t>
            </a:r>
            <a:r>
              <a:rPr lang="lt-LT"/>
              <a:t>15</a:t>
            </a:r>
            <a:r>
              <a:rPr lang="en-US"/>
              <a:t>, nepu</a:t>
            </a:r>
            <a:r>
              <a:rPr lang="lt-LT"/>
              <a:t>rsk.</a:t>
            </a:r>
            <a:r>
              <a:rPr lang="lt-LT" baseline="0"/>
              <a:t> naud. ekonomaizeris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[55]Chronologija!$D$37:$K$37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[55]Chronologija!$D$39:$K$39</c:f>
              <c:numCache>
                <c:formatCode>General</c:formatCode>
                <c:ptCount val="8"/>
                <c:pt idx="1">
                  <c:v>28</c:v>
                </c:pt>
                <c:pt idx="3">
                  <c:v>53</c:v>
                </c:pt>
                <c:pt idx="5">
                  <c:v>152</c:v>
                </c:pt>
                <c:pt idx="7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74120"/>
        <c:axId val="513874512"/>
      </c:barChart>
      <c:catAx>
        <c:axId val="513874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4512"/>
        <c:crosses val="autoZero"/>
        <c:auto val="1"/>
        <c:lblAlgn val="ctr"/>
        <c:lblOffset val="100"/>
        <c:noMultiLvlLbl val="0"/>
      </c:catAx>
      <c:valAx>
        <c:axId val="51387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4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584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'[55]Keithley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'[55]Keithley Matavimai'!$X$6:$X$13</c:f>
              <c:numCache>
                <c:formatCode>General</c:formatCode>
                <c:ptCount val="8"/>
                <c:pt idx="0">
                  <c:v>61.678013127370193</c:v>
                </c:pt>
                <c:pt idx="1">
                  <c:v>53.776395839348538</c:v>
                </c:pt>
                <c:pt idx="2">
                  <c:v>46.068146184906375</c:v>
                </c:pt>
                <c:pt idx="3">
                  <c:v>41.62335190397885</c:v>
                </c:pt>
                <c:pt idx="4">
                  <c:v>36.585259504426233</c:v>
                </c:pt>
                <c:pt idx="5">
                  <c:v>31.506530268272734</c:v>
                </c:pt>
                <c:pt idx="6">
                  <c:v>28.200704680062195</c:v>
                </c:pt>
                <c:pt idx="7">
                  <c:v>23.905686682466083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883136"/>
        <c:axId val="513880784"/>
      </c:scatterChart>
      <c:valAx>
        <c:axId val="51388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80784"/>
        <c:crosses val="autoZero"/>
        <c:crossBetween val="midCat"/>
        <c:majorUnit val="1"/>
      </c:valAx>
      <c:valAx>
        <c:axId val="513880784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8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</a:t>
            </a:r>
            <a:r>
              <a:rPr lang="en-US"/>
              <a:t>0</a:t>
            </a:r>
            <a:r>
              <a:rPr lang="lt-LT"/>
              <a:t>9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orientac=9</a:t>
            </a:r>
            <a:r>
              <a:rPr lang="lt-LT"/>
              <a:t>60 kartojamas</a:t>
            </a:r>
            <a:r>
              <a:rPr lang="lt-LT" baseline="0"/>
              <a:t> 07.02  eksperimentas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[56]Chronologija!$D$40:$K$40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[56]Chronologija!$D$41:$K$41</c:f>
              <c:numCache>
                <c:formatCode>General</c:formatCode>
                <c:ptCount val="8"/>
                <c:pt idx="0">
                  <c:v>15</c:v>
                </c:pt>
                <c:pt idx="1">
                  <c:v>16</c:v>
                </c:pt>
                <c:pt idx="2">
                  <c:v>17</c:v>
                </c:pt>
                <c:pt idx="3">
                  <c:v>68</c:v>
                </c:pt>
                <c:pt idx="4">
                  <c:v>4</c:v>
                </c:pt>
                <c:pt idx="5">
                  <c:v>21</c:v>
                </c:pt>
                <c:pt idx="6">
                  <c:v>112</c:v>
                </c:pt>
                <c:pt idx="7">
                  <c:v>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81568"/>
        <c:axId val="513881176"/>
      </c:barChart>
      <c:catAx>
        <c:axId val="513881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81176"/>
        <c:crosses val="autoZero"/>
        <c:auto val="1"/>
        <c:lblAlgn val="ctr"/>
        <c:lblOffset val="100"/>
        <c:noMultiLvlLbl val="0"/>
      </c:catAx>
      <c:valAx>
        <c:axId val="51388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81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</a:t>
            </a:r>
            <a:r>
              <a:rPr lang="en-US"/>
              <a:t>0</a:t>
            </a:r>
            <a:r>
              <a:rPr lang="lt-LT"/>
              <a:t>9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orientac=9</a:t>
            </a:r>
            <a:r>
              <a:rPr lang="lt-LT"/>
              <a:t>60 kartojamas</a:t>
            </a:r>
            <a:r>
              <a:rPr lang="lt-LT" baseline="0"/>
              <a:t> 07.02  eksperimentas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[56]Chronologija!$D$40:$K$40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[56]Chronologija!$D$42:$K$42</c:f>
              <c:numCache>
                <c:formatCode>General</c:formatCode>
                <c:ptCount val="8"/>
                <c:pt idx="1">
                  <c:v>31</c:v>
                </c:pt>
                <c:pt idx="3">
                  <c:v>85</c:v>
                </c:pt>
                <c:pt idx="5">
                  <c:v>25</c:v>
                </c:pt>
                <c:pt idx="7">
                  <c:v>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82352"/>
        <c:axId val="513882744"/>
      </c:barChart>
      <c:catAx>
        <c:axId val="513882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82744"/>
        <c:crosses val="autoZero"/>
        <c:auto val="1"/>
        <c:lblAlgn val="ctr"/>
        <c:lblOffset val="100"/>
        <c:noMultiLvlLbl val="0"/>
      </c:catAx>
      <c:valAx>
        <c:axId val="51388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82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5885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'[56]Keithley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'[56]Keithley Matavimai'!$X$6:$X$13</c:f>
              <c:numCache>
                <c:formatCode>General</c:formatCode>
                <c:ptCount val="8"/>
                <c:pt idx="0">
                  <c:v>80.037779763342769</c:v>
                </c:pt>
                <c:pt idx="1">
                  <c:v>72.310464435938627</c:v>
                </c:pt>
                <c:pt idx="2">
                  <c:v>60.062441000552354</c:v>
                </c:pt>
                <c:pt idx="3">
                  <c:v>55.68609999344266</c:v>
                </c:pt>
                <c:pt idx="4">
                  <c:v>47.715652973476814</c:v>
                </c:pt>
                <c:pt idx="5">
                  <c:v>41.049431443558682</c:v>
                </c:pt>
                <c:pt idx="6">
                  <c:v>36.525314054551338</c:v>
                </c:pt>
                <c:pt idx="7">
                  <c:v>31.421099822667841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087840"/>
        <c:axId val="520092936"/>
      </c:scatterChart>
      <c:valAx>
        <c:axId val="520087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2936"/>
        <c:crosses val="autoZero"/>
        <c:crossBetween val="midCat"/>
        <c:majorUnit val="1"/>
      </c:valAx>
      <c:valAx>
        <c:axId val="520092936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7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7.14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940,</a:t>
            </a:r>
            <a:r>
              <a:rPr lang="en-US"/>
              <a:t> au</a:t>
            </a:r>
            <a:r>
              <a:rPr lang="lt-LT"/>
              <a:t>šin.</a:t>
            </a:r>
            <a:r>
              <a:rPr lang="lt-LT" baseline="0"/>
              <a:t> 2 l/min, pursk. į kurykla, dumai per ekonomaiz.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[57]Chronologija!$D$55:$K$55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[57]Chronologija!$D$56:$K$56</c:f>
              <c:numCache>
                <c:formatCode>General</c:formatCode>
                <c:ptCount val="8"/>
                <c:pt idx="0">
                  <c:v>17</c:v>
                </c:pt>
                <c:pt idx="1">
                  <c:v>213</c:v>
                </c:pt>
                <c:pt idx="2">
                  <c:v>30</c:v>
                </c:pt>
                <c:pt idx="3">
                  <c:v>34</c:v>
                </c:pt>
                <c:pt idx="4">
                  <c:v>31</c:v>
                </c:pt>
                <c:pt idx="5">
                  <c:v>129</c:v>
                </c:pt>
                <c:pt idx="6">
                  <c:v>108</c:v>
                </c:pt>
                <c:pt idx="7">
                  <c:v>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88232"/>
        <c:axId val="520096856"/>
      </c:barChart>
      <c:catAx>
        <c:axId val="520088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6856"/>
        <c:crosses val="autoZero"/>
        <c:auto val="1"/>
        <c:lblAlgn val="ctr"/>
        <c:lblOffset val="100"/>
        <c:noMultiLvlLbl val="0"/>
      </c:catAx>
      <c:valAx>
        <c:axId val="52009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8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7.14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940,</a:t>
            </a:r>
            <a:r>
              <a:rPr lang="en-US"/>
              <a:t> au</a:t>
            </a:r>
            <a:r>
              <a:rPr lang="lt-LT"/>
              <a:t>šin.</a:t>
            </a:r>
            <a:r>
              <a:rPr lang="lt-LT" baseline="0"/>
              <a:t> 2 l/min, pursk. į kurykla, dumai per ekonomaiz.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[57]Chronologija!$D$55:$K$55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[57]Chronologija!$D$57:$K$57</c:f>
              <c:numCache>
                <c:formatCode>General</c:formatCode>
                <c:ptCount val="8"/>
                <c:pt idx="1">
                  <c:v>230</c:v>
                </c:pt>
                <c:pt idx="3">
                  <c:v>64</c:v>
                </c:pt>
                <c:pt idx="5">
                  <c:v>160</c:v>
                </c:pt>
                <c:pt idx="7">
                  <c:v>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97640"/>
        <c:axId val="520089408"/>
      </c:barChart>
      <c:catAx>
        <c:axId val="520097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9408"/>
        <c:crosses val="autoZero"/>
        <c:auto val="1"/>
        <c:lblAlgn val="ctr"/>
        <c:lblOffset val="100"/>
        <c:noMultiLvlLbl val="0"/>
      </c:catAx>
      <c:valAx>
        <c:axId val="52008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7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04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'[57]Keithley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'[57]Keithley Matavimai'!$X$6:$X$13</c:f>
              <c:numCache>
                <c:formatCode>General</c:formatCode>
                <c:ptCount val="8"/>
                <c:pt idx="0">
                  <c:v>48.42667314958306</c:v>
                </c:pt>
                <c:pt idx="1">
                  <c:v>45.584609890800053</c:v>
                </c:pt>
                <c:pt idx="2">
                  <c:v>37.662702679307323</c:v>
                </c:pt>
                <c:pt idx="3">
                  <c:v>35.875245883891708</c:v>
                </c:pt>
                <c:pt idx="4">
                  <c:v>31.328523228253154</c:v>
                </c:pt>
                <c:pt idx="5">
                  <c:v>28.433134870548443</c:v>
                </c:pt>
                <c:pt idx="6">
                  <c:v>25.475919534820996</c:v>
                </c:pt>
                <c:pt idx="7">
                  <c:v>23.47830132521014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098424"/>
        <c:axId val="520089800"/>
      </c:scatterChart>
      <c:valAx>
        <c:axId val="520098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9800"/>
        <c:crosses val="autoZero"/>
        <c:crossBetween val="midCat"/>
        <c:majorUnit val="1"/>
      </c:valAx>
      <c:valAx>
        <c:axId val="520089800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8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58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7.14-2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940</a:t>
            </a:r>
            <a:r>
              <a:rPr lang="en-US"/>
              <a:t>, ausin. 3 l/min, pursk.</a:t>
            </a:r>
            <a:r>
              <a:rPr lang="en-US" baseline="0"/>
              <a:t> </a:t>
            </a:r>
            <a:r>
              <a:rPr lang="lt-LT" baseline="0"/>
              <a:t>į kuryklą, dumai per ekon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[58]Chronologija!$D$25:$K$25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[58]Chronologija!$D$26:$K$26</c:f>
              <c:numCache>
                <c:formatCode>General</c:formatCode>
                <c:ptCount val="8"/>
                <c:pt idx="0">
                  <c:v>12</c:v>
                </c:pt>
                <c:pt idx="1">
                  <c:v>207</c:v>
                </c:pt>
                <c:pt idx="2">
                  <c:v>24</c:v>
                </c:pt>
                <c:pt idx="3">
                  <c:v>21</c:v>
                </c:pt>
                <c:pt idx="4">
                  <c:v>20</c:v>
                </c:pt>
                <c:pt idx="5">
                  <c:v>14</c:v>
                </c:pt>
                <c:pt idx="6">
                  <c:v>46</c:v>
                </c:pt>
                <c:pt idx="7">
                  <c:v>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98032"/>
        <c:axId val="520094112"/>
      </c:barChart>
      <c:catAx>
        <c:axId val="520098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4112"/>
        <c:crosses val="autoZero"/>
        <c:auto val="1"/>
        <c:lblAlgn val="ctr"/>
        <c:lblOffset val="100"/>
        <c:noMultiLvlLbl val="0"/>
      </c:catAx>
      <c:valAx>
        <c:axId val="5200941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8032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7.14-2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940</a:t>
            </a:r>
            <a:r>
              <a:rPr lang="en-US"/>
              <a:t>, ausin. 3 l/min, pursk.</a:t>
            </a:r>
            <a:r>
              <a:rPr lang="en-US" baseline="0"/>
              <a:t> </a:t>
            </a:r>
            <a:r>
              <a:rPr lang="lt-LT" baseline="0"/>
              <a:t>į kuryklą, dumai per ekon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[58]Chronologija!$D$25:$K$25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[58]Chronologija!$D$27:$K$27</c:f>
              <c:numCache>
                <c:formatCode>General</c:formatCode>
                <c:ptCount val="8"/>
                <c:pt idx="1">
                  <c:v>219</c:v>
                </c:pt>
                <c:pt idx="3">
                  <c:v>45</c:v>
                </c:pt>
                <c:pt idx="5">
                  <c:v>34</c:v>
                </c:pt>
                <c:pt idx="7">
                  <c:v>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92544"/>
        <c:axId val="520089016"/>
      </c:barChart>
      <c:catAx>
        <c:axId val="520092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9016"/>
        <c:crosses val="autoZero"/>
        <c:auto val="1"/>
        <c:lblAlgn val="ctr"/>
        <c:lblOffset val="100"/>
        <c:noMultiLvlLbl val="0"/>
      </c:catAx>
      <c:valAx>
        <c:axId val="520089016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2544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073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'[58]Keithley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'[58]Keithley Matavimai'!$X$6:$X$13</c:f>
              <c:numCache>
                <c:formatCode>General</c:formatCode>
                <c:ptCount val="8"/>
                <c:pt idx="0">
                  <c:v>52.990522242399507</c:v>
                </c:pt>
                <c:pt idx="1">
                  <c:v>49.402698057034577</c:v>
                </c:pt>
                <c:pt idx="2">
                  <c:v>40.989032816885</c:v>
                </c:pt>
                <c:pt idx="3">
                  <c:v>38.113109996352158</c:v>
                </c:pt>
                <c:pt idx="4">
                  <c:v>33.229882619801927</c:v>
                </c:pt>
                <c:pt idx="5">
                  <c:v>29.473566147903</c:v>
                </c:pt>
                <c:pt idx="6">
                  <c:v>26.381608620542963</c:v>
                </c:pt>
                <c:pt idx="7">
                  <c:v>23.294429890143199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093720"/>
        <c:axId val="520096072"/>
      </c:scatterChart>
      <c:valAx>
        <c:axId val="520093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6072"/>
        <c:crosses val="autoZero"/>
        <c:crossBetween val="midCat"/>
        <c:majorUnit val="1"/>
      </c:valAx>
      <c:valAx>
        <c:axId val="520096072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3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58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7.17.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316</a:t>
            </a:r>
            <a:r>
              <a:rPr lang="en-US"/>
              <a:t>, ausin. 2 l/min,</a:t>
            </a:r>
            <a:r>
              <a:rPr lang="en-US" baseline="0"/>
              <a:t> nepurskiama, dumai per ekonom.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[59]Chronologija!$D$52:$K$52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[59]Chronologija!$D$53:$K$53</c:f>
              <c:numCache>
                <c:formatCode>General</c:formatCode>
                <c:ptCount val="8"/>
                <c:pt idx="0">
                  <c:v>5</c:v>
                </c:pt>
                <c:pt idx="1">
                  <c:v>52</c:v>
                </c:pt>
                <c:pt idx="2">
                  <c:v>11</c:v>
                </c:pt>
                <c:pt idx="3">
                  <c:v>37</c:v>
                </c:pt>
                <c:pt idx="4">
                  <c:v>3</c:v>
                </c:pt>
                <c:pt idx="5">
                  <c:v>132</c:v>
                </c:pt>
                <c:pt idx="6">
                  <c:v>1</c:v>
                </c:pt>
                <c:pt idx="7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90584"/>
        <c:axId val="520086664"/>
      </c:barChart>
      <c:catAx>
        <c:axId val="520090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6664"/>
        <c:crosses val="autoZero"/>
        <c:auto val="1"/>
        <c:lblAlgn val="ctr"/>
        <c:lblOffset val="100"/>
        <c:noMultiLvlLbl val="0"/>
      </c:catAx>
      <c:valAx>
        <c:axId val="520086664"/>
        <c:scaling>
          <c:orientation val="minMax"/>
          <c:max val="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0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355" l="0.70000000000000062" r="0.70000000000000062" t="0.75000000000000355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7.17.</a:t>
            </a:r>
            <a:r>
              <a:rPr lang="en-US"/>
              <a:t> </a:t>
            </a:r>
            <a:r>
              <a:rPr lang="en-US" sz="1400" b="0" i="0" u="none" strike="noStrike" baseline="0">
                <a:effectLst/>
              </a:rPr>
              <a:t>Re</a:t>
            </a:r>
            <a:r>
              <a:rPr lang="ru-RU" sz="1400" b="0" i="0" u="none" strike="noStrike" baseline="0">
                <a:effectLst/>
              </a:rPr>
              <a:t> </a:t>
            </a:r>
            <a:r>
              <a:rPr lang="en-US" sz="1400" b="0" i="0" u="none" strike="noStrike" baseline="0">
                <a:effectLst/>
              </a:rPr>
              <a:t>orientac=</a:t>
            </a:r>
            <a:r>
              <a:rPr lang="lt-LT" sz="1400" b="0" i="0" u="none" strike="noStrike" baseline="0">
                <a:effectLst/>
              </a:rPr>
              <a:t>316</a:t>
            </a:r>
            <a:r>
              <a:rPr lang="en-US" sz="1400" b="0" i="0" u="none" strike="noStrike" baseline="0">
                <a:effectLst/>
              </a:rPr>
              <a:t>, ausin. 2 l/min, nepurskiama, dumai per ekonom.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[59]Chronologija!$D$52:$K$52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[59]Chronologija!$D$54:$K$54</c:f>
              <c:numCache>
                <c:formatCode>General</c:formatCode>
                <c:ptCount val="8"/>
                <c:pt idx="1">
                  <c:v>57</c:v>
                </c:pt>
                <c:pt idx="3">
                  <c:v>48</c:v>
                </c:pt>
                <c:pt idx="5">
                  <c:v>135</c:v>
                </c:pt>
                <c:pt idx="7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95288"/>
        <c:axId val="520092152"/>
      </c:barChart>
      <c:catAx>
        <c:axId val="520095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2152"/>
        <c:crosses val="autoZero"/>
        <c:auto val="1"/>
        <c:lblAlgn val="ctr"/>
        <c:lblOffset val="100"/>
        <c:noMultiLvlLbl val="0"/>
      </c:catAx>
      <c:valAx>
        <c:axId val="520092152"/>
        <c:scaling>
          <c:orientation val="minMax"/>
          <c:max val="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5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355" l="0.70000000000000062" r="0.70000000000000062" t="0.75000000000000355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24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'[59]Keithley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'[59]Keithley Matavimai'!$X$6:$X$13</c:f>
              <c:numCache>
                <c:formatCode>General</c:formatCode>
                <c:ptCount val="8"/>
                <c:pt idx="0">
                  <c:v>41.351976966399533</c:v>
                </c:pt>
                <c:pt idx="1">
                  <c:v>32.252420084024735</c:v>
                </c:pt>
                <c:pt idx="2">
                  <c:v>24.797799637414684</c:v>
                </c:pt>
                <c:pt idx="3">
                  <c:v>19.946029650568391</c:v>
                </c:pt>
                <c:pt idx="4">
                  <c:v>15.655881181292578</c:v>
                </c:pt>
                <c:pt idx="5">
                  <c:v>12.058137158230359</c:v>
                </c:pt>
                <c:pt idx="6">
                  <c:v>9.5123222007991544</c:v>
                </c:pt>
                <c:pt idx="7">
                  <c:v>7.5768794383196294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095680"/>
        <c:axId val="520096464"/>
      </c:scatterChart>
      <c:valAx>
        <c:axId val="520095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6464"/>
        <c:crosses val="autoZero"/>
        <c:crossBetween val="midCat"/>
        <c:majorUnit val="1"/>
      </c:valAx>
      <c:valAx>
        <c:axId val="52009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5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355" l="0.70000000000000062" r="0.70000000000000062" t="0.75000000000000355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7.20.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909</a:t>
            </a:r>
            <a:r>
              <a:rPr lang="en-US"/>
              <a:t>, ausin. 2l/m, dumai per ekon.</a:t>
            </a:r>
            <a:r>
              <a:rPr lang="en-US" baseline="0"/>
              <a:t> purskiama </a:t>
            </a:r>
            <a:r>
              <a:rPr lang="lt-LT" baseline="0"/>
              <a:t>į katila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[60]Chronologija!$D$63:$K$63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[60]Chronologija!$D$64:$K$64</c:f>
              <c:numCache>
                <c:formatCode>General</c:formatCode>
                <c:ptCount val="8"/>
                <c:pt idx="0">
                  <c:v>310</c:v>
                </c:pt>
                <c:pt idx="1">
                  <c:v>45</c:v>
                </c:pt>
                <c:pt idx="2">
                  <c:v>13</c:v>
                </c:pt>
                <c:pt idx="3">
                  <c:v>55</c:v>
                </c:pt>
                <c:pt idx="4">
                  <c:v>19</c:v>
                </c:pt>
                <c:pt idx="5">
                  <c:v>29</c:v>
                </c:pt>
                <c:pt idx="6">
                  <c:v>16</c:v>
                </c:pt>
                <c:pt idx="7">
                  <c:v>1014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87056"/>
        <c:axId val="520091368"/>
      </c:barChart>
      <c:catAx>
        <c:axId val="520087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1368"/>
        <c:crosses val="autoZero"/>
        <c:auto val="1"/>
        <c:lblAlgn val="ctr"/>
        <c:lblOffset val="100"/>
        <c:noMultiLvlLbl val="0"/>
      </c:catAx>
      <c:valAx>
        <c:axId val="52009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7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22" l="0.70000000000000062" r="0.70000000000000062" t="0.75000000000000422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7.20.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909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, ausin. 2l/m, dumai per ekon. purskiama </a:t>
            </a:r>
            <a:r>
              <a:rPr lang="lt-LT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į katila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[60]Chronologija!$D$63:$K$63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[60]Chronologija!$D$65:$K$65</c:f>
              <c:numCache>
                <c:formatCode>General</c:formatCode>
                <c:ptCount val="8"/>
                <c:pt idx="1">
                  <c:v>355</c:v>
                </c:pt>
                <c:pt idx="3">
                  <c:v>68</c:v>
                </c:pt>
                <c:pt idx="5">
                  <c:v>48</c:v>
                </c:pt>
                <c:pt idx="7">
                  <c:v>1030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100384"/>
        <c:axId val="520101168"/>
      </c:barChart>
      <c:catAx>
        <c:axId val="520100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01168"/>
        <c:crosses val="autoZero"/>
        <c:auto val="1"/>
        <c:lblAlgn val="ctr"/>
        <c:lblOffset val="100"/>
        <c:noMultiLvlLbl val="0"/>
      </c:catAx>
      <c:valAx>
        <c:axId val="52010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00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22" l="0.70000000000000062" r="0.70000000000000062" t="0.75000000000000422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329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'[60]Keithley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'[60]Keithley Matavimai'!$X$6:$X$13</c:f>
              <c:numCache>
                <c:formatCode>General</c:formatCode>
                <c:ptCount val="8"/>
                <c:pt idx="0">
                  <c:v>38.12196559287991</c:v>
                </c:pt>
                <c:pt idx="1">
                  <c:v>38.069967646617847</c:v>
                </c:pt>
                <c:pt idx="2">
                  <c:v>30.023211287992702</c:v>
                </c:pt>
                <c:pt idx="3">
                  <c:v>30.223565003631883</c:v>
                </c:pt>
                <c:pt idx="4">
                  <c:v>25.204148880721014</c:v>
                </c:pt>
                <c:pt idx="5">
                  <c:v>23.797546876163089</c:v>
                </c:pt>
                <c:pt idx="6">
                  <c:v>21.309506580701871</c:v>
                </c:pt>
                <c:pt idx="7">
                  <c:v>18.796280762229706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101952"/>
        <c:axId val="520102344"/>
      </c:scatterChart>
      <c:valAx>
        <c:axId val="520101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02344"/>
        <c:crosses val="autoZero"/>
        <c:crossBetween val="midCat"/>
        <c:majorUnit val="1"/>
      </c:valAx>
      <c:valAx>
        <c:axId val="520102344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01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59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22" l="0.70000000000000062" r="0.70000000000000062" t="0.75000000000000422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7.21.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314, ausin. 2l/min,</a:t>
            </a:r>
            <a:r>
              <a:rPr lang="lt-LT" baseline="0"/>
              <a:t> purskimas į kurykla, dumai per ekonom.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[61]Chronologija!$D$61:$K$61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[61]Chronologija!$D$62:$K$62</c:f>
              <c:numCache>
                <c:formatCode>General</c:formatCode>
                <c:ptCount val="8"/>
                <c:pt idx="0">
                  <c:v>101</c:v>
                </c:pt>
                <c:pt idx="1">
                  <c:v>184</c:v>
                </c:pt>
                <c:pt idx="2">
                  <c:v>12</c:v>
                </c:pt>
                <c:pt idx="3">
                  <c:v>7</c:v>
                </c:pt>
                <c:pt idx="4">
                  <c:v>6</c:v>
                </c:pt>
                <c:pt idx="5">
                  <c:v>332</c:v>
                </c:pt>
                <c:pt idx="6">
                  <c:v>34</c:v>
                </c:pt>
                <c:pt idx="7">
                  <c:v>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99600"/>
        <c:axId val="520099992"/>
      </c:barChart>
      <c:catAx>
        <c:axId val="520099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9992"/>
        <c:crosses val="autoZero"/>
        <c:auto val="1"/>
        <c:lblAlgn val="ctr"/>
        <c:lblOffset val="100"/>
        <c:noMultiLvlLbl val="0"/>
      </c:catAx>
      <c:valAx>
        <c:axId val="520099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9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2020.0</a:t>
            </a:r>
            <a:r>
              <a:rPr lang="lt-LT" sz="1400" b="0" i="0" baseline="0">
                <a:effectLst/>
              </a:rPr>
              <a:t>7.21.</a:t>
            </a:r>
            <a:r>
              <a:rPr lang="en-US" sz="1400" b="0" i="0" baseline="0">
                <a:effectLst/>
              </a:rPr>
              <a:t> Re</a:t>
            </a:r>
            <a:r>
              <a:rPr lang="ru-RU" sz="1400" b="0" i="0" baseline="0">
                <a:effectLst/>
              </a:rPr>
              <a:t> </a:t>
            </a:r>
            <a:r>
              <a:rPr lang="en-US" sz="1400" b="0" i="0" baseline="0">
                <a:effectLst/>
              </a:rPr>
              <a:t>orientac=</a:t>
            </a:r>
            <a:r>
              <a:rPr lang="lt-LT" sz="1400" b="0" i="0" baseline="0">
                <a:effectLst/>
              </a:rPr>
              <a:t>314, ausin. 2l/min, purskimas į kurykla, dumai per ekonom.</a:t>
            </a:r>
            <a:endParaRPr lang="lt-L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[61]Chronologija!$D$61:$K$61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[61]Chronologija!$D$63:$K$63</c:f>
              <c:numCache>
                <c:formatCode>General</c:formatCode>
                <c:ptCount val="8"/>
                <c:pt idx="1">
                  <c:v>285</c:v>
                </c:pt>
                <c:pt idx="3">
                  <c:v>19</c:v>
                </c:pt>
                <c:pt idx="5">
                  <c:v>338</c:v>
                </c:pt>
                <c:pt idx="7">
                  <c:v>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14464"/>
        <c:axId val="512814072"/>
      </c:barChart>
      <c:catAx>
        <c:axId val="512814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4072"/>
        <c:crosses val="autoZero"/>
        <c:auto val="1"/>
        <c:lblAlgn val="ctr"/>
        <c:lblOffset val="100"/>
        <c:noMultiLvlLbl val="0"/>
      </c:catAx>
      <c:valAx>
        <c:axId val="512814072"/>
        <c:scaling>
          <c:orientation val="minMax"/>
          <c:max val="3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4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406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'[61]Keithley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'[61]Keithley Matavimai'!$X$6:$X$13</c:f>
              <c:numCache>
                <c:formatCode>General</c:formatCode>
                <c:ptCount val="8"/>
                <c:pt idx="0">
                  <c:v>32.852085844780717</c:v>
                </c:pt>
                <c:pt idx="1">
                  <c:v>27.31210042597467</c:v>
                </c:pt>
                <c:pt idx="2">
                  <c:v>20.700067658032154</c:v>
                </c:pt>
                <c:pt idx="3">
                  <c:v>17.5298437342935</c:v>
                </c:pt>
                <c:pt idx="4">
                  <c:v>13.668166520149242</c:v>
                </c:pt>
                <c:pt idx="5">
                  <c:v>10.811002624683915</c:v>
                </c:pt>
                <c:pt idx="6">
                  <c:v>9.7603059664834078</c:v>
                </c:pt>
                <c:pt idx="7">
                  <c:v>8.0600965296393809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814856"/>
        <c:axId val="512812896"/>
      </c:scatterChart>
      <c:valAx>
        <c:axId val="512814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2896"/>
        <c:crosses val="autoZero"/>
        <c:crossBetween val="midCat"/>
        <c:majorUnit val="1"/>
      </c:valAx>
      <c:valAx>
        <c:axId val="51281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4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7.23.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942, ausin. 2 l/min.</a:t>
            </a:r>
            <a:r>
              <a:rPr lang="lt-LT" baseline="0"/>
              <a:t> </a:t>
            </a:r>
            <a:r>
              <a:rPr lang="lt-LT"/>
              <a:t>pursk.</a:t>
            </a:r>
            <a:r>
              <a:rPr lang="lt-LT" baseline="0"/>
              <a:t> į kurykla,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[62]Chronologija!$D$60:$K$60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[62]Chronologija!$D$61:$K$61</c:f>
              <c:numCache>
                <c:formatCode>General</c:formatCode>
                <c:ptCount val="8"/>
                <c:pt idx="0">
                  <c:v>41</c:v>
                </c:pt>
                <c:pt idx="1">
                  <c:v>330</c:v>
                </c:pt>
                <c:pt idx="2">
                  <c:v>213</c:v>
                </c:pt>
                <c:pt idx="3">
                  <c:v>49</c:v>
                </c:pt>
                <c:pt idx="4">
                  <c:v>19</c:v>
                </c:pt>
                <c:pt idx="5">
                  <c:v>16</c:v>
                </c:pt>
                <c:pt idx="6">
                  <c:v>23</c:v>
                </c:pt>
                <c:pt idx="7">
                  <c:v>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15640"/>
        <c:axId val="512811720"/>
      </c:barChart>
      <c:catAx>
        <c:axId val="512815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1720"/>
        <c:crosses val="autoZero"/>
        <c:auto val="1"/>
        <c:lblAlgn val="ctr"/>
        <c:lblOffset val="100"/>
        <c:noMultiLvlLbl val="0"/>
      </c:catAx>
      <c:valAx>
        <c:axId val="51281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5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7.23.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942, </a:t>
            </a:r>
            <a:r>
              <a:rPr lang="lt-LT" sz="1400" b="0" i="0" u="none" strike="noStrike" baseline="0">
                <a:effectLst/>
              </a:rPr>
              <a:t>ausin. 2 l/min. </a:t>
            </a:r>
            <a:r>
              <a:rPr lang="lt-LT"/>
              <a:t>pursk.</a:t>
            </a:r>
            <a:r>
              <a:rPr lang="lt-LT" baseline="0"/>
              <a:t> į kurykla,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[62]Chronologija!$D$60:$K$60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[62]Chronologija!$D$62:$K$62</c:f>
              <c:numCache>
                <c:formatCode>General</c:formatCode>
                <c:ptCount val="8"/>
                <c:pt idx="1">
                  <c:v>371</c:v>
                </c:pt>
                <c:pt idx="3">
                  <c:v>262</c:v>
                </c:pt>
                <c:pt idx="5">
                  <c:v>35</c:v>
                </c:pt>
                <c:pt idx="7">
                  <c:v>950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21128"/>
        <c:axId val="512821912"/>
      </c:barChart>
      <c:catAx>
        <c:axId val="512821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1912"/>
        <c:crosses val="autoZero"/>
        <c:auto val="1"/>
        <c:lblAlgn val="ctr"/>
        <c:lblOffset val="100"/>
        <c:noMultiLvlLbl val="0"/>
      </c:catAx>
      <c:valAx>
        <c:axId val="512821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1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484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'[62]Keithley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'[62]Keithley Matavimai'!$X$6:$X$13</c:f>
              <c:numCache>
                <c:formatCode>General</c:formatCode>
                <c:ptCount val="8"/>
                <c:pt idx="0">
                  <c:v>38.206815962512373</c:v>
                </c:pt>
                <c:pt idx="1">
                  <c:v>38.555224121048496</c:v>
                </c:pt>
                <c:pt idx="2">
                  <c:v>30.581876569714602</c:v>
                </c:pt>
                <c:pt idx="3">
                  <c:v>31.5802820926164</c:v>
                </c:pt>
                <c:pt idx="4">
                  <c:v>26.444598136033882</c:v>
                </c:pt>
                <c:pt idx="5">
                  <c:v>24.455487871716642</c:v>
                </c:pt>
                <c:pt idx="6">
                  <c:v>22.526797618775717</c:v>
                </c:pt>
                <c:pt idx="7">
                  <c:v>21.357631820964976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816816"/>
        <c:axId val="512822696"/>
      </c:scatterChart>
      <c:valAx>
        <c:axId val="512816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2696"/>
        <c:crosses val="autoZero"/>
        <c:crossBetween val="midCat"/>
        <c:majorUnit val="1"/>
      </c:valAx>
      <c:valAx>
        <c:axId val="512822696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60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7.27.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319</a:t>
            </a:r>
            <a:r>
              <a:rPr lang="en-US"/>
              <a:t>, ausin. 1l/min, dumai</a:t>
            </a:r>
            <a:r>
              <a:rPr lang="en-US" baseline="0"/>
              <a:t> per ekon. , vanduo nepur</a:t>
            </a:r>
            <a:r>
              <a:rPr lang="lt-LT" baseline="0"/>
              <a:t>škiamas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[63]Chronologija!$D$57:$K$57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[63]Chronologija!$D$58:$K$58</c:f>
              <c:numCache>
                <c:formatCode>General</c:formatCode>
                <c:ptCount val="8"/>
                <c:pt idx="0">
                  <c:v>16</c:v>
                </c:pt>
                <c:pt idx="1">
                  <c:v>3</c:v>
                </c:pt>
                <c:pt idx="2">
                  <c:v>29</c:v>
                </c:pt>
                <c:pt idx="3">
                  <c:v>14</c:v>
                </c:pt>
                <c:pt idx="4">
                  <c:v>88</c:v>
                </c:pt>
                <c:pt idx="5">
                  <c:v>49</c:v>
                </c:pt>
                <c:pt idx="6">
                  <c:v>35</c:v>
                </c:pt>
                <c:pt idx="7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19168"/>
        <c:axId val="512819952"/>
      </c:barChart>
      <c:catAx>
        <c:axId val="512819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9952"/>
        <c:crosses val="autoZero"/>
        <c:auto val="1"/>
        <c:lblAlgn val="ctr"/>
        <c:lblOffset val="100"/>
        <c:noMultiLvlLbl val="0"/>
      </c:catAx>
      <c:valAx>
        <c:axId val="51281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7.27</a:t>
            </a:r>
            <a:r>
              <a:rPr lang="en-US" sz="1400" b="0" i="0" baseline="0">
                <a:effectLst/>
              </a:rPr>
              <a:t>Re</a:t>
            </a:r>
            <a:r>
              <a:rPr lang="ru-RU" sz="1400" b="0" i="0" baseline="0">
                <a:effectLst/>
              </a:rPr>
              <a:t> </a:t>
            </a:r>
            <a:r>
              <a:rPr lang="en-US" sz="1400" b="0" i="0" baseline="0">
                <a:effectLst/>
              </a:rPr>
              <a:t>orientac=</a:t>
            </a:r>
            <a:r>
              <a:rPr lang="lt-LT" sz="1400" b="0" i="0" baseline="0">
                <a:effectLst/>
              </a:rPr>
              <a:t>319</a:t>
            </a:r>
            <a:r>
              <a:rPr lang="en-US" sz="1400" b="0" i="0" baseline="0">
                <a:effectLst/>
              </a:rPr>
              <a:t>, ausin. 1l/min, dumai per ekon. , vanduo nepur</a:t>
            </a:r>
            <a:r>
              <a:rPr lang="lt-LT" sz="1400" b="0" i="0" baseline="0">
                <a:effectLst/>
              </a:rPr>
              <a:t>škiamas</a:t>
            </a:r>
            <a:endParaRPr lang="lt-LT" sz="14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[63]Chronologija!$D$57:$K$57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[63]Chronologija!$D$59:$K$59</c:f>
              <c:numCache>
                <c:formatCode>General</c:formatCode>
                <c:ptCount val="8"/>
                <c:pt idx="1">
                  <c:v>19</c:v>
                </c:pt>
                <c:pt idx="3">
                  <c:v>43</c:v>
                </c:pt>
                <c:pt idx="5">
                  <c:v>137</c:v>
                </c:pt>
                <c:pt idx="7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16032"/>
        <c:axId val="512823480"/>
      </c:barChart>
      <c:catAx>
        <c:axId val="51281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3480"/>
        <c:crosses val="autoZero"/>
        <c:auto val="1"/>
        <c:lblAlgn val="ctr"/>
        <c:lblOffset val="100"/>
        <c:noMultiLvlLbl val="0"/>
      </c:catAx>
      <c:valAx>
        <c:axId val="512823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6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Gyvatuko paviršiaus ir vandens</a:t>
            </a:r>
            <a:r>
              <a:rPr lang="lt-LT" baseline="0"/>
              <a:t> </a:t>
            </a:r>
            <a:r>
              <a:rPr lang="lt-LT"/>
              <a:t>temperatūros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551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'[63]Keithley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'[63]Keithley Matavimai'!$W$6:$W$13</c:f>
              <c:numCache>
                <c:formatCode>General</c:formatCode>
                <c:ptCount val="8"/>
                <c:pt idx="0">
                  <c:v>43.246459002098199</c:v>
                </c:pt>
                <c:pt idx="1">
                  <c:v>40.091959946802753</c:v>
                </c:pt>
                <c:pt idx="2">
                  <c:v>39.746266428845388</c:v>
                </c:pt>
                <c:pt idx="3">
                  <c:v>38.116783978625541</c:v>
                </c:pt>
                <c:pt idx="4">
                  <c:v>38.030347996310063</c:v>
                </c:pt>
                <c:pt idx="5">
                  <c:v>36.951777989252442</c:v>
                </c:pt>
                <c:pt idx="6">
                  <c:v>36.661601549108966</c:v>
                </c:pt>
                <c:pt idx="7">
                  <c:v>36.016979987843357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817992"/>
        <c:axId val="512820344"/>
      </c:scatterChart>
      <c:valAx>
        <c:axId val="512817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0344"/>
        <c:crosses val="autoZero"/>
        <c:crossBetween val="midCat"/>
        <c:majorUnit val="1"/>
      </c:valAx>
      <c:valAx>
        <c:axId val="512820344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7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8.03.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924, ausin, 1 l/min, nepurskiama,</a:t>
            </a:r>
            <a:r>
              <a:rPr lang="lt-LT" baseline="0"/>
              <a:t> dumai per ekonom.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[64]Chronologija!$D$55:$K$55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[64]Chronologija!$D$56:$K$56</c:f>
              <c:numCache>
                <c:formatCode>General</c:formatCode>
                <c:ptCount val="8"/>
                <c:pt idx="0">
                  <c:v>18</c:v>
                </c:pt>
                <c:pt idx="1">
                  <c:v>19</c:v>
                </c:pt>
                <c:pt idx="2">
                  <c:v>19</c:v>
                </c:pt>
                <c:pt idx="3">
                  <c:v>22</c:v>
                </c:pt>
                <c:pt idx="4">
                  <c:v>20</c:v>
                </c:pt>
                <c:pt idx="5">
                  <c:v>21</c:v>
                </c:pt>
                <c:pt idx="6">
                  <c:v>21</c:v>
                </c:pt>
                <c:pt idx="7">
                  <c:v>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13288"/>
        <c:axId val="512812504"/>
      </c:barChart>
      <c:catAx>
        <c:axId val="512813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2504"/>
        <c:crosses val="autoZero"/>
        <c:auto val="1"/>
        <c:lblAlgn val="ctr"/>
        <c:lblOffset val="100"/>
        <c:noMultiLvlLbl val="0"/>
      </c:catAx>
      <c:valAx>
        <c:axId val="512812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3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8.03.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924, ausin, 1 l/min, nepurskiama,</a:t>
            </a:r>
            <a:r>
              <a:rPr lang="lt-LT" baseline="0"/>
              <a:t> dumai per ekonom.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[64]Chronologija!$D$55:$K$55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[64]Chronologija!$D$57:$K$57</c:f>
              <c:numCache>
                <c:formatCode>General</c:formatCode>
                <c:ptCount val="8"/>
                <c:pt idx="1">
                  <c:v>37</c:v>
                </c:pt>
                <c:pt idx="3">
                  <c:v>41</c:v>
                </c:pt>
                <c:pt idx="5">
                  <c:v>41</c:v>
                </c:pt>
                <c:pt idx="7">
                  <c:v>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16424"/>
        <c:axId val="512817600"/>
      </c:barChart>
      <c:catAx>
        <c:axId val="512816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7600"/>
        <c:crosses val="autoZero"/>
        <c:auto val="1"/>
        <c:lblAlgn val="ctr"/>
        <c:lblOffset val="100"/>
        <c:noMultiLvlLbl val="0"/>
      </c:catAx>
      <c:valAx>
        <c:axId val="51281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6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529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'[64]Keithley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'[64]Keithley Matavimai'!$W$6:$W$13</c:f>
              <c:numCache>
                <c:formatCode>General</c:formatCode>
                <c:ptCount val="8"/>
                <c:pt idx="0">
                  <c:v>53.640000871360932</c:v>
                </c:pt>
                <c:pt idx="1">
                  <c:v>48.708010347981791</c:v>
                </c:pt>
                <c:pt idx="2">
                  <c:v>47.988529622804265</c:v>
                </c:pt>
                <c:pt idx="3">
                  <c:v>44.689307040401737</c:v>
                </c:pt>
                <c:pt idx="4">
                  <c:v>44.676680671925105</c:v>
                </c:pt>
                <c:pt idx="5">
                  <c:v>41.598772853828741</c:v>
                </c:pt>
                <c:pt idx="6">
                  <c:v>41.939026706710933</c:v>
                </c:pt>
                <c:pt idx="7">
                  <c:v>40.143428022026697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819560"/>
        <c:axId val="512823872"/>
      </c:scatterChart>
      <c:valAx>
        <c:axId val="512819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3872"/>
        <c:crosses val="autoZero"/>
        <c:crossBetween val="midCat"/>
        <c:majorUnit val="1"/>
      </c:valAx>
      <c:valAx>
        <c:axId val="512823872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9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8.06.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916</a:t>
            </a:r>
            <a:r>
              <a:rPr lang="en-US"/>
              <a:t>, au</a:t>
            </a:r>
            <a:r>
              <a:rPr lang="lt-LT"/>
              <a:t>šin</a:t>
            </a:r>
            <a:r>
              <a:rPr lang="lt-LT" baseline="0"/>
              <a:t>. 3l/min, purškimas,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[65]Chronologija!$D$62:$K$62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[65]Chronologija!$D$63:$K$63</c:f>
              <c:numCache>
                <c:formatCode>General</c:formatCode>
                <c:ptCount val="8"/>
                <c:pt idx="0">
                  <c:v>351</c:v>
                </c:pt>
                <c:pt idx="1">
                  <c:v>27</c:v>
                </c:pt>
                <c:pt idx="2">
                  <c:v>44</c:v>
                </c:pt>
                <c:pt idx="3">
                  <c:v>51</c:v>
                </c:pt>
                <c:pt idx="4">
                  <c:v>54</c:v>
                </c:pt>
                <c:pt idx="5">
                  <c:v>621</c:v>
                </c:pt>
                <c:pt idx="6">
                  <c:v>39</c:v>
                </c:pt>
                <c:pt idx="7">
                  <c:v>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26616"/>
        <c:axId val="512827008"/>
      </c:barChart>
      <c:catAx>
        <c:axId val="512826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7008"/>
        <c:crosses val="autoZero"/>
        <c:auto val="1"/>
        <c:lblAlgn val="ctr"/>
        <c:lblOffset val="100"/>
        <c:noMultiLvlLbl val="0"/>
      </c:catAx>
      <c:valAx>
        <c:axId val="51282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6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8.06.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916</a:t>
            </a:r>
            <a:r>
              <a:rPr lang="en-US"/>
              <a:t>, au</a:t>
            </a:r>
            <a:r>
              <a:rPr lang="lt-LT"/>
              <a:t>šin</a:t>
            </a:r>
            <a:r>
              <a:rPr lang="lt-LT" baseline="0"/>
              <a:t>. 3l/min, purškimas,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[65]Chronologija!$D$62:$K$62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[65]Chronologija!$D$64:$K$64</c:f>
              <c:numCache>
                <c:formatCode>General</c:formatCode>
                <c:ptCount val="8"/>
                <c:pt idx="1">
                  <c:v>378</c:v>
                </c:pt>
                <c:pt idx="3">
                  <c:v>95</c:v>
                </c:pt>
                <c:pt idx="5">
                  <c:v>675</c:v>
                </c:pt>
                <c:pt idx="7">
                  <c:v>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25048"/>
        <c:axId val="512824656"/>
      </c:barChart>
      <c:catAx>
        <c:axId val="512825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4656"/>
        <c:crosses val="autoZero"/>
        <c:auto val="1"/>
        <c:lblAlgn val="ctr"/>
        <c:lblOffset val="100"/>
        <c:noMultiLvlLbl val="0"/>
      </c:catAx>
      <c:valAx>
        <c:axId val="51282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5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495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'[65]Keithley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'[65]Keithley Matavimai'!$W$6:$W$13</c:f>
              <c:numCache>
                <c:formatCode>General</c:formatCode>
                <c:ptCount val="8"/>
                <c:pt idx="0">
                  <c:v>45.844417166652157</c:v>
                </c:pt>
                <c:pt idx="1">
                  <c:v>44.661693633991298</c:v>
                </c:pt>
                <c:pt idx="2">
                  <c:v>43.124420225794857</c:v>
                </c:pt>
                <c:pt idx="3">
                  <c:v>42.274710410914899</c:v>
                </c:pt>
                <c:pt idx="4">
                  <c:v>41.414870509434863</c:v>
                </c:pt>
                <c:pt idx="5">
                  <c:v>40.881976719247319</c:v>
                </c:pt>
                <c:pt idx="6">
                  <c:v>39.51701482007266</c:v>
                </c:pt>
                <c:pt idx="7">
                  <c:v>38.372968417851489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826224"/>
        <c:axId val="512362016"/>
      </c:scatterChart>
      <c:valAx>
        <c:axId val="512826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2016"/>
        <c:crosses val="autoZero"/>
        <c:crossBetween val="midCat"/>
        <c:majorUnit val="1"/>
      </c:valAx>
      <c:valAx>
        <c:axId val="512362016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6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8.18.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940</a:t>
            </a:r>
            <a:r>
              <a:rPr lang="en-US"/>
              <a:t>, au</a:t>
            </a:r>
            <a:r>
              <a:rPr lang="lt-LT"/>
              <a:t>šin.</a:t>
            </a:r>
            <a:r>
              <a:rPr lang="lt-LT" baseline="0"/>
              <a:t> 3l/min,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[66]Chronologija!$D$36:$K$36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[66]Chronologija!$D$37:$K$37</c:f>
              <c:numCache>
                <c:formatCode>General</c:formatCode>
                <c:ptCount val="8"/>
                <c:pt idx="0">
                  <c:v>18</c:v>
                </c:pt>
                <c:pt idx="1">
                  <c:v>19</c:v>
                </c:pt>
                <c:pt idx="2">
                  <c:v>22</c:v>
                </c:pt>
                <c:pt idx="3">
                  <c:v>32</c:v>
                </c:pt>
                <c:pt idx="4">
                  <c:v>21</c:v>
                </c:pt>
                <c:pt idx="5">
                  <c:v>196</c:v>
                </c:pt>
                <c:pt idx="6">
                  <c:v>140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71424"/>
        <c:axId val="512361624"/>
      </c:barChart>
      <c:catAx>
        <c:axId val="512371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1624"/>
        <c:crosses val="autoZero"/>
        <c:auto val="1"/>
        <c:lblAlgn val="ctr"/>
        <c:lblOffset val="100"/>
        <c:noMultiLvlLbl val="0"/>
      </c:catAx>
      <c:valAx>
        <c:axId val="512361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8.18.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940</a:t>
            </a:r>
            <a:r>
              <a:rPr lang="en-US"/>
              <a:t>, au</a:t>
            </a:r>
            <a:r>
              <a:rPr lang="lt-LT"/>
              <a:t>šin.</a:t>
            </a:r>
            <a:r>
              <a:rPr lang="lt-LT" baseline="0"/>
              <a:t> 3l/min,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[66]Chronologija!$D$36:$K$36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[66]Chronologija!$D$38:$K$38</c:f>
              <c:numCache>
                <c:formatCode>General</c:formatCode>
                <c:ptCount val="8"/>
                <c:pt idx="1">
                  <c:v>37</c:v>
                </c:pt>
                <c:pt idx="3">
                  <c:v>54</c:v>
                </c:pt>
                <c:pt idx="5">
                  <c:v>217</c:v>
                </c:pt>
                <c:pt idx="7">
                  <c:v>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63976"/>
        <c:axId val="512364368"/>
      </c:barChart>
      <c:catAx>
        <c:axId val="512363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4368"/>
        <c:crosses val="autoZero"/>
        <c:auto val="1"/>
        <c:lblAlgn val="ctr"/>
        <c:lblOffset val="100"/>
        <c:noMultiLvlLbl val="0"/>
      </c:catAx>
      <c:valAx>
        <c:axId val="51236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3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495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'[66]Keithley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'[66]Keithley Matavimai'!$W$6:$W$13</c:f>
              <c:numCache>
                <c:formatCode>General</c:formatCode>
                <c:ptCount val="8"/>
                <c:pt idx="0">
                  <c:v>43.914739589780673</c:v>
                </c:pt>
                <c:pt idx="1">
                  <c:v>42.216751172880628</c:v>
                </c:pt>
                <c:pt idx="2">
                  <c:v>41.35368511646643</c:v>
                </c:pt>
                <c:pt idx="3">
                  <c:v>40.694582957263634</c:v>
                </c:pt>
                <c:pt idx="4">
                  <c:v>40.258403351822572</c:v>
                </c:pt>
                <c:pt idx="5">
                  <c:v>39.941261758210366</c:v>
                </c:pt>
                <c:pt idx="6">
                  <c:v>38.981351433558515</c:v>
                </c:pt>
                <c:pt idx="7">
                  <c:v>38.512603743065299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62800"/>
        <c:axId val="512364760"/>
      </c:scatterChart>
      <c:valAx>
        <c:axId val="512362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4760"/>
        <c:crosses val="autoZero"/>
        <c:crossBetween val="midCat"/>
        <c:majorUnit val="1"/>
      </c:valAx>
      <c:valAx>
        <c:axId val="512364760"/>
        <c:scaling>
          <c:orientation val="minMax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2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8.24.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900, aušin.</a:t>
            </a:r>
            <a:r>
              <a:rPr lang="lt-LT" baseline="0"/>
              <a:t> 2l/m,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[67]Chronologija!$D$40:$K$40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[67]Chronologija!$D$41:$K$41</c:f>
              <c:numCache>
                <c:formatCode>General</c:formatCode>
                <c:ptCount val="8"/>
                <c:pt idx="0">
                  <c:v>216</c:v>
                </c:pt>
                <c:pt idx="1">
                  <c:v>10</c:v>
                </c:pt>
                <c:pt idx="2">
                  <c:v>44</c:v>
                </c:pt>
                <c:pt idx="3">
                  <c:v>9</c:v>
                </c:pt>
                <c:pt idx="4">
                  <c:v>29</c:v>
                </c:pt>
                <c:pt idx="5">
                  <c:v>15</c:v>
                </c:pt>
                <c:pt idx="6">
                  <c:v>22</c:v>
                </c:pt>
                <c:pt idx="7">
                  <c:v>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67896"/>
        <c:axId val="512365936"/>
      </c:barChart>
      <c:catAx>
        <c:axId val="512367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5936"/>
        <c:crosses val="autoZero"/>
        <c:auto val="1"/>
        <c:lblAlgn val="ctr"/>
        <c:lblOffset val="100"/>
        <c:noMultiLvlLbl val="0"/>
      </c:catAx>
      <c:valAx>
        <c:axId val="51236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7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8.24.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900, aušin.</a:t>
            </a:r>
            <a:r>
              <a:rPr lang="lt-LT" baseline="0"/>
              <a:t> 2l/m,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[67]Chronologija!$D$40:$K$40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[67]Chronologija!$D$42:$K$42</c:f>
              <c:numCache>
                <c:formatCode>General</c:formatCode>
                <c:ptCount val="8"/>
                <c:pt idx="1">
                  <c:v>226</c:v>
                </c:pt>
                <c:pt idx="3">
                  <c:v>53</c:v>
                </c:pt>
                <c:pt idx="5">
                  <c:v>44</c:v>
                </c:pt>
                <c:pt idx="7">
                  <c:v>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71816"/>
        <c:axId val="512368288"/>
      </c:barChart>
      <c:catAx>
        <c:axId val="512371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8288"/>
        <c:crosses val="autoZero"/>
        <c:auto val="1"/>
        <c:lblAlgn val="ctr"/>
        <c:lblOffset val="100"/>
        <c:noMultiLvlLbl val="0"/>
      </c:catAx>
      <c:valAx>
        <c:axId val="51236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1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495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'[67]Keithley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'[67]Keithley Matavimai'!$X$6:$X$13</c:f>
              <c:numCache>
                <c:formatCode>General</c:formatCode>
                <c:ptCount val="8"/>
                <c:pt idx="0">
                  <c:v>63.480023609669537</c:v>
                </c:pt>
                <c:pt idx="1">
                  <c:v>58.744709511419558</c:v>
                </c:pt>
                <c:pt idx="2">
                  <c:v>48.606548045621572</c:v>
                </c:pt>
                <c:pt idx="3">
                  <c:v>47.882369250333483</c:v>
                </c:pt>
                <c:pt idx="4">
                  <c:v>40.050663424618577</c:v>
                </c:pt>
                <c:pt idx="5">
                  <c:v>36.756869969141121</c:v>
                </c:pt>
                <c:pt idx="6">
                  <c:v>31.858094707921609</c:v>
                </c:pt>
                <c:pt idx="7">
                  <c:v>28.865253426396652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67112"/>
        <c:axId val="512366328"/>
      </c:scatterChart>
      <c:valAx>
        <c:axId val="512367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6328"/>
        <c:crosses val="autoZero"/>
        <c:crossBetween val="midCat"/>
        <c:majorUnit val="1"/>
      </c:valAx>
      <c:valAx>
        <c:axId val="512366328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7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.2</a:t>
            </a:r>
            <a:r>
              <a:rPr lang="en-US"/>
              <a:t>5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26, au</a:t>
            </a:r>
            <a:r>
              <a:rPr lang="lt-LT"/>
              <a:t>šin.</a:t>
            </a:r>
            <a:r>
              <a:rPr lang="lt-LT" baseline="0"/>
              <a:t> 2 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[68]Chronologija!$D$43:$K$43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[68]Chronologija!$D$44:$K$44</c:f>
              <c:numCache>
                <c:formatCode>General</c:formatCode>
                <c:ptCount val="8"/>
                <c:pt idx="0">
                  <c:v>4</c:v>
                </c:pt>
                <c:pt idx="1">
                  <c:v>240</c:v>
                </c:pt>
                <c:pt idx="2">
                  <c:v>143</c:v>
                </c:pt>
                <c:pt idx="3">
                  <c:v>168</c:v>
                </c:pt>
                <c:pt idx="4">
                  <c:v>253</c:v>
                </c:pt>
                <c:pt idx="5">
                  <c:v>29</c:v>
                </c:pt>
                <c:pt idx="6">
                  <c:v>94</c:v>
                </c:pt>
                <c:pt idx="7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63192"/>
        <c:axId val="512363584"/>
      </c:barChart>
      <c:catAx>
        <c:axId val="512363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3584"/>
        <c:crosses val="autoZero"/>
        <c:auto val="1"/>
        <c:lblAlgn val="ctr"/>
        <c:lblOffset val="100"/>
        <c:noMultiLvlLbl val="0"/>
      </c:catAx>
      <c:valAx>
        <c:axId val="51236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3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.2</a:t>
            </a:r>
            <a:r>
              <a:rPr lang="en-US"/>
              <a:t>5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26, au</a:t>
            </a:r>
            <a:r>
              <a:rPr lang="lt-LT"/>
              <a:t>šin.</a:t>
            </a:r>
            <a:r>
              <a:rPr lang="lt-LT" baseline="0"/>
              <a:t> 2 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[68]Chronologija!$D$43:$K$43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[68]Chronologija!$D$45:$K$45</c:f>
              <c:numCache>
                <c:formatCode>General</c:formatCode>
                <c:ptCount val="8"/>
                <c:pt idx="1">
                  <c:v>244</c:v>
                </c:pt>
                <c:pt idx="3">
                  <c:v>311</c:v>
                </c:pt>
                <c:pt idx="5">
                  <c:v>282</c:v>
                </c:pt>
                <c:pt idx="7">
                  <c:v>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66720"/>
        <c:axId val="512371032"/>
      </c:barChart>
      <c:catAx>
        <c:axId val="512366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1032"/>
        <c:crosses val="autoZero"/>
        <c:auto val="1"/>
        <c:lblAlgn val="ctr"/>
        <c:lblOffset val="100"/>
        <c:noMultiLvlLbl val="0"/>
      </c:catAx>
      <c:valAx>
        <c:axId val="51237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551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'[68]Keithley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'[68]Keithley Matavimai'!$X$6:$X$13</c:f>
              <c:numCache>
                <c:formatCode>General</c:formatCode>
                <c:ptCount val="8"/>
                <c:pt idx="0">
                  <c:v>48.336495485564228</c:v>
                </c:pt>
                <c:pt idx="1">
                  <c:v>40.503765995650866</c:v>
                </c:pt>
                <c:pt idx="2">
                  <c:v>30.73952127890443</c:v>
                </c:pt>
                <c:pt idx="3">
                  <c:v>26.431877396899111</c:v>
                </c:pt>
                <c:pt idx="4">
                  <c:v>20.628540969162017</c:v>
                </c:pt>
                <c:pt idx="5">
                  <c:v>17.450719988998284</c:v>
                </c:pt>
                <c:pt idx="6">
                  <c:v>13.594584430403451</c:v>
                </c:pt>
                <c:pt idx="7">
                  <c:v>12.444008726741949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60056"/>
        <c:axId val="512369072"/>
      </c:scatterChart>
      <c:valAx>
        <c:axId val="512360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9072"/>
        <c:crosses val="autoZero"/>
        <c:crossBetween val="midCat"/>
        <c:majorUnit val="1"/>
      </c:valAx>
      <c:valAx>
        <c:axId val="51236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0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6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8.27.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930</a:t>
            </a:r>
            <a:r>
              <a:rPr lang="en-US"/>
              <a:t>, au</a:t>
            </a:r>
            <a:r>
              <a:rPr lang="lt-LT"/>
              <a:t>šin.</a:t>
            </a:r>
            <a:r>
              <a:rPr lang="lt-LT" baseline="0"/>
              <a:t> 2l/ min,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[69]Chronologija!$D$37:$K$37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[69]Chronologija!$D$38:$K$38</c:f>
              <c:numCache>
                <c:formatCode>General</c:formatCode>
                <c:ptCount val="8"/>
                <c:pt idx="0">
                  <c:v>431</c:v>
                </c:pt>
                <c:pt idx="1">
                  <c:v>15</c:v>
                </c:pt>
                <c:pt idx="2">
                  <c:v>34</c:v>
                </c:pt>
                <c:pt idx="3">
                  <c:v>171</c:v>
                </c:pt>
                <c:pt idx="4">
                  <c:v>134</c:v>
                </c:pt>
                <c:pt idx="5">
                  <c:v>228</c:v>
                </c:pt>
                <c:pt idx="6">
                  <c:v>27</c:v>
                </c:pt>
                <c:pt idx="7">
                  <c:v>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69856"/>
        <c:axId val="512360840"/>
      </c:barChart>
      <c:catAx>
        <c:axId val="512369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0840"/>
        <c:crosses val="autoZero"/>
        <c:auto val="1"/>
        <c:lblAlgn val="ctr"/>
        <c:lblOffset val="100"/>
        <c:noMultiLvlLbl val="0"/>
      </c:catAx>
      <c:valAx>
        <c:axId val="51236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9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8.27.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930</a:t>
            </a:r>
            <a:r>
              <a:rPr lang="en-US"/>
              <a:t>, au</a:t>
            </a:r>
            <a:r>
              <a:rPr lang="lt-LT"/>
              <a:t>šin.</a:t>
            </a:r>
            <a:r>
              <a:rPr lang="lt-LT" baseline="0"/>
              <a:t> 2l/ min,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[69]Chronologija!$D$37:$K$37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[69]Chronologija!$D$39:$K$39</c:f>
              <c:numCache>
                <c:formatCode>General</c:formatCode>
                <c:ptCount val="8"/>
                <c:pt idx="1">
                  <c:v>446</c:v>
                </c:pt>
                <c:pt idx="3">
                  <c:v>205</c:v>
                </c:pt>
                <c:pt idx="4">
                  <c:v>0</c:v>
                </c:pt>
                <c:pt idx="5">
                  <c:v>362</c:v>
                </c:pt>
                <c:pt idx="7">
                  <c:v>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73776"/>
        <c:axId val="512375736"/>
      </c:barChart>
      <c:catAx>
        <c:axId val="512373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5736"/>
        <c:crosses val="autoZero"/>
        <c:auto val="1"/>
        <c:lblAlgn val="ctr"/>
        <c:lblOffset val="100"/>
        <c:noMultiLvlLbl val="0"/>
      </c:catAx>
      <c:valAx>
        <c:axId val="512375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3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495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'[69]Keithley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'[69]Keithley Matavimai'!$X$6:$X$13</c:f>
              <c:numCache>
                <c:formatCode>General</c:formatCode>
                <c:ptCount val="8"/>
                <c:pt idx="0">
                  <c:v>47.510504842514756</c:v>
                </c:pt>
                <c:pt idx="1">
                  <c:v>47.143094450301803</c:v>
                </c:pt>
                <c:pt idx="2">
                  <c:v>38.662886388406378</c:v>
                </c:pt>
                <c:pt idx="3">
                  <c:v>39.60098684493483</c:v>
                </c:pt>
                <c:pt idx="4">
                  <c:v>33.351515014133902</c:v>
                </c:pt>
                <c:pt idx="5">
                  <c:v>31.541646744476136</c:v>
                </c:pt>
                <c:pt idx="6">
                  <c:v>28.33299541158927</c:v>
                </c:pt>
                <c:pt idx="7">
                  <c:v>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74168"/>
        <c:axId val="512372600"/>
      </c:scatterChart>
      <c:valAx>
        <c:axId val="512374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2600"/>
        <c:crosses val="autoZero"/>
        <c:crossBetween val="midCat"/>
        <c:majorUnit val="1"/>
      </c:valAx>
      <c:valAx>
        <c:axId val="512372600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4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60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8.28.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330</a:t>
            </a:r>
            <a:r>
              <a:rPr lang="en-US"/>
              <a:t>, au</a:t>
            </a:r>
            <a:r>
              <a:rPr lang="lt-LT"/>
              <a:t>šin.</a:t>
            </a:r>
            <a:r>
              <a:rPr lang="lt-LT" baseline="0"/>
              <a:t> 2 l/min,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[70]Chronologija!$D$37:$K$37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[70]Chronologija!$D$38:$K$38</c:f>
              <c:numCache>
                <c:formatCode>General</c:formatCode>
                <c:ptCount val="8"/>
                <c:pt idx="0">
                  <c:v>294</c:v>
                </c:pt>
                <c:pt idx="1">
                  <c:v>166</c:v>
                </c:pt>
                <c:pt idx="2">
                  <c:v>83</c:v>
                </c:pt>
                <c:pt idx="3">
                  <c:v>181</c:v>
                </c:pt>
                <c:pt idx="4">
                  <c:v>236</c:v>
                </c:pt>
                <c:pt idx="5">
                  <c:v>7</c:v>
                </c:pt>
                <c:pt idx="6">
                  <c:v>54</c:v>
                </c:pt>
                <c:pt idx="7">
                  <c:v>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72992"/>
        <c:axId val="512373384"/>
      </c:barChart>
      <c:catAx>
        <c:axId val="512372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3384"/>
        <c:crosses val="autoZero"/>
        <c:auto val="1"/>
        <c:lblAlgn val="ctr"/>
        <c:lblOffset val="100"/>
        <c:noMultiLvlLbl val="0"/>
      </c:catAx>
      <c:valAx>
        <c:axId val="51237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8.28.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330</a:t>
            </a:r>
            <a:r>
              <a:rPr lang="en-US"/>
              <a:t>, au</a:t>
            </a:r>
            <a:r>
              <a:rPr lang="lt-LT"/>
              <a:t>šin.</a:t>
            </a:r>
            <a:r>
              <a:rPr lang="lt-LT" baseline="0"/>
              <a:t> 2 l/min,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[70]Chronologija!$D$37:$K$37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[70]Chronologija!$D$39:$K$39</c:f>
              <c:numCache>
                <c:formatCode>General</c:formatCode>
                <c:ptCount val="8"/>
                <c:pt idx="1">
                  <c:v>460</c:v>
                </c:pt>
                <c:pt idx="3">
                  <c:v>264</c:v>
                </c:pt>
                <c:pt idx="5">
                  <c:v>243</c:v>
                </c:pt>
                <c:pt idx="7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23312"/>
        <c:axId val="510724096"/>
      </c:barChart>
      <c:catAx>
        <c:axId val="510723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4096"/>
        <c:crosses val="autoZero"/>
        <c:auto val="1"/>
        <c:lblAlgn val="ctr"/>
        <c:lblOffset val="100"/>
        <c:noMultiLvlLbl val="0"/>
      </c:catAx>
      <c:valAx>
        <c:axId val="51072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3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495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'[70]Keithley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'[70]Keithley Matavimai'!$X$6:$X$13</c:f>
              <c:numCache>
                <c:formatCode>General</c:formatCode>
                <c:ptCount val="8"/>
                <c:pt idx="0">
                  <c:v>42.769293679796661</c:v>
                </c:pt>
                <c:pt idx="1">
                  <c:v>38.714844963329668</c:v>
                </c:pt>
                <c:pt idx="2">
                  <c:v>28.380249141070767</c:v>
                </c:pt>
                <c:pt idx="3">
                  <c:v>24.314125805732935</c:v>
                </c:pt>
                <c:pt idx="4">
                  <c:v>20.357311317322914</c:v>
                </c:pt>
                <c:pt idx="5">
                  <c:v>16.638701862853875</c:v>
                </c:pt>
                <c:pt idx="6">
                  <c:v>14.229136941014048</c:v>
                </c:pt>
                <c:pt idx="7">
                  <c:v>13.495528633476624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24880"/>
        <c:axId val="510725664"/>
      </c:scatterChart>
      <c:valAx>
        <c:axId val="510724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5664"/>
        <c:crosses val="autoZero"/>
        <c:crossBetween val="midCat"/>
        <c:majorUnit val="1"/>
      </c:valAx>
      <c:valAx>
        <c:axId val="51072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4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</a:t>
            </a:r>
            <a:r>
              <a:rPr lang="en-US"/>
              <a:t>31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orientac=930, au</a:t>
            </a:r>
            <a:r>
              <a:rPr lang="lt-LT"/>
              <a:t>šin.</a:t>
            </a:r>
            <a:r>
              <a:rPr lang="lt-LT" baseline="0"/>
              <a:t> 3l/min,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[71]Chronologija!$D$43:$K$43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[71]Chronologija!$D$44:$K$44</c:f>
              <c:numCache>
                <c:formatCode>General</c:formatCode>
                <c:ptCount val="8"/>
                <c:pt idx="0">
                  <c:v>317</c:v>
                </c:pt>
                <c:pt idx="1">
                  <c:v>15</c:v>
                </c:pt>
                <c:pt idx="2">
                  <c:v>52</c:v>
                </c:pt>
                <c:pt idx="3">
                  <c:v>26</c:v>
                </c:pt>
                <c:pt idx="4">
                  <c:v>167</c:v>
                </c:pt>
                <c:pt idx="5">
                  <c:v>469</c:v>
                </c:pt>
                <c:pt idx="6">
                  <c:v>19</c:v>
                </c:pt>
                <c:pt idx="7">
                  <c:v>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31544"/>
        <c:axId val="510733896"/>
      </c:barChart>
      <c:catAx>
        <c:axId val="510731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3896"/>
        <c:crosses val="autoZero"/>
        <c:auto val="1"/>
        <c:lblAlgn val="ctr"/>
        <c:lblOffset val="100"/>
        <c:noMultiLvlLbl val="0"/>
      </c:catAx>
      <c:valAx>
        <c:axId val="51073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1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</a:t>
            </a:r>
            <a:r>
              <a:rPr lang="en-US"/>
              <a:t>31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orientac=930, au</a:t>
            </a:r>
            <a:r>
              <a:rPr lang="lt-LT"/>
              <a:t>šin.</a:t>
            </a:r>
            <a:r>
              <a:rPr lang="lt-LT" baseline="0"/>
              <a:t> 3l/min,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[71]Chronologija!$D$43:$K$43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[71]Chronologija!$D$45:$K$45</c:f>
              <c:numCache>
                <c:formatCode>General</c:formatCode>
                <c:ptCount val="8"/>
                <c:pt idx="1">
                  <c:v>332</c:v>
                </c:pt>
                <c:pt idx="3">
                  <c:v>78</c:v>
                </c:pt>
                <c:pt idx="5">
                  <c:v>636</c:v>
                </c:pt>
                <c:pt idx="7">
                  <c:v>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26056"/>
        <c:axId val="510730760"/>
      </c:barChart>
      <c:catAx>
        <c:axId val="510726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0760"/>
        <c:crosses val="autoZero"/>
        <c:auto val="1"/>
        <c:lblAlgn val="ctr"/>
        <c:lblOffset val="100"/>
        <c:noMultiLvlLbl val="0"/>
      </c:catAx>
      <c:valAx>
        <c:axId val="51073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6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551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'[71]Keithley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'[71]Keithley Matavimai'!$X$6:$X$13</c:f>
              <c:numCache>
                <c:formatCode>General</c:formatCode>
                <c:ptCount val="8"/>
                <c:pt idx="0">
                  <c:v>73.849499324111164</c:v>
                </c:pt>
                <c:pt idx="1">
                  <c:v>64.396862041218057</c:v>
                </c:pt>
                <c:pt idx="2">
                  <c:v>56.44865383959349</c:v>
                </c:pt>
                <c:pt idx="3">
                  <c:v>50.766082504409098</c:v>
                </c:pt>
                <c:pt idx="4">
                  <c:v>45.289497043284314</c:v>
                </c:pt>
                <c:pt idx="5">
                  <c:v>39.268243733511426</c:v>
                </c:pt>
                <c:pt idx="6">
                  <c:v>35.514397688229487</c:v>
                </c:pt>
                <c:pt idx="7">
                  <c:v>32.446712365792294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26448"/>
        <c:axId val="510722920"/>
      </c:scatterChart>
      <c:valAx>
        <c:axId val="510726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2920"/>
        <c:crosses val="autoZero"/>
        <c:crossBetween val="midCat"/>
        <c:majorUnit val="1"/>
      </c:valAx>
      <c:valAx>
        <c:axId val="510722920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6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2020.09</a:t>
            </a:r>
            <a:r>
              <a:rPr lang="lt-LT"/>
              <a:t>.</a:t>
            </a:r>
            <a:r>
              <a:rPr lang="en-US"/>
              <a:t>03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22, au</a:t>
            </a:r>
            <a:r>
              <a:rPr lang="lt-LT"/>
              <a:t>šin.</a:t>
            </a:r>
            <a:r>
              <a:rPr lang="lt-LT" baseline="0"/>
              <a:t> 3 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[72]Chronologija!$D$43:$K$43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[72]Chronologija!$D$44:$K$44</c:f>
              <c:numCache>
                <c:formatCode>General</c:formatCode>
                <c:ptCount val="8"/>
                <c:pt idx="0">
                  <c:v>77</c:v>
                </c:pt>
                <c:pt idx="1">
                  <c:v>80</c:v>
                </c:pt>
                <c:pt idx="2">
                  <c:v>205</c:v>
                </c:pt>
                <c:pt idx="3">
                  <c:v>190</c:v>
                </c:pt>
                <c:pt idx="4">
                  <c:v>42</c:v>
                </c:pt>
                <c:pt idx="5">
                  <c:v>177</c:v>
                </c:pt>
                <c:pt idx="6">
                  <c:v>79</c:v>
                </c:pt>
                <c:pt idx="7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28408"/>
        <c:axId val="510724488"/>
      </c:barChart>
      <c:catAx>
        <c:axId val="510728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4488"/>
        <c:crosses val="autoZero"/>
        <c:auto val="1"/>
        <c:lblAlgn val="ctr"/>
        <c:lblOffset val="100"/>
        <c:noMultiLvlLbl val="0"/>
      </c:catAx>
      <c:valAx>
        <c:axId val="51072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8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2020.09</a:t>
            </a:r>
            <a:r>
              <a:rPr lang="lt-LT"/>
              <a:t>.</a:t>
            </a:r>
            <a:r>
              <a:rPr lang="en-US"/>
              <a:t>03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22, au</a:t>
            </a:r>
            <a:r>
              <a:rPr lang="lt-LT"/>
              <a:t>šin.</a:t>
            </a:r>
            <a:r>
              <a:rPr lang="lt-LT" baseline="0"/>
              <a:t> 3 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[72]Chronologija!$D$43:$K$43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[72]Chronologija!$D$47:$K$47</c:f>
              <c:numCache>
                <c:formatCode>General</c:formatCode>
                <c:ptCount val="8"/>
                <c:pt idx="1">
                  <c:v>157</c:v>
                </c:pt>
                <c:pt idx="3">
                  <c:v>395</c:v>
                </c:pt>
                <c:pt idx="5">
                  <c:v>219</c:v>
                </c:pt>
                <c:pt idx="7">
                  <c:v>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28800"/>
        <c:axId val="510725272"/>
      </c:barChart>
      <c:catAx>
        <c:axId val="510728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5272"/>
        <c:crosses val="autoZero"/>
        <c:auto val="1"/>
        <c:lblAlgn val="ctr"/>
        <c:lblOffset val="100"/>
        <c:noMultiLvlLbl val="0"/>
      </c:catAx>
      <c:valAx>
        <c:axId val="51072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8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573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'[72]Keithley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'[72]Keithley Matavimai'!$W$6:$W$13</c:f>
              <c:numCache>
                <c:formatCode>General</c:formatCode>
                <c:ptCount val="8"/>
                <c:pt idx="0">
                  <c:v>25.379553654089236</c:v>
                </c:pt>
                <c:pt idx="1">
                  <c:v>23.881159296081847</c:v>
                </c:pt>
                <c:pt idx="2">
                  <c:v>22.784147638174108</c:v>
                </c:pt>
                <c:pt idx="3">
                  <c:v>22.148226064499983</c:v>
                </c:pt>
                <c:pt idx="4">
                  <c:v>21.545678620377174</c:v>
                </c:pt>
                <c:pt idx="5">
                  <c:v>21.494632807356471</c:v>
                </c:pt>
                <c:pt idx="6">
                  <c:v>20.612948956328932</c:v>
                </c:pt>
                <c:pt idx="7">
                  <c:v>20.442195253960616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27232"/>
        <c:axId val="510729192"/>
      </c:scatterChart>
      <c:valAx>
        <c:axId val="510727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9192"/>
        <c:crosses val="autoZero"/>
        <c:crossBetween val="midCat"/>
        <c:majorUnit val="1"/>
      </c:valAx>
      <c:valAx>
        <c:axId val="510729192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</a:t>
            </a:r>
            <a:r>
              <a:rPr lang="en-US"/>
              <a:t>31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41, au</a:t>
            </a:r>
            <a:r>
              <a:rPr lang="lt-LT"/>
              <a:t>šin.</a:t>
            </a:r>
            <a:r>
              <a:rPr lang="lt-LT" baseline="0"/>
              <a:t> 3 l/min,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[73]Chronologija!$D$43:$K$43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[73]Chronologija!$D$44:$K$44</c:f>
              <c:numCache>
                <c:formatCode>General</c:formatCode>
                <c:ptCount val="8"/>
                <c:pt idx="0">
                  <c:v>423</c:v>
                </c:pt>
                <c:pt idx="1">
                  <c:v>65</c:v>
                </c:pt>
                <c:pt idx="2">
                  <c:v>262</c:v>
                </c:pt>
                <c:pt idx="3">
                  <c:v>28</c:v>
                </c:pt>
                <c:pt idx="4">
                  <c:v>104</c:v>
                </c:pt>
                <c:pt idx="5">
                  <c:v>131</c:v>
                </c:pt>
                <c:pt idx="6">
                  <c:v>21</c:v>
                </c:pt>
                <c:pt idx="7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27624"/>
        <c:axId val="510729584"/>
      </c:barChart>
      <c:catAx>
        <c:axId val="510727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9584"/>
        <c:crosses val="autoZero"/>
        <c:auto val="1"/>
        <c:lblAlgn val="ctr"/>
        <c:lblOffset val="100"/>
        <c:noMultiLvlLbl val="0"/>
      </c:catAx>
      <c:valAx>
        <c:axId val="510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7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</a:t>
            </a:r>
            <a:r>
              <a:rPr lang="en-US"/>
              <a:t>31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41, au</a:t>
            </a:r>
            <a:r>
              <a:rPr lang="lt-LT"/>
              <a:t>šin.</a:t>
            </a:r>
            <a:r>
              <a:rPr lang="lt-LT" baseline="0"/>
              <a:t> 3 l/min,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[73]Chronologija!$D$43:$K$43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[73]Chronologija!$D$47:$K$47</c:f>
              <c:numCache>
                <c:formatCode>General</c:formatCode>
                <c:ptCount val="8"/>
                <c:pt idx="1">
                  <c:v>488</c:v>
                </c:pt>
                <c:pt idx="3">
                  <c:v>290</c:v>
                </c:pt>
                <c:pt idx="5">
                  <c:v>235</c:v>
                </c:pt>
                <c:pt idx="7">
                  <c:v>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32328"/>
        <c:axId val="510730368"/>
      </c:barChart>
      <c:catAx>
        <c:axId val="510732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0368"/>
        <c:crosses val="autoZero"/>
        <c:auto val="1"/>
        <c:lblAlgn val="ctr"/>
        <c:lblOffset val="100"/>
        <c:noMultiLvlLbl val="0"/>
      </c:catAx>
      <c:valAx>
        <c:axId val="51073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2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584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'[73]Keithley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'[73]Keithley Matavimai'!$X$6:$X$13</c:f>
              <c:numCache>
                <c:formatCode>General</c:formatCode>
                <c:ptCount val="8"/>
                <c:pt idx="0">
                  <c:v>43.908522572481402</c:v>
                </c:pt>
                <c:pt idx="1">
                  <c:v>36.486858555255623</c:v>
                </c:pt>
                <c:pt idx="2">
                  <c:v>30.900561031905891</c:v>
                </c:pt>
                <c:pt idx="3">
                  <c:v>25.572098427121563</c:v>
                </c:pt>
                <c:pt idx="4">
                  <c:v>22.868827480091536</c:v>
                </c:pt>
                <c:pt idx="5">
                  <c:v>17.899705295843763</c:v>
                </c:pt>
                <c:pt idx="6">
                  <c:v>15.374197054657152</c:v>
                </c:pt>
                <c:pt idx="7">
                  <c:v>13.82713487042189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31936"/>
        <c:axId val="510732720"/>
      </c:scatterChart>
      <c:valAx>
        <c:axId val="510731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2720"/>
        <c:crosses val="autoZero"/>
        <c:crossBetween val="midCat"/>
        <c:majorUnit val="1"/>
      </c:valAx>
      <c:valAx>
        <c:axId val="51073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1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2020.09</a:t>
            </a:r>
            <a:r>
              <a:rPr lang="lt-LT"/>
              <a:t>.</a:t>
            </a:r>
            <a:r>
              <a:rPr lang="en-US"/>
              <a:t>07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orientac=915, au</a:t>
            </a:r>
            <a:r>
              <a:rPr lang="lt-LT"/>
              <a:t>š</a:t>
            </a:r>
            <a:r>
              <a:rPr lang="en-US"/>
              <a:t>in. 1l min, nepur</a:t>
            </a:r>
            <a:r>
              <a:rPr lang="lt-LT"/>
              <a:t>škiama,</a:t>
            </a:r>
            <a:r>
              <a:rPr lang="lt-LT" baseline="0"/>
              <a:t>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[74]Chronologija!$D$43:$K$43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[74]Chronologija!$D$44:$K$44</c:f>
              <c:numCache>
                <c:formatCode>General</c:formatCode>
                <c:ptCount val="8"/>
                <c:pt idx="0">
                  <c:v>28</c:v>
                </c:pt>
                <c:pt idx="1">
                  <c:v>18</c:v>
                </c:pt>
                <c:pt idx="2">
                  <c:v>26</c:v>
                </c:pt>
                <c:pt idx="3">
                  <c:v>35</c:v>
                </c:pt>
                <c:pt idx="4">
                  <c:v>27</c:v>
                </c:pt>
                <c:pt idx="5">
                  <c:v>37</c:v>
                </c:pt>
                <c:pt idx="6">
                  <c:v>21</c:v>
                </c:pt>
                <c:pt idx="7">
                  <c:v>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44480"/>
        <c:axId val="510741344"/>
      </c:barChart>
      <c:catAx>
        <c:axId val="510744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1344"/>
        <c:crosses val="autoZero"/>
        <c:auto val="1"/>
        <c:lblAlgn val="ctr"/>
        <c:lblOffset val="100"/>
        <c:noMultiLvlLbl val="0"/>
      </c:catAx>
      <c:valAx>
        <c:axId val="51074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4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11" l="0.70000000000000062" r="0.70000000000000062" t="0.75000000000000611" header="0.30000000000000032" footer="0.30000000000000032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2020.09</a:t>
            </a:r>
            <a:r>
              <a:rPr lang="lt-LT"/>
              <a:t>.</a:t>
            </a:r>
            <a:r>
              <a:rPr lang="en-US"/>
              <a:t>07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orientac=915, au</a:t>
            </a:r>
            <a:r>
              <a:rPr lang="lt-LT"/>
              <a:t>š</a:t>
            </a:r>
            <a:r>
              <a:rPr lang="en-US"/>
              <a:t>in. 1l min, nepur</a:t>
            </a:r>
            <a:r>
              <a:rPr lang="lt-LT"/>
              <a:t>škiama,</a:t>
            </a:r>
            <a:r>
              <a:rPr lang="lt-LT" baseline="0"/>
              <a:t>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[74]Chronologija!$D$43:$K$43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[74]Chronologija!$D$45:$K$45</c:f>
              <c:numCache>
                <c:formatCode>General</c:formatCode>
                <c:ptCount val="8"/>
                <c:pt idx="1">
                  <c:v>46</c:v>
                </c:pt>
                <c:pt idx="3">
                  <c:v>61</c:v>
                </c:pt>
                <c:pt idx="5">
                  <c:v>64</c:v>
                </c:pt>
                <c:pt idx="7">
                  <c:v>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45264"/>
        <c:axId val="510739384"/>
      </c:barChart>
      <c:catAx>
        <c:axId val="510745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9384"/>
        <c:crosses val="autoZero"/>
        <c:auto val="1"/>
        <c:lblAlgn val="ctr"/>
        <c:lblOffset val="100"/>
        <c:noMultiLvlLbl val="0"/>
      </c:catAx>
      <c:valAx>
        <c:axId val="51073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5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11" l="0.70000000000000062" r="0.70000000000000062" t="0.75000000000000611" header="0.30000000000000032" footer="0.30000000000000032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606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'[74]Keithley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'[74]Keithley Matavimai'!$X$6:$X$13</c:f>
              <c:numCache>
                <c:formatCode>General</c:formatCode>
                <c:ptCount val="8"/>
                <c:pt idx="0">
                  <c:v>60.000872255251259</c:v>
                </c:pt>
                <c:pt idx="1">
                  <c:v>54.391994264042431</c:v>
                </c:pt>
                <c:pt idx="2">
                  <c:v>46.077792636881249</c:v>
                </c:pt>
                <c:pt idx="3">
                  <c:v>43.734496803515917</c:v>
                </c:pt>
                <c:pt idx="4">
                  <c:v>37.702030291161243</c:v>
                </c:pt>
                <c:pt idx="5">
                  <c:v>33.36386117626612</c:v>
                </c:pt>
                <c:pt idx="6">
                  <c:v>32.672102161097229</c:v>
                </c:pt>
                <c:pt idx="7">
                  <c:v>32.246590917812824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40560"/>
        <c:axId val="510745656"/>
      </c:scatterChart>
      <c:valAx>
        <c:axId val="510740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5656"/>
        <c:crosses val="autoZero"/>
        <c:crossBetween val="midCat"/>
        <c:majorUnit val="1"/>
      </c:valAx>
      <c:valAx>
        <c:axId val="510745656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0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11" l="0.70000000000000062" r="0.70000000000000062" t="0.75000000000000611" header="0.30000000000000032" footer="0.30000000000000032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</a:t>
            </a:r>
            <a:r>
              <a:rPr lang="en-US"/>
              <a:t>31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30,  au</a:t>
            </a:r>
            <a:r>
              <a:rPr lang="lt-LT"/>
              <a:t>šin. 2 l/min,</a:t>
            </a:r>
            <a:r>
              <a:rPr lang="lt-LT" baseline="0"/>
              <a:t>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[75]Chronologija!$D$43:$K$43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[75]Chronologija!$D$44:$K$44</c:f>
              <c:numCache>
                <c:formatCode>General</c:formatCode>
                <c:ptCount val="8"/>
                <c:pt idx="0">
                  <c:v>289</c:v>
                </c:pt>
                <c:pt idx="1">
                  <c:v>139</c:v>
                </c:pt>
                <c:pt idx="2">
                  <c:v>63</c:v>
                </c:pt>
                <c:pt idx="3">
                  <c:v>189</c:v>
                </c:pt>
                <c:pt idx="4">
                  <c:v>55</c:v>
                </c:pt>
                <c:pt idx="5">
                  <c:v>131</c:v>
                </c:pt>
                <c:pt idx="6">
                  <c:v>118</c:v>
                </c:pt>
                <c:pt idx="7">
                  <c:v>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43304"/>
        <c:axId val="510736640"/>
      </c:barChart>
      <c:catAx>
        <c:axId val="510743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6640"/>
        <c:crosses val="autoZero"/>
        <c:auto val="1"/>
        <c:lblAlgn val="ctr"/>
        <c:lblOffset val="100"/>
        <c:noMultiLvlLbl val="0"/>
      </c:catAx>
      <c:valAx>
        <c:axId val="51073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3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</a:t>
            </a:r>
            <a:r>
              <a:rPr lang="en-US"/>
              <a:t>31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30,  au</a:t>
            </a:r>
            <a:r>
              <a:rPr lang="lt-LT"/>
              <a:t>šin. 2 l/min,</a:t>
            </a:r>
            <a:r>
              <a:rPr lang="lt-LT" baseline="0"/>
              <a:t>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[75]Chronologija!$D$43:$K$43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[75]Chronologija!$D$45:$K$45</c:f>
              <c:numCache>
                <c:formatCode>General</c:formatCode>
                <c:ptCount val="8"/>
                <c:pt idx="1">
                  <c:v>428</c:v>
                </c:pt>
                <c:pt idx="3">
                  <c:v>252</c:v>
                </c:pt>
                <c:pt idx="5">
                  <c:v>186</c:v>
                </c:pt>
                <c:pt idx="7">
                  <c:v>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35464"/>
        <c:axId val="510735856"/>
      </c:barChart>
      <c:catAx>
        <c:axId val="510735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5856"/>
        <c:crosses val="autoZero"/>
        <c:auto val="1"/>
        <c:lblAlgn val="ctr"/>
        <c:lblOffset val="100"/>
        <c:noMultiLvlLbl val="0"/>
      </c:catAx>
      <c:valAx>
        <c:axId val="5107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5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629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'[75]Keithley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'[75]Keithley Matavimai'!$X$6:$X$13</c:f>
              <c:numCache>
                <c:formatCode>General</c:formatCode>
                <c:ptCount val="8"/>
                <c:pt idx="0">
                  <c:v>43.258976891029661</c:v>
                </c:pt>
                <c:pt idx="1">
                  <c:v>38.996986233240662</c:v>
                </c:pt>
                <c:pt idx="2">
                  <c:v>29.415548646960264</c:v>
                </c:pt>
                <c:pt idx="3">
                  <c:v>25.372264731833116</c:v>
                </c:pt>
                <c:pt idx="4">
                  <c:v>22.208367934021755</c:v>
                </c:pt>
                <c:pt idx="5">
                  <c:v>18.419771171448684</c:v>
                </c:pt>
                <c:pt idx="6">
                  <c:v>15.569550750704042</c:v>
                </c:pt>
                <c:pt idx="7">
                  <c:v>13.867874844960575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41736"/>
        <c:axId val="510737032"/>
      </c:scatterChart>
      <c:valAx>
        <c:axId val="510741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7032"/>
        <c:crosses val="autoZero"/>
        <c:crossBetween val="midCat"/>
        <c:majorUnit val="1"/>
      </c:valAx>
      <c:valAx>
        <c:axId val="51073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1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60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9.15.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920</a:t>
            </a:r>
            <a:r>
              <a:rPr lang="en-US"/>
              <a:t>, </a:t>
            </a:r>
            <a:r>
              <a:rPr lang="lt-LT"/>
              <a:t>aušin, 2 l/min,</a:t>
            </a:r>
            <a:r>
              <a:rPr lang="lt-LT" baseline="0"/>
              <a:t> purškiama, dūmai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[76]Chronologija!$D$43:$K$43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[76]Chronologija!$D$44:$K$44</c:f>
              <c:numCache>
                <c:formatCode>General</c:formatCode>
                <c:ptCount val="8"/>
                <c:pt idx="0">
                  <c:v>407</c:v>
                </c:pt>
                <c:pt idx="1">
                  <c:v>15</c:v>
                </c:pt>
                <c:pt idx="2">
                  <c:v>69</c:v>
                </c:pt>
                <c:pt idx="3">
                  <c:v>130</c:v>
                </c:pt>
                <c:pt idx="4">
                  <c:v>20</c:v>
                </c:pt>
                <c:pt idx="5">
                  <c:v>159</c:v>
                </c:pt>
                <c:pt idx="6">
                  <c:v>14</c:v>
                </c:pt>
                <c:pt idx="7">
                  <c:v>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38600"/>
        <c:axId val="510736248"/>
      </c:barChart>
      <c:catAx>
        <c:axId val="510738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6248"/>
        <c:crosses val="autoZero"/>
        <c:auto val="1"/>
        <c:lblAlgn val="ctr"/>
        <c:lblOffset val="100"/>
        <c:noMultiLvlLbl val="0"/>
      </c:catAx>
      <c:valAx>
        <c:axId val="51073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8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9.15.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920</a:t>
            </a:r>
            <a:r>
              <a:rPr lang="en-US"/>
              <a:t>, </a:t>
            </a:r>
            <a:r>
              <a:rPr lang="lt-LT"/>
              <a:t>aušin, 2 l/min,</a:t>
            </a:r>
            <a:r>
              <a:rPr lang="lt-LT" baseline="0"/>
              <a:t> purškiama, dūmai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[76]Chronologija!$D$43:$K$43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[76]Chronologija!$D$45:$K$45</c:f>
              <c:numCache>
                <c:formatCode>General</c:formatCode>
                <c:ptCount val="8"/>
                <c:pt idx="1">
                  <c:v>422</c:v>
                </c:pt>
                <c:pt idx="3">
                  <c:v>199</c:v>
                </c:pt>
                <c:pt idx="5">
                  <c:v>179</c:v>
                </c:pt>
                <c:pt idx="7">
                  <c:v>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42128"/>
        <c:axId val="510737424"/>
      </c:barChart>
      <c:catAx>
        <c:axId val="510742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7424"/>
        <c:crosses val="autoZero"/>
        <c:auto val="1"/>
        <c:lblAlgn val="ctr"/>
        <c:lblOffset val="100"/>
        <c:noMultiLvlLbl val="0"/>
      </c:catAx>
      <c:valAx>
        <c:axId val="51073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2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651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'[76]Keithley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'[76]Keithley Matavimai'!$X$6:$X$13</c:f>
              <c:numCache>
                <c:formatCode>General</c:formatCode>
                <c:ptCount val="8"/>
                <c:pt idx="0">
                  <c:v>44.485890718048843</c:v>
                </c:pt>
                <c:pt idx="1">
                  <c:v>44.905654442283392</c:v>
                </c:pt>
                <c:pt idx="2">
                  <c:v>38</c:v>
                </c:pt>
                <c:pt idx="3">
                  <c:v>38.179820850243011</c:v>
                </c:pt>
                <c:pt idx="4">
                  <c:v>33.248587507831353</c:v>
                </c:pt>
                <c:pt idx="5">
                  <c:v>30.843298305917912</c:v>
                </c:pt>
                <c:pt idx="6">
                  <c:v>28.083449530126348</c:v>
                </c:pt>
                <c:pt idx="7">
                  <c:v>27.831839621180496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40168"/>
        <c:axId val="510746832"/>
      </c:scatterChart>
      <c:valAx>
        <c:axId val="510740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6832"/>
        <c:crosses val="autoZero"/>
        <c:crossBetween val="midCat"/>
        <c:majorUnit val="1"/>
      </c:valAx>
      <c:valAx>
        <c:axId val="510746832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0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2020.09</a:t>
            </a:r>
            <a:r>
              <a:rPr lang="lt-LT"/>
              <a:t>.</a:t>
            </a:r>
            <a:r>
              <a:rPr lang="en-US"/>
              <a:t>17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36, au</a:t>
            </a:r>
            <a:r>
              <a:rPr lang="lt-LT"/>
              <a:t>šin.</a:t>
            </a:r>
            <a:r>
              <a:rPr lang="lt-LT" baseline="0"/>
              <a:t> 1 l/min, nepurškiama, dūmai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[77]Chronologija!$D$43:$K$43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[77]Chronologija!$D$44:$K$44</c:f>
              <c:numCache>
                <c:formatCode>General</c:formatCode>
                <c:ptCount val="8"/>
                <c:pt idx="0">
                  <c:v>84</c:v>
                </c:pt>
                <c:pt idx="1">
                  <c:v>55</c:v>
                </c:pt>
                <c:pt idx="2">
                  <c:v>267</c:v>
                </c:pt>
                <c:pt idx="3">
                  <c:v>5</c:v>
                </c:pt>
                <c:pt idx="4">
                  <c:v>71</c:v>
                </c:pt>
                <c:pt idx="5">
                  <c:v>168</c:v>
                </c:pt>
                <c:pt idx="6">
                  <c:v>159</c:v>
                </c:pt>
                <c:pt idx="7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44088"/>
        <c:axId val="510746440"/>
      </c:barChart>
      <c:catAx>
        <c:axId val="510744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6440"/>
        <c:crosses val="autoZero"/>
        <c:auto val="1"/>
        <c:lblAlgn val="ctr"/>
        <c:lblOffset val="100"/>
        <c:noMultiLvlLbl val="0"/>
      </c:catAx>
      <c:valAx>
        <c:axId val="51074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4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2020.09</a:t>
            </a:r>
            <a:r>
              <a:rPr lang="lt-LT"/>
              <a:t>.</a:t>
            </a:r>
            <a:r>
              <a:rPr lang="en-US"/>
              <a:t>17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36, au</a:t>
            </a:r>
            <a:r>
              <a:rPr lang="lt-LT"/>
              <a:t>šin.</a:t>
            </a:r>
            <a:r>
              <a:rPr lang="lt-LT" baseline="0"/>
              <a:t> 1 l/min, nepurškiama, dūmai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[77]Chronologija!$D$43:$K$43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[77]Chronologija!$D$45:$K$45</c:f>
              <c:numCache>
                <c:formatCode>General</c:formatCode>
                <c:ptCount val="8"/>
                <c:pt idx="1">
                  <c:v>139</c:v>
                </c:pt>
                <c:pt idx="3">
                  <c:v>272</c:v>
                </c:pt>
                <c:pt idx="5">
                  <c:v>239</c:v>
                </c:pt>
                <c:pt idx="7">
                  <c:v>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35072"/>
        <c:axId val="510748008"/>
      </c:barChart>
      <c:catAx>
        <c:axId val="510735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8008"/>
        <c:crosses val="autoZero"/>
        <c:auto val="1"/>
        <c:lblAlgn val="ctr"/>
        <c:lblOffset val="100"/>
        <c:noMultiLvlLbl val="0"/>
      </c:catAx>
      <c:valAx>
        <c:axId val="51074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5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673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'[77]Keithley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'[77]Keithley Matavimai'!$X$6:$X$13</c:f>
              <c:numCache>
                <c:formatCode>General</c:formatCode>
                <c:ptCount val="8"/>
                <c:pt idx="0">
                  <c:v>43.50817662491658</c:v>
                </c:pt>
                <c:pt idx="1">
                  <c:v>36.174691835325824</c:v>
                </c:pt>
                <c:pt idx="2">
                  <c:v>27.488052523621718</c:v>
                </c:pt>
                <c:pt idx="3">
                  <c:v>24.04164029693365</c:v>
                </c:pt>
                <c:pt idx="4">
                  <c:v>19.210152744642404</c:v>
                </c:pt>
                <c:pt idx="5">
                  <c:v>16.051156232427285</c:v>
                </c:pt>
                <c:pt idx="6">
                  <c:v>14.313610313723157</c:v>
                </c:pt>
                <c:pt idx="7">
                  <c:v>13.30674870208977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47616"/>
        <c:axId val="510749576"/>
      </c:scatterChart>
      <c:valAx>
        <c:axId val="510747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9576"/>
        <c:crosses val="autoZero"/>
        <c:crossBetween val="midCat"/>
        <c:majorUnit val="1"/>
      </c:valAx>
      <c:valAx>
        <c:axId val="51074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60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36.xml"/><Relationship Id="rId21" Type="http://schemas.openxmlformats.org/officeDocument/2006/relationships/chart" Target="../charts/chart31.xml"/><Relationship Id="rId42" Type="http://schemas.openxmlformats.org/officeDocument/2006/relationships/chart" Target="../charts/chart52.xml"/><Relationship Id="rId47" Type="http://schemas.openxmlformats.org/officeDocument/2006/relationships/chart" Target="../charts/chart57.xml"/><Relationship Id="rId63" Type="http://schemas.openxmlformats.org/officeDocument/2006/relationships/chart" Target="../charts/chart73.xml"/><Relationship Id="rId68" Type="http://schemas.openxmlformats.org/officeDocument/2006/relationships/chart" Target="../charts/chart78.xml"/><Relationship Id="rId84" Type="http://schemas.openxmlformats.org/officeDocument/2006/relationships/chart" Target="../charts/chart94.xml"/><Relationship Id="rId16" Type="http://schemas.openxmlformats.org/officeDocument/2006/relationships/chart" Target="../charts/chart26.xml"/><Relationship Id="rId11" Type="http://schemas.openxmlformats.org/officeDocument/2006/relationships/chart" Target="../charts/chart21.xml"/><Relationship Id="rId32" Type="http://schemas.openxmlformats.org/officeDocument/2006/relationships/chart" Target="../charts/chart42.xml"/><Relationship Id="rId37" Type="http://schemas.openxmlformats.org/officeDocument/2006/relationships/chart" Target="../charts/chart47.xml"/><Relationship Id="rId53" Type="http://schemas.openxmlformats.org/officeDocument/2006/relationships/chart" Target="../charts/chart63.xml"/><Relationship Id="rId58" Type="http://schemas.openxmlformats.org/officeDocument/2006/relationships/chart" Target="../charts/chart68.xml"/><Relationship Id="rId74" Type="http://schemas.openxmlformats.org/officeDocument/2006/relationships/chart" Target="../charts/chart84.xml"/><Relationship Id="rId79" Type="http://schemas.openxmlformats.org/officeDocument/2006/relationships/chart" Target="../charts/chart89.xml"/><Relationship Id="rId5" Type="http://schemas.openxmlformats.org/officeDocument/2006/relationships/chart" Target="../charts/chart15.xml"/><Relationship Id="rId61" Type="http://schemas.openxmlformats.org/officeDocument/2006/relationships/chart" Target="../charts/chart71.xml"/><Relationship Id="rId82" Type="http://schemas.openxmlformats.org/officeDocument/2006/relationships/chart" Target="../charts/chart92.xml"/><Relationship Id="rId19" Type="http://schemas.openxmlformats.org/officeDocument/2006/relationships/chart" Target="../charts/chart29.xml"/><Relationship Id="rId14" Type="http://schemas.openxmlformats.org/officeDocument/2006/relationships/chart" Target="../charts/chart24.xml"/><Relationship Id="rId22" Type="http://schemas.openxmlformats.org/officeDocument/2006/relationships/chart" Target="../charts/chart32.xml"/><Relationship Id="rId27" Type="http://schemas.openxmlformats.org/officeDocument/2006/relationships/chart" Target="../charts/chart37.xml"/><Relationship Id="rId30" Type="http://schemas.openxmlformats.org/officeDocument/2006/relationships/chart" Target="../charts/chart40.xml"/><Relationship Id="rId35" Type="http://schemas.openxmlformats.org/officeDocument/2006/relationships/chart" Target="../charts/chart45.xml"/><Relationship Id="rId43" Type="http://schemas.openxmlformats.org/officeDocument/2006/relationships/chart" Target="../charts/chart53.xml"/><Relationship Id="rId48" Type="http://schemas.openxmlformats.org/officeDocument/2006/relationships/chart" Target="../charts/chart58.xml"/><Relationship Id="rId56" Type="http://schemas.openxmlformats.org/officeDocument/2006/relationships/chart" Target="../charts/chart66.xml"/><Relationship Id="rId64" Type="http://schemas.openxmlformats.org/officeDocument/2006/relationships/chart" Target="../charts/chart74.xml"/><Relationship Id="rId69" Type="http://schemas.openxmlformats.org/officeDocument/2006/relationships/chart" Target="../charts/chart79.xml"/><Relationship Id="rId77" Type="http://schemas.openxmlformats.org/officeDocument/2006/relationships/chart" Target="../charts/chart87.xml"/><Relationship Id="rId8" Type="http://schemas.openxmlformats.org/officeDocument/2006/relationships/chart" Target="../charts/chart18.xml"/><Relationship Id="rId51" Type="http://schemas.openxmlformats.org/officeDocument/2006/relationships/chart" Target="../charts/chart61.xml"/><Relationship Id="rId72" Type="http://schemas.openxmlformats.org/officeDocument/2006/relationships/chart" Target="../charts/chart82.xml"/><Relationship Id="rId80" Type="http://schemas.openxmlformats.org/officeDocument/2006/relationships/chart" Target="../charts/chart90.xml"/><Relationship Id="rId3" Type="http://schemas.openxmlformats.org/officeDocument/2006/relationships/chart" Target="../charts/chart13.xml"/><Relationship Id="rId12" Type="http://schemas.openxmlformats.org/officeDocument/2006/relationships/chart" Target="../charts/chart22.xml"/><Relationship Id="rId17" Type="http://schemas.openxmlformats.org/officeDocument/2006/relationships/chart" Target="../charts/chart27.xml"/><Relationship Id="rId25" Type="http://schemas.openxmlformats.org/officeDocument/2006/relationships/chart" Target="../charts/chart35.xml"/><Relationship Id="rId33" Type="http://schemas.openxmlformats.org/officeDocument/2006/relationships/chart" Target="../charts/chart43.xml"/><Relationship Id="rId38" Type="http://schemas.openxmlformats.org/officeDocument/2006/relationships/chart" Target="../charts/chart48.xml"/><Relationship Id="rId46" Type="http://schemas.openxmlformats.org/officeDocument/2006/relationships/chart" Target="../charts/chart56.xml"/><Relationship Id="rId59" Type="http://schemas.openxmlformats.org/officeDocument/2006/relationships/chart" Target="../charts/chart69.xml"/><Relationship Id="rId67" Type="http://schemas.openxmlformats.org/officeDocument/2006/relationships/chart" Target="../charts/chart77.xml"/><Relationship Id="rId20" Type="http://schemas.openxmlformats.org/officeDocument/2006/relationships/chart" Target="../charts/chart30.xml"/><Relationship Id="rId41" Type="http://schemas.openxmlformats.org/officeDocument/2006/relationships/chart" Target="../charts/chart51.xml"/><Relationship Id="rId54" Type="http://schemas.openxmlformats.org/officeDocument/2006/relationships/chart" Target="../charts/chart64.xml"/><Relationship Id="rId62" Type="http://schemas.openxmlformats.org/officeDocument/2006/relationships/chart" Target="../charts/chart72.xml"/><Relationship Id="rId70" Type="http://schemas.openxmlformats.org/officeDocument/2006/relationships/chart" Target="../charts/chart80.xml"/><Relationship Id="rId75" Type="http://schemas.openxmlformats.org/officeDocument/2006/relationships/chart" Target="../charts/chart85.xml"/><Relationship Id="rId83" Type="http://schemas.openxmlformats.org/officeDocument/2006/relationships/chart" Target="../charts/chart93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15" Type="http://schemas.openxmlformats.org/officeDocument/2006/relationships/chart" Target="../charts/chart25.xml"/><Relationship Id="rId23" Type="http://schemas.openxmlformats.org/officeDocument/2006/relationships/chart" Target="../charts/chart33.xml"/><Relationship Id="rId28" Type="http://schemas.openxmlformats.org/officeDocument/2006/relationships/chart" Target="../charts/chart38.xml"/><Relationship Id="rId36" Type="http://schemas.openxmlformats.org/officeDocument/2006/relationships/chart" Target="../charts/chart46.xml"/><Relationship Id="rId49" Type="http://schemas.openxmlformats.org/officeDocument/2006/relationships/chart" Target="../charts/chart59.xml"/><Relationship Id="rId57" Type="http://schemas.openxmlformats.org/officeDocument/2006/relationships/chart" Target="../charts/chart67.xml"/><Relationship Id="rId10" Type="http://schemas.openxmlformats.org/officeDocument/2006/relationships/chart" Target="../charts/chart20.xml"/><Relationship Id="rId31" Type="http://schemas.openxmlformats.org/officeDocument/2006/relationships/chart" Target="../charts/chart41.xml"/><Relationship Id="rId44" Type="http://schemas.openxmlformats.org/officeDocument/2006/relationships/chart" Target="../charts/chart54.xml"/><Relationship Id="rId52" Type="http://schemas.openxmlformats.org/officeDocument/2006/relationships/chart" Target="../charts/chart62.xml"/><Relationship Id="rId60" Type="http://schemas.openxmlformats.org/officeDocument/2006/relationships/chart" Target="../charts/chart70.xml"/><Relationship Id="rId65" Type="http://schemas.openxmlformats.org/officeDocument/2006/relationships/chart" Target="../charts/chart75.xml"/><Relationship Id="rId73" Type="http://schemas.openxmlformats.org/officeDocument/2006/relationships/chart" Target="../charts/chart83.xml"/><Relationship Id="rId78" Type="http://schemas.openxmlformats.org/officeDocument/2006/relationships/chart" Target="../charts/chart88.xml"/><Relationship Id="rId81" Type="http://schemas.openxmlformats.org/officeDocument/2006/relationships/chart" Target="../charts/chart91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Relationship Id="rId13" Type="http://schemas.openxmlformats.org/officeDocument/2006/relationships/chart" Target="../charts/chart23.xml"/><Relationship Id="rId18" Type="http://schemas.openxmlformats.org/officeDocument/2006/relationships/chart" Target="../charts/chart28.xml"/><Relationship Id="rId39" Type="http://schemas.openxmlformats.org/officeDocument/2006/relationships/chart" Target="../charts/chart49.xml"/><Relationship Id="rId34" Type="http://schemas.openxmlformats.org/officeDocument/2006/relationships/chart" Target="../charts/chart44.xml"/><Relationship Id="rId50" Type="http://schemas.openxmlformats.org/officeDocument/2006/relationships/chart" Target="../charts/chart60.xml"/><Relationship Id="rId55" Type="http://schemas.openxmlformats.org/officeDocument/2006/relationships/chart" Target="../charts/chart65.xml"/><Relationship Id="rId76" Type="http://schemas.openxmlformats.org/officeDocument/2006/relationships/chart" Target="../charts/chart86.xml"/><Relationship Id="rId7" Type="http://schemas.openxmlformats.org/officeDocument/2006/relationships/chart" Target="../charts/chart17.xml"/><Relationship Id="rId71" Type="http://schemas.openxmlformats.org/officeDocument/2006/relationships/chart" Target="../charts/chart81.xml"/><Relationship Id="rId2" Type="http://schemas.openxmlformats.org/officeDocument/2006/relationships/chart" Target="../charts/chart12.xml"/><Relationship Id="rId29" Type="http://schemas.openxmlformats.org/officeDocument/2006/relationships/chart" Target="../charts/chart39.xml"/><Relationship Id="rId24" Type="http://schemas.openxmlformats.org/officeDocument/2006/relationships/chart" Target="../charts/chart34.xml"/><Relationship Id="rId40" Type="http://schemas.openxmlformats.org/officeDocument/2006/relationships/chart" Target="../charts/chart50.xml"/><Relationship Id="rId45" Type="http://schemas.openxmlformats.org/officeDocument/2006/relationships/chart" Target="../charts/chart55.xml"/><Relationship Id="rId66" Type="http://schemas.openxmlformats.org/officeDocument/2006/relationships/chart" Target="../charts/chart7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538371</xdr:colOff>
      <xdr:row>29</xdr:row>
      <xdr:rowOff>17291</xdr:rowOff>
    </xdr:from>
    <xdr:to>
      <xdr:col>19</xdr:col>
      <xdr:colOff>828263</xdr:colOff>
      <xdr:row>47</xdr:row>
      <xdr:rowOff>48891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12828" y="3081856"/>
          <a:ext cx="4629978" cy="3460600"/>
        </a:xfrm>
        <a:prstGeom prst="rect">
          <a:avLst/>
        </a:prstGeom>
      </xdr:spPr>
    </xdr:pic>
    <xdr:clientData/>
  </xdr:twoCellAnchor>
  <xdr:twoCellAnchor editAs="oneCell">
    <xdr:from>
      <xdr:col>19</xdr:col>
      <xdr:colOff>828243</xdr:colOff>
      <xdr:row>29</xdr:row>
      <xdr:rowOff>16562</xdr:rowOff>
    </xdr:from>
    <xdr:to>
      <xdr:col>24</xdr:col>
      <xdr:colOff>2116</xdr:colOff>
      <xdr:row>47</xdr:row>
      <xdr:rowOff>43562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42786" y="3081127"/>
          <a:ext cx="4623830" cy="3456000"/>
        </a:xfrm>
        <a:prstGeom prst="rect">
          <a:avLst/>
        </a:prstGeom>
      </xdr:spPr>
    </xdr:pic>
    <xdr:clientData/>
  </xdr:twoCellAnchor>
  <xdr:twoCellAnchor editAs="oneCell">
    <xdr:from>
      <xdr:col>15</xdr:col>
      <xdr:colOff>546635</xdr:colOff>
      <xdr:row>47</xdr:row>
      <xdr:rowOff>157369</xdr:rowOff>
    </xdr:from>
    <xdr:to>
      <xdr:col>19</xdr:col>
      <xdr:colOff>830379</xdr:colOff>
      <xdr:row>65</xdr:row>
      <xdr:rowOff>184369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1092" y="9500152"/>
          <a:ext cx="4623830" cy="3456000"/>
        </a:xfrm>
        <a:prstGeom prst="rect">
          <a:avLst/>
        </a:prstGeom>
      </xdr:spPr>
    </xdr:pic>
    <xdr:clientData/>
  </xdr:twoCellAnchor>
  <xdr:twoCellAnchor editAs="oneCell">
    <xdr:from>
      <xdr:col>19</xdr:col>
      <xdr:colOff>828241</xdr:colOff>
      <xdr:row>47</xdr:row>
      <xdr:rowOff>140805</xdr:rowOff>
    </xdr:from>
    <xdr:to>
      <xdr:col>24</xdr:col>
      <xdr:colOff>2114</xdr:colOff>
      <xdr:row>65</xdr:row>
      <xdr:rowOff>167805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42784" y="9483588"/>
          <a:ext cx="4623830" cy="3456000"/>
        </a:xfrm>
        <a:prstGeom prst="rect">
          <a:avLst/>
        </a:prstGeom>
      </xdr:spPr>
    </xdr:pic>
    <xdr:clientData/>
  </xdr:twoCellAnchor>
  <xdr:twoCellAnchor editAs="oneCell">
    <xdr:from>
      <xdr:col>16</xdr:col>
      <xdr:colOff>9137</xdr:colOff>
      <xdr:row>67</xdr:row>
      <xdr:rowOff>37925</xdr:rowOff>
    </xdr:from>
    <xdr:to>
      <xdr:col>19</xdr:col>
      <xdr:colOff>1150131</xdr:colOff>
      <xdr:row>85</xdr:row>
      <xdr:rowOff>64925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5150" y="13192451"/>
          <a:ext cx="4605086" cy="3456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1142981</xdr:colOff>
      <xdr:row>67</xdr:row>
      <xdr:rowOff>8282</xdr:rowOff>
    </xdr:from>
    <xdr:to>
      <xdr:col>24</xdr:col>
      <xdr:colOff>316854</xdr:colOff>
      <xdr:row>85</xdr:row>
      <xdr:rowOff>35282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57524" y="10875065"/>
          <a:ext cx="4623830" cy="3456000"/>
        </a:xfrm>
        <a:prstGeom prst="rect">
          <a:avLst/>
        </a:prstGeom>
      </xdr:spPr>
    </xdr:pic>
    <xdr:clientData/>
  </xdr:twoCellAnchor>
  <xdr:twoCellAnchor editAs="oneCell">
    <xdr:from>
      <xdr:col>24</xdr:col>
      <xdr:colOff>331286</xdr:colOff>
      <xdr:row>67</xdr:row>
      <xdr:rowOff>8282</xdr:rowOff>
    </xdr:from>
    <xdr:to>
      <xdr:col>32</xdr:col>
      <xdr:colOff>51812</xdr:colOff>
      <xdr:row>85</xdr:row>
      <xdr:rowOff>35282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95786" y="10875065"/>
          <a:ext cx="4623830" cy="3456000"/>
        </a:xfrm>
        <a:prstGeom prst="rect">
          <a:avLst/>
        </a:prstGeom>
      </xdr:spPr>
    </xdr:pic>
    <xdr:clientData/>
  </xdr:twoCellAnchor>
  <xdr:twoCellAnchor editAs="oneCell">
    <xdr:from>
      <xdr:col>32</xdr:col>
      <xdr:colOff>49679</xdr:colOff>
      <xdr:row>67</xdr:row>
      <xdr:rowOff>33130</xdr:rowOff>
    </xdr:from>
    <xdr:to>
      <xdr:col>39</xdr:col>
      <xdr:colOff>383117</xdr:colOff>
      <xdr:row>85</xdr:row>
      <xdr:rowOff>60130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483" y="10899913"/>
          <a:ext cx="4623830" cy="34560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844906</xdr:colOff>
      <xdr:row>85</xdr:row>
      <xdr:rowOff>156883</xdr:rowOff>
    </xdr:from>
    <xdr:to>
      <xdr:col>19</xdr:col>
      <xdr:colOff>1219680</xdr:colOff>
      <xdr:row>103</xdr:row>
      <xdr:rowOff>183883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08181" y="16739908"/>
          <a:ext cx="4699124" cy="3456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1133475</xdr:colOff>
      <xdr:row>85</xdr:row>
      <xdr:rowOff>85725</xdr:rowOff>
    </xdr:from>
    <xdr:to>
      <xdr:col>24</xdr:col>
      <xdr:colOff>443294</xdr:colOff>
      <xdr:row>103</xdr:row>
      <xdr:rowOff>112725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21100" y="16668750"/>
          <a:ext cx="4758119" cy="3456000"/>
        </a:xfrm>
        <a:prstGeom prst="rect">
          <a:avLst/>
        </a:prstGeom>
      </xdr:spPr>
    </xdr:pic>
    <xdr:clientData/>
  </xdr:twoCellAnchor>
  <xdr:twoCellAnchor editAs="oneCell">
    <xdr:from>
      <xdr:col>24</xdr:col>
      <xdr:colOff>371475</xdr:colOff>
      <xdr:row>85</xdr:row>
      <xdr:rowOff>76200</xdr:rowOff>
    </xdr:from>
    <xdr:to>
      <xdr:col>32</xdr:col>
      <xdr:colOff>195991</xdr:colOff>
      <xdr:row>103</xdr:row>
      <xdr:rowOff>103200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07400" y="16659225"/>
          <a:ext cx="4701316" cy="3456000"/>
        </a:xfrm>
        <a:prstGeom prst="rect">
          <a:avLst/>
        </a:prstGeom>
      </xdr:spPr>
    </xdr:pic>
    <xdr:clientData/>
  </xdr:twoCellAnchor>
  <xdr:twoCellAnchor editAs="oneCell">
    <xdr:from>
      <xdr:col>32</xdr:col>
      <xdr:colOff>190500</xdr:colOff>
      <xdr:row>85</xdr:row>
      <xdr:rowOff>47625</xdr:rowOff>
    </xdr:from>
    <xdr:to>
      <xdr:col>40</xdr:col>
      <xdr:colOff>15016</xdr:colOff>
      <xdr:row>103</xdr:row>
      <xdr:rowOff>74625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03225" y="16630650"/>
          <a:ext cx="4701316" cy="345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583998</xdr:colOff>
      <xdr:row>0</xdr:row>
      <xdr:rowOff>135702</xdr:rowOff>
    </xdr:from>
    <xdr:to>
      <xdr:col>32</xdr:col>
      <xdr:colOff>279198</xdr:colOff>
      <xdr:row>15</xdr:row>
      <xdr:rowOff>21402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556667</xdr:colOff>
      <xdr:row>15</xdr:row>
      <xdr:rowOff>144569</xdr:rowOff>
    </xdr:from>
    <xdr:to>
      <xdr:col>32</xdr:col>
      <xdr:colOff>245091</xdr:colOff>
      <xdr:row>30</xdr:row>
      <xdr:rowOff>30269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413039</xdr:colOff>
      <xdr:row>1</xdr:row>
      <xdr:rowOff>15586</xdr:rowOff>
    </xdr:from>
    <xdr:to>
      <xdr:col>16</xdr:col>
      <xdr:colOff>108239</xdr:colOff>
      <xdr:row>15</xdr:row>
      <xdr:rowOff>91786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414770</xdr:colOff>
      <xdr:row>18</xdr:row>
      <xdr:rowOff>77066</xdr:rowOff>
    </xdr:from>
    <xdr:to>
      <xdr:col>16</xdr:col>
      <xdr:colOff>113434</xdr:colOff>
      <xdr:row>32</xdr:row>
      <xdr:rowOff>153266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308114</xdr:colOff>
      <xdr:row>16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19</xdr:row>
      <xdr:rowOff>0</xdr:rowOff>
    </xdr:from>
    <xdr:to>
      <xdr:col>24</xdr:col>
      <xdr:colOff>311578</xdr:colOff>
      <xdr:row>33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421171</xdr:colOff>
      <xdr:row>36</xdr:row>
      <xdr:rowOff>164824</xdr:rowOff>
    </xdr:from>
    <xdr:to>
      <xdr:col>16</xdr:col>
      <xdr:colOff>123148</xdr:colOff>
      <xdr:row>51</xdr:row>
      <xdr:rowOff>50524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466725</xdr:colOff>
      <xdr:row>53</xdr:row>
      <xdr:rowOff>76200</xdr:rowOff>
    </xdr:from>
    <xdr:to>
      <xdr:col>16</xdr:col>
      <xdr:colOff>168702</xdr:colOff>
      <xdr:row>67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0</xdr:colOff>
      <xdr:row>37</xdr:row>
      <xdr:rowOff>0</xdr:rowOff>
    </xdr:from>
    <xdr:to>
      <xdr:col>25</xdr:col>
      <xdr:colOff>311577</xdr:colOff>
      <xdr:row>51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552450</xdr:colOff>
      <xdr:row>52</xdr:row>
      <xdr:rowOff>19050</xdr:rowOff>
    </xdr:from>
    <xdr:to>
      <xdr:col>25</xdr:col>
      <xdr:colOff>254427</xdr:colOff>
      <xdr:row>66</xdr:row>
      <xdr:rowOff>95250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352425</xdr:colOff>
      <xdr:row>2</xdr:row>
      <xdr:rowOff>47626</xdr:rowOff>
    </xdr:from>
    <xdr:to>
      <xdr:col>26</xdr:col>
      <xdr:colOff>63874</xdr:colOff>
      <xdr:row>16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8</xdr:col>
      <xdr:colOff>107016</xdr:colOff>
      <xdr:row>16</xdr:row>
      <xdr:rowOff>90488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171450</xdr:colOff>
      <xdr:row>2</xdr:row>
      <xdr:rowOff>38100</xdr:rowOff>
    </xdr:from>
    <xdr:to>
      <xdr:col>16</xdr:col>
      <xdr:colOff>278466</xdr:colOff>
      <xdr:row>16</xdr:row>
      <xdr:rowOff>128588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8</xdr:col>
      <xdr:colOff>104775</xdr:colOff>
      <xdr:row>30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180976</xdr:colOff>
      <xdr:row>16</xdr:row>
      <xdr:rowOff>166688</xdr:rowOff>
    </xdr:from>
    <xdr:to>
      <xdr:col>16</xdr:col>
      <xdr:colOff>314325</xdr:colOff>
      <xdr:row>30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400050</xdr:colOff>
      <xdr:row>17</xdr:row>
      <xdr:rowOff>47625</xdr:rowOff>
    </xdr:from>
    <xdr:to>
      <xdr:col>26</xdr:col>
      <xdr:colOff>85725</xdr:colOff>
      <xdr:row>31</xdr:row>
      <xdr:rowOff>38101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30</xdr:row>
      <xdr:rowOff>185737</xdr:rowOff>
    </xdr:from>
    <xdr:to>
      <xdr:col>8</xdr:col>
      <xdr:colOff>95250</xdr:colOff>
      <xdr:row>44</xdr:row>
      <xdr:rowOff>95250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123825</xdr:colOff>
      <xdr:row>30</xdr:row>
      <xdr:rowOff>161925</xdr:rowOff>
    </xdr:from>
    <xdr:to>
      <xdr:col>16</xdr:col>
      <xdr:colOff>333375</xdr:colOff>
      <xdr:row>44</xdr:row>
      <xdr:rowOff>123825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466725</xdr:colOff>
      <xdr:row>31</xdr:row>
      <xdr:rowOff>38101</xdr:rowOff>
    </xdr:from>
    <xdr:to>
      <xdr:col>26</xdr:col>
      <xdr:colOff>136072</xdr:colOff>
      <xdr:row>44</xdr:row>
      <xdr:rowOff>176893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59871</xdr:colOff>
      <xdr:row>44</xdr:row>
      <xdr:rowOff>149679</xdr:rowOff>
    </xdr:from>
    <xdr:to>
      <xdr:col>8</xdr:col>
      <xdr:colOff>95250</xdr:colOff>
      <xdr:row>62</xdr:row>
      <xdr:rowOff>122464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149678</xdr:colOff>
      <xdr:row>45</xdr:row>
      <xdr:rowOff>13606</xdr:rowOff>
    </xdr:from>
    <xdr:to>
      <xdr:col>16</xdr:col>
      <xdr:colOff>312964</xdr:colOff>
      <xdr:row>62</xdr:row>
      <xdr:rowOff>104773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476250</xdr:colOff>
      <xdr:row>45</xdr:row>
      <xdr:rowOff>40822</xdr:rowOff>
    </xdr:from>
    <xdr:to>
      <xdr:col>26</xdr:col>
      <xdr:colOff>136072</xdr:colOff>
      <xdr:row>63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64</xdr:row>
      <xdr:rowOff>108857</xdr:rowOff>
    </xdr:from>
    <xdr:to>
      <xdr:col>8</xdr:col>
      <xdr:colOff>163286</xdr:colOff>
      <xdr:row>80</xdr:row>
      <xdr:rowOff>95250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244929</xdr:colOff>
      <xdr:row>64</xdr:row>
      <xdr:rowOff>27214</xdr:rowOff>
    </xdr:from>
    <xdr:to>
      <xdr:col>16</xdr:col>
      <xdr:colOff>326571</xdr:colOff>
      <xdr:row>80</xdr:row>
      <xdr:rowOff>59871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0</xdr:colOff>
      <xdr:row>64</xdr:row>
      <xdr:rowOff>1</xdr:rowOff>
    </xdr:from>
    <xdr:to>
      <xdr:col>26</xdr:col>
      <xdr:colOff>285750</xdr:colOff>
      <xdr:row>80</xdr:row>
      <xdr:rowOff>95251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80</xdr:row>
      <xdr:rowOff>176893</xdr:rowOff>
    </xdr:from>
    <xdr:to>
      <xdr:col>8</xdr:col>
      <xdr:colOff>299358</xdr:colOff>
      <xdr:row>96</xdr:row>
      <xdr:rowOff>13607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360093</xdr:colOff>
      <xdr:row>80</xdr:row>
      <xdr:rowOff>162540</xdr:rowOff>
    </xdr:from>
    <xdr:to>
      <xdr:col>16</xdr:col>
      <xdr:colOff>462643</xdr:colOff>
      <xdr:row>96</xdr:row>
      <xdr:rowOff>27213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17</xdr:col>
      <xdr:colOff>1</xdr:colOff>
      <xdr:row>80</xdr:row>
      <xdr:rowOff>176893</xdr:rowOff>
    </xdr:from>
    <xdr:to>
      <xdr:col>26</xdr:col>
      <xdr:colOff>367393</xdr:colOff>
      <xdr:row>96</xdr:row>
      <xdr:rowOff>68037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1</xdr:colOff>
      <xdr:row>96</xdr:row>
      <xdr:rowOff>81643</xdr:rowOff>
    </xdr:from>
    <xdr:to>
      <xdr:col>8</xdr:col>
      <xdr:colOff>272144</xdr:colOff>
      <xdr:row>113</xdr:row>
      <xdr:rowOff>68037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299375</xdr:colOff>
      <xdr:row>96</xdr:row>
      <xdr:rowOff>48013</xdr:rowOff>
    </xdr:from>
    <xdr:to>
      <xdr:col>16</xdr:col>
      <xdr:colOff>503464</xdr:colOff>
      <xdr:row>113</xdr:row>
      <xdr:rowOff>95250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17</xdr:col>
      <xdr:colOff>1</xdr:colOff>
      <xdr:row>96</xdr:row>
      <xdr:rowOff>176894</xdr:rowOff>
    </xdr:from>
    <xdr:to>
      <xdr:col>26</xdr:col>
      <xdr:colOff>367393</xdr:colOff>
      <xdr:row>113</xdr:row>
      <xdr:rowOff>136072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114</xdr:row>
      <xdr:rowOff>0</xdr:rowOff>
    </xdr:from>
    <xdr:to>
      <xdr:col>8</xdr:col>
      <xdr:colOff>353786</xdr:colOff>
      <xdr:row>132</xdr:row>
      <xdr:rowOff>176893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8</xdr:col>
      <xdr:colOff>327828</xdr:colOff>
      <xdr:row>113</xdr:row>
      <xdr:rowOff>188027</xdr:rowOff>
    </xdr:from>
    <xdr:to>
      <xdr:col>17</xdr:col>
      <xdr:colOff>69292</xdr:colOff>
      <xdr:row>132</xdr:row>
      <xdr:rowOff>174420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17</xdr:col>
      <xdr:colOff>81644</xdr:colOff>
      <xdr:row>113</xdr:row>
      <xdr:rowOff>176893</xdr:rowOff>
    </xdr:from>
    <xdr:to>
      <xdr:col>26</xdr:col>
      <xdr:colOff>258536</xdr:colOff>
      <xdr:row>132</xdr:row>
      <xdr:rowOff>81643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55644</xdr:colOff>
      <xdr:row>133</xdr:row>
      <xdr:rowOff>54428</xdr:rowOff>
    </xdr:from>
    <xdr:to>
      <xdr:col>8</xdr:col>
      <xdr:colOff>258536</xdr:colOff>
      <xdr:row>147</xdr:row>
      <xdr:rowOff>176893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8</xdr:col>
      <xdr:colOff>326572</xdr:colOff>
      <xdr:row>132</xdr:row>
      <xdr:rowOff>170708</xdr:rowOff>
    </xdr:from>
    <xdr:to>
      <xdr:col>17</xdr:col>
      <xdr:colOff>13608</xdr:colOff>
      <xdr:row>148</xdr:row>
      <xdr:rowOff>40821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17</xdr:col>
      <xdr:colOff>122464</xdr:colOff>
      <xdr:row>132</xdr:row>
      <xdr:rowOff>136072</xdr:rowOff>
    </xdr:from>
    <xdr:to>
      <xdr:col>26</xdr:col>
      <xdr:colOff>381000</xdr:colOff>
      <xdr:row>148</xdr:row>
      <xdr:rowOff>136072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95251</xdr:colOff>
      <xdr:row>148</xdr:row>
      <xdr:rowOff>27215</xdr:rowOff>
    </xdr:from>
    <xdr:to>
      <xdr:col>8</xdr:col>
      <xdr:colOff>340180</xdr:colOff>
      <xdr:row>163</xdr:row>
      <xdr:rowOff>95251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</xdr:col>
      <xdr:colOff>357518</xdr:colOff>
      <xdr:row>148</xdr:row>
      <xdr:rowOff>69273</xdr:rowOff>
    </xdr:from>
    <xdr:to>
      <xdr:col>16</xdr:col>
      <xdr:colOff>585107</xdr:colOff>
      <xdr:row>163</xdr:row>
      <xdr:rowOff>81643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17</xdr:col>
      <xdr:colOff>27216</xdr:colOff>
      <xdr:row>148</xdr:row>
      <xdr:rowOff>122465</xdr:rowOff>
    </xdr:from>
    <xdr:to>
      <xdr:col>27</xdr:col>
      <xdr:colOff>244929</xdr:colOff>
      <xdr:row>163</xdr:row>
      <xdr:rowOff>122464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54428</xdr:colOff>
      <xdr:row>163</xdr:row>
      <xdr:rowOff>176893</xdr:rowOff>
    </xdr:from>
    <xdr:to>
      <xdr:col>8</xdr:col>
      <xdr:colOff>394608</xdr:colOff>
      <xdr:row>179</xdr:row>
      <xdr:rowOff>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</xdr:col>
      <xdr:colOff>342671</xdr:colOff>
      <xdr:row>163</xdr:row>
      <xdr:rowOff>138547</xdr:rowOff>
    </xdr:from>
    <xdr:to>
      <xdr:col>17</xdr:col>
      <xdr:colOff>108857</xdr:colOff>
      <xdr:row>179</xdr:row>
      <xdr:rowOff>27215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17</xdr:col>
      <xdr:colOff>122465</xdr:colOff>
      <xdr:row>163</xdr:row>
      <xdr:rowOff>136072</xdr:rowOff>
    </xdr:from>
    <xdr:to>
      <xdr:col>27</xdr:col>
      <xdr:colOff>367393</xdr:colOff>
      <xdr:row>179</xdr:row>
      <xdr:rowOff>108858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0</xdr:colOff>
      <xdr:row>179</xdr:row>
      <xdr:rowOff>108858</xdr:rowOff>
    </xdr:from>
    <xdr:to>
      <xdr:col>8</xdr:col>
      <xdr:colOff>381000</xdr:colOff>
      <xdr:row>193</xdr:row>
      <xdr:rowOff>40822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8</xdr:col>
      <xdr:colOff>488641</xdr:colOff>
      <xdr:row>179</xdr:row>
      <xdr:rowOff>138543</xdr:rowOff>
    </xdr:from>
    <xdr:to>
      <xdr:col>17</xdr:col>
      <xdr:colOff>108857</xdr:colOff>
      <xdr:row>193</xdr:row>
      <xdr:rowOff>68036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17</xdr:col>
      <xdr:colOff>163286</xdr:colOff>
      <xdr:row>179</xdr:row>
      <xdr:rowOff>95250</xdr:rowOff>
    </xdr:from>
    <xdr:to>
      <xdr:col>27</xdr:col>
      <xdr:colOff>312964</xdr:colOff>
      <xdr:row>193</xdr:row>
      <xdr:rowOff>176893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194</xdr:row>
      <xdr:rowOff>1</xdr:rowOff>
    </xdr:from>
    <xdr:to>
      <xdr:col>8</xdr:col>
      <xdr:colOff>408215</xdr:colOff>
      <xdr:row>209</xdr:row>
      <xdr:rowOff>1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8</xdr:col>
      <xdr:colOff>519565</xdr:colOff>
      <xdr:row>193</xdr:row>
      <xdr:rowOff>184314</xdr:rowOff>
    </xdr:from>
    <xdr:to>
      <xdr:col>17</xdr:col>
      <xdr:colOff>95250</xdr:colOff>
      <xdr:row>208</xdr:row>
      <xdr:rowOff>122464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17</xdr:col>
      <xdr:colOff>190501</xdr:colOff>
      <xdr:row>194</xdr:row>
      <xdr:rowOff>13608</xdr:rowOff>
    </xdr:from>
    <xdr:to>
      <xdr:col>27</xdr:col>
      <xdr:colOff>176892</xdr:colOff>
      <xdr:row>209</xdr:row>
      <xdr:rowOff>54430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40821</xdr:colOff>
      <xdr:row>211</xdr:row>
      <xdr:rowOff>163286</xdr:rowOff>
    </xdr:from>
    <xdr:to>
      <xdr:col>8</xdr:col>
      <xdr:colOff>394608</xdr:colOff>
      <xdr:row>227</xdr:row>
      <xdr:rowOff>176893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8</xdr:col>
      <xdr:colOff>484929</xdr:colOff>
      <xdr:row>212</xdr:row>
      <xdr:rowOff>8659</xdr:rowOff>
    </xdr:from>
    <xdr:to>
      <xdr:col>17</xdr:col>
      <xdr:colOff>226394</xdr:colOff>
      <xdr:row>228</xdr:row>
      <xdr:rowOff>22266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17</xdr:col>
      <xdr:colOff>299357</xdr:colOff>
      <xdr:row>212</xdr:row>
      <xdr:rowOff>27215</xdr:rowOff>
    </xdr:from>
    <xdr:to>
      <xdr:col>26</xdr:col>
      <xdr:colOff>598714</xdr:colOff>
      <xdr:row>228</xdr:row>
      <xdr:rowOff>149679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0</xdr:colOff>
      <xdr:row>230</xdr:row>
      <xdr:rowOff>1</xdr:rowOff>
    </xdr:from>
    <xdr:to>
      <xdr:col>8</xdr:col>
      <xdr:colOff>381000</xdr:colOff>
      <xdr:row>247</xdr:row>
      <xdr:rowOff>27215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8</xdr:col>
      <xdr:colOff>542821</xdr:colOff>
      <xdr:row>229</xdr:row>
      <xdr:rowOff>123425</xdr:rowOff>
    </xdr:from>
    <xdr:to>
      <xdr:col>17</xdr:col>
      <xdr:colOff>244929</xdr:colOff>
      <xdr:row>246</xdr:row>
      <xdr:rowOff>163286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17</xdr:col>
      <xdr:colOff>299357</xdr:colOff>
      <xdr:row>229</xdr:row>
      <xdr:rowOff>95250</xdr:rowOff>
    </xdr:from>
    <xdr:to>
      <xdr:col>27</xdr:col>
      <xdr:colOff>68035</xdr:colOff>
      <xdr:row>247</xdr:row>
      <xdr:rowOff>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0</xdr:colOff>
      <xdr:row>248</xdr:row>
      <xdr:rowOff>0</xdr:rowOff>
    </xdr:from>
    <xdr:to>
      <xdr:col>8</xdr:col>
      <xdr:colOff>394608</xdr:colOff>
      <xdr:row>264</xdr:row>
      <xdr:rowOff>136071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8</xdr:col>
      <xdr:colOff>476251</xdr:colOff>
      <xdr:row>247</xdr:row>
      <xdr:rowOff>149678</xdr:rowOff>
    </xdr:from>
    <xdr:to>
      <xdr:col>17</xdr:col>
      <xdr:colOff>340179</xdr:colOff>
      <xdr:row>264</xdr:row>
      <xdr:rowOff>176893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17</xdr:col>
      <xdr:colOff>340180</xdr:colOff>
      <xdr:row>247</xdr:row>
      <xdr:rowOff>54428</xdr:rowOff>
    </xdr:from>
    <xdr:to>
      <xdr:col>27</xdr:col>
      <xdr:colOff>122464</xdr:colOff>
      <xdr:row>264</xdr:row>
      <xdr:rowOff>136071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0</xdr:colOff>
      <xdr:row>265</xdr:row>
      <xdr:rowOff>0</xdr:rowOff>
    </xdr:from>
    <xdr:to>
      <xdr:col>8</xdr:col>
      <xdr:colOff>421822</xdr:colOff>
      <xdr:row>282</xdr:row>
      <xdr:rowOff>40821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8</xdr:col>
      <xdr:colOff>413184</xdr:colOff>
      <xdr:row>265</xdr:row>
      <xdr:rowOff>28450</xdr:rowOff>
    </xdr:from>
    <xdr:to>
      <xdr:col>17</xdr:col>
      <xdr:colOff>285750</xdr:colOff>
      <xdr:row>282</xdr:row>
      <xdr:rowOff>81643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17</xdr:col>
      <xdr:colOff>326572</xdr:colOff>
      <xdr:row>264</xdr:row>
      <xdr:rowOff>176894</xdr:rowOff>
    </xdr:from>
    <xdr:to>
      <xdr:col>27</xdr:col>
      <xdr:colOff>95250</xdr:colOff>
      <xdr:row>283</xdr:row>
      <xdr:rowOff>81643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0</xdr:colOff>
      <xdr:row>284</xdr:row>
      <xdr:rowOff>22412</xdr:rowOff>
    </xdr:from>
    <xdr:to>
      <xdr:col>8</xdr:col>
      <xdr:colOff>459441</xdr:colOff>
      <xdr:row>301</xdr:row>
      <xdr:rowOff>11206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8</xdr:col>
      <xdr:colOff>501303</xdr:colOff>
      <xdr:row>284</xdr:row>
      <xdr:rowOff>60613</xdr:rowOff>
    </xdr:from>
    <xdr:to>
      <xdr:col>17</xdr:col>
      <xdr:colOff>493059</xdr:colOff>
      <xdr:row>301</xdr:row>
      <xdr:rowOff>44824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17</xdr:col>
      <xdr:colOff>560296</xdr:colOff>
      <xdr:row>284</xdr:row>
      <xdr:rowOff>11206</xdr:rowOff>
    </xdr:from>
    <xdr:to>
      <xdr:col>27</xdr:col>
      <xdr:colOff>145678</xdr:colOff>
      <xdr:row>302</xdr:row>
      <xdr:rowOff>11207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0</xdr:colOff>
      <xdr:row>302</xdr:row>
      <xdr:rowOff>0</xdr:rowOff>
    </xdr:from>
    <xdr:to>
      <xdr:col>8</xdr:col>
      <xdr:colOff>515471</xdr:colOff>
      <xdr:row>320</xdr:row>
      <xdr:rowOff>78441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8</xdr:col>
      <xdr:colOff>587383</xdr:colOff>
      <xdr:row>302</xdr:row>
      <xdr:rowOff>14262</xdr:rowOff>
    </xdr:from>
    <xdr:to>
      <xdr:col>17</xdr:col>
      <xdr:colOff>582706</xdr:colOff>
      <xdr:row>320</xdr:row>
      <xdr:rowOff>100853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18</xdr:col>
      <xdr:colOff>44823</xdr:colOff>
      <xdr:row>302</xdr:row>
      <xdr:rowOff>168089</xdr:rowOff>
    </xdr:from>
    <xdr:to>
      <xdr:col>27</xdr:col>
      <xdr:colOff>156882</xdr:colOff>
      <xdr:row>320</xdr:row>
      <xdr:rowOff>123265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1</xdr:colOff>
      <xdr:row>321</xdr:row>
      <xdr:rowOff>0</xdr:rowOff>
    </xdr:from>
    <xdr:to>
      <xdr:col>8</xdr:col>
      <xdr:colOff>504266</xdr:colOff>
      <xdr:row>338</xdr:row>
      <xdr:rowOff>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8</xdr:col>
      <xdr:colOff>581783</xdr:colOff>
      <xdr:row>320</xdr:row>
      <xdr:rowOff>154334</xdr:rowOff>
    </xdr:from>
    <xdr:to>
      <xdr:col>17</xdr:col>
      <xdr:colOff>571500</xdr:colOff>
      <xdr:row>337</xdr:row>
      <xdr:rowOff>190499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18</xdr:col>
      <xdr:colOff>0</xdr:colOff>
      <xdr:row>321</xdr:row>
      <xdr:rowOff>1</xdr:rowOff>
    </xdr:from>
    <xdr:to>
      <xdr:col>27</xdr:col>
      <xdr:colOff>201706</xdr:colOff>
      <xdr:row>338</xdr:row>
      <xdr:rowOff>22413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1</xdr:colOff>
      <xdr:row>338</xdr:row>
      <xdr:rowOff>0</xdr:rowOff>
    </xdr:from>
    <xdr:to>
      <xdr:col>8</xdr:col>
      <xdr:colOff>481854</xdr:colOff>
      <xdr:row>354</xdr:row>
      <xdr:rowOff>67235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8</xdr:col>
      <xdr:colOff>546127</xdr:colOff>
      <xdr:row>338</xdr:row>
      <xdr:rowOff>17319</xdr:rowOff>
    </xdr:from>
    <xdr:to>
      <xdr:col>17</xdr:col>
      <xdr:colOff>571499</xdr:colOff>
      <xdr:row>354</xdr:row>
      <xdr:rowOff>100853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17</xdr:col>
      <xdr:colOff>605117</xdr:colOff>
      <xdr:row>338</xdr:row>
      <xdr:rowOff>22412</xdr:rowOff>
    </xdr:from>
    <xdr:to>
      <xdr:col>27</xdr:col>
      <xdr:colOff>257736</xdr:colOff>
      <xdr:row>354</xdr:row>
      <xdr:rowOff>156881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56029</xdr:colOff>
      <xdr:row>354</xdr:row>
      <xdr:rowOff>179295</xdr:rowOff>
    </xdr:from>
    <xdr:to>
      <xdr:col>9</xdr:col>
      <xdr:colOff>22411</xdr:colOff>
      <xdr:row>373</xdr:row>
      <xdr:rowOff>89647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9</xdr:col>
      <xdr:colOff>105529</xdr:colOff>
      <xdr:row>355</xdr:row>
      <xdr:rowOff>81498</xdr:rowOff>
    </xdr:from>
    <xdr:to>
      <xdr:col>17</xdr:col>
      <xdr:colOff>598588</xdr:colOff>
      <xdr:row>373</xdr:row>
      <xdr:rowOff>126322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18</xdr:col>
      <xdr:colOff>67236</xdr:colOff>
      <xdr:row>355</xdr:row>
      <xdr:rowOff>89649</xdr:rowOff>
    </xdr:from>
    <xdr:to>
      <xdr:col>27</xdr:col>
      <xdr:colOff>369795</xdr:colOff>
      <xdr:row>373</xdr:row>
      <xdr:rowOff>67237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0</xdr:colOff>
      <xdr:row>374</xdr:row>
      <xdr:rowOff>1</xdr:rowOff>
    </xdr:from>
    <xdr:to>
      <xdr:col>9</xdr:col>
      <xdr:colOff>0</xdr:colOff>
      <xdr:row>392</xdr:row>
      <xdr:rowOff>168089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9</xdr:col>
      <xdr:colOff>60707</xdr:colOff>
      <xdr:row>373</xdr:row>
      <xdr:rowOff>171145</xdr:rowOff>
    </xdr:from>
    <xdr:to>
      <xdr:col>18</xdr:col>
      <xdr:colOff>60707</xdr:colOff>
      <xdr:row>392</xdr:row>
      <xdr:rowOff>148733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18</xdr:col>
      <xdr:colOff>168088</xdr:colOff>
      <xdr:row>374</xdr:row>
      <xdr:rowOff>1</xdr:rowOff>
    </xdr:from>
    <xdr:to>
      <xdr:col>28</xdr:col>
      <xdr:colOff>373997</xdr:colOff>
      <xdr:row>393</xdr:row>
      <xdr:rowOff>11207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0</xdr:colOff>
      <xdr:row>394</xdr:row>
      <xdr:rowOff>1</xdr:rowOff>
    </xdr:from>
    <xdr:to>
      <xdr:col>8</xdr:col>
      <xdr:colOff>593912</xdr:colOff>
      <xdr:row>412</xdr:row>
      <xdr:rowOff>156883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9</xdr:col>
      <xdr:colOff>49501</xdr:colOff>
      <xdr:row>393</xdr:row>
      <xdr:rowOff>159939</xdr:rowOff>
    </xdr:from>
    <xdr:to>
      <xdr:col>18</xdr:col>
      <xdr:colOff>11206</xdr:colOff>
      <xdr:row>413</xdr:row>
      <xdr:rowOff>1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18</xdr:col>
      <xdr:colOff>56029</xdr:colOff>
      <xdr:row>393</xdr:row>
      <xdr:rowOff>145677</xdr:rowOff>
    </xdr:from>
    <xdr:to>
      <xdr:col>28</xdr:col>
      <xdr:colOff>437030</xdr:colOff>
      <xdr:row>412</xdr:row>
      <xdr:rowOff>156882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0</xdr:colOff>
      <xdr:row>413</xdr:row>
      <xdr:rowOff>145677</xdr:rowOff>
    </xdr:from>
    <xdr:to>
      <xdr:col>9</xdr:col>
      <xdr:colOff>44823</xdr:colOff>
      <xdr:row>432</xdr:row>
      <xdr:rowOff>179295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9</xdr:col>
      <xdr:colOff>105531</xdr:colOff>
      <xdr:row>413</xdr:row>
      <xdr:rowOff>103910</xdr:rowOff>
    </xdr:from>
    <xdr:to>
      <xdr:col>18</xdr:col>
      <xdr:colOff>150354</xdr:colOff>
      <xdr:row>432</xdr:row>
      <xdr:rowOff>137528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18</xdr:col>
      <xdr:colOff>163286</xdr:colOff>
      <xdr:row>413</xdr:row>
      <xdr:rowOff>54429</xdr:rowOff>
    </xdr:from>
    <xdr:to>
      <xdr:col>28</xdr:col>
      <xdr:colOff>381000</xdr:colOff>
      <xdr:row>433</xdr:row>
      <xdr:rowOff>1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0</xdr:colOff>
      <xdr:row>434</xdr:row>
      <xdr:rowOff>1</xdr:rowOff>
    </xdr:from>
    <xdr:to>
      <xdr:col>9</xdr:col>
      <xdr:colOff>27214</xdr:colOff>
      <xdr:row>452</xdr:row>
      <xdr:rowOff>176893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9</xdr:col>
      <xdr:colOff>59905</xdr:colOff>
      <xdr:row>434</xdr:row>
      <xdr:rowOff>27070</xdr:rowOff>
    </xdr:from>
    <xdr:to>
      <xdr:col>18</xdr:col>
      <xdr:colOff>87119</xdr:colOff>
      <xdr:row>453</xdr:row>
      <xdr:rowOff>13462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18</xdr:col>
      <xdr:colOff>163285</xdr:colOff>
      <xdr:row>433</xdr:row>
      <xdr:rowOff>13607</xdr:rowOff>
    </xdr:from>
    <xdr:to>
      <xdr:col>28</xdr:col>
      <xdr:colOff>435429</xdr:colOff>
      <xdr:row>453</xdr:row>
      <xdr:rowOff>27214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0</xdr:colOff>
      <xdr:row>453</xdr:row>
      <xdr:rowOff>163287</xdr:rowOff>
    </xdr:from>
    <xdr:to>
      <xdr:col>8</xdr:col>
      <xdr:colOff>598715</xdr:colOff>
      <xdr:row>475</xdr:row>
      <xdr:rowOff>173185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9</xdr:col>
      <xdr:colOff>99126</xdr:colOff>
      <xdr:row>453</xdr:row>
      <xdr:rowOff>171946</xdr:rowOff>
    </xdr:from>
    <xdr:to>
      <xdr:col>18</xdr:col>
      <xdr:colOff>204107</xdr:colOff>
      <xdr:row>475</xdr:row>
      <xdr:rowOff>163286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18</xdr:col>
      <xdr:colOff>244929</xdr:colOff>
      <xdr:row>454</xdr:row>
      <xdr:rowOff>0</xdr:rowOff>
    </xdr:from>
    <xdr:to>
      <xdr:col>28</xdr:col>
      <xdr:colOff>520273</xdr:colOff>
      <xdr:row>475</xdr:row>
      <xdr:rowOff>61913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0</xdr:col>
      <xdr:colOff>0</xdr:colOff>
      <xdr:row>476</xdr:row>
      <xdr:rowOff>40821</xdr:rowOff>
    </xdr:from>
    <xdr:to>
      <xdr:col>8</xdr:col>
      <xdr:colOff>585108</xdr:colOff>
      <xdr:row>498</xdr:row>
      <xdr:rowOff>32164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9</xdr:col>
      <xdr:colOff>3876</xdr:colOff>
      <xdr:row>476</xdr:row>
      <xdr:rowOff>22266</xdr:rowOff>
    </xdr:from>
    <xdr:to>
      <xdr:col>18</xdr:col>
      <xdr:colOff>258535</xdr:colOff>
      <xdr:row>498</xdr:row>
      <xdr:rowOff>13607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18</xdr:col>
      <xdr:colOff>381000</xdr:colOff>
      <xdr:row>476</xdr:row>
      <xdr:rowOff>95250</xdr:rowOff>
    </xdr:from>
    <xdr:to>
      <xdr:col>29</xdr:col>
      <xdr:colOff>44023</xdr:colOff>
      <xdr:row>497</xdr:row>
      <xdr:rowOff>157163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3.11.2022/Arunas%2023.11.20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4.11.2022/First%20exp/Copy%20of%20Arunas%2024.11.2022%20Firs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4.11.2022/Second%20exp/Arunas%2024.11.2022%20Second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25.11.2022/Arunas%202022-11-25.%20eig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28.11.2022/First%20experiment/Arunas%202022-11-28-1.%20eiga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28.11.2022/Second%20experiment/Arunas%202022-11-28-2.%20eiga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30.11.2022/First%20experiment/2022-11-30-1Arunas.%20eiga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30.11.2022/Second%20experiment/2022-11-30-2Arunas.eksp.%20eiga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01.12.2022/2022-12-01-Arunas.%20eiga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02.12.2022/2022-12-02-Arunas.%20eiga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05.12.2022/2022-12-05-Arunas.%20eiga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06.12.2022/First%20experiment/2022-12-06-Arunas.%20eiga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06.12.2022/Second%20experiment/2022-12-06-2Arunas.%20eiga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07.12.2022/First%20Experiment/2022-12-07-1Arunas.%20eiga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07.12.2022/Second%20experiment/2022-12-07-2Arunas.%20eiga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08.12.2022/First%20experiment/2022-12-08-1Horizon.eksp.%20eiga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08.12.2022/Second%20Experiment/2022-12-08-2Horizon.eksp.%20eiga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09.12.2022/2022-12-09-Arunas.%20eig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12.12.2022/First%20experiment/2022-12-12-Arunaseig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12.12.2022/Second%20experiment/2022-12-12-2Arunas.%20eiga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13.12.2022/First%20experiment/2022-12-13-1Horizon.eksp.%20eiga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13.12.2022/Second%20experiment/2022-12-13-2Horizon.eksp.%20eiga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14.12.2022/2022-12-14-Horizon.eksp.%20eiga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15.12.2022/First%20experiment/2022-12-15-1Horizon.eksp.%20eiga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15.12.2022/Second%20experiment/2022-12-15-2Horizon.eksp.%20eiga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16.12.2022/First%20experiment/2022-12-17-1-Horizon.eksp.%20eiga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16.12.2022/Second%20Experiment/2022-12-17-2-Horizon.eksp.%20eiga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19.12.2022/First%20experiment/2022-12-19-1Arunas.%20eiga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19.12.2022/Second%20experiment/2022-12-19-2Arunas.%20eiga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20.12.2022/First%20experiment/2022-12-20-1Arunas.eksp.%20eiga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20.12.2022/Second%20experiment/2022-12-20-2Arunas.eksp.%20eiga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22.12.2022/First%20experiiment/2022-12-22-Arunas.%20eiga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22.12.2022/Second%20experiment/2022-12-22-Arunas.eksp.%20eiga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23.12.2022/2022-12-23-Arunas.%20eiga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27.12.2022/First%20experiment/2022-12-27-Arunas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27.12.2022/Second%20experiment/2022-12-27-2Arunas.%20eiga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28.12.2022/Fie=rst%20experiment/2022-12-28-Arunas.%20eiga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28.12.2022/Second%20experiment/2022-12-28-Arunas.%20eiga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29.12.2022/2022-12-29-Arunas.%20eiga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30.12.2022/2022-12-30-Arunas.xlsx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03.01.2023/First%20experiment/2023-01-03-1-Arunas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04.01.2023/2023-01-04-Arunas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05.01.2023/2023-01-05-1-Arunas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05.01.2023/2023-01-05-2-Arunas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06.01.2023/2023-01-06-Arunaseiga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09.01.2023/First%20experiment/2023-01-09-Arunas.%20eiga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09.01.2023/Second%20experiment/2023-01-09-2-Arunas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406\20200406_Horiz.%20eksp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409\20200409_Horiz.%20eksp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409\20200409_Horiz.%20ruozas-kond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415\20200415_Horiz.%20eksp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415\20200415_Horiz.%20ruozas-total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420\20200420_Horiz.%20ruozas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02-po%20izoliac\20200702_Horizon.eksp.%20eiga+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03\20200703_Horizon.eksp.%20eiga+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09\20200709_Horizon.eksp.%20eiga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14\20200714_Horizon.eksp.%20eiga-1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14\20200714_Horizon.eksp.%20eiga-2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17\2020-07-17_Horizon.eksp.%20eiga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20\2020-07-20_Horizon.eksp.%20eiga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21\2020-07-21_Horizon.eksp.%20eiga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23\2020-07-23_Horizon.eksp.%20eiga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27\2020-07-27_Horizon.eksp.%20eiga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03\2020-08-03_Horizon.eksp.%20eiga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06\2020-08-06_Horizon.eksp.%20eiga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18\2020-08-18_Horizon.eksp.%20eiga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24\2020-08-24_Horizon.eksp.%20eiga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25\2020-08-25_Horizon.eksp.%20eiga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27\2020-08-27_Horizon.eksp.%20eiga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28\2020-08-28_Horizon.eksp.%20eiga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31\2020-08-31_Horizon.eksp.%20eiga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903\2020-09-03_Horizon.eksp.%20eiga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904\2020-09-04_Horizon.eksp.%20eiga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907\2020-09-07_Horizon.eksp.%20eiga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908\2020-09-08_Horizon.eksp.%20eiga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915\2020-09-15_Horizon.eksp.%20eiga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Su%20karsto%20oro%20stendu\2020-09-17_Horizon.eksp.%20eig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easurments"/>
      <sheetName val="Initial flow rate of the mix"/>
      <sheetName val="Heat quantity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300.32488582814722</v>
          </cell>
        </row>
        <row r="19">
          <cell r="G19">
            <v>437.07019270879135</v>
          </cell>
        </row>
        <row r="20">
          <cell r="G20">
            <v>536.72345379696822</v>
          </cell>
        </row>
        <row r="21">
          <cell r="G21">
            <v>597.52089955440192</v>
          </cell>
        </row>
        <row r="22">
          <cell r="G22">
            <v>620.3720919912148</v>
          </cell>
        </row>
        <row r="23">
          <cell r="G23">
            <v>666.05139592744251</v>
          </cell>
        </row>
        <row r="24">
          <cell r="G24">
            <v>661.69766968030115</v>
          </cell>
        </row>
        <row r="25">
          <cell r="G25">
            <v>601.47280836708899</v>
          </cell>
        </row>
      </sheetData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G5">
            <v>113.87213688729491</v>
          </cell>
        </row>
        <row r="6">
          <cell r="G6">
            <v>107.63196817134931</v>
          </cell>
        </row>
        <row r="7">
          <cell r="G7">
            <v>103.66573501852938</v>
          </cell>
        </row>
        <row r="8">
          <cell r="G8">
            <v>98.403649758779466</v>
          </cell>
        </row>
        <row r="9">
          <cell r="G9">
            <v>96.736045385419942</v>
          </cell>
        </row>
        <row r="10">
          <cell r="G10">
            <v>91.281079145602817</v>
          </cell>
        </row>
        <row r="11">
          <cell r="G11">
            <v>88.705755293897326</v>
          </cell>
        </row>
        <row r="12">
          <cell r="G12">
            <v>83.74964504881433</v>
          </cell>
        </row>
      </sheetData>
      <sheetData sheetId="4"/>
      <sheetData sheetId="5">
        <row r="24">
          <cell r="B24">
            <v>29.659280300718564</v>
          </cell>
        </row>
        <row r="25">
          <cell r="B25">
            <v>28.019035250361636</v>
          </cell>
          <cell r="F25">
            <v>242.99939738438596</v>
          </cell>
        </row>
        <row r="26">
          <cell r="B26">
            <v>26.148244761978972</v>
          </cell>
          <cell r="F26">
            <v>276.29132028307788</v>
          </cell>
        </row>
        <row r="27">
          <cell r="B27">
            <v>24.072524198800021</v>
          </cell>
          <cell r="F27">
            <v>305.49661846445827</v>
          </cell>
        </row>
        <row r="28">
          <cell r="B28">
            <v>21.817488924054242</v>
          </cell>
          <cell r="F28">
            <v>330.64499730656354</v>
          </cell>
        </row>
        <row r="29">
          <cell r="B29">
            <v>19.408754300971093</v>
          </cell>
          <cell r="F29">
            <v>351.77904272259889</v>
          </cell>
        </row>
        <row r="30">
          <cell r="B30">
            <v>16.871935692780028</v>
          </cell>
          <cell r="F30">
            <v>368.95148168343241</v>
          </cell>
        </row>
        <row r="31">
          <cell r="B31">
            <v>14.232648462710504</v>
          </cell>
          <cell r="F31">
            <v>382.22247097208981</v>
          </cell>
        </row>
        <row r="32">
          <cell r="F32">
            <v>391.65697671064265</v>
          </cell>
        </row>
      </sheetData>
      <sheetData sheetId="6"/>
      <sheetData sheetId="7">
        <row r="18">
          <cell r="G18">
            <v>173.36565163061681</v>
          </cell>
        </row>
        <row r="19">
          <cell r="G19">
            <v>201.56891213826324</v>
          </cell>
        </row>
        <row r="20">
          <cell r="G20">
            <v>229.54706115117571</v>
          </cell>
        </row>
        <row r="21">
          <cell r="G21">
            <v>254.68674652221523</v>
          </cell>
        </row>
        <row r="22">
          <cell r="G22">
            <v>281.37363391918927</v>
          </cell>
        </row>
        <row r="23">
          <cell r="G23">
            <v>307.80978354410871</v>
          </cell>
        </row>
        <row r="24">
          <cell r="G24">
            <v>329.97818201677171</v>
          </cell>
        </row>
        <row r="25">
          <cell r="G25">
            <v>342.52579173045336</v>
          </cell>
        </row>
        <row r="127">
          <cell r="E127">
            <v>0.12567630806017235</v>
          </cell>
          <cell r="F127">
            <v>9.7744044781784504E-3</v>
          </cell>
        </row>
        <row r="128">
          <cell r="E128">
            <v>0.15621832309268904</v>
          </cell>
          <cell r="F128">
            <v>0.57203039096059938</v>
          </cell>
        </row>
        <row r="129">
          <cell r="E129">
            <v>6.5934760720016194E-2</v>
          </cell>
          <cell r="F129">
            <v>1.0736500380114257E-2</v>
          </cell>
        </row>
        <row r="130">
          <cell r="E130">
            <v>8.8739411910192481E-2</v>
          </cell>
          <cell r="F130">
            <v>0.59228442206307952</v>
          </cell>
        </row>
        <row r="131">
          <cell r="E131">
            <v>7.510206027666573E-2</v>
          </cell>
          <cell r="F131">
            <v>1.1660194584509412E-2</v>
          </cell>
        </row>
        <row r="132">
          <cell r="E132">
            <v>9.7001038383226448E-2</v>
          </cell>
          <cell r="F132">
            <v>0.5719737989906829</v>
          </cell>
        </row>
        <row r="133">
          <cell r="E133">
            <v>7.9637663105438392E-2</v>
          </cell>
          <cell r="F133">
            <v>1.07940353537511E-2</v>
          </cell>
        </row>
        <row r="134">
          <cell r="E134">
            <v>9.5890087299575044E-2</v>
          </cell>
          <cell r="F134">
            <v>0.54763801437036796</v>
          </cell>
        </row>
      </sheetData>
      <sheetData sheetId="8"/>
      <sheetData sheetId="9">
        <row r="4">
          <cell r="J4">
            <v>105.97556718282472</v>
          </cell>
        </row>
        <row r="5">
          <cell r="J5">
            <v>125.08765841907814</v>
          </cell>
        </row>
        <row r="6">
          <cell r="J6">
            <v>143.58582011311586</v>
          </cell>
        </row>
        <row r="7">
          <cell r="J7">
            <v>160.41389230519036</v>
          </cell>
        </row>
        <row r="8">
          <cell r="J8">
            <v>178.86947129972145</v>
          </cell>
        </row>
        <row r="9">
          <cell r="J9">
            <v>197.28428967200841</v>
          </cell>
        </row>
        <row r="10">
          <cell r="J10">
            <v>213.63059454008655</v>
          </cell>
        </row>
        <row r="11">
          <cell r="J11">
            <v>223.62406572600364</v>
          </cell>
        </row>
      </sheetData>
      <sheetData sheetId="1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148.41380578024607</v>
          </cell>
        </row>
        <row r="19">
          <cell r="G19">
            <v>174.82222126345764</v>
          </cell>
        </row>
        <row r="20">
          <cell r="G20">
            <v>202.93064539444904</v>
          </cell>
        </row>
        <row r="21">
          <cell r="G21">
            <v>230.44467678077422</v>
          </cell>
        </row>
        <row r="22">
          <cell r="G22">
            <v>257.30250146702525</v>
          </cell>
        </row>
        <row r="23">
          <cell r="G23">
            <v>283.74847360160413</v>
          </cell>
        </row>
        <row r="24">
          <cell r="G24">
            <v>303.53420064643569</v>
          </cell>
        </row>
        <row r="25">
          <cell r="G25">
            <v>315.53215947363174</v>
          </cell>
        </row>
      </sheetData>
      <sheetData sheetId="8"/>
      <sheetData sheetId="9">
        <row r="4">
          <cell r="G4">
            <v>88.249317879113377</v>
          </cell>
        </row>
        <row r="5">
          <cell r="G5">
            <v>105.2372732760888</v>
          </cell>
        </row>
        <row r="6">
          <cell r="G6">
            <v>124.02487500762776</v>
          </cell>
        </row>
        <row r="7">
          <cell r="G7">
            <v>141.83017189568338</v>
          </cell>
        </row>
        <row r="8">
          <cell r="G8">
            <v>160.46357160181267</v>
          </cell>
        </row>
        <row r="9">
          <cell r="G9">
            <v>178.43365669005931</v>
          </cell>
        </row>
        <row r="10">
          <cell r="G10">
            <v>192.99134568453366</v>
          </cell>
        </row>
        <row r="11">
          <cell r="G11">
            <v>202.61493517153767</v>
          </cell>
        </row>
      </sheetData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173.62557328411955</v>
          </cell>
        </row>
        <row r="19">
          <cell r="G19">
            <v>189.39502286197884</v>
          </cell>
        </row>
        <row r="20">
          <cell r="G20">
            <v>206.05219979171724</v>
          </cell>
        </row>
        <row r="21">
          <cell r="G21">
            <v>220.49167057369397</v>
          </cell>
        </row>
        <row r="22">
          <cell r="G22">
            <v>232.29370006518104</v>
          </cell>
        </row>
        <row r="23">
          <cell r="G23">
            <v>243.95076862483097</v>
          </cell>
        </row>
        <row r="24">
          <cell r="G24">
            <v>245.66990776655018</v>
          </cell>
        </row>
        <row r="25">
          <cell r="G25">
            <v>236.67314809844831</v>
          </cell>
        </row>
      </sheetData>
      <sheetData sheetId="8"/>
      <sheetData sheetId="9">
        <row r="4">
          <cell r="I4">
            <v>100.71575529145197</v>
          </cell>
        </row>
        <row r="5">
          <cell r="I5">
            <v>111.41878996891244</v>
          </cell>
        </row>
        <row r="6">
          <cell r="I6">
            <v>123.2670156181475</v>
          </cell>
        </row>
        <row r="7">
          <cell r="I7">
            <v>132.97083407974662</v>
          </cell>
        </row>
        <row r="8">
          <cell r="I8">
            <v>142.10804652203277</v>
          </cell>
        </row>
        <row r="9">
          <cell r="I9">
            <v>151.23622875767384</v>
          </cell>
        </row>
        <row r="10">
          <cell r="I10">
            <v>153.612599827276</v>
          </cell>
        </row>
        <row r="11">
          <cell r="I11">
            <v>149.63596146477946</v>
          </cell>
        </row>
      </sheetData>
      <sheetData sheetId="1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G5">
            <v>145.216013814061</v>
          </cell>
        </row>
        <row r="6">
          <cell r="G6">
            <v>136.80671961368927</v>
          </cell>
        </row>
        <row r="7">
          <cell r="G7">
            <v>132.62588212668956</v>
          </cell>
        </row>
        <row r="8">
          <cell r="G8">
            <v>123.05925455297782</v>
          </cell>
        </row>
        <row r="9">
          <cell r="G9">
            <v>121.10300214675034</v>
          </cell>
        </row>
        <row r="10">
          <cell r="G10">
            <v>113.32409289614556</v>
          </cell>
        </row>
        <row r="11">
          <cell r="G11">
            <v>109.70577094087267</v>
          </cell>
        </row>
        <row r="12">
          <cell r="G12">
            <v>102.03080084410909</v>
          </cell>
        </row>
      </sheetData>
      <sheetData sheetId="5">
        <row r="24">
          <cell r="B24">
            <v>29.35448633630082</v>
          </cell>
        </row>
        <row r="25">
          <cell r="B25">
            <v>28.362595559576366</v>
          </cell>
          <cell r="F25">
            <v>148.60930437418574</v>
          </cell>
        </row>
        <row r="26">
          <cell r="B26">
            <v>26.836393644153816</v>
          </cell>
          <cell r="F26">
            <v>228.15037040445549</v>
          </cell>
        </row>
        <row r="27">
          <cell r="B27">
            <v>24.834763306436717</v>
          </cell>
          <cell r="F27">
            <v>298.29280006104773</v>
          </cell>
        </row>
        <row r="28">
          <cell r="B28">
            <v>22.416587262828607</v>
          </cell>
          <cell r="F28">
            <v>358.98530841341613</v>
          </cell>
        </row>
        <row r="29">
          <cell r="B29">
            <v>19.64074822973302</v>
          </cell>
          <cell r="F29">
            <v>410.25298572306343</v>
          </cell>
        </row>
        <row r="30">
          <cell r="B30">
            <v>16.566128923553507</v>
          </cell>
          <cell r="F30">
            <v>452.18402187939262</v>
          </cell>
        </row>
        <row r="31">
          <cell r="B31">
            <v>13.251612060693603</v>
          </cell>
          <cell r="F31">
            <v>484.91553237764919</v>
          </cell>
        </row>
        <row r="32">
          <cell r="F32">
            <v>508.61918160466513</v>
          </cell>
        </row>
      </sheetData>
      <sheetData sheetId="6"/>
      <sheetData sheetId="7">
        <row r="18">
          <cell r="G18">
            <v>74.421946607995636</v>
          </cell>
        </row>
        <row r="19">
          <cell r="G19">
            <v>117.29310391591262</v>
          </cell>
        </row>
        <row r="20">
          <cell r="G20">
            <v>160.08488556202107</v>
          </cell>
        </row>
        <row r="21">
          <cell r="G21">
            <v>201.20287362340159</v>
          </cell>
        </row>
        <row r="22">
          <cell r="G22">
            <v>240.56620461831807</v>
          </cell>
        </row>
        <row r="23">
          <cell r="G23">
            <v>279.42016312562589</v>
          </cell>
        </row>
        <row r="24">
          <cell r="G24">
            <v>314.44922785244069</v>
          </cell>
        </row>
        <row r="25">
          <cell r="G25">
            <v>341.38218166239301</v>
          </cell>
        </row>
        <row r="127">
          <cell r="E127">
            <v>0.1836952287216902</v>
          </cell>
          <cell r="F127">
            <v>7.9862313863158316E-3</v>
          </cell>
        </row>
        <row r="128">
          <cell r="E128">
            <v>0.16402791545051379</v>
          </cell>
          <cell r="F128">
            <v>0.51060035736462084</v>
          </cell>
        </row>
        <row r="129">
          <cell r="E129">
            <v>0.17564653094090407</v>
          </cell>
          <cell r="F129">
            <v>6.2543093514454869E-3</v>
          </cell>
        </row>
        <row r="130">
          <cell r="E130">
            <v>0.10674559212179385</v>
          </cell>
          <cell r="F130">
            <v>0.55844665409891114</v>
          </cell>
        </row>
        <row r="131">
          <cell r="E131">
            <v>0.14721370715500834</v>
          </cell>
          <cell r="F131">
            <v>7.1678303456317845E-3</v>
          </cell>
        </row>
        <row r="132">
          <cell r="E132">
            <v>0.12166624318992952</v>
          </cell>
          <cell r="F132">
            <v>0.55435873365036448</v>
          </cell>
        </row>
        <row r="133">
          <cell r="E133">
            <v>0.14339002992737518</v>
          </cell>
          <cell r="F133">
            <v>7.1881514238709178E-3</v>
          </cell>
        </row>
        <row r="134">
          <cell r="E134">
            <v>0.11131830941059119</v>
          </cell>
          <cell r="F134">
            <v>0.53244036352301183</v>
          </cell>
        </row>
      </sheetData>
      <sheetData sheetId="8"/>
      <sheetData sheetId="9">
        <row r="4">
          <cell r="G4">
            <v>41.908318928539138</v>
          </cell>
        </row>
        <row r="5">
          <cell r="G5">
            <v>67.04751357876755</v>
          </cell>
        </row>
        <row r="6">
          <cell r="G6">
            <v>93.296713202177642</v>
          </cell>
        </row>
        <row r="7">
          <cell r="G7">
            <v>118.27852718231621</v>
          </cell>
        </row>
        <row r="8">
          <cell r="G8">
            <v>143.79558671010338</v>
          </cell>
        </row>
        <row r="9">
          <cell r="G9">
            <v>168.78379798564589</v>
          </cell>
        </row>
        <row r="10">
          <cell r="G10">
            <v>193.13980048812792</v>
          </cell>
        </row>
        <row r="11">
          <cell r="G11">
            <v>211.71730638517744</v>
          </cell>
        </row>
      </sheetData>
      <sheetData sheetId="1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88.639198055591223</v>
          </cell>
        </row>
        <row r="19">
          <cell r="G19">
            <v>118.2276192996481</v>
          </cell>
        </row>
        <row r="20">
          <cell r="G20">
            <v>151.53845148976583</v>
          </cell>
        </row>
        <row r="21">
          <cell r="G21">
            <v>185.90712573669367</v>
          </cell>
        </row>
        <row r="22">
          <cell r="G22">
            <v>218.9026985722538</v>
          </cell>
        </row>
        <row r="23">
          <cell r="G23">
            <v>254.46119223836266</v>
          </cell>
        </row>
        <row r="24">
          <cell r="G24">
            <v>289.50728973019483</v>
          </cell>
        </row>
        <row r="25">
          <cell r="G25">
            <v>324.70458162355095</v>
          </cell>
        </row>
      </sheetData>
      <sheetData sheetId="8"/>
      <sheetData sheetId="9">
        <row r="4">
          <cell r="G4">
            <v>49.009225095799557</v>
          </cell>
        </row>
        <row r="5">
          <cell r="G5">
            <v>66.418845053186246</v>
          </cell>
        </row>
        <row r="6">
          <cell r="G6">
            <v>87.087391642521226</v>
          </cell>
        </row>
        <row r="7">
          <cell r="G7">
            <v>107.84430130998675</v>
          </cell>
        </row>
        <row r="8">
          <cell r="G8">
            <v>128.80792317510239</v>
          </cell>
        </row>
        <row r="9">
          <cell r="G9">
            <v>151.69996489765705</v>
          </cell>
        </row>
        <row r="10">
          <cell r="G10">
            <v>175.15123880437289</v>
          </cell>
        </row>
        <row r="11">
          <cell r="G11">
            <v>200.00439541351014</v>
          </cell>
        </row>
      </sheetData>
      <sheetData sheetId="1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162.97551350153793</v>
          </cell>
        </row>
        <row r="19">
          <cell r="G19">
            <v>171.33961465657879</v>
          </cell>
        </row>
        <row r="20">
          <cell r="G20">
            <v>180.34370915987216</v>
          </cell>
        </row>
        <row r="21">
          <cell r="G21">
            <v>188.80819341472969</v>
          </cell>
        </row>
        <row r="22">
          <cell r="G22">
            <v>195.68036134491823</v>
          </cell>
        </row>
        <row r="23">
          <cell r="G23">
            <v>201.57804974198649</v>
          </cell>
        </row>
        <row r="24">
          <cell r="G24">
            <v>202.54152121928777</v>
          </cell>
        </row>
        <row r="25">
          <cell r="G25">
            <v>201.75395401498577</v>
          </cell>
        </row>
      </sheetData>
      <sheetData sheetId="8"/>
      <sheetData sheetId="9">
        <row r="4">
          <cell r="H4">
            <v>88.281677901219552</v>
          </cell>
        </row>
        <row r="5">
          <cell r="H5">
            <v>94.222286619097886</v>
          </cell>
        </row>
        <row r="6">
          <cell r="H6">
            <v>101.34817617079257</v>
          </cell>
        </row>
        <row r="7">
          <cell r="H7">
            <v>107.23810155239501</v>
          </cell>
        </row>
        <row r="8">
          <cell r="H8">
            <v>113.18223362987018</v>
          </cell>
        </row>
        <row r="9">
          <cell r="H9">
            <v>118.02138295015899</v>
          </cell>
        </row>
        <row r="10">
          <cell r="H10">
            <v>120.37351454148704</v>
          </cell>
        </row>
        <row r="11">
          <cell r="H11">
            <v>122.38259679649873</v>
          </cell>
        </row>
      </sheetData>
      <sheetData sheetId="1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160.96234720084496</v>
          </cell>
        </row>
        <row r="19">
          <cell r="G19">
            <v>163.80068381745167</v>
          </cell>
        </row>
        <row r="20">
          <cell r="G20">
            <v>169.26863784017308</v>
          </cell>
        </row>
        <row r="21">
          <cell r="G21">
            <v>174.14545452706588</v>
          </cell>
        </row>
        <row r="22">
          <cell r="G22">
            <v>178.21562919413333</v>
          </cell>
        </row>
        <row r="23">
          <cell r="G23">
            <v>181.85950720964104</v>
          </cell>
        </row>
        <row r="24">
          <cell r="G24">
            <v>182.25499258046023</v>
          </cell>
        </row>
        <row r="25">
          <cell r="G25">
            <v>179.47353882855336</v>
          </cell>
        </row>
      </sheetData>
      <sheetData sheetId="8"/>
      <sheetData sheetId="9">
        <row r="4">
          <cell r="I4">
            <v>85.143193450486564</v>
          </cell>
        </row>
        <row r="5">
          <cell r="I5">
            <v>88.274699650158482</v>
          </cell>
        </row>
        <row r="6">
          <cell r="I6">
            <v>93.361659967479511</v>
          </cell>
        </row>
        <row r="7">
          <cell r="I7">
            <v>97.17314147197483</v>
          </cell>
        </row>
        <row r="8">
          <cell r="I8">
            <v>101.43621207641162</v>
          </cell>
        </row>
        <row r="9">
          <cell r="I9">
            <v>104.8576886365923</v>
          </cell>
        </row>
        <row r="10">
          <cell r="I10">
            <v>106.99399085425149</v>
          </cell>
        </row>
        <row r="11">
          <cell r="I11">
            <v>107.03884264355693</v>
          </cell>
        </row>
      </sheetData>
      <sheetData sheetId="1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112.06696341875501</v>
          </cell>
        </row>
        <row r="19">
          <cell r="G19">
            <v>137.69183219050535</v>
          </cell>
        </row>
        <row r="20">
          <cell r="G20">
            <v>161.80581632219619</v>
          </cell>
        </row>
        <row r="21">
          <cell r="G21">
            <v>182.40476581175622</v>
          </cell>
        </row>
        <row r="22">
          <cell r="G22">
            <v>198.04167771332462</v>
          </cell>
        </row>
        <row r="23">
          <cell r="G23">
            <v>210.50449565482285</v>
          </cell>
        </row>
        <row r="24">
          <cell r="G24">
            <v>215.18287824064495</v>
          </cell>
        </row>
        <row r="25">
          <cell r="G25">
            <v>209.68903978929541</v>
          </cell>
        </row>
      </sheetData>
      <sheetData sheetId="8"/>
      <sheetData sheetId="9">
        <row r="4">
          <cell r="G4">
            <v>57.495828879087952</v>
          </cell>
        </row>
        <row r="5">
          <cell r="G5">
            <v>72.080053530098439</v>
          </cell>
        </row>
        <row r="6">
          <cell r="G6">
            <v>86.798479112649446</v>
          </cell>
        </row>
        <row r="7">
          <cell r="G7">
            <v>99.097324042665534</v>
          </cell>
        </row>
        <row r="8">
          <cell r="G8">
            <v>109.62341242927765</v>
          </cell>
        </row>
        <row r="9">
          <cell r="G9">
            <v>118.54618676319669</v>
          </cell>
        </row>
        <row r="10">
          <cell r="G10">
            <v>123.26738697280348</v>
          </cell>
        </row>
        <row r="11">
          <cell r="G11">
            <v>122.05162187314824</v>
          </cell>
        </row>
      </sheetData>
      <sheetData sheetId="1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138.54297375017694</v>
          </cell>
        </row>
        <row r="19">
          <cell r="G19">
            <v>151.96335224134469</v>
          </cell>
        </row>
        <row r="20">
          <cell r="G20">
            <v>165.78449999983633</v>
          </cell>
        </row>
        <row r="21">
          <cell r="G21">
            <v>178.88335772319559</v>
          </cell>
        </row>
        <row r="22">
          <cell r="G22">
            <v>190.38298630540081</v>
          </cell>
        </row>
        <row r="23">
          <cell r="G23">
            <v>200.53548898792118</v>
          </cell>
        </row>
        <row r="24">
          <cell r="G24">
            <v>205.15513616357768</v>
          </cell>
        </row>
        <row r="25">
          <cell r="G25">
            <v>204.18238075602653</v>
          </cell>
        </row>
      </sheetData>
      <sheetData sheetId="8"/>
      <sheetData sheetId="9">
        <row r="4">
          <cell r="H4">
            <v>74.024870029322372</v>
          </cell>
        </row>
        <row r="5">
          <cell r="H5">
            <v>82.700632840324573</v>
          </cell>
        </row>
        <row r="6">
          <cell r="H6">
            <v>92.495541560405755</v>
          </cell>
        </row>
        <row r="7">
          <cell r="H7">
            <v>101.072629450446</v>
          </cell>
        </row>
        <row r="8">
          <cell r="H8">
            <v>109.87854036142963</v>
          </cell>
        </row>
        <row r="9">
          <cell r="H9">
            <v>117.41280187441173</v>
          </cell>
        </row>
        <row r="10">
          <cell r="H10">
            <v>122.27115298807156</v>
          </cell>
        </row>
        <row r="11">
          <cell r="H11">
            <v>123.77307850101506</v>
          </cell>
        </row>
      </sheetData>
      <sheetData sheetId="1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Kondensacijos efektyvumas"/>
      <sheetName val="Nu kiti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128.17071107606117</v>
          </cell>
        </row>
        <row r="19">
          <cell r="G19">
            <v>145.84152186536178</v>
          </cell>
        </row>
        <row r="20">
          <cell r="G20">
            <v>163.45958520196052</v>
          </cell>
        </row>
        <row r="21">
          <cell r="G21">
            <v>179.63874093458514</v>
          </cell>
        </row>
        <row r="22">
          <cell r="G22">
            <v>192.15963938042873</v>
          </cell>
        </row>
        <row r="23">
          <cell r="G23">
            <v>202.96789736934616</v>
          </cell>
        </row>
        <row r="24">
          <cell r="G24">
            <v>210.12185797286594</v>
          </cell>
        </row>
        <row r="25">
          <cell r="G25">
            <v>209.70731106489674</v>
          </cell>
        </row>
      </sheetData>
      <sheetData sheetId="8"/>
      <sheetData sheetId="9"/>
      <sheetData sheetId="10">
        <row r="4">
          <cell r="I4">
            <v>63.889510515399657</v>
          </cell>
        </row>
        <row r="5">
          <cell r="I5">
            <v>74.258501465160109</v>
          </cell>
        </row>
        <row r="6">
          <cell r="I6">
            <v>85.386370130888608</v>
          </cell>
        </row>
        <row r="7">
          <cell r="I7">
            <v>95.276788991551015</v>
          </cell>
        </row>
        <row r="8">
          <cell r="I8">
            <v>103.72526749594878</v>
          </cell>
        </row>
        <row r="9">
          <cell r="I9">
            <v>111.66027290437756</v>
          </cell>
        </row>
        <row r="10">
          <cell r="I10">
            <v>118.09542685071044</v>
          </cell>
        </row>
        <row r="11">
          <cell r="I11">
            <v>120.07506091626688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Kondensacijos efektyvumas"/>
      <sheetName val="Nu kitimas"/>
    </sheetNames>
    <sheetDataSet>
      <sheetData sheetId="0"/>
      <sheetData sheetId="1"/>
      <sheetData sheetId="2"/>
      <sheetData sheetId="3"/>
      <sheetData sheetId="4">
        <row r="5">
          <cell r="G5">
            <v>205.91313886110191</v>
          </cell>
        </row>
        <row r="6">
          <cell r="G6">
            <v>192.97876210333968</v>
          </cell>
        </row>
        <row r="7">
          <cell r="G7">
            <v>186.60878275755283</v>
          </cell>
        </row>
        <row r="8">
          <cell r="G8">
            <v>172.22271320722442</v>
          </cell>
        </row>
        <row r="9">
          <cell r="G9">
            <v>169.58699167212393</v>
          </cell>
        </row>
        <row r="10">
          <cell r="G10">
            <v>158.41175339408758</v>
          </cell>
        </row>
        <row r="11">
          <cell r="G11">
            <v>152.86480057452403</v>
          </cell>
        </row>
        <row r="12">
          <cell r="G12">
            <v>143.5039875821646</v>
          </cell>
        </row>
      </sheetData>
      <sheetData sheetId="5">
        <row r="24">
          <cell r="B24">
            <v>32.228973318872072</v>
          </cell>
        </row>
        <row r="25">
          <cell r="B25">
            <v>29.973370332176337</v>
          </cell>
          <cell r="F25">
            <v>393.5488422878318</v>
          </cell>
        </row>
        <row r="26">
          <cell r="B26">
            <v>27.485715571118938</v>
          </cell>
          <cell r="F26">
            <v>432.18979774131782</v>
          </cell>
        </row>
        <row r="27">
          <cell r="B27">
            <v>24.820821209604539</v>
          </cell>
          <cell r="F27">
            <v>460.8751314087009</v>
          </cell>
        </row>
        <row r="28">
          <cell r="B28">
            <v>22.033499421537805</v>
          </cell>
          <cell r="F28">
            <v>479.76586860095011</v>
          </cell>
        </row>
        <row r="29">
          <cell r="B29">
            <v>19.178562380823408</v>
          </cell>
          <cell r="F29">
            <v>489.04102689563899</v>
          </cell>
        </row>
        <row r="30">
          <cell r="B30">
            <v>16.31082226136601</v>
          </cell>
          <cell r="F30">
            <v>488.88578152440186</v>
          </cell>
        </row>
        <row r="31">
          <cell r="B31">
            <v>13.485091237070286</v>
          </cell>
          <cell r="F31">
            <v>479.48087321140173</v>
          </cell>
        </row>
        <row r="32">
          <cell r="F32">
            <v>460.99346867793588</v>
          </cell>
        </row>
      </sheetData>
      <sheetData sheetId="6"/>
      <sheetData sheetId="7">
        <row r="18">
          <cell r="G18">
            <v>124.87799948499705</v>
          </cell>
        </row>
        <row r="19">
          <cell r="G19">
            <v>141.65875433505485</v>
          </cell>
        </row>
        <row r="20">
          <cell r="G20">
            <v>158.60308515019568</v>
          </cell>
        </row>
        <row r="21">
          <cell r="G21">
            <v>173.7707698068408</v>
          </cell>
        </row>
        <row r="22">
          <cell r="G22">
            <v>185.54637127369915</v>
          </cell>
        </row>
        <row r="23">
          <cell r="G23">
            <v>195.20593573481662</v>
          </cell>
        </row>
        <row r="24">
          <cell r="G24">
            <v>199.83941139133506</v>
          </cell>
        </row>
        <row r="25">
          <cell r="G25">
            <v>195.96751029759986</v>
          </cell>
        </row>
        <row r="127">
          <cell r="E127">
            <v>0.32250442567284926</v>
          </cell>
          <cell r="F127">
            <v>1.7704187652342544E-3</v>
          </cell>
        </row>
        <row r="128">
          <cell r="E128">
            <v>0.26937831419616726</v>
          </cell>
          <cell r="F128">
            <v>0.49654928502991158</v>
          </cell>
        </row>
        <row r="129">
          <cell r="E129">
            <v>0.30300068823021709</v>
          </cell>
          <cell r="F129">
            <v>3.56926331211334E-3</v>
          </cell>
        </row>
        <row r="130">
          <cell r="E130">
            <v>0.18749533229383922</v>
          </cell>
          <cell r="F130">
            <v>0.59772435683920722</v>
          </cell>
        </row>
        <row r="131">
          <cell r="E131">
            <v>0.21998792611948106</v>
          </cell>
          <cell r="F131">
            <v>2.6826058750701117E-3</v>
          </cell>
        </row>
        <row r="132">
          <cell r="E132">
            <v>0.22745981991047179</v>
          </cell>
          <cell r="F132">
            <v>0.62590695400660312</v>
          </cell>
        </row>
        <row r="133">
          <cell r="E133">
            <v>0.22993255289580605</v>
          </cell>
          <cell r="F133">
            <v>3.5921116061091835E-3</v>
          </cell>
        </row>
        <row r="134">
          <cell r="E134">
            <v>0.20566691828654091</v>
          </cell>
          <cell r="F134">
            <v>0.61393201323326607</v>
          </cell>
        </row>
      </sheetData>
      <sheetData sheetId="8"/>
      <sheetData sheetId="9"/>
      <sheetData sheetId="10">
        <row r="4">
          <cell r="H4">
            <v>60.753095478754481</v>
          </cell>
        </row>
        <row r="5">
          <cell r="H5">
            <v>70.451810212936067</v>
          </cell>
        </row>
        <row r="6">
          <cell r="H6">
            <v>81.038052228620785</v>
          </cell>
        </row>
        <row r="7">
          <cell r="H7">
            <v>90.084888918986039</v>
          </cell>
        </row>
        <row r="8">
          <cell r="H8">
            <v>98.14488282865851</v>
          </cell>
        </row>
        <row r="9">
          <cell r="H9">
            <v>105.16519823266725</v>
          </cell>
        </row>
        <row r="10">
          <cell r="H10">
            <v>110.02729867525616</v>
          </cell>
        </row>
        <row r="11">
          <cell r="H11">
            <v>109.71974685605322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Kondensacijos efektyvumas"/>
      <sheetName val="Nu kiti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131.43395843941596</v>
          </cell>
        </row>
        <row r="19">
          <cell r="G19">
            <v>143.66055706866584</v>
          </cell>
        </row>
        <row r="20">
          <cell r="G20">
            <v>156.58708433679723</v>
          </cell>
        </row>
        <row r="21">
          <cell r="G21">
            <v>169.46033147270725</v>
          </cell>
        </row>
        <row r="22">
          <cell r="G22">
            <v>180.32806373490408</v>
          </cell>
        </row>
        <row r="23">
          <cell r="G23">
            <v>190.77429377675386</v>
          </cell>
        </row>
        <row r="24">
          <cell r="G24">
            <v>197.39168730525887</v>
          </cell>
        </row>
        <row r="25">
          <cell r="G25">
            <v>197.44956334191463</v>
          </cell>
        </row>
      </sheetData>
      <sheetData sheetId="8"/>
      <sheetData sheetId="9"/>
      <sheetData sheetId="10">
        <row r="4">
          <cell r="F4">
            <v>63.384450574750709</v>
          </cell>
        </row>
        <row r="5">
          <cell r="F5">
            <v>70.690318274423177</v>
          </cell>
        </row>
        <row r="6">
          <cell r="F6">
            <v>79.255663147694605</v>
          </cell>
        </row>
        <row r="7">
          <cell r="F7">
            <v>87.0761322915275</v>
          </cell>
        </row>
        <row r="8">
          <cell r="F8">
            <v>94.619918671999585</v>
          </cell>
        </row>
        <row r="9">
          <cell r="F9">
            <v>102.06257827787138</v>
          </cell>
        </row>
        <row r="10">
          <cell r="F10">
            <v>107.78411486420211</v>
          </cell>
        </row>
        <row r="11">
          <cell r="F11">
            <v>109.73297624767068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G5">
            <v>85.156740260234969</v>
          </cell>
        </row>
        <row r="6">
          <cell r="G6">
            <v>81.821209083926249</v>
          </cell>
        </row>
        <row r="7">
          <cell r="G7">
            <v>79.960305500505214</v>
          </cell>
        </row>
        <row r="8">
          <cell r="G8">
            <v>75.74604724947163</v>
          </cell>
        </row>
        <row r="9">
          <cell r="G9">
            <v>74.254525126272384</v>
          </cell>
        </row>
        <row r="10">
          <cell r="G10">
            <v>71.037486819212219</v>
          </cell>
        </row>
        <row r="11">
          <cell r="G11">
            <v>68.876045548626465</v>
          </cell>
        </row>
        <row r="12">
          <cell r="G12">
            <v>65.856313815184905</v>
          </cell>
        </row>
      </sheetData>
      <sheetData sheetId="4"/>
      <sheetData sheetId="5">
        <row r="24">
          <cell r="B24">
            <v>28.44061025226631</v>
          </cell>
        </row>
        <row r="25">
          <cell r="B25">
            <v>26.434700024205707</v>
          </cell>
          <cell r="F25">
            <v>294.20347689757176</v>
          </cell>
        </row>
        <row r="26">
          <cell r="B26">
            <v>24.301011489099821</v>
          </cell>
          <cell r="F26">
            <v>311.80714837313735</v>
          </cell>
        </row>
        <row r="27">
          <cell r="B27">
            <v>22.070438785626742</v>
          </cell>
          <cell r="F27">
            <v>324.73358578836462</v>
          </cell>
        </row>
        <row r="28">
          <cell r="B28">
            <v>19.773876052464555</v>
          </cell>
          <cell r="F28">
            <v>333.04963121493699</v>
          </cell>
        </row>
        <row r="29">
          <cell r="B29">
            <v>17.442217428291347</v>
          </cell>
          <cell r="F29">
            <v>336.82576122709236</v>
          </cell>
        </row>
        <row r="30">
          <cell r="B30">
            <v>15.10635705178521</v>
          </cell>
          <cell r="F30">
            <v>336.1330867309216</v>
          </cell>
        </row>
        <row r="31">
          <cell r="B31">
            <v>12.797189061624231</v>
          </cell>
          <cell r="F31">
            <v>331.04064913419779</v>
          </cell>
        </row>
        <row r="32">
          <cell r="F32">
            <v>321.61304504369235</v>
          </cell>
        </row>
      </sheetData>
      <sheetData sheetId="6"/>
      <sheetData sheetId="7">
        <row r="18">
          <cell r="G18">
            <v>337.65088883955065</v>
          </cell>
        </row>
        <row r="19">
          <cell r="G19">
            <v>349.86250204469229</v>
          </cell>
        </row>
        <row r="20">
          <cell r="G20">
            <v>368.018788084123</v>
          </cell>
        </row>
        <row r="21">
          <cell r="G21">
            <v>384.96770767681733</v>
          </cell>
        </row>
        <row r="22">
          <cell r="G22">
            <v>396.99358215951798</v>
          </cell>
        </row>
        <row r="23">
          <cell r="G23">
            <v>404.12407975286334</v>
          </cell>
        </row>
        <row r="24">
          <cell r="G24">
            <v>396.02286898568514</v>
          </cell>
        </row>
        <row r="25">
          <cell r="G25">
            <v>402.39157582598915</v>
          </cell>
        </row>
        <row r="127">
          <cell r="E127">
            <v>6.8624724819646876E-2</v>
          </cell>
          <cell r="F127">
            <v>1.2462624417623943E-2</v>
          </cell>
        </row>
        <row r="128">
          <cell r="E128">
            <v>6.7761132495948881E-2</v>
          </cell>
          <cell r="F128">
            <v>0.62101493962644827</v>
          </cell>
        </row>
        <row r="129">
          <cell r="E129">
            <v>6.9961283474317598E-2</v>
          </cell>
          <cell r="F129">
            <v>3.5828719040147311E-2</v>
          </cell>
        </row>
        <row r="130">
          <cell r="E130">
            <v>4.9721500061978507E-2</v>
          </cell>
          <cell r="F130">
            <v>0.59753523446228929</v>
          </cell>
        </row>
        <row r="131">
          <cell r="E131">
            <v>5.7352204394019078E-2</v>
          </cell>
          <cell r="F131">
            <v>1.2578734956120122E-2</v>
          </cell>
        </row>
        <row r="132">
          <cell r="E132">
            <v>6.0960879459810359E-2</v>
          </cell>
          <cell r="F132">
            <v>0.5850279535025128</v>
          </cell>
        </row>
        <row r="133">
          <cell r="E133">
            <v>5.0710994102536315E-2</v>
          </cell>
          <cell r="F133">
            <v>1.1730695833228074E-2</v>
          </cell>
        </row>
        <row r="134">
          <cell r="E134">
            <v>6.7385479746739127E-2</v>
          </cell>
          <cell r="F134">
            <v>0.61238787006586837</v>
          </cell>
        </row>
      </sheetData>
      <sheetData sheetId="8"/>
      <sheetData sheetId="9">
        <row r="4">
          <cell r="I4">
            <v>220.23159200113037</v>
          </cell>
        </row>
        <row r="5">
          <cell r="I5">
            <v>229.30051485251383</v>
          </cell>
        </row>
        <row r="6">
          <cell r="I6">
            <v>243.40856415755403</v>
          </cell>
        </row>
        <row r="7">
          <cell r="I7">
            <v>255.25431813754057</v>
          </cell>
        </row>
        <row r="8">
          <cell r="I8">
            <v>265.25902573808361</v>
          </cell>
        </row>
        <row r="9">
          <cell r="I9">
            <v>271.17854075325096</v>
          </cell>
        </row>
        <row r="10">
          <cell r="I10">
            <v>267.59765119521921</v>
          </cell>
        </row>
        <row r="11">
          <cell r="I11">
            <v>273.36710480243181</v>
          </cell>
        </row>
      </sheetData>
      <sheetData sheetId="1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289.92653596550417</v>
          </cell>
        </row>
        <row r="19">
          <cell r="G19">
            <v>300.19469638843935</v>
          </cell>
        </row>
        <row r="20">
          <cell r="G20">
            <v>313.50667991933432</v>
          </cell>
        </row>
        <row r="21">
          <cell r="G21">
            <v>326.58367825626846</v>
          </cell>
        </row>
        <row r="22">
          <cell r="G22">
            <v>338.21990919617747</v>
          </cell>
        </row>
        <row r="23">
          <cell r="G23">
            <v>343.89356369859235</v>
          </cell>
        </row>
        <row r="24">
          <cell r="G24">
            <v>338.40376567765782</v>
          </cell>
        </row>
        <row r="25">
          <cell r="G25">
            <v>345.6169771072386</v>
          </cell>
        </row>
      </sheetData>
      <sheetData sheetId="8"/>
      <sheetData sheetId="9">
        <row r="4">
          <cell r="I4">
            <v>183.64775593713625</v>
          </cell>
        </row>
        <row r="5">
          <cell r="I5">
            <v>191.804747082478</v>
          </cell>
        </row>
        <row r="6">
          <cell r="I6">
            <v>201.9650603857587</v>
          </cell>
        </row>
        <row r="7">
          <cell r="I7">
            <v>211.6151447526735</v>
          </cell>
        </row>
        <row r="8">
          <cell r="I8">
            <v>220.86735788251951</v>
          </cell>
        </row>
        <row r="9">
          <cell r="I9">
            <v>225.72857466024686</v>
          </cell>
        </row>
        <row r="10">
          <cell r="I10">
            <v>223.72072554502904</v>
          </cell>
        </row>
        <row r="11">
          <cell r="I11">
            <v>229.66166901480432</v>
          </cell>
        </row>
      </sheetData>
      <sheetData sheetId="10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237.31486598846672</v>
          </cell>
        </row>
        <row r="19">
          <cell r="G19">
            <v>254.10443646106378</v>
          </cell>
        </row>
        <row r="20">
          <cell r="G20">
            <v>273.30994105931148</v>
          </cell>
        </row>
        <row r="21">
          <cell r="G21">
            <v>291.57613671843575</v>
          </cell>
        </row>
        <row r="22">
          <cell r="G22">
            <v>302.79379290827177</v>
          </cell>
        </row>
        <row r="23">
          <cell r="G23">
            <v>307.41908722136753</v>
          </cell>
        </row>
        <row r="24">
          <cell r="G24">
            <v>300.93944354444568</v>
          </cell>
        </row>
        <row r="25">
          <cell r="G25">
            <v>278.27578911869699</v>
          </cell>
        </row>
      </sheetData>
      <sheetData sheetId="8"/>
      <sheetData sheetId="9">
        <row r="4">
          <cell r="H4">
            <v>146.18230584834254</v>
          </cell>
        </row>
        <row r="5">
          <cell r="H5">
            <v>157.80021525897732</v>
          </cell>
        </row>
        <row r="6">
          <cell r="H6">
            <v>171.847405084684</v>
          </cell>
        </row>
        <row r="7">
          <cell r="H7">
            <v>184.43351064441381</v>
          </cell>
        </row>
        <row r="8">
          <cell r="H8">
            <v>193.07707342693195</v>
          </cell>
        </row>
        <row r="9">
          <cell r="H9">
            <v>197.39960274576075</v>
          </cell>
        </row>
        <row r="10">
          <cell r="H10">
            <v>195.10477869269545</v>
          </cell>
        </row>
        <row r="11">
          <cell r="H11">
            <v>181.67524632068987</v>
          </cell>
        </row>
      </sheetData>
      <sheetData sheetId="10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220.39501636633364</v>
          </cell>
        </row>
        <row r="19">
          <cell r="G19">
            <v>234.68847862885499</v>
          </cell>
        </row>
        <row r="20">
          <cell r="G20">
            <v>250.47372571865867</v>
          </cell>
        </row>
        <row r="21">
          <cell r="G21">
            <v>263.00431593736465</v>
          </cell>
        </row>
        <row r="22">
          <cell r="G22">
            <v>273.74197860648542</v>
          </cell>
        </row>
        <row r="23">
          <cell r="G23">
            <v>281.71238944176019</v>
          </cell>
        </row>
        <row r="24">
          <cell r="G24">
            <v>280.24595379312893</v>
          </cell>
        </row>
        <row r="25">
          <cell r="G25">
            <v>265.24450159489874</v>
          </cell>
        </row>
      </sheetData>
      <sheetData sheetId="8"/>
      <sheetData sheetId="9">
        <row r="4">
          <cell r="H4">
            <v>132.69263897784393</v>
          </cell>
        </row>
        <row r="5">
          <cell r="H5">
            <v>143.14399159009054</v>
          </cell>
        </row>
        <row r="6">
          <cell r="H6">
            <v>154.44367281027027</v>
          </cell>
        </row>
        <row r="7">
          <cell r="H7">
            <v>163.07208346407933</v>
          </cell>
        </row>
        <row r="8">
          <cell r="H8">
            <v>171.52134855560328</v>
          </cell>
        </row>
        <row r="9">
          <cell r="H9">
            <v>178.00457437578964</v>
          </cell>
        </row>
        <row r="10">
          <cell r="H10">
            <v>178.994233928444</v>
          </cell>
        </row>
        <row r="11">
          <cell r="H11">
            <v>170.84769759835066</v>
          </cell>
        </row>
      </sheetData>
      <sheetData sheetId="10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537.13288032874902</v>
          </cell>
        </row>
        <row r="19">
          <cell r="G19">
            <v>518.06135229282609</v>
          </cell>
        </row>
        <row r="20">
          <cell r="G20">
            <v>528.07619419784373</v>
          </cell>
        </row>
        <row r="21">
          <cell r="G21">
            <v>551.95860535615293</v>
          </cell>
        </row>
        <row r="22">
          <cell r="G22">
            <v>575.57614667177097</v>
          </cell>
        </row>
        <row r="23">
          <cell r="G23">
            <v>646.33584114454675</v>
          </cell>
        </row>
        <row r="24">
          <cell r="G24">
            <v>623.42171313524545</v>
          </cell>
        </row>
        <row r="25">
          <cell r="G25">
            <v>507.76814794583305</v>
          </cell>
        </row>
      </sheetData>
      <sheetData sheetId="8"/>
      <sheetData sheetId="9">
        <row r="4">
          <cell r="K4">
            <v>350.92706894575394</v>
          </cell>
        </row>
        <row r="5">
          <cell r="K5">
            <v>339.53121783232854</v>
          </cell>
        </row>
        <row r="6">
          <cell r="K6">
            <v>348.41747931052601</v>
          </cell>
        </row>
        <row r="7">
          <cell r="K7">
            <v>364.9975331424136</v>
          </cell>
        </row>
        <row r="8">
          <cell r="K8">
            <v>382.61685629896886</v>
          </cell>
        </row>
        <row r="9">
          <cell r="K9">
            <v>441.0532211053</v>
          </cell>
        </row>
        <row r="10">
          <cell r="K10">
            <v>417.84196927427013</v>
          </cell>
        </row>
        <row r="11">
          <cell r="K11">
            <v>341.36297259693811</v>
          </cell>
        </row>
      </sheetData>
      <sheetData sheetId="10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351.3116555312385</v>
          </cell>
        </row>
        <row r="19">
          <cell r="G19">
            <v>358.20305161206204</v>
          </cell>
        </row>
        <row r="20">
          <cell r="G20">
            <v>377.62150390725765</v>
          </cell>
        </row>
        <row r="21">
          <cell r="G21">
            <v>402.40500504911927</v>
          </cell>
        </row>
        <row r="22">
          <cell r="G22">
            <v>426.55300574238083</v>
          </cell>
        </row>
        <row r="23">
          <cell r="G23">
            <v>443.66137188185564</v>
          </cell>
        </row>
        <row r="24">
          <cell r="G24">
            <v>440.33633435164813</v>
          </cell>
        </row>
        <row r="25">
          <cell r="G25">
            <v>412.32150978932594</v>
          </cell>
        </row>
      </sheetData>
      <sheetData sheetId="8"/>
      <sheetData sheetId="9">
        <row r="4">
          <cell r="K4">
            <v>213.51402866557413</v>
          </cell>
        </row>
        <row r="5">
          <cell r="K5">
            <v>219.21787028016897</v>
          </cell>
        </row>
        <row r="6">
          <cell r="K6">
            <v>233.52248653225462</v>
          </cell>
        </row>
        <row r="7">
          <cell r="K7">
            <v>250.05618751570196</v>
          </cell>
        </row>
        <row r="8">
          <cell r="K8">
            <v>267.42683139177933</v>
          </cell>
        </row>
        <row r="9">
          <cell r="K9">
            <v>279.69637363623355</v>
          </cell>
        </row>
        <row r="10">
          <cell r="K10">
            <v>279.66020545921725</v>
          </cell>
        </row>
        <row r="11">
          <cell r="K11">
            <v>263.64050232020372</v>
          </cell>
        </row>
      </sheetData>
      <sheetData sheetId="10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263.02344932343885</v>
          </cell>
        </row>
        <row r="19">
          <cell r="G19">
            <v>276.9681119014827</v>
          </cell>
        </row>
        <row r="20">
          <cell r="G20">
            <v>296.57191225498218</v>
          </cell>
        </row>
        <row r="21">
          <cell r="G21">
            <v>318.05895259622844</v>
          </cell>
        </row>
        <row r="22">
          <cell r="G22">
            <v>338.88739450512639</v>
          </cell>
        </row>
        <row r="23">
          <cell r="G23">
            <v>352.33647751132128</v>
          </cell>
        </row>
        <row r="24">
          <cell r="G24">
            <v>349.96173463438902</v>
          </cell>
        </row>
        <row r="25">
          <cell r="G25">
            <v>332.13622569835184</v>
          </cell>
        </row>
      </sheetData>
      <sheetData sheetId="8"/>
      <sheetData sheetId="9">
        <row r="4">
          <cell r="I4">
            <v>148.27350773311909</v>
          </cell>
        </row>
        <row r="5">
          <cell r="I5">
            <v>157.78125650198888</v>
          </cell>
        </row>
        <row r="6">
          <cell r="I6">
            <v>171.41809781834911</v>
          </cell>
        </row>
        <row r="7">
          <cell r="I7">
            <v>185.35786895265261</v>
          </cell>
        </row>
        <row r="8">
          <cell r="I8">
            <v>200.3512301030371</v>
          </cell>
        </row>
        <row r="9">
          <cell r="I9">
            <v>209.57824988420535</v>
          </cell>
        </row>
        <row r="10">
          <cell r="I10">
            <v>210.35821036835895</v>
          </cell>
        </row>
        <row r="11">
          <cell r="I11">
            <v>201.57291940642875</v>
          </cell>
        </row>
      </sheetData>
      <sheetData sheetId="10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236.74483114544648</v>
          </cell>
        </row>
        <row r="19">
          <cell r="G19">
            <v>247.73539516418731</v>
          </cell>
        </row>
        <row r="20">
          <cell r="G20">
            <v>263.92166115925181</v>
          </cell>
        </row>
        <row r="21">
          <cell r="G21">
            <v>282.06543070204884</v>
          </cell>
        </row>
        <row r="22">
          <cell r="G22">
            <v>299.66136473305892</v>
          </cell>
        </row>
        <row r="23">
          <cell r="G23">
            <v>314.19225629178874</v>
          </cell>
        </row>
        <row r="24">
          <cell r="G24">
            <v>318.91922934349753</v>
          </cell>
        </row>
        <row r="25">
          <cell r="G25">
            <v>314.89767653677723</v>
          </cell>
        </row>
      </sheetData>
      <sheetData sheetId="8"/>
      <sheetData sheetId="9">
        <row r="4">
          <cell r="H4">
            <v>123.88262480176873</v>
          </cell>
        </row>
        <row r="5">
          <cell r="H5">
            <v>131.4371413208973</v>
          </cell>
        </row>
        <row r="6">
          <cell r="H6">
            <v>142.52024742889435</v>
          </cell>
        </row>
        <row r="7">
          <cell r="H7">
            <v>153.94989039668698</v>
          </cell>
        </row>
        <row r="8">
          <cell r="H8">
            <v>166.06158259247479</v>
          </cell>
        </row>
        <row r="9">
          <cell r="H9">
            <v>175.97357448756875</v>
          </cell>
        </row>
        <row r="10">
          <cell r="H10">
            <v>180.76178749563465</v>
          </cell>
        </row>
        <row r="11">
          <cell r="H11">
            <v>181.60593014380467</v>
          </cell>
        </row>
      </sheetData>
      <sheetData sheetId="10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209.96401288928874</v>
          </cell>
        </row>
        <row r="19">
          <cell r="G19">
            <v>220.62174694819797</v>
          </cell>
        </row>
        <row r="20">
          <cell r="G20">
            <v>235.6885057586382</v>
          </cell>
        </row>
        <row r="21">
          <cell r="G21">
            <v>255.19313403022326</v>
          </cell>
        </row>
        <row r="22">
          <cell r="G22">
            <v>271.09817434942778</v>
          </cell>
        </row>
        <row r="23">
          <cell r="G23">
            <v>282.32378481152523</v>
          </cell>
        </row>
        <row r="24">
          <cell r="G24">
            <v>290.86183717594969</v>
          </cell>
        </row>
        <row r="25">
          <cell r="G25">
            <v>290.05237114478325</v>
          </cell>
        </row>
      </sheetData>
      <sheetData sheetId="8"/>
      <sheetData sheetId="9">
        <row r="4">
          <cell r="G4">
            <v>101.93631719009387</v>
          </cell>
        </row>
        <row r="5">
          <cell r="G5">
            <v>108.95815320687021</v>
          </cell>
        </row>
        <row r="6">
          <cell r="G6">
            <v>118.91672127520587</v>
          </cell>
        </row>
        <row r="7">
          <cell r="G7">
            <v>131.51942716369985</v>
          </cell>
        </row>
        <row r="8">
          <cell r="G8">
            <v>140.82468915231274</v>
          </cell>
        </row>
        <row r="9">
          <cell r="G9">
            <v>148.83497255426943</v>
          </cell>
        </row>
        <row r="10">
          <cell r="G10">
            <v>155.71629343810508</v>
          </cell>
        </row>
        <row r="11">
          <cell r="G11">
            <v>157.52462077510339</v>
          </cell>
        </row>
      </sheetData>
      <sheetData sheetId="10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375.51936455632699</v>
          </cell>
        </row>
        <row r="19">
          <cell r="G19">
            <v>359.52638746564077</v>
          </cell>
        </row>
        <row r="20">
          <cell r="G20">
            <v>353.22607742449935</v>
          </cell>
        </row>
        <row r="21">
          <cell r="G21">
            <v>355.71017151026979</v>
          </cell>
        </row>
        <row r="22">
          <cell r="G22">
            <v>361.39833520461144</v>
          </cell>
        </row>
        <row r="23">
          <cell r="G23">
            <v>370.92228970820224</v>
          </cell>
        </row>
        <row r="24">
          <cell r="G24">
            <v>384.3759669669779</v>
          </cell>
        </row>
        <row r="25">
          <cell r="G25">
            <v>432.38224195357731</v>
          </cell>
        </row>
      </sheetData>
      <sheetData sheetId="8"/>
      <sheetData sheetId="9">
        <row r="4">
          <cell r="R4">
            <v>245.7203252525872</v>
          </cell>
        </row>
        <row r="5">
          <cell r="R5">
            <v>236.72293307664415</v>
          </cell>
        </row>
        <row r="6">
          <cell r="R6">
            <v>234.55791687033633</v>
          </cell>
        </row>
        <row r="7">
          <cell r="R7">
            <v>237.18168195600558</v>
          </cell>
        </row>
        <row r="8">
          <cell r="R8">
            <v>242.37561131991535</v>
          </cell>
        </row>
        <row r="9">
          <cell r="R9">
            <v>249.99953903744139</v>
          </cell>
        </row>
        <row r="10">
          <cell r="R10">
            <v>261.00066615627003</v>
          </cell>
        </row>
        <row r="11">
          <cell r="R11">
            <v>293.92549364745031</v>
          </cell>
        </row>
      </sheetData>
      <sheetData sheetId="10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206.1198977470701</v>
          </cell>
        </row>
        <row r="19">
          <cell r="G19">
            <v>230.78351389112927</v>
          </cell>
        </row>
        <row r="20">
          <cell r="G20">
            <v>256.73479275513125</v>
          </cell>
        </row>
        <row r="21">
          <cell r="G21">
            <v>274.56107262918971</v>
          </cell>
        </row>
        <row r="22">
          <cell r="G22">
            <v>284.99712072583708</v>
          </cell>
        </row>
        <row r="23">
          <cell r="G23">
            <v>299.48110872573216</v>
          </cell>
        </row>
        <row r="24">
          <cell r="G24">
            <v>308.63769974358325</v>
          </cell>
        </row>
        <row r="25">
          <cell r="G25">
            <v>333.74547666197742</v>
          </cell>
        </row>
      </sheetData>
      <sheetData sheetId="8"/>
      <sheetData sheetId="9">
        <row r="4">
          <cell r="H4">
            <v>124.36535284306495</v>
          </cell>
        </row>
        <row r="5">
          <cell r="H5">
            <v>140.9477797926107</v>
          </cell>
        </row>
        <row r="6">
          <cell r="H6">
            <v>159.43879627072727</v>
          </cell>
        </row>
        <row r="7">
          <cell r="H7">
            <v>171.08196031406834</v>
          </cell>
        </row>
        <row r="8">
          <cell r="H8">
            <v>179.64569076409475</v>
          </cell>
        </row>
        <row r="9">
          <cell r="H9">
            <v>190.57103449073239</v>
          </cell>
        </row>
        <row r="10">
          <cell r="H10">
            <v>198.68751867431203</v>
          </cell>
        </row>
        <row r="11">
          <cell r="H11">
            <v>216.67692426940837</v>
          </cell>
        </row>
      </sheetData>
      <sheetData sheetId="10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167.51526494865169</v>
          </cell>
        </row>
        <row r="19">
          <cell r="G19">
            <v>181.26371583565904</v>
          </cell>
        </row>
        <row r="20">
          <cell r="G20">
            <v>196.73000369964535</v>
          </cell>
        </row>
        <row r="21">
          <cell r="G21">
            <v>210.71739743047766</v>
          </cell>
        </row>
        <row r="22">
          <cell r="G22">
            <v>224.03612013108625</v>
          </cell>
        </row>
        <row r="23">
          <cell r="G23">
            <v>238.23834970452177</v>
          </cell>
        </row>
        <row r="24">
          <cell r="G24">
            <v>246.74092314773682</v>
          </cell>
        </row>
        <row r="25">
          <cell r="G25">
            <v>274.42253330827339</v>
          </cell>
        </row>
      </sheetData>
      <sheetData sheetId="8"/>
      <sheetData sheetId="9">
        <row r="4">
          <cell r="H4">
            <v>95.112246451876985</v>
          </cell>
        </row>
        <row r="5">
          <cell r="H5">
            <v>104.62252045057851</v>
          </cell>
        </row>
        <row r="6">
          <cell r="H6">
            <v>116.00867551534391</v>
          </cell>
        </row>
        <row r="7">
          <cell r="H7">
            <v>125.43655902017525</v>
          </cell>
        </row>
        <row r="8">
          <cell r="H8">
            <v>135.89143748341451</v>
          </cell>
        </row>
        <row r="9">
          <cell r="H9">
            <v>145.90773013601523</v>
          </cell>
        </row>
        <row r="10">
          <cell r="H10">
            <v>153.00779345383185</v>
          </cell>
        </row>
        <row r="11">
          <cell r="H11">
            <v>172.28025720681322</v>
          </cell>
        </row>
      </sheetData>
      <sheetData sheetId="10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Termoporos"/>
      <sheetName val="Chronologija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134.56773136668099</v>
          </cell>
        </row>
        <row r="19">
          <cell r="G19">
            <v>148.23451724159403</v>
          </cell>
        </row>
        <row r="20">
          <cell r="G20">
            <v>162.13884528672602</v>
          </cell>
        </row>
        <row r="21">
          <cell r="G21">
            <v>175.94213513345389</v>
          </cell>
        </row>
        <row r="22">
          <cell r="G22">
            <v>188.6259735425385</v>
          </cell>
        </row>
        <row r="23">
          <cell r="G23">
            <v>202.59902135497794</v>
          </cell>
        </row>
        <row r="24">
          <cell r="G24">
            <v>214.18217554617013</v>
          </cell>
        </row>
        <row r="25">
          <cell r="G25">
            <v>240.6647606662508</v>
          </cell>
        </row>
      </sheetData>
      <sheetData sheetId="8"/>
      <sheetData sheetId="9">
        <row r="4">
          <cell r="G4">
            <v>71.323168821892224</v>
          </cell>
        </row>
        <row r="5">
          <cell r="G5">
            <v>80.069601498205159</v>
          </cell>
        </row>
        <row r="6">
          <cell r="G6">
            <v>89.756252518724239</v>
          </cell>
        </row>
        <row r="7">
          <cell r="G7">
            <v>98.741802210685051</v>
          </cell>
        </row>
        <row r="8">
          <cell r="G8">
            <v>107.96963856425754</v>
          </cell>
        </row>
        <row r="9">
          <cell r="G9">
            <v>117.88380816506297</v>
          </cell>
        </row>
        <row r="10">
          <cell r="G10">
            <v>126.8148665108482</v>
          </cell>
        </row>
        <row r="11">
          <cell r="G11">
            <v>144.72578753758759</v>
          </cell>
        </row>
      </sheetData>
      <sheetData sheetId="10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Termoporos"/>
      <sheetName val="Chronologija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119.40661965825733</v>
          </cell>
        </row>
        <row r="19">
          <cell r="G19">
            <v>133.45201530529283</v>
          </cell>
        </row>
        <row r="20">
          <cell r="G20">
            <v>148.10191703223097</v>
          </cell>
        </row>
        <row r="21">
          <cell r="G21">
            <v>162.24814730819548</v>
          </cell>
        </row>
        <row r="22">
          <cell r="G22">
            <v>175.38961525652812</v>
          </cell>
        </row>
        <row r="23">
          <cell r="G23">
            <v>188.99226090184612</v>
          </cell>
        </row>
        <row r="24">
          <cell r="G24">
            <v>200.7277345214325</v>
          </cell>
        </row>
        <row r="25">
          <cell r="G25">
            <v>225.95729465925729</v>
          </cell>
        </row>
      </sheetData>
      <sheetData sheetId="8"/>
      <sheetData sheetId="9">
        <row r="4">
          <cell r="F4">
            <v>58.986965974228944</v>
          </cell>
        </row>
        <row r="5">
          <cell r="F5">
            <v>67.65609577349278</v>
          </cell>
        </row>
        <row r="6">
          <cell r="F6">
            <v>77.289293614527224</v>
          </cell>
        </row>
        <row r="7">
          <cell r="F7">
            <v>86.0512210534188</v>
          </cell>
        </row>
        <row r="8">
          <cell r="F8">
            <v>95.160648641181751</v>
          </cell>
        </row>
        <row r="9">
          <cell r="F9">
            <v>104.43798844318599</v>
          </cell>
        </row>
        <row r="10">
          <cell r="F10">
            <v>113.45655420698805</v>
          </cell>
        </row>
        <row r="11">
          <cell r="F11">
            <v>130.02237528738152</v>
          </cell>
        </row>
      </sheetData>
      <sheetData sheetId="10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193.3976803598047</v>
          </cell>
        </row>
        <row r="19">
          <cell r="G19">
            <v>207.76722792209569</v>
          </cell>
        </row>
        <row r="20">
          <cell r="G20">
            <v>224.81655237422228</v>
          </cell>
        </row>
        <row r="21">
          <cell r="G21">
            <v>242.25860970245628</v>
          </cell>
        </row>
        <row r="22">
          <cell r="G22">
            <v>256.73192934373725</v>
          </cell>
        </row>
        <row r="23">
          <cell r="G23">
            <v>266.54220895793378</v>
          </cell>
        </row>
        <row r="24">
          <cell r="G24">
            <v>268.00348857814174</v>
          </cell>
        </row>
        <row r="25">
          <cell r="G25">
            <v>258.39174178206241</v>
          </cell>
        </row>
      </sheetData>
      <sheetData sheetId="8"/>
      <sheetData sheetId="9">
        <row r="4">
          <cell r="J4">
            <v>123.92119191546193</v>
          </cell>
        </row>
        <row r="5">
          <cell r="J5">
            <v>133.97712215284218</v>
          </cell>
        </row>
        <row r="6">
          <cell r="J6">
            <v>146.38813033791473</v>
          </cell>
        </row>
        <row r="7">
          <cell r="J7">
            <v>158.47669367027081</v>
          </cell>
        </row>
        <row r="8">
          <cell r="J8">
            <v>169.20433136657797</v>
          </cell>
        </row>
        <row r="9">
          <cell r="J9">
            <v>176.43502316664575</v>
          </cell>
        </row>
        <row r="10">
          <cell r="J10">
            <v>178.78415590549872</v>
          </cell>
        </row>
        <row r="11">
          <cell r="J11">
            <v>173.34776953362845</v>
          </cell>
        </row>
      </sheetData>
      <sheetData sheetId="10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163.06670093270165</v>
          </cell>
        </row>
        <row r="19">
          <cell r="G19">
            <v>166.79333019784448</v>
          </cell>
        </row>
        <row r="20">
          <cell r="G20">
            <v>172.88084744606832</v>
          </cell>
        </row>
        <row r="21">
          <cell r="G21">
            <v>180.28915968906963</v>
          </cell>
        </row>
        <row r="22">
          <cell r="G22">
            <v>188.49290761645022</v>
          </cell>
        </row>
        <row r="23">
          <cell r="G23">
            <v>198.97570756635818</v>
          </cell>
        </row>
        <row r="24">
          <cell r="G24">
            <v>206.60678013871828</v>
          </cell>
        </row>
        <row r="25">
          <cell r="G25">
            <v>207.77277190870561</v>
          </cell>
        </row>
      </sheetData>
      <sheetData sheetId="8"/>
      <sheetData sheetId="9">
        <row r="4">
          <cell r="J4">
            <v>97.457309649396592</v>
          </cell>
        </row>
        <row r="5">
          <cell r="J5">
            <v>100.67496240642464</v>
          </cell>
        </row>
        <row r="6">
          <cell r="J6">
            <v>105.62471283400068</v>
          </cell>
        </row>
        <row r="7">
          <cell r="J7">
            <v>110.7754304140414</v>
          </cell>
        </row>
        <row r="8">
          <cell r="J8">
            <v>117.01121860928401</v>
          </cell>
        </row>
        <row r="9">
          <cell r="J9">
            <v>124.68023580572422</v>
          </cell>
        </row>
        <row r="10">
          <cell r="J10">
            <v>130.66621798603703</v>
          </cell>
        </row>
        <row r="11">
          <cell r="J11">
            <v>132.39089800828339</v>
          </cell>
        </row>
      </sheetData>
      <sheetData sheetId="10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127.48432681808849</v>
          </cell>
        </row>
        <row r="19">
          <cell r="G19">
            <v>136.0779322887781</v>
          </cell>
        </row>
        <row r="20">
          <cell r="G20">
            <v>146.52191524097037</v>
          </cell>
        </row>
        <row r="21">
          <cell r="G21">
            <v>157.40897132747295</v>
          </cell>
        </row>
        <row r="22">
          <cell r="G22">
            <v>166.66493194125897</v>
          </cell>
        </row>
        <row r="23">
          <cell r="G23">
            <v>175.30561840592125</v>
          </cell>
        </row>
        <row r="24">
          <cell r="G24">
            <v>180.04905814658775</v>
          </cell>
        </row>
        <row r="25">
          <cell r="G25">
            <v>178.8159280797054</v>
          </cell>
        </row>
      </sheetData>
      <sheetData sheetId="8"/>
      <sheetData sheetId="9">
        <row r="4">
          <cell r="J4">
            <v>71.73445857647954</v>
          </cell>
        </row>
        <row r="5">
          <cell r="J5">
            <v>77.649970018051036</v>
          </cell>
        </row>
        <row r="6">
          <cell r="J6">
            <v>85.138606553708257</v>
          </cell>
        </row>
        <row r="7">
          <cell r="J7">
            <v>92.403095622055133</v>
          </cell>
        </row>
        <row r="8">
          <cell r="J8">
            <v>99.093636157055471</v>
          </cell>
        </row>
        <row r="9">
          <cell r="J9">
            <v>105.50410713052915</v>
          </cell>
        </row>
        <row r="10">
          <cell r="J10">
            <v>109.68049931750244</v>
          </cell>
        </row>
        <row r="11">
          <cell r="J11">
            <v>110.28080211303011</v>
          </cell>
        </row>
      </sheetData>
      <sheetData sheetId="10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115.56368825889881</v>
          </cell>
        </row>
        <row r="19">
          <cell r="G19">
            <v>121.70500555533107</v>
          </cell>
        </row>
        <row r="20">
          <cell r="G20">
            <v>130.6126335680143</v>
          </cell>
        </row>
        <row r="21">
          <cell r="G21">
            <v>140.21754450548659</v>
          </cell>
        </row>
        <row r="22">
          <cell r="G22">
            <v>149.01843073582</v>
          </cell>
        </row>
        <row r="23">
          <cell r="G23">
            <v>158.85425970015118</v>
          </cell>
        </row>
        <row r="24">
          <cell r="G24">
            <v>166.24341725567433</v>
          </cell>
        </row>
        <row r="25">
          <cell r="G25">
            <v>170.45972113513417</v>
          </cell>
        </row>
      </sheetData>
      <sheetData sheetId="8"/>
      <sheetData sheetId="9">
        <row r="4">
          <cell r="J4">
            <v>61.244562641918392</v>
          </cell>
        </row>
        <row r="5">
          <cell r="J5">
            <v>65.475544531117038</v>
          </cell>
        </row>
        <row r="6">
          <cell r="J6">
            <v>71.804821040570303</v>
          </cell>
        </row>
        <row r="7">
          <cell r="J7">
            <v>77.906481273036277</v>
          </cell>
        </row>
        <row r="8">
          <cell r="J8">
            <v>84.146704044618076</v>
          </cell>
        </row>
        <row r="9">
          <cell r="J9">
            <v>91.153237160009482</v>
          </cell>
        </row>
        <row r="10">
          <cell r="J10">
            <v>96.93215299006539</v>
          </cell>
        </row>
        <row r="11">
          <cell r="J11">
            <v>101.4272248525815</v>
          </cell>
        </row>
      </sheetData>
      <sheetData sheetId="10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104.72019429655239</v>
          </cell>
        </row>
        <row r="19">
          <cell r="G19">
            <v>113.19686506860729</v>
          </cell>
        </row>
        <row r="20">
          <cell r="G20">
            <v>122.60383584606791</v>
          </cell>
        </row>
        <row r="21">
          <cell r="G21">
            <v>130.78430443335625</v>
          </cell>
        </row>
        <row r="22">
          <cell r="G22">
            <v>137.50765805227277</v>
          </cell>
        </row>
        <row r="23">
          <cell r="G23">
            <v>144.04090158510209</v>
          </cell>
        </row>
        <row r="24">
          <cell r="G24">
            <v>146.66203723759503</v>
          </cell>
        </row>
        <row r="25">
          <cell r="G25">
            <v>143.61237196260856</v>
          </cell>
        </row>
      </sheetData>
      <sheetData sheetId="8"/>
      <sheetData sheetId="9">
        <row r="4">
          <cell r="I4">
            <v>51.990737156321558</v>
          </cell>
        </row>
        <row r="5">
          <cell r="I5">
            <v>57.392592877084198</v>
          </cell>
        </row>
        <row r="6">
          <cell r="I6">
            <v>63.789230143140131</v>
          </cell>
        </row>
        <row r="7">
          <cell r="I7">
            <v>68.803175180684718</v>
          </cell>
        </row>
        <row r="8">
          <cell r="I8">
            <v>73.887202527349572</v>
          </cell>
        </row>
        <row r="9">
          <cell r="I9">
            <v>78.71751171627271</v>
          </cell>
        </row>
        <row r="10">
          <cell r="I10">
            <v>81.634344420448045</v>
          </cell>
        </row>
        <row r="11">
          <cell r="I11">
            <v>81.090196127368699</v>
          </cell>
        </row>
      </sheetData>
      <sheetData sheetId="10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243.01865464929853</v>
          </cell>
        </row>
        <row r="19">
          <cell r="G19">
            <v>240.96239709245646</v>
          </cell>
        </row>
        <row r="20">
          <cell r="G20">
            <v>246.80518158867278</v>
          </cell>
        </row>
        <row r="21">
          <cell r="G21">
            <v>256.60562713029071</v>
          </cell>
        </row>
        <row r="22">
          <cell r="G22">
            <v>268.75252699240599</v>
          </cell>
        </row>
        <row r="23">
          <cell r="G23">
            <v>282.8613418330832</v>
          </cell>
        </row>
        <row r="24">
          <cell r="G24">
            <v>295.61545548559928</v>
          </cell>
        </row>
        <row r="25">
          <cell r="G25">
            <v>303.51151875549266</v>
          </cell>
        </row>
      </sheetData>
      <sheetData sheetId="8"/>
      <sheetData sheetId="9">
        <row r="4">
          <cell r="G4">
            <v>118.5203966024052</v>
          </cell>
        </row>
        <row r="5">
          <cell r="G5">
            <v>119.60481614191255</v>
          </cell>
        </row>
        <row r="6">
          <cell r="G6">
            <v>125.10305952231306</v>
          </cell>
        </row>
        <row r="7">
          <cell r="G7">
            <v>131.6546292016902</v>
          </cell>
        </row>
        <row r="8">
          <cell r="G8">
            <v>140.17983092166924</v>
          </cell>
        </row>
        <row r="9">
          <cell r="G9">
            <v>149.42608218119727</v>
          </cell>
        </row>
        <row r="10">
          <cell r="G10">
            <v>158.77166851797668</v>
          </cell>
        </row>
        <row r="11">
          <cell r="G11">
            <v>165.1250320082203</v>
          </cell>
        </row>
      </sheetData>
      <sheetData sheetId="10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245.55152059757884</v>
          </cell>
        </row>
        <row r="19">
          <cell r="G19">
            <v>243.8595886363639</v>
          </cell>
        </row>
        <row r="20">
          <cell r="G20">
            <v>250.40071683570142</v>
          </cell>
        </row>
        <row r="21">
          <cell r="G21">
            <v>260.26221180395686</v>
          </cell>
        </row>
        <row r="22">
          <cell r="G22">
            <v>270.76712901609176</v>
          </cell>
        </row>
        <row r="23">
          <cell r="G23">
            <v>280.65954684796179</v>
          </cell>
        </row>
        <row r="24">
          <cell r="G24">
            <v>284.29957728427445</v>
          </cell>
        </row>
        <row r="25">
          <cell r="G25">
            <v>277.07095290416129</v>
          </cell>
        </row>
      </sheetData>
      <sheetData sheetId="8"/>
      <sheetData sheetId="9">
        <row r="4">
          <cell r="J4">
            <v>151.51513057203314</v>
          </cell>
        </row>
        <row r="5">
          <cell r="J5">
            <v>154.81638764307115</v>
          </cell>
        </row>
        <row r="6">
          <cell r="J6">
            <v>162.58071251650438</v>
          </cell>
        </row>
        <row r="7">
          <cell r="J7">
            <v>170.53289601018662</v>
          </cell>
        </row>
        <row r="8">
          <cell r="J8">
            <v>178.3050465125223</v>
          </cell>
        </row>
        <row r="9">
          <cell r="J9">
            <v>183.88974438317729</v>
          </cell>
        </row>
        <row r="10">
          <cell r="J10">
            <v>184.12480636536648</v>
          </cell>
        </row>
        <row r="11">
          <cell r="J11">
            <v>175.64877804609227</v>
          </cell>
        </row>
      </sheetData>
      <sheetData sheetId="10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210.29089982208967</v>
          </cell>
        </row>
        <row r="19">
          <cell r="G19">
            <v>208.39694712847134</v>
          </cell>
        </row>
        <row r="20">
          <cell r="G20">
            <v>211.39072112804132</v>
          </cell>
        </row>
        <row r="21">
          <cell r="G21">
            <v>215.017836997269</v>
          </cell>
        </row>
        <row r="22">
          <cell r="G22">
            <v>220.64239113993307</v>
          </cell>
        </row>
        <row r="23">
          <cell r="G23">
            <v>226.83663219896891</v>
          </cell>
        </row>
        <row r="24">
          <cell r="G24">
            <v>229.27694720849129</v>
          </cell>
        </row>
        <row r="25">
          <cell r="G25">
            <v>224.77438188670132</v>
          </cell>
        </row>
      </sheetData>
      <sheetData sheetId="8"/>
      <sheetData sheetId="9">
        <row r="4">
          <cell r="H4">
            <v>126.01560705870912</v>
          </cell>
        </row>
        <row r="5">
          <cell r="H5">
            <v>126.36409410797417</v>
          </cell>
        </row>
        <row r="6">
          <cell r="H6">
            <v>129.35526480898406</v>
          </cell>
        </row>
        <row r="7">
          <cell r="H7">
            <v>132.2731351123893</v>
          </cell>
        </row>
        <row r="8">
          <cell r="H8">
            <v>137.0216579705569</v>
          </cell>
        </row>
        <row r="9">
          <cell r="H9">
            <v>141.89347243920292</v>
          </cell>
        </row>
        <row r="10">
          <cell r="H10">
            <v>144.7620895745996</v>
          </cell>
        </row>
        <row r="11">
          <cell r="H11">
            <v>142.94587275629351</v>
          </cell>
        </row>
      </sheetData>
      <sheetData sheetId="10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189.74993241167562</v>
          </cell>
        </row>
        <row r="19">
          <cell r="G19">
            <v>187.7599721419426</v>
          </cell>
        </row>
        <row r="20">
          <cell r="G20">
            <v>190.17340270799525</v>
          </cell>
        </row>
        <row r="21">
          <cell r="G21">
            <v>194.4601796204775</v>
          </cell>
        </row>
        <row r="22">
          <cell r="G22">
            <v>199.74239255270606</v>
          </cell>
        </row>
        <row r="23">
          <cell r="G23">
            <v>205.25287542363429</v>
          </cell>
        </row>
        <row r="24">
          <cell r="G24">
            <v>207.68209070953807</v>
          </cell>
        </row>
        <row r="25">
          <cell r="G25">
            <v>206.81634771999424</v>
          </cell>
        </row>
      </sheetData>
      <sheetData sheetId="8"/>
      <sheetData sheetId="9">
        <row r="4">
          <cell r="J4">
            <v>105.99517371346144</v>
          </cell>
        </row>
        <row r="5">
          <cell r="J5">
            <v>106.11006356461235</v>
          </cell>
        </row>
        <row r="6">
          <cell r="J6">
            <v>109.12206383594481</v>
          </cell>
        </row>
        <row r="7">
          <cell r="J7">
            <v>112.40762550608315</v>
          </cell>
        </row>
        <row r="8">
          <cell r="J8">
            <v>116.98185921393994</v>
          </cell>
        </row>
        <row r="9">
          <cell r="J9">
            <v>121.16277766954363</v>
          </cell>
        </row>
        <row r="10">
          <cell r="J10">
            <v>124.0342990803542</v>
          </cell>
        </row>
        <row r="11">
          <cell r="J11">
            <v>124.94634626752405</v>
          </cell>
        </row>
      </sheetData>
      <sheetData sheetId="1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166.38374774077326</v>
          </cell>
        </row>
        <row r="19">
          <cell r="G19">
            <v>168.75409608646038</v>
          </cell>
        </row>
        <row r="20">
          <cell r="G20">
            <v>174.2768531678187</v>
          </cell>
        </row>
        <row r="21">
          <cell r="G21">
            <v>181.61928856170201</v>
          </cell>
        </row>
        <row r="22">
          <cell r="G22">
            <v>189.13064466300574</v>
          </cell>
        </row>
        <row r="23">
          <cell r="G23">
            <v>196.56838559494048</v>
          </cell>
        </row>
        <row r="24">
          <cell r="G24">
            <v>202.00292280397147</v>
          </cell>
        </row>
        <row r="25">
          <cell r="G25">
            <v>201.94890094140374</v>
          </cell>
        </row>
      </sheetData>
      <sheetData sheetId="8"/>
      <sheetData sheetId="9">
        <row r="4">
          <cell r="K4">
            <v>87.622899086898073</v>
          </cell>
        </row>
        <row r="5">
          <cell r="K5">
            <v>89.963406574492225</v>
          </cell>
        </row>
        <row r="6">
          <cell r="K6">
            <v>94.534890001793215</v>
          </cell>
        </row>
        <row r="7">
          <cell r="K7">
            <v>99.485250112130203</v>
          </cell>
        </row>
        <row r="8">
          <cell r="K8">
            <v>105.06954299795171</v>
          </cell>
        </row>
        <row r="9">
          <cell r="K9">
            <v>110.39541210398974</v>
          </cell>
        </row>
        <row r="10">
          <cell r="K10">
            <v>115.25475015515364</v>
          </cell>
        </row>
        <row r="11">
          <cell r="K11">
            <v>116.34069305333205</v>
          </cell>
        </row>
      </sheetData>
      <sheetData sheetId="10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154.98965222806478</v>
          </cell>
        </row>
        <row r="19">
          <cell r="G19">
            <v>155.146674369153</v>
          </cell>
        </row>
        <row r="20">
          <cell r="G20">
            <v>158.94281022205604</v>
          </cell>
        </row>
        <row r="21">
          <cell r="G21">
            <v>164.98581381283711</v>
          </cell>
        </row>
        <row r="22">
          <cell r="G22">
            <v>172.90832552616811</v>
          </cell>
        </row>
        <row r="23">
          <cell r="G23">
            <v>179.79998315243756</v>
          </cell>
        </row>
        <row r="24">
          <cell r="G24">
            <v>186.22304273601824</v>
          </cell>
        </row>
        <row r="25">
          <cell r="G25">
            <v>192.01777252797683</v>
          </cell>
        </row>
      </sheetData>
      <sheetData sheetId="8"/>
      <sheetData sheetId="9">
        <row r="4">
          <cell r="H4">
            <v>76.234033607225911</v>
          </cell>
        </row>
        <row r="5">
          <cell r="H5">
            <v>77.832804789391275</v>
          </cell>
        </row>
        <row r="6">
          <cell r="H6">
            <v>81.200581006979576</v>
          </cell>
        </row>
        <row r="7">
          <cell r="H7">
            <v>85.639921712676042</v>
          </cell>
        </row>
        <row r="8">
          <cell r="H8">
            <v>91.237579705909056</v>
          </cell>
        </row>
        <row r="9">
          <cell r="H9">
            <v>95.625680112687292</v>
          </cell>
        </row>
        <row r="10">
          <cell r="H10">
            <v>100.72496608794873</v>
          </cell>
        </row>
        <row r="11">
          <cell r="H11">
            <v>105.26891758847336</v>
          </cell>
        </row>
      </sheetData>
      <sheetData sheetId="1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188.09517220202673</v>
          </cell>
        </row>
        <row r="19">
          <cell r="G19">
            <v>194.79935069411206</v>
          </cell>
        </row>
        <row r="20">
          <cell r="G20">
            <v>203.47433919961557</v>
          </cell>
        </row>
        <row r="21">
          <cell r="G21">
            <v>211.21873252871154</v>
          </cell>
        </row>
        <row r="22">
          <cell r="G22">
            <v>216.66412245559681</v>
          </cell>
        </row>
        <row r="23">
          <cell r="G23">
            <v>224.45367803379253</v>
          </cell>
        </row>
        <row r="24">
          <cell r="G24">
            <v>231.48720367351626</v>
          </cell>
        </row>
        <row r="25">
          <cell r="G25">
            <v>234.80508764541881</v>
          </cell>
        </row>
      </sheetData>
      <sheetData sheetId="8"/>
      <sheetData sheetId="9">
        <row r="4">
          <cell r="O4">
            <v>121.19338572507472</v>
          </cell>
        </row>
        <row r="5">
          <cell r="O5">
            <v>126.37448496881446</v>
          </cell>
        </row>
        <row r="6">
          <cell r="O6">
            <v>133.48826620481398</v>
          </cell>
        </row>
        <row r="7">
          <cell r="O7">
            <v>139.14952095330705</v>
          </cell>
        </row>
        <row r="8">
          <cell r="O8">
            <v>143.8817628974908</v>
          </cell>
        </row>
        <row r="9">
          <cell r="O9">
            <v>149.96616784212307</v>
          </cell>
        </row>
        <row r="10">
          <cell r="O10">
            <v>155.94657288779126</v>
          </cell>
        </row>
        <row r="11">
          <cell r="O11">
            <v>158.9964305103949</v>
          </cell>
        </row>
      </sheetData>
      <sheetData sheetId="1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141.69320838282943</v>
          </cell>
        </row>
        <row r="19">
          <cell r="G19">
            <v>142.73559122364668</v>
          </cell>
        </row>
        <row r="20">
          <cell r="G20">
            <v>146.35855964787305</v>
          </cell>
        </row>
        <row r="21">
          <cell r="G21">
            <v>149.47457031529322</v>
          </cell>
        </row>
        <row r="22">
          <cell r="G22">
            <v>153.35083183901853</v>
          </cell>
        </row>
        <row r="23">
          <cell r="G23">
            <v>160.61743336230469</v>
          </cell>
        </row>
        <row r="24">
          <cell r="G24">
            <v>169.40751994939103</v>
          </cell>
        </row>
        <row r="25">
          <cell r="G25">
            <v>179.08518913099448</v>
          </cell>
        </row>
      </sheetData>
      <sheetData sheetId="8"/>
      <sheetData sheetId="9">
        <row r="4">
          <cell r="L4">
            <v>85.437709018401037</v>
          </cell>
        </row>
        <row r="5">
          <cell r="L5">
            <v>87.213784804736662</v>
          </cell>
        </row>
        <row r="6">
          <cell r="L6">
            <v>90.873316225881425</v>
          </cell>
        </row>
        <row r="7">
          <cell r="L7">
            <v>93.411749319540192</v>
          </cell>
        </row>
        <row r="8">
          <cell r="L8">
            <v>97.126890186992881</v>
          </cell>
        </row>
        <row r="9">
          <cell r="L9">
            <v>102.72562437460736</v>
          </cell>
        </row>
        <row r="10">
          <cell r="L10">
            <v>109.79022417371198</v>
          </cell>
        </row>
        <row r="11">
          <cell r="L11">
            <v>117.12777784995458</v>
          </cell>
        </row>
      </sheetData>
      <sheetData sheetId="1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110.42671287976931</v>
          </cell>
        </row>
        <row r="19">
          <cell r="G19">
            <v>111.33362640819446</v>
          </cell>
        </row>
        <row r="20">
          <cell r="G20">
            <v>114.58177940368999</v>
          </cell>
        </row>
        <row r="21">
          <cell r="G21">
            <v>119.02399250299705</v>
          </cell>
        </row>
        <row r="22">
          <cell r="G22">
            <v>125.7326880868371</v>
          </cell>
        </row>
        <row r="23">
          <cell r="G23">
            <v>135.97462087873834</v>
          </cell>
        </row>
        <row r="24">
          <cell r="G24">
            <v>149.01996077590474</v>
          </cell>
        </row>
        <row r="25">
          <cell r="G25">
            <v>164.92392715621645</v>
          </cell>
        </row>
      </sheetData>
      <sheetData sheetId="8"/>
      <sheetData sheetId="9">
        <row r="4">
          <cell r="I4">
            <v>62.431790614016421</v>
          </cell>
        </row>
        <row r="5">
          <cell r="I5">
            <v>64.102165105356875</v>
          </cell>
        </row>
        <row r="6">
          <cell r="I6">
            <v>67.327204338234111</v>
          </cell>
        </row>
        <row r="7">
          <cell r="I7">
            <v>70.673670463175085</v>
          </cell>
        </row>
        <row r="8">
          <cell r="I8">
            <v>75.981041448622889</v>
          </cell>
        </row>
        <row r="9">
          <cell r="I9">
            <v>83.114947194743564</v>
          </cell>
        </row>
        <row r="10">
          <cell r="I10">
            <v>92.62106115859504</v>
          </cell>
        </row>
        <row r="11">
          <cell r="I11">
            <v>103.67841942434325</v>
          </cell>
        </row>
      </sheetData>
      <sheetData sheetId="10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91.087412083859292</v>
          </cell>
        </row>
        <row r="19">
          <cell r="G19">
            <v>89.128028184181744</v>
          </cell>
        </row>
        <row r="20">
          <cell r="G20">
            <v>89.257070328798605</v>
          </cell>
        </row>
        <row r="21">
          <cell r="G21">
            <v>91.043120315935184</v>
          </cell>
        </row>
        <row r="22">
          <cell r="G22">
            <v>96.537065465469709</v>
          </cell>
        </row>
        <row r="23">
          <cell r="G23">
            <v>105.86240877731237</v>
          </cell>
        </row>
        <row r="24">
          <cell r="G24">
            <v>120.10170512756486</v>
          </cell>
        </row>
        <row r="25">
          <cell r="G25">
            <v>138.34130598373329</v>
          </cell>
        </row>
      </sheetData>
      <sheetData sheetId="8"/>
      <sheetData sheetId="9">
        <row r="4">
          <cell r="G4">
            <v>47.235518050161964</v>
          </cell>
        </row>
        <row r="5">
          <cell r="G5">
            <v>47.655283277738022</v>
          </cell>
        </row>
        <row r="6">
          <cell r="G6">
            <v>48.916414533858315</v>
          </cell>
        </row>
        <row r="7">
          <cell r="G7">
            <v>50.761781158766695</v>
          </cell>
        </row>
        <row r="8">
          <cell r="G8">
            <v>55.144929883596568</v>
          </cell>
        </row>
        <row r="9">
          <cell r="G9">
            <v>61.418774743695899</v>
          </cell>
        </row>
        <row r="10">
          <cell r="G10">
            <v>71.617345317593575</v>
          </cell>
        </row>
        <row r="11">
          <cell r="G11">
            <v>83.661425856533043</v>
          </cell>
        </row>
      </sheetData>
      <sheetData sheetId="10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144.53356258025582</v>
          </cell>
        </row>
        <row r="19">
          <cell r="G19">
            <v>142.39648191121915</v>
          </cell>
        </row>
        <row r="20">
          <cell r="G20">
            <v>145.29676834217361</v>
          </cell>
        </row>
        <row r="21">
          <cell r="G21">
            <v>151.94558717683066</v>
          </cell>
        </row>
        <row r="22">
          <cell r="G22">
            <v>161.54890281185601</v>
          </cell>
        </row>
        <row r="23">
          <cell r="G23">
            <v>175.78089605691699</v>
          </cell>
        </row>
        <row r="24">
          <cell r="G24">
            <v>193.98757863195107</v>
          </cell>
        </row>
        <row r="25">
          <cell r="G25">
            <v>214.08288641134149</v>
          </cell>
        </row>
      </sheetData>
      <sheetData sheetId="8"/>
      <sheetData sheetId="9">
        <row r="4">
          <cell r="H4">
            <v>70.918310829176463</v>
          </cell>
        </row>
        <row r="5">
          <cell r="H5">
            <v>71.421359226013621</v>
          </cell>
        </row>
        <row r="6">
          <cell r="H6">
            <v>74.907522489022739</v>
          </cell>
        </row>
        <row r="7">
          <cell r="H7">
            <v>79.492055035527443</v>
          </cell>
        </row>
        <row r="8">
          <cell r="H8">
            <v>86.176886720489534</v>
          </cell>
        </row>
        <row r="9">
          <cell r="H9">
            <v>95.28973617710389</v>
          </cell>
        </row>
        <row r="10">
          <cell r="H10">
            <v>107.48889895600524</v>
          </cell>
        </row>
        <row r="11">
          <cell r="H11">
            <v>120.64561496970575</v>
          </cell>
        </row>
      </sheetData>
      <sheetData sheetId="10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92.445450278099031</v>
          </cell>
        </row>
        <row r="19">
          <cell r="G19">
            <v>94.604766523727434</v>
          </cell>
        </row>
        <row r="20">
          <cell r="G20">
            <v>98.803796634975058</v>
          </cell>
        </row>
        <row r="21">
          <cell r="G21">
            <v>103.61679994733838</v>
          </cell>
        </row>
        <row r="22">
          <cell r="G22">
            <v>109.6463933628808</v>
          </cell>
        </row>
        <row r="23">
          <cell r="G23">
            <v>118.56353994215391</v>
          </cell>
        </row>
        <row r="24">
          <cell r="G24">
            <v>129.03536960768236</v>
          </cell>
        </row>
        <row r="25">
          <cell r="G25">
            <v>140.90179259849833</v>
          </cell>
        </row>
      </sheetData>
      <sheetData sheetId="8"/>
      <sheetData sheetId="9">
        <row r="4">
          <cell r="M4">
            <v>45.30910415017361</v>
          </cell>
        </row>
        <row r="5">
          <cell r="M5">
            <v>47.385095837407924</v>
          </cell>
        </row>
        <row r="6">
          <cell r="M6">
            <v>50.778463581199148</v>
          </cell>
        </row>
        <row r="7">
          <cell r="M7">
            <v>53.837796080867548</v>
          </cell>
        </row>
        <row r="8">
          <cell r="M8">
            <v>58.159194259679708</v>
          </cell>
        </row>
        <row r="9">
          <cell r="M9">
            <v>63.858079306483511</v>
          </cell>
        </row>
        <row r="10">
          <cell r="M10">
            <v>70.85916172644994</v>
          </cell>
        </row>
        <row r="11">
          <cell r="M11">
            <v>78.593984938119391</v>
          </cell>
        </row>
      </sheetData>
      <sheetData sheetId="10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397.63636266807777</v>
          </cell>
        </row>
        <row r="19">
          <cell r="G19">
            <v>360.51632369301825</v>
          </cell>
        </row>
        <row r="20">
          <cell r="G20">
            <v>343.87223251298354</v>
          </cell>
        </row>
        <row r="21">
          <cell r="G21">
            <v>337.81263525621904</v>
          </cell>
        </row>
        <row r="22">
          <cell r="G22">
            <v>347.0268358943859</v>
          </cell>
        </row>
        <row r="23">
          <cell r="G23">
            <v>370.49744436372674</v>
          </cell>
        </row>
        <row r="24">
          <cell r="G24">
            <v>393.10244584373311</v>
          </cell>
        </row>
        <row r="25">
          <cell r="G25">
            <v>437.6591056607574</v>
          </cell>
        </row>
      </sheetData>
      <sheetData sheetId="8"/>
      <sheetData sheetId="9">
        <row r="4">
          <cell r="K4">
            <v>229.81557416372087</v>
          </cell>
        </row>
        <row r="5">
          <cell r="K5">
            <v>225.02170909399274</v>
          </cell>
        </row>
        <row r="6">
          <cell r="K6">
            <v>229.25892457915165</v>
          </cell>
        </row>
        <row r="7">
          <cell r="K7">
            <v>232.85740299892402</v>
          </cell>
        </row>
        <row r="8">
          <cell r="K8">
            <v>245.9977156911082</v>
          </cell>
        </row>
        <row r="9">
          <cell r="K9">
            <v>264.82051479685367</v>
          </cell>
        </row>
        <row r="10">
          <cell r="K10">
            <v>279.56926585531511</v>
          </cell>
        </row>
        <row r="11">
          <cell r="K11">
            <v>309.92355126821695</v>
          </cell>
        </row>
      </sheetData>
      <sheetData sheetId="1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242.20414137476737</v>
          </cell>
        </row>
        <row r="19">
          <cell r="G19">
            <v>238.37936641324021</v>
          </cell>
        </row>
        <row r="20">
          <cell r="G20">
            <v>244.26302772834504</v>
          </cell>
        </row>
        <row r="21">
          <cell r="G21">
            <v>255.25914344242517</v>
          </cell>
        </row>
        <row r="22">
          <cell r="G22">
            <v>270.24913710966541</v>
          </cell>
        </row>
        <row r="23">
          <cell r="G23">
            <v>324.32306691383695</v>
          </cell>
        </row>
        <row r="24">
          <cell r="G24">
            <v>343.20514108807669</v>
          </cell>
        </row>
        <row r="25">
          <cell r="G25">
            <v>315.93855999528819</v>
          </cell>
        </row>
      </sheetData>
      <sheetData sheetId="8"/>
      <sheetData sheetId="9">
        <row r="4">
          <cell r="G4">
            <v>147.51652305509293</v>
          </cell>
        </row>
        <row r="5">
          <cell r="G5">
            <v>147.45197724781005</v>
          </cell>
        </row>
        <row r="6">
          <cell r="G6">
            <v>154.21385285644183</v>
          </cell>
        </row>
        <row r="7">
          <cell r="G7">
            <v>162.84007780337743</v>
          </cell>
        </row>
        <row r="8">
          <cell r="G8">
            <v>174.24637910280288</v>
          </cell>
        </row>
        <row r="9">
          <cell r="G9">
            <v>222.99371209794782</v>
          </cell>
        </row>
        <row r="10">
          <cell r="G10">
            <v>231.23610283189981</v>
          </cell>
        </row>
        <row r="11">
          <cell r="G11">
            <v>210.68307079424883</v>
          </cell>
        </row>
      </sheetData>
      <sheetData sheetId="10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187.53782242284274</v>
          </cell>
        </row>
        <row r="19">
          <cell r="G19">
            <v>194.48725289704336</v>
          </cell>
        </row>
        <row r="20">
          <cell r="G20">
            <v>207.63452000031035</v>
          </cell>
        </row>
        <row r="21">
          <cell r="G21">
            <v>223.3560466334504</v>
          </cell>
        </row>
        <row r="22">
          <cell r="G22">
            <v>239.57281983005586</v>
          </cell>
        </row>
        <row r="23">
          <cell r="G23">
            <v>259.2137889869955</v>
          </cell>
        </row>
        <row r="24">
          <cell r="G24">
            <v>274.53643982005036</v>
          </cell>
        </row>
        <row r="25">
          <cell r="G25">
            <v>279.42684137400869</v>
          </cell>
        </row>
      </sheetData>
      <sheetData sheetId="8"/>
      <sheetData sheetId="9">
        <row r="4">
          <cell r="H4">
            <v>114.4024158343649</v>
          </cell>
        </row>
        <row r="5">
          <cell r="H5">
            <v>119.56183424622657</v>
          </cell>
        </row>
        <row r="6">
          <cell r="H6">
            <v>129.18203044876205</v>
          </cell>
        </row>
        <row r="7">
          <cell r="H7">
            <v>139.48194954976839</v>
          </cell>
        </row>
        <row r="8">
          <cell r="H8">
            <v>150.93673483843929</v>
          </cell>
        </row>
        <row r="9">
          <cell r="H9">
            <v>164.48000764798275</v>
          </cell>
        </row>
        <row r="10">
          <cell r="H10">
            <v>175.62514292354885</v>
          </cell>
        </row>
        <row r="11">
          <cell r="H11">
            <v>179.75867191395119</v>
          </cell>
        </row>
      </sheetData>
      <sheetData sheetId="10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ronologija"/>
      <sheetName val="Eksp.200406"/>
      <sheetName val="Eksp.200406 (1)"/>
      <sheetName val="Eksp.200406 (2)"/>
      <sheetName val="Eksp.200406 (3)"/>
      <sheetName val="Eksp.200406 (4)"/>
      <sheetName val="Eksp.200406 (5)"/>
      <sheetName val="Eksp.200406 (6)"/>
      <sheetName val="Eksp.200406 (7)"/>
      <sheetName val="Eksp.200406 (8)"/>
      <sheetName val="Eksp.200406 (9)"/>
      <sheetName val="Eksp.200406 (10)"/>
      <sheetName val="Eksp.200406 (11)"/>
      <sheetName val="Eksp.200406 (12)"/>
      <sheetName val="Eksp.200406 (13)"/>
    </sheetNames>
    <sheetDataSet>
      <sheetData sheetId="0">
        <row r="32">
          <cell r="E32">
            <v>135</v>
          </cell>
          <cell r="F32">
            <v>113</v>
          </cell>
          <cell r="G32">
            <v>0</v>
          </cell>
          <cell r="H32">
            <v>26.5</v>
          </cell>
          <cell r="I32">
            <v>0</v>
          </cell>
          <cell r="J32">
            <v>8.5</v>
          </cell>
          <cell r="K32">
            <v>0</v>
          </cell>
          <cell r="L32">
            <v>554</v>
          </cell>
        </row>
        <row r="33">
          <cell r="F33">
            <v>248</v>
          </cell>
          <cell r="H33">
            <v>26.5</v>
          </cell>
          <cell r="J33">
            <v>8.5</v>
          </cell>
          <cell r="L33">
            <v>554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5">
          <cell r="F5">
            <v>1</v>
          </cell>
          <cell r="T5">
            <v>77.201732741488456</v>
          </cell>
        </row>
        <row r="6">
          <cell r="F6">
            <v>2</v>
          </cell>
          <cell r="T6">
            <v>65.944537646656471</v>
          </cell>
        </row>
        <row r="7">
          <cell r="F7">
            <v>3</v>
          </cell>
          <cell r="T7">
            <v>49.626110499116805</v>
          </cell>
        </row>
        <row r="8">
          <cell r="F8">
            <v>4</v>
          </cell>
          <cell r="T8">
            <v>39.362720503455364</v>
          </cell>
        </row>
        <row r="9">
          <cell r="F9">
            <v>5</v>
          </cell>
          <cell r="T9">
            <v>32.22099197183293</v>
          </cell>
        </row>
        <row r="10">
          <cell r="F10">
            <v>6</v>
          </cell>
          <cell r="T10">
            <v>25.304966787768212</v>
          </cell>
        </row>
        <row r="11">
          <cell r="F11">
            <v>7</v>
          </cell>
          <cell r="T11">
            <v>20.26327736708399</v>
          </cell>
        </row>
        <row r="12">
          <cell r="F12">
            <v>8</v>
          </cell>
          <cell r="T12">
            <v>15.289930380278797</v>
          </cell>
        </row>
        <row r="13">
          <cell r="F13">
            <v>9</v>
          </cell>
          <cell r="T13">
            <v>9.1899954925026037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ronologija"/>
      <sheetName val="Eksp.200409"/>
      <sheetName val="Eksp.200409 (1)"/>
      <sheetName val="Eksp.200409 (2)"/>
      <sheetName val="Eksp.200409 (3)"/>
      <sheetName val="Eksp.200409 (4)"/>
      <sheetName val="Eksp.200409 (5)"/>
      <sheetName val="Eksp.200409 (6)"/>
      <sheetName val="Eksp.200409 (7)"/>
      <sheetName val="Eksp.200409 (8)"/>
      <sheetName val="Eksp.200409 (9)"/>
      <sheetName val="Eksp.200409 (10)"/>
      <sheetName val="Eksp.200409 (11)"/>
      <sheetName val="Eksp.200409 (12)"/>
      <sheetName val="Eksp.200409 (13)"/>
      <sheetName val="Eksp.200409 (14)"/>
      <sheetName val="Eksp.200409 (15)"/>
      <sheetName val="Sheet1"/>
    </sheetNames>
    <sheetDataSet>
      <sheetData sheetId="0">
        <row r="32">
          <cell r="C32">
            <v>199.5</v>
          </cell>
          <cell r="D32">
            <v>130.19999999999999</v>
          </cell>
          <cell r="E32">
            <v>0</v>
          </cell>
          <cell r="F32">
            <v>0</v>
          </cell>
          <cell r="G32">
            <v>0</v>
          </cell>
          <cell r="H32">
            <v>119.8</v>
          </cell>
          <cell r="I32">
            <v>24.6</v>
          </cell>
          <cell r="J32">
            <v>772.7</v>
          </cell>
        </row>
        <row r="33">
          <cell r="D33">
            <v>329.7</v>
          </cell>
          <cell r="F33">
            <v>0</v>
          </cell>
          <cell r="H33">
            <v>119.8</v>
          </cell>
          <cell r="J33">
            <v>797.30000000000007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Termoporos"/>
      <sheetName val="Keithley Matavimai"/>
      <sheetName val="Dūmų debito nustatymas"/>
      <sheetName val="Silumos kiekio nustat."/>
      <sheetName val="Alfa"/>
    </sheetNames>
    <sheetDataSet>
      <sheetData sheetId="0"/>
      <sheetData sheetId="1"/>
      <sheetData sheetId="2">
        <row r="5">
          <cell r="S5">
            <v>1</v>
          </cell>
        </row>
        <row r="6">
          <cell r="S6">
            <v>2</v>
          </cell>
          <cell r="V6">
            <v>65.853533738175486</v>
          </cell>
        </row>
        <row r="7">
          <cell r="S7">
            <v>3</v>
          </cell>
          <cell r="V7">
            <v>56.266062900856873</v>
          </cell>
        </row>
        <row r="8">
          <cell r="S8">
            <v>4</v>
          </cell>
          <cell r="V8">
            <v>43.75198425416594</v>
          </cell>
        </row>
        <row r="9">
          <cell r="S9">
            <v>5</v>
          </cell>
          <cell r="V9">
            <v>38.230932611973415</v>
          </cell>
        </row>
        <row r="10">
          <cell r="S10">
            <v>6</v>
          </cell>
          <cell r="V10">
            <v>31.072344282598433</v>
          </cell>
        </row>
        <row r="11">
          <cell r="S11">
            <v>7</v>
          </cell>
          <cell r="V11">
            <v>25.816406728256137</v>
          </cell>
        </row>
        <row r="12">
          <cell r="S12">
            <v>8</v>
          </cell>
          <cell r="V12">
            <v>21.544500681209108</v>
          </cell>
        </row>
        <row r="13">
          <cell r="V13">
            <v>17.86527328714919</v>
          </cell>
        </row>
      </sheetData>
      <sheetData sheetId="3"/>
      <sheetData sheetId="4"/>
      <sheetData sheetId="5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ronologija"/>
      <sheetName val="Eksp.200415"/>
      <sheetName val="Eksp.200415 (1)"/>
      <sheetName val="Eksp.200415 (2)"/>
      <sheetName val="Eksp.200415 (3)"/>
      <sheetName val="Eksp.200415 (4)"/>
      <sheetName val="Eksp.200415 (5)"/>
      <sheetName val="Eksp.200415 (6)"/>
      <sheetName val="Eksp.200415 (7)"/>
      <sheetName val="Eksp.200415 (8)"/>
      <sheetName val="Eksp.200415 (9)"/>
      <sheetName val="Eksp.200415 (10)"/>
      <sheetName val="Eksp.200415 (11)"/>
      <sheetName val="Eksp.200415 (12)"/>
      <sheetName val="Eksp.200415 (13)"/>
      <sheetName val="Eksp.200415 (14)"/>
      <sheetName val="Eksp.200415 (15)"/>
      <sheetName val="Eksp.200415 (16)"/>
    </sheetNames>
    <sheetDataSet>
      <sheetData sheetId="0">
        <row r="32">
          <cell r="D32">
            <v>19.3</v>
          </cell>
          <cell r="E32">
            <v>233</v>
          </cell>
          <cell r="F32">
            <v>5</v>
          </cell>
          <cell r="G32">
            <v>276</v>
          </cell>
          <cell r="H32">
            <v>0</v>
          </cell>
          <cell r="I32">
            <v>0</v>
          </cell>
          <cell r="J32">
            <v>0</v>
          </cell>
          <cell r="K32">
            <v>728</v>
          </cell>
        </row>
        <row r="33">
          <cell r="E33">
            <v>252.3</v>
          </cell>
          <cell r="G33">
            <v>281</v>
          </cell>
          <cell r="I33">
            <v>0</v>
          </cell>
          <cell r="K33">
            <v>728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Alfa"/>
    </sheetNames>
    <sheetDataSet>
      <sheetData sheetId="0"/>
      <sheetData sheetId="1"/>
      <sheetData sheetId="2"/>
      <sheetData sheetId="3">
        <row r="5">
          <cell r="S5">
            <v>1</v>
          </cell>
        </row>
        <row r="6">
          <cell r="S6">
            <v>2</v>
          </cell>
          <cell r="V6">
            <v>73.764450834106384</v>
          </cell>
        </row>
        <row r="7">
          <cell r="S7">
            <v>3</v>
          </cell>
          <cell r="V7">
            <v>65.032283490142362</v>
          </cell>
        </row>
        <row r="8">
          <cell r="S8">
            <v>4</v>
          </cell>
          <cell r="V8">
            <v>52.094397415862964</v>
          </cell>
        </row>
        <row r="9">
          <cell r="S9">
            <v>5</v>
          </cell>
          <cell r="V9">
            <v>48.017438173986648</v>
          </cell>
        </row>
        <row r="10">
          <cell r="S10">
            <v>6</v>
          </cell>
          <cell r="V10">
            <v>39.740800320475344</v>
          </cell>
        </row>
        <row r="11">
          <cell r="S11">
            <v>7</v>
          </cell>
          <cell r="V11">
            <v>33.923414687700159</v>
          </cell>
        </row>
        <row r="12">
          <cell r="S12">
            <v>8</v>
          </cell>
          <cell r="V12">
            <v>29.222359205093554</v>
          </cell>
        </row>
        <row r="13">
          <cell r="S13">
            <v>9</v>
          </cell>
          <cell r="V13">
            <v>24.684157044256889</v>
          </cell>
        </row>
        <row r="14">
          <cell r="V14">
            <v>0</v>
          </cell>
        </row>
      </sheetData>
      <sheetData sheetId="4"/>
      <sheetData sheetId="5"/>
      <sheetData sheetId="6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Alfa"/>
      <sheetName val="Sheet1"/>
    </sheetNames>
    <sheetDataSet>
      <sheetData sheetId="0">
        <row r="29">
          <cell r="D29">
            <v>1</v>
          </cell>
          <cell r="E29">
            <v>2</v>
          </cell>
          <cell r="F29">
            <v>3</v>
          </cell>
          <cell r="G29">
            <v>4</v>
          </cell>
          <cell r="H29">
            <v>5</v>
          </cell>
          <cell r="I29">
            <v>6</v>
          </cell>
          <cell r="J29">
            <v>7</v>
          </cell>
          <cell r="K29">
            <v>8</v>
          </cell>
        </row>
        <row r="31">
          <cell r="D31">
            <v>81</v>
          </cell>
          <cell r="E31">
            <v>65</v>
          </cell>
          <cell r="F31">
            <v>29</v>
          </cell>
          <cell r="G31">
            <v>21</v>
          </cell>
          <cell r="H31">
            <v>29</v>
          </cell>
          <cell r="I31">
            <v>764</v>
          </cell>
          <cell r="J31">
            <v>15</v>
          </cell>
          <cell r="K31">
            <v>481</v>
          </cell>
        </row>
        <row r="32">
          <cell r="E32">
            <v>146</v>
          </cell>
          <cell r="G32">
            <v>50</v>
          </cell>
          <cell r="I32">
            <v>793</v>
          </cell>
          <cell r="K32">
            <v>496</v>
          </cell>
        </row>
      </sheetData>
      <sheetData sheetId="1"/>
      <sheetData sheetId="2"/>
      <sheetData sheetId="3">
        <row r="5">
          <cell r="S5">
            <v>1</v>
          </cell>
        </row>
        <row r="6">
          <cell r="S6">
            <v>2</v>
          </cell>
          <cell r="V6">
            <v>82.028315686619038</v>
          </cell>
        </row>
        <row r="7">
          <cell r="S7">
            <v>3</v>
          </cell>
          <cell r="V7">
            <v>71.744159400466117</v>
          </cell>
        </row>
        <row r="8">
          <cell r="S8">
            <v>4</v>
          </cell>
          <cell r="V8">
            <v>61.318507192890642</v>
          </cell>
        </row>
        <row r="9">
          <cell r="S9">
            <v>5</v>
          </cell>
          <cell r="V9">
            <v>57.484958665275293</v>
          </cell>
        </row>
        <row r="10">
          <cell r="S10">
            <v>6</v>
          </cell>
          <cell r="V10">
            <v>49.432901791101919</v>
          </cell>
        </row>
        <row r="11">
          <cell r="S11">
            <v>7</v>
          </cell>
          <cell r="V11">
            <v>43.068196832234236</v>
          </cell>
        </row>
        <row r="12">
          <cell r="S12">
            <v>8</v>
          </cell>
          <cell r="V12">
            <v>38.762089601949214</v>
          </cell>
        </row>
        <row r="13">
          <cell r="S13">
            <v>9</v>
          </cell>
          <cell r="V13">
            <v>33.37256270697759</v>
          </cell>
        </row>
        <row r="14">
          <cell r="V14">
            <v>0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</sheetNames>
    <sheetDataSet>
      <sheetData sheetId="0"/>
      <sheetData sheetId="1">
        <row r="38">
          <cell r="D38">
            <v>1</v>
          </cell>
          <cell r="E38">
            <v>2</v>
          </cell>
          <cell r="F38">
            <v>3</v>
          </cell>
          <cell r="G38">
            <v>4</v>
          </cell>
          <cell r="H38">
            <v>5</v>
          </cell>
          <cell r="I38">
            <v>6</v>
          </cell>
          <cell r="J38">
            <v>7</v>
          </cell>
          <cell r="K38">
            <v>8</v>
          </cell>
        </row>
        <row r="39">
          <cell r="D39">
            <v>12</v>
          </cell>
          <cell r="E39">
            <v>13</v>
          </cell>
          <cell r="F39">
            <v>13</v>
          </cell>
          <cell r="G39">
            <v>16</v>
          </cell>
          <cell r="H39">
            <v>9</v>
          </cell>
          <cell r="I39">
            <v>16</v>
          </cell>
          <cell r="J39">
            <v>13</v>
          </cell>
          <cell r="K39">
            <v>342</v>
          </cell>
        </row>
        <row r="40">
          <cell r="E40">
            <v>25</v>
          </cell>
          <cell r="G40">
            <v>29</v>
          </cell>
          <cell r="I40">
            <v>25</v>
          </cell>
          <cell r="K40">
            <v>355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80.499116437146625</v>
          </cell>
        </row>
        <row r="7">
          <cell r="U7">
            <v>3</v>
          </cell>
          <cell r="X7">
            <v>69.428492384183215</v>
          </cell>
        </row>
        <row r="8">
          <cell r="U8">
            <v>4</v>
          </cell>
          <cell r="X8">
            <v>59.920445527338053</v>
          </cell>
        </row>
        <row r="9">
          <cell r="U9">
            <v>5</v>
          </cell>
          <cell r="X9">
            <v>54.191906945817799</v>
          </cell>
        </row>
        <row r="10">
          <cell r="U10">
            <v>6</v>
          </cell>
          <cell r="X10">
            <v>47.529611272292307</v>
          </cell>
        </row>
        <row r="11">
          <cell r="U11">
            <v>7</v>
          </cell>
          <cell r="X11">
            <v>40.2169217565026</v>
          </cell>
        </row>
        <row r="12">
          <cell r="U12">
            <v>8</v>
          </cell>
          <cell r="X12">
            <v>36.244192739249705</v>
          </cell>
        </row>
        <row r="13">
          <cell r="X13">
            <v>30.624145220958063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</sheetNames>
    <sheetDataSet>
      <sheetData sheetId="0"/>
      <sheetData sheetId="1">
        <row r="37">
          <cell r="D37">
            <v>1</v>
          </cell>
          <cell r="E37">
            <v>2</v>
          </cell>
          <cell r="F37">
            <v>3</v>
          </cell>
          <cell r="G37">
            <v>4</v>
          </cell>
          <cell r="H37">
            <v>5</v>
          </cell>
          <cell r="I37">
            <v>6</v>
          </cell>
          <cell r="J37">
            <v>7</v>
          </cell>
          <cell r="K37">
            <v>8</v>
          </cell>
        </row>
        <row r="38">
          <cell r="D38">
            <v>14</v>
          </cell>
          <cell r="E38">
            <v>14</v>
          </cell>
          <cell r="F38">
            <v>21</v>
          </cell>
          <cell r="G38">
            <v>32</v>
          </cell>
          <cell r="H38">
            <v>41</v>
          </cell>
          <cell r="I38">
            <v>111</v>
          </cell>
          <cell r="J38">
            <v>14</v>
          </cell>
          <cell r="K38">
            <v>176</v>
          </cell>
        </row>
        <row r="39">
          <cell r="E39">
            <v>28</v>
          </cell>
          <cell r="G39">
            <v>53</v>
          </cell>
          <cell r="I39">
            <v>152</v>
          </cell>
          <cell r="K39">
            <v>190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61.678013127370193</v>
          </cell>
        </row>
        <row r="7">
          <cell r="U7">
            <v>3</v>
          </cell>
          <cell r="X7">
            <v>53.776395839348538</v>
          </cell>
        </row>
        <row r="8">
          <cell r="U8">
            <v>4</v>
          </cell>
          <cell r="X8">
            <v>46.068146184906375</v>
          </cell>
        </row>
        <row r="9">
          <cell r="U9">
            <v>5</v>
          </cell>
          <cell r="X9">
            <v>41.62335190397885</v>
          </cell>
        </row>
        <row r="10">
          <cell r="U10">
            <v>6</v>
          </cell>
          <cell r="X10">
            <v>36.585259504426233</v>
          </cell>
        </row>
        <row r="11">
          <cell r="U11">
            <v>7</v>
          </cell>
          <cell r="X11">
            <v>31.506530268272734</v>
          </cell>
        </row>
        <row r="12">
          <cell r="U12">
            <v>8</v>
          </cell>
          <cell r="X12">
            <v>28.200704680062195</v>
          </cell>
        </row>
        <row r="13">
          <cell r="X13">
            <v>23.905686682466083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</sheetNames>
    <sheetDataSet>
      <sheetData sheetId="0"/>
      <sheetData sheetId="1">
        <row r="40">
          <cell r="D40">
            <v>1</v>
          </cell>
          <cell r="E40">
            <v>2</v>
          </cell>
          <cell r="F40">
            <v>3</v>
          </cell>
          <cell r="G40">
            <v>4</v>
          </cell>
          <cell r="H40">
            <v>5</v>
          </cell>
          <cell r="I40">
            <v>6</v>
          </cell>
          <cell r="J40">
            <v>7</v>
          </cell>
          <cell r="K40">
            <v>8</v>
          </cell>
        </row>
        <row r="41">
          <cell r="D41">
            <v>15</v>
          </cell>
          <cell r="E41">
            <v>16</v>
          </cell>
          <cell r="F41">
            <v>17</v>
          </cell>
          <cell r="G41">
            <v>68</v>
          </cell>
          <cell r="H41">
            <v>4</v>
          </cell>
          <cell r="I41">
            <v>21</v>
          </cell>
          <cell r="J41">
            <v>112</v>
          </cell>
          <cell r="K41">
            <v>292</v>
          </cell>
        </row>
        <row r="42">
          <cell r="E42">
            <v>31</v>
          </cell>
          <cell r="G42">
            <v>85</v>
          </cell>
          <cell r="I42">
            <v>25</v>
          </cell>
          <cell r="K42">
            <v>404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80.037779763342769</v>
          </cell>
        </row>
        <row r="7">
          <cell r="U7">
            <v>3</v>
          </cell>
          <cell r="X7">
            <v>72.310464435938627</v>
          </cell>
        </row>
        <row r="8">
          <cell r="U8">
            <v>4</v>
          </cell>
          <cell r="X8">
            <v>60.062441000552354</v>
          </cell>
        </row>
        <row r="9">
          <cell r="U9">
            <v>5</v>
          </cell>
          <cell r="X9">
            <v>55.68609999344266</v>
          </cell>
        </row>
        <row r="10">
          <cell r="U10">
            <v>6</v>
          </cell>
          <cell r="X10">
            <v>47.715652973476814</v>
          </cell>
        </row>
        <row r="11">
          <cell r="U11">
            <v>7</v>
          </cell>
          <cell r="X11">
            <v>41.049431443558682</v>
          </cell>
        </row>
        <row r="12">
          <cell r="U12">
            <v>8</v>
          </cell>
          <cell r="X12">
            <v>36.525314054551338</v>
          </cell>
        </row>
        <row r="13">
          <cell r="X13">
            <v>31.421099822667841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2"/>
      <sheetName val="Sheet1"/>
    </sheetNames>
    <sheetDataSet>
      <sheetData sheetId="0"/>
      <sheetData sheetId="1">
        <row r="55">
          <cell r="D55">
            <v>1</v>
          </cell>
          <cell r="E55">
            <v>2</v>
          </cell>
          <cell r="F55">
            <v>3</v>
          </cell>
          <cell r="G55">
            <v>4</v>
          </cell>
          <cell r="H55">
            <v>5</v>
          </cell>
          <cell r="I55">
            <v>6</v>
          </cell>
          <cell r="J55">
            <v>7</v>
          </cell>
          <cell r="K55">
            <v>8</v>
          </cell>
        </row>
        <row r="56">
          <cell r="D56">
            <v>17</v>
          </cell>
          <cell r="E56">
            <v>213</v>
          </cell>
          <cell r="F56">
            <v>30</v>
          </cell>
          <cell r="G56">
            <v>34</v>
          </cell>
          <cell r="H56">
            <v>31</v>
          </cell>
          <cell r="I56">
            <v>129</v>
          </cell>
          <cell r="J56">
            <v>108</v>
          </cell>
          <cell r="K56">
            <v>689</v>
          </cell>
        </row>
        <row r="57">
          <cell r="E57">
            <v>230</v>
          </cell>
          <cell r="G57">
            <v>64</v>
          </cell>
          <cell r="I57">
            <v>160</v>
          </cell>
          <cell r="K57">
            <v>797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48.42667314958306</v>
          </cell>
        </row>
        <row r="7">
          <cell r="U7">
            <v>3</v>
          </cell>
          <cell r="X7">
            <v>45.584609890800053</v>
          </cell>
        </row>
        <row r="8">
          <cell r="U8">
            <v>4</v>
          </cell>
          <cell r="X8">
            <v>37.662702679307323</v>
          </cell>
        </row>
        <row r="9">
          <cell r="U9">
            <v>5</v>
          </cell>
          <cell r="X9">
            <v>35.875245883891708</v>
          </cell>
        </row>
        <row r="10">
          <cell r="U10">
            <v>6</v>
          </cell>
          <cell r="X10">
            <v>31.328523228253154</v>
          </cell>
        </row>
        <row r="11">
          <cell r="U11">
            <v>7</v>
          </cell>
          <cell r="X11">
            <v>28.433134870548443</v>
          </cell>
        </row>
        <row r="12">
          <cell r="U12">
            <v>8</v>
          </cell>
          <cell r="X12">
            <v>25.475919534820996</v>
          </cell>
        </row>
        <row r="13">
          <cell r="X13">
            <v>23.47830132521014</v>
          </cell>
        </row>
      </sheetData>
      <sheetData sheetId="4"/>
      <sheetData sheetId="5"/>
      <sheetData sheetId="6"/>
      <sheetData sheetId="7"/>
      <sheetData sheetId="8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</sheetNames>
    <sheetDataSet>
      <sheetData sheetId="0"/>
      <sheetData sheetId="1">
        <row r="25">
          <cell r="D25">
            <v>1</v>
          </cell>
          <cell r="E25">
            <v>2</v>
          </cell>
          <cell r="F25">
            <v>3</v>
          </cell>
          <cell r="G25">
            <v>4</v>
          </cell>
          <cell r="H25">
            <v>5</v>
          </cell>
          <cell r="I25">
            <v>6</v>
          </cell>
          <cell r="J25">
            <v>7</v>
          </cell>
          <cell r="K25">
            <v>8</v>
          </cell>
        </row>
        <row r="26">
          <cell r="D26">
            <v>12</v>
          </cell>
          <cell r="E26">
            <v>207</v>
          </cell>
          <cell r="F26">
            <v>24</v>
          </cell>
          <cell r="G26">
            <v>21</v>
          </cell>
          <cell r="H26">
            <v>20</v>
          </cell>
          <cell r="I26">
            <v>14</v>
          </cell>
          <cell r="J26">
            <v>46</v>
          </cell>
          <cell r="K26">
            <v>481</v>
          </cell>
        </row>
        <row r="27">
          <cell r="E27">
            <v>219</v>
          </cell>
          <cell r="G27">
            <v>45</v>
          </cell>
          <cell r="I27">
            <v>34</v>
          </cell>
          <cell r="K27">
            <v>527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52.990522242399507</v>
          </cell>
        </row>
        <row r="7">
          <cell r="U7">
            <v>3</v>
          </cell>
          <cell r="X7">
            <v>49.402698057034577</v>
          </cell>
        </row>
        <row r="8">
          <cell r="U8">
            <v>4</v>
          </cell>
          <cell r="X8">
            <v>40.989032816885</v>
          </cell>
        </row>
        <row r="9">
          <cell r="U9">
            <v>5</v>
          </cell>
          <cell r="X9">
            <v>38.113109996352158</v>
          </cell>
        </row>
        <row r="10">
          <cell r="U10">
            <v>6</v>
          </cell>
          <cell r="X10">
            <v>33.229882619801927</v>
          </cell>
        </row>
        <row r="11">
          <cell r="U11">
            <v>7</v>
          </cell>
          <cell r="X11">
            <v>29.473566147903</v>
          </cell>
        </row>
        <row r="12">
          <cell r="U12">
            <v>8</v>
          </cell>
          <cell r="X12">
            <v>26.381608620542963</v>
          </cell>
        </row>
        <row r="13">
          <cell r="X13">
            <v>23.294429890143199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3"/>
      <sheetName val="Pap.skaic."/>
      <sheetName val="Kondensacijos efektyvumas"/>
      <sheetName val="Sheet1"/>
    </sheetNames>
    <sheetDataSet>
      <sheetData sheetId="0"/>
      <sheetData sheetId="1">
        <row r="52">
          <cell r="D52">
            <v>1</v>
          </cell>
          <cell r="E52">
            <v>2</v>
          </cell>
          <cell r="F52">
            <v>3</v>
          </cell>
          <cell r="G52">
            <v>4</v>
          </cell>
          <cell r="H52">
            <v>5</v>
          </cell>
          <cell r="I52">
            <v>6</v>
          </cell>
          <cell r="J52">
            <v>7</v>
          </cell>
          <cell r="K52">
            <v>8</v>
          </cell>
        </row>
        <row r="53">
          <cell r="D53">
            <v>5</v>
          </cell>
          <cell r="E53">
            <v>52</v>
          </cell>
          <cell r="F53">
            <v>11</v>
          </cell>
          <cell r="G53">
            <v>37</v>
          </cell>
          <cell r="H53">
            <v>3</v>
          </cell>
          <cell r="I53">
            <v>132</v>
          </cell>
          <cell r="J53">
            <v>1</v>
          </cell>
          <cell r="K53">
            <v>110</v>
          </cell>
        </row>
        <row r="54">
          <cell r="E54">
            <v>57</v>
          </cell>
          <cell r="G54">
            <v>48</v>
          </cell>
          <cell r="I54">
            <v>135</v>
          </cell>
          <cell r="K54">
            <v>111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41.351976966399533</v>
          </cell>
        </row>
        <row r="7">
          <cell r="U7">
            <v>3</v>
          </cell>
          <cell r="X7">
            <v>32.252420084024735</v>
          </cell>
        </row>
        <row r="8">
          <cell r="U8">
            <v>4</v>
          </cell>
          <cell r="X8">
            <v>24.797799637414684</v>
          </cell>
        </row>
        <row r="9">
          <cell r="U9">
            <v>5</v>
          </cell>
          <cell r="X9">
            <v>19.946029650568391</v>
          </cell>
        </row>
        <row r="10">
          <cell r="U10">
            <v>6</v>
          </cell>
          <cell r="X10">
            <v>15.655881181292578</v>
          </cell>
        </row>
        <row r="11">
          <cell r="U11">
            <v>7</v>
          </cell>
          <cell r="X11">
            <v>12.058137158230359</v>
          </cell>
        </row>
        <row r="12">
          <cell r="U12">
            <v>8</v>
          </cell>
          <cell r="X12">
            <v>9.5123222007991544</v>
          </cell>
        </row>
        <row r="13">
          <cell r="X13">
            <v>7.5768794383196294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2"/>
      <sheetName val="Sheet1"/>
    </sheetNames>
    <sheetDataSet>
      <sheetData sheetId="0"/>
      <sheetData sheetId="1">
        <row r="63">
          <cell r="D63">
            <v>1</v>
          </cell>
          <cell r="E63">
            <v>2</v>
          </cell>
          <cell r="F63">
            <v>3</v>
          </cell>
          <cell r="G63">
            <v>4</v>
          </cell>
          <cell r="H63">
            <v>5</v>
          </cell>
          <cell r="I63">
            <v>6</v>
          </cell>
          <cell r="J63">
            <v>7</v>
          </cell>
          <cell r="K63">
            <v>8</v>
          </cell>
        </row>
        <row r="64">
          <cell r="D64">
            <v>310</v>
          </cell>
          <cell r="E64">
            <v>45</v>
          </cell>
          <cell r="F64">
            <v>13</v>
          </cell>
          <cell r="G64">
            <v>55</v>
          </cell>
          <cell r="H64">
            <v>19</v>
          </cell>
          <cell r="I64">
            <v>29</v>
          </cell>
          <cell r="J64">
            <v>16</v>
          </cell>
          <cell r="K64">
            <v>1014</v>
          </cell>
        </row>
        <row r="65">
          <cell r="E65">
            <v>355</v>
          </cell>
          <cell r="G65">
            <v>68</v>
          </cell>
          <cell r="I65">
            <v>48</v>
          </cell>
          <cell r="K65">
            <v>1030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38.12196559287991</v>
          </cell>
        </row>
        <row r="7">
          <cell r="U7">
            <v>3</v>
          </cell>
          <cell r="X7">
            <v>38.069967646617847</v>
          </cell>
        </row>
        <row r="8">
          <cell r="U8">
            <v>4</v>
          </cell>
          <cell r="X8">
            <v>30.023211287992702</v>
          </cell>
        </row>
        <row r="9">
          <cell r="U9">
            <v>5</v>
          </cell>
          <cell r="X9">
            <v>30.223565003631883</v>
          </cell>
        </row>
        <row r="10">
          <cell r="U10">
            <v>6</v>
          </cell>
          <cell r="X10">
            <v>25.204148880721014</v>
          </cell>
        </row>
        <row r="11">
          <cell r="U11">
            <v>7</v>
          </cell>
          <cell r="X11">
            <v>23.797546876163089</v>
          </cell>
        </row>
        <row r="12">
          <cell r="U12">
            <v>8</v>
          </cell>
          <cell r="X12">
            <v>21.309506580701871</v>
          </cell>
        </row>
        <row r="13">
          <cell r="X13">
            <v>18.796280762229706</v>
          </cell>
        </row>
      </sheetData>
      <sheetData sheetId="4"/>
      <sheetData sheetId="5"/>
      <sheetData sheetId="6"/>
      <sheetData sheetId="7"/>
      <sheetData sheetId="8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61">
          <cell r="D61">
            <v>1</v>
          </cell>
          <cell r="E61">
            <v>2</v>
          </cell>
          <cell r="F61">
            <v>3</v>
          </cell>
          <cell r="G61">
            <v>4</v>
          </cell>
          <cell r="H61">
            <v>5</v>
          </cell>
          <cell r="I61">
            <v>6</v>
          </cell>
          <cell r="J61">
            <v>7</v>
          </cell>
          <cell r="K61">
            <v>8</v>
          </cell>
        </row>
        <row r="62">
          <cell r="D62">
            <v>101</v>
          </cell>
          <cell r="E62">
            <v>184</v>
          </cell>
          <cell r="F62">
            <v>12</v>
          </cell>
          <cell r="G62">
            <v>7</v>
          </cell>
          <cell r="H62">
            <v>6</v>
          </cell>
          <cell r="I62">
            <v>332</v>
          </cell>
          <cell r="J62">
            <v>34</v>
          </cell>
          <cell r="K62">
            <v>147</v>
          </cell>
        </row>
        <row r="63">
          <cell r="E63">
            <v>285</v>
          </cell>
          <cell r="G63">
            <v>19</v>
          </cell>
          <cell r="I63">
            <v>338</v>
          </cell>
          <cell r="K63">
            <v>181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32.852085844780717</v>
          </cell>
        </row>
        <row r="7">
          <cell r="U7">
            <v>3</v>
          </cell>
          <cell r="X7">
            <v>27.31210042597467</v>
          </cell>
        </row>
        <row r="8">
          <cell r="U8">
            <v>4</v>
          </cell>
          <cell r="X8">
            <v>20.700067658032154</v>
          </cell>
        </row>
        <row r="9">
          <cell r="U9">
            <v>5</v>
          </cell>
          <cell r="X9">
            <v>17.5298437342935</v>
          </cell>
        </row>
        <row r="10">
          <cell r="U10">
            <v>6</v>
          </cell>
          <cell r="X10">
            <v>13.668166520149242</v>
          </cell>
        </row>
        <row r="11">
          <cell r="U11">
            <v>7</v>
          </cell>
          <cell r="X11">
            <v>10.811002624683915</v>
          </cell>
        </row>
        <row r="12">
          <cell r="U12">
            <v>8</v>
          </cell>
          <cell r="X12">
            <v>9.7603059664834078</v>
          </cell>
        </row>
        <row r="13">
          <cell r="X13">
            <v>8.0600965296393809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60">
          <cell r="D60">
            <v>1</v>
          </cell>
          <cell r="E60">
            <v>2</v>
          </cell>
          <cell r="F60">
            <v>3</v>
          </cell>
          <cell r="G60">
            <v>4</v>
          </cell>
          <cell r="H60">
            <v>5</v>
          </cell>
          <cell r="I60">
            <v>6</v>
          </cell>
          <cell r="J60">
            <v>7</v>
          </cell>
          <cell r="K60">
            <v>8</v>
          </cell>
        </row>
        <row r="61">
          <cell r="D61">
            <v>41</v>
          </cell>
          <cell r="E61">
            <v>330</v>
          </cell>
          <cell r="F61">
            <v>213</v>
          </cell>
          <cell r="G61">
            <v>49</v>
          </cell>
          <cell r="H61">
            <v>19</v>
          </cell>
          <cell r="I61">
            <v>16</v>
          </cell>
          <cell r="J61">
            <v>23</v>
          </cell>
          <cell r="K61">
            <v>927</v>
          </cell>
        </row>
        <row r="62">
          <cell r="E62">
            <v>371</v>
          </cell>
          <cell r="G62">
            <v>262</v>
          </cell>
          <cell r="I62">
            <v>35</v>
          </cell>
          <cell r="K62">
            <v>950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38.206815962512373</v>
          </cell>
        </row>
        <row r="7">
          <cell r="U7">
            <v>3</v>
          </cell>
          <cell r="X7">
            <v>38.555224121048496</v>
          </cell>
        </row>
        <row r="8">
          <cell r="U8">
            <v>4</v>
          </cell>
          <cell r="X8">
            <v>30.581876569714602</v>
          </cell>
        </row>
        <row r="9">
          <cell r="U9">
            <v>5</v>
          </cell>
          <cell r="X9">
            <v>31.5802820926164</v>
          </cell>
        </row>
        <row r="10">
          <cell r="U10">
            <v>6</v>
          </cell>
          <cell r="X10">
            <v>26.444598136033882</v>
          </cell>
        </row>
        <row r="11">
          <cell r="U11">
            <v>7</v>
          </cell>
          <cell r="X11">
            <v>24.455487871716642</v>
          </cell>
        </row>
        <row r="12">
          <cell r="U12">
            <v>8</v>
          </cell>
          <cell r="X12">
            <v>22.526797618775717</v>
          </cell>
        </row>
        <row r="13">
          <cell r="X13">
            <v>21.357631820964976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57">
          <cell r="D57">
            <v>1</v>
          </cell>
          <cell r="E57">
            <v>2</v>
          </cell>
          <cell r="F57">
            <v>3</v>
          </cell>
          <cell r="G57">
            <v>4</v>
          </cell>
          <cell r="H57">
            <v>5</v>
          </cell>
          <cell r="I57">
            <v>6</v>
          </cell>
          <cell r="J57">
            <v>7</v>
          </cell>
          <cell r="K57">
            <v>8</v>
          </cell>
        </row>
        <row r="58">
          <cell r="D58">
            <v>16</v>
          </cell>
          <cell r="E58">
            <v>3</v>
          </cell>
          <cell r="F58">
            <v>29</v>
          </cell>
          <cell r="G58">
            <v>14</v>
          </cell>
          <cell r="H58">
            <v>88</v>
          </cell>
          <cell r="I58">
            <v>49</v>
          </cell>
          <cell r="J58">
            <v>35</v>
          </cell>
          <cell r="K58">
            <v>85</v>
          </cell>
        </row>
        <row r="59">
          <cell r="E59">
            <v>19</v>
          </cell>
          <cell r="G59">
            <v>43</v>
          </cell>
          <cell r="I59">
            <v>137</v>
          </cell>
          <cell r="K59">
            <v>120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W6">
            <v>43.246459002098199</v>
          </cell>
        </row>
        <row r="7">
          <cell r="U7">
            <v>3</v>
          </cell>
          <cell r="W7">
            <v>40.091959946802753</v>
          </cell>
        </row>
        <row r="8">
          <cell r="U8">
            <v>4</v>
          </cell>
          <cell r="W8">
            <v>39.746266428845388</v>
          </cell>
        </row>
        <row r="9">
          <cell r="U9">
            <v>5</v>
          </cell>
          <cell r="W9">
            <v>38.116783978625541</v>
          </cell>
        </row>
        <row r="10">
          <cell r="U10">
            <v>6</v>
          </cell>
          <cell r="W10">
            <v>38.030347996310063</v>
          </cell>
        </row>
        <row r="11">
          <cell r="U11">
            <v>7</v>
          </cell>
          <cell r="W11">
            <v>36.951777989252442</v>
          </cell>
        </row>
        <row r="12">
          <cell r="U12">
            <v>8</v>
          </cell>
          <cell r="W12">
            <v>36.661601549108966</v>
          </cell>
        </row>
        <row r="13">
          <cell r="W13">
            <v>36.016979987843357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55">
          <cell r="D55">
            <v>1</v>
          </cell>
          <cell r="E55">
            <v>2</v>
          </cell>
          <cell r="F55">
            <v>3</v>
          </cell>
          <cell r="G55">
            <v>4</v>
          </cell>
          <cell r="H55">
            <v>5</v>
          </cell>
          <cell r="I55">
            <v>6</v>
          </cell>
          <cell r="J55">
            <v>7</v>
          </cell>
          <cell r="K55">
            <v>8</v>
          </cell>
        </row>
        <row r="56">
          <cell r="D56">
            <v>18</v>
          </cell>
          <cell r="E56">
            <v>19</v>
          </cell>
          <cell r="F56">
            <v>19</v>
          </cell>
          <cell r="G56">
            <v>22</v>
          </cell>
          <cell r="H56">
            <v>20</v>
          </cell>
          <cell r="I56">
            <v>21</v>
          </cell>
          <cell r="J56">
            <v>21</v>
          </cell>
          <cell r="K56">
            <v>301</v>
          </cell>
        </row>
        <row r="57">
          <cell r="E57">
            <v>37</v>
          </cell>
          <cell r="G57">
            <v>41</v>
          </cell>
          <cell r="I57">
            <v>41</v>
          </cell>
          <cell r="K57">
            <v>322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W6">
            <v>53.640000871360932</v>
          </cell>
        </row>
        <row r="7">
          <cell r="U7">
            <v>3</v>
          </cell>
          <cell r="W7">
            <v>48.708010347981791</v>
          </cell>
        </row>
        <row r="8">
          <cell r="U8">
            <v>4</v>
          </cell>
          <cell r="W8">
            <v>47.988529622804265</v>
          </cell>
        </row>
        <row r="9">
          <cell r="U9">
            <v>5</v>
          </cell>
          <cell r="W9">
            <v>44.689307040401737</v>
          </cell>
        </row>
        <row r="10">
          <cell r="U10">
            <v>6</v>
          </cell>
          <cell r="W10">
            <v>44.676680671925105</v>
          </cell>
        </row>
        <row r="11">
          <cell r="U11">
            <v>7</v>
          </cell>
          <cell r="W11">
            <v>41.598772853828741</v>
          </cell>
        </row>
        <row r="12">
          <cell r="U12">
            <v>8</v>
          </cell>
          <cell r="W12">
            <v>41.939026706710933</v>
          </cell>
        </row>
        <row r="13">
          <cell r="W13">
            <v>40.143428022026697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62">
          <cell r="D62">
            <v>1</v>
          </cell>
          <cell r="E62">
            <v>2</v>
          </cell>
          <cell r="F62">
            <v>3</v>
          </cell>
          <cell r="G62">
            <v>4</v>
          </cell>
          <cell r="H62">
            <v>5</v>
          </cell>
          <cell r="I62">
            <v>6</v>
          </cell>
          <cell r="J62">
            <v>7</v>
          </cell>
          <cell r="K62">
            <v>8</v>
          </cell>
        </row>
        <row r="63">
          <cell r="D63">
            <v>351</v>
          </cell>
          <cell r="E63">
            <v>27</v>
          </cell>
          <cell r="F63">
            <v>44</v>
          </cell>
          <cell r="G63">
            <v>51</v>
          </cell>
          <cell r="H63">
            <v>54</v>
          </cell>
          <cell r="I63">
            <v>621</v>
          </cell>
          <cell r="J63">
            <v>39</v>
          </cell>
          <cell r="K63">
            <v>536</v>
          </cell>
        </row>
        <row r="64">
          <cell r="E64">
            <v>378</v>
          </cell>
          <cell r="G64">
            <v>95</v>
          </cell>
          <cell r="I64">
            <v>675</v>
          </cell>
          <cell r="K64">
            <v>575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W6">
            <v>45.844417166652157</v>
          </cell>
        </row>
        <row r="7">
          <cell r="U7">
            <v>3</v>
          </cell>
          <cell r="W7">
            <v>44.661693633991298</v>
          </cell>
        </row>
        <row r="8">
          <cell r="U8">
            <v>4</v>
          </cell>
          <cell r="W8">
            <v>43.124420225794857</v>
          </cell>
        </row>
        <row r="9">
          <cell r="U9">
            <v>5</v>
          </cell>
          <cell r="W9">
            <v>42.274710410914899</v>
          </cell>
        </row>
        <row r="10">
          <cell r="U10">
            <v>6</v>
          </cell>
          <cell r="W10">
            <v>41.414870509434863</v>
          </cell>
        </row>
        <row r="11">
          <cell r="U11">
            <v>7</v>
          </cell>
          <cell r="W11">
            <v>40.881976719247319</v>
          </cell>
        </row>
        <row r="12">
          <cell r="U12">
            <v>8</v>
          </cell>
          <cell r="W12">
            <v>39.51701482007266</v>
          </cell>
        </row>
        <row r="13">
          <cell r="W13">
            <v>38.372968417851489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36">
          <cell r="D36">
            <v>1</v>
          </cell>
          <cell r="E36">
            <v>2</v>
          </cell>
          <cell r="F36">
            <v>3</v>
          </cell>
          <cell r="G36">
            <v>4</v>
          </cell>
          <cell r="H36">
            <v>5</v>
          </cell>
          <cell r="I36">
            <v>6</v>
          </cell>
          <cell r="J36">
            <v>7</v>
          </cell>
          <cell r="K36">
            <v>8</v>
          </cell>
        </row>
        <row r="37">
          <cell r="D37">
            <v>18</v>
          </cell>
          <cell r="E37">
            <v>19</v>
          </cell>
          <cell r="F37">
            <v>22</v>
          </cell>
          <cell r="G37">
            <v>32</v>
          </cell>
          <cell r="H37">
            <v>21</v>
          </cell>
          <cell r="I37">
            <v>196</v>
          </cell>
          <cell r="J37">
            <v>140</v>
          </cell>
          <cell r="K37">
            <v>89</v>
          </cell>
        </row>
        <row r="38">
          <cell r="E38">
            <v>37</v>
          </cell>
          <cell r="G38">
            <v>54</v>
          </cell>
          <cell r="I38">
            <v>217</v>
          </cell>
          <cell r="K38">
            <v>229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W6">
            <v>43.914739589780673</v>
          </cell>
        </row>
        <row r="7">
          <cell r="U7">
            <v>3</v>
          </cell>
          <cell r="W7">
            <v>42.216751172880628</v>
          </cell>
        </row>
        <row r="8">
          <cell r="U8">
            <v>4</v>
          </cell>
          <cell r="W8">
            <v>41.35368511646643</v>
          </cell>
        </row>
        <row r="9">
          <cell r="U9">
            <v>5</v>
          </cell>
          <cell r="W9">
            <v>40.694582957263634</v>
          </cell>
        </row>
        <row r="10">
          <cell r="U10">
            <v>6</v>
          </cell>
          <cell r="W10">
            <v>40.258403351822572</v>
          </cell>
        </row>
        <row r="11">
          <cell r="U11">
            <v>7</v>
          </cell>
          <cell r="W11">
            <v>39.941261758210366</v>
          </cell>
        </row>
        <row r="12">
          <cell r="U12">
            <v>8</v>
          </cell>
          <cell r="W12">
            <v>38.981351433558515</v>
          </cell>
        </row>
        <row r="13">
          <cell r="W13">
            <v>38.512603743065299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0">
          <cell r="D40">
            <v>1</v>
          </cell>
          <cell r="E40">
            <v>2</v>
          </cell>
          <cell r="F40">
            <v>3</v>
          </cell>
          <cell r="G40">
            <v>4</v>
          </cell>
          <cell r="H40">
            <v>5</v>
          </cell>
          <cell r="I40">
            <v>6</v>
          </cell>
          <cell r="J40">
            <v>7</v>
          </cell>
          <cell r="K40">
            <v>8</v>
          </cell>
        </row>
        <row r="41">
          <cell r="D41">
            <v>216</v>
          </cell>
          <cell r="E41">
            <v>10</v>
          </cell>
          <cell r="F41">
            <v>44</v>
          </cell>
          <cell r="G41">
            <v>9</v>
          </cell>
          <cell r="H41">
            <v>29</v>
          </cell>
          <cell r="I41">
            <v>15</v>
          </cell>
          <cell r="J41">
            <v>22</v>
          </cell>
          <cell r="K41">
            <v>726</v>
          </cell>
        </row>
        <row r="42">
          <cell r="E42">
            <v>226</v>
          </cell>
          <cell r="G42">
            <v>53</v>
          </cell>
          <cell r="I42">
            <v>44</v>
          </cell>
          <cell r="K42">
            <v>748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63.480023609669537</v>
          </cell>
        </row>
        <row r="7">
          <cell r="U7">
            <v>3</v>
          </cell>
          <cell r="X7">
            <v>58.744709511419558</v>
          </cell>
        </row>
        <row r="8">
          <cell r="U8">
            <v>4</v>
          </cell>
          <cell r="X8">
            <v>48.606548045621572</v>
          </cell>
        </row>
        <row r="9">
          <cell r="U9">
            <v>5</v>
          </cell>
          <cell r="X9">
            <v>47.882369250333483</v>
          </cell>
        </row>
        <row r="10">
          <cell r="U10">
            <v>6</v>
          </cell>
          <cell r="X10">
            <v>40.050663424618577</v>
          </cell>
        </row>
        <row r="11">
          <cell r="U11">
            <v>7</v>
          </cell>
          <cell r="X11">
            <v>36.756869969141121</v>
          </cell>
        </row>
        <row r="12">
          <cell r="U12">
            <v>8</v>
          </cell>
          <cell r="X12">
            <v>31.858094707921609</v>
          </cell>
        </row>
        <row r="13">
          <cell r="X13">
            <v>28.865253426396652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4</v>
          </cell>
          <cell r="E44">
            <v>240</v>
          </cell>
          <cell r="F44">
            <v>143</v>
          </cell>
          <cell r="G44">
            <v>168</v>
          </cell>
          <cell r="H44">
            <v>253</v>
          </cell>
          <cell r="I44">
            <v>29</v>
          </cell>
          <cell r="J44">
            <v>94</v>
          </cell>
          <cell r="K44">
            <v>60</v>
          </cell>
        </row>
        <row r="45">
          <cell r="E45">
            <v>244</v>
          </cell>
          <cell r="G45">
            <v>311</v>
          </cell>
          <cell r="I45">
            <v>282</v>
          </cell>
          <cell r="K45">
            <v>154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48.336495485564228</v>
          </cell>
        </row>
        <row r="7">
          <cell r="U7">
            <v>3</v>
          </cell>
          <cell r="X7">
            <v>40.503765995650866</v>
          </cell>
        </row>
        <row r="8">
          <cell r="U8">
            <v>4</v>
          </cell>
          <cell r="X8">
            <v>30.73952127890443</v>
          </cell>
        </row>
        <row r="9">
          <cell r="U9">
            <v>5</v>
          </cell>
          <cell r="X9">
            <v>26.431877396899111</v>
          </cell>
        </row>
        <row r="10">
          <cell r="U10">
            <v>6</v>
          </cell>
          <cell r="X10">
            <v>20.628540969162017</v>
          </cell>
        </row>
        <row r="11">
          <cell r="U11">
            <v>7</v>
          </cell>
          <cell r="X11">
            <v>17.450719988998284</v>
          </cell>
        </row>
        <row r="12">
          <cell r="U12">
            <v>8</v>
          </cell>
          <cell r="X12">
            <v>13.594584430403451</v>
          </cell>
        </row>
        <row r="13">
          <cell r="X13">
            <v>12.444008726741949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37">
          <cell r="D37">
            <v>1</v>
          </cell>
          <cell r="E37">
            <v>2</v>
          </cell>
          <cell r="F37">
            <v>3</v>
          </cell>
          <cell r="G37">
            <v>4</v>
          </cell>
          <cell r="H37">
            <v>5</v>
          </cell>
          <cell r="I37">
            <v>6</v>
          </cell>
          <cell r="J37">
            <v>7</v>
          </cell>
          <cell r="K37">
            <v>8</v>
          </cell>
        </row>
        <row r="38">
          <cell r="D38">
            <v>431</v>
          </cell>
          <cell r="E38">
            <v>15</v>
          </cell>
          <cell r="F38">
            <v>34</v>
          </cell>
          <cell r="G38">
            <v>171</v>
          </cell>
          <cell r="H38">
            <v>134</v>
          </cell>
          <cell r="I38">
            <v>228</v>
          </cell>
          <cell r="J38">
            <v>27</v>
          </cell>
          <cell r="K38">
            <v>699</v>
          </cell>
        </row>
        <row r="39">
          <cell r="E39">
            <v>446</v>
          </cell>
          <cell r="G39">
            <v>205</v>
          </cell>
          <cell r="H39">
            <v>0</v>
          </cell>
          <cell r="I39">
            <v>362</v>
          </cell>
          <cell r="K39">
            <v>726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47.510504842514756</v>
          </cell>
        </row>
        <row r="7">
          <cell r="U7">
            <v>3</v>
          </cell>
          <cell r="X7">
            <v>47.143094450301803</v>
          </cell>
        </row>
        <row r="8">
          <cell r="U8">
            <v>4</v>
          </cell>
          <cell r="X8">
            <v>38.662886388406378</v>
          </cell>
        </row>
        <row r="9">
          <cell r="U9">
            <v>5</v>
          </cell>
          <cell r="X9">
            <v>39.60098684493483</v>
          </cell>
        </row>
        <row r="10">
          <cell r="U10">
            <v>6</v>
          </cell>
          <cell r="X10">
            <v>33.351515014133902</v>
          </cell>
        </row>
        <row r="11">
          <cell r="U11">
            <v>7</v>
          </cell>
          <cell r="X11">
            <v>31.541646744476136</v>
          </cell>
        </row>
        <row r="12">
          <cell r="U12">
            <v>8</v>
          </cell>
          <cell r="X12">
            <v>28.33299541158927</v>
          </cell>
        </row>
        <row r="13">
          <cell r="X13">
            <v>28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37">
          <cell r="D37">
            <v>1</v>
          </cell>
          <cell r="E37">
            <v>2</v>
          </cell>
          <cell r="F37">
            <v>3</v>
          </cell>
          <cell r="G37">
            <v>4</v>
          </cell>
          <cell r="H37">
            <v>5</v>
          </cell>
          <cell r="I37">
            <v>6</v>
          </cell>
          <cell r="J37">
            <v>7</v>
          </cell>
          <cell r="K37">
            <v>8</v>
          </cell>
        </row>
        <row r="38">
          <cell r="D38">
            <v>294</v>
          </cell>
          <cell r="E38">
            <v>166</v>
          </cell>
          <cell r="F38">
            <v>83</v>
          </cell>
          <cell r="G38">
            <v>181</v>
          </cell>
          <cell r="H38">
            <v>236</v>
          </cell>
          <cell r="I38">
            <v>7</v>
          </cell>
          <cell r="J38">
            <v>54</v>
          </cell>
          <cell r="K38">
            <v>136</v>
          </cell>
        </row>
        <row r="39">
          <cell r="E39">
            <v>460</v>
          </cell>
          <cell r="G39">
            <v>264</v>
          </cell>
          <cell r="I39">
            <v>243</v>
          </cell>
          <cell r="K39">
            <v>190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42.769293679796661</v>
          </cell>
        </row>
        <row r="7">
          <cell r="U7">
            <v>3</v>
          </cell>
          <cell r="X7">
            <v>38.714844963329668</v>
          </cell>
        </row>
        <row r="8">
          <cell r="U8">
            <v>4</v>
          </cell>
          <cell r="X8">
            <v>28.380249141070767</v>
          </cell>
        </row>
        <row r="9">
          <cell r="U9">
            <v>5</v>
          </cell>
          <cell r="X9">
            <v>24.314125805732935</v>
          </cell>
        </row>
        <row r="10">
          <cell r="U10">
            <v>6</v>
          </cell>
          <cell r="X10">
            <v>20.357311317322914</v>
          </cell>
        </row>
        <row r="11">
          <cell r="U11">
            <v>7</v>
          </cell>
          <cell r="X11">
            <v>16.638701862853875</v>
          </cell>
        </row>
        <row r="12">
          <cell r="U12">
            <v>8</v>
          </cell>
          <cell r="X12">
            <v>14.229136941014048</v>
          </cell>
        </row>
        <row r="13">
          <cell r="X13">
            <v>13.495528633476624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317</v>
          </cell>
          <cell r="E44">
            <v>15</v>
          </cell>
          <cell r="F44">
            <v>52</v>
          </cell>
          <cell r="G44">
            <v>26</v>
          </cell>
          <cell r="H44">
            <v>167</v>
          </cell>
          <cell r="I44">
            <v>469</v>
          </cell>
          <cell r="J44">
            <v>19</v>
          </cell>
          <cell r="K44">
            <v>416</v>
          </cell>
        </row>
        <row r="45">
          <cell r="E45">
            <v>332</v>
          </cell>
          <cell r="G45">
            <v>78</v>
          </cell>
          <cell r="I45">
            <v>636</v>
          </cell>
          <cell r="K45">
            <v>435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73.849499324111164</v>
          </cell>
        </row>
        <row r="7">
          <cell r="U7">
            <v>3</v>
          </cell>
          <cell r="X7">
            <v>64.396862041218057</v>
          </cell>
        </row>
        <row r="8">
          <cell r="U8">
            <v>4</v>
          </cell>
          <cell r="X8">
            <v>56.44865383959349</v>
          </cell>
        </row>
        <row r="9">
          <cell r="U9">
            <v>5</v>
          </cell>
          <cell r="X9">
            <v>50.766082504409098</v>
          </cell>
        </row>
        <row r="10">
          <cell r="U10">
            <v>6</v>
          </cell>
          <cell r="X10">
            <v>45.289497043284314</v>
          </cell>
        </row>
        <row r="11">
          <cell r="U11">
            <v>7</v>
          </cell>
          <cell r="X11">
            <v>39.268243733511426</v>
          </cell>
        </row>
        <row r="12">
          <cell r="U12">
            <v>8</v>
          </cell>
          <cell r="X12">
            <v>35.514397688229487</v>
          </cell>
        </row>
        <row r="13">
          <cell r="X13">
            <v>32.446712365792294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77</v>
          </cell>
          <cell r="E44">
            <v>80</v>
          </cell>
          <cell r="F44">
            <v>205</v>
          </cell>
          <cell r="G44">
            <v>190</v>
          </cell>
          <cell r="H44">
            <v>42</v>
          </cell>
          <cell r="I44">
            <v>177</v>
          </cell>
          <cell r="J44">
            <v>79</v>
          </cell>
          <cell r="K44">
            <v>93</v>
          </cell>
        </row>
        <row r="47">
          <cell r="E47">
            <v>157</v>
          </cell>
          <cell r="G47">
            <v>395</v>
          </cell>
          <cell r="I47">
            <v>219</v>
          </cell>
          <cell r="K47">
            <v>172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W6">
            <v>25.379553654089236</v>
          </cell>
        </row>
        <row r="7">
          <cell r="U7">
            <v>3</v>
          </cell>
          <cell r="W7">
            <v>23.881159296081847</v>
          </cell>
        </row>
        <row r="8">
          <cell r="U8">
            <v>4</v>
          </cell>
          <cell r="W8">
            <v>22.784147638174108</v>
          </cell>
        </row>
        <row r="9">
          <cell r="U9">
            <v>5</v>
          </cell>
          <cell r="W9">
            <v>22.148226064499983</v>
          </cell>
        </row>
        <row r="10">
          <cell r="U10">
            <v>6</v>
          </cell>
          <cell r="W10">
            <v>21.545678620377174</v>
          </cell>
        </row>
        <row r="11">
          <cell r="U11">
            <v>7</v>
          </cell>
          <cell r="W11">
            <v>21.494632807356471</v>
          </cell>
        </row>
        <row r="12">
          <cell r="U12">
            <v>8</v>
          </cell>
          <cell r="W12">
            <v>20.612948956328932</v>
          </cell>
        </row>
        <row r="13">
          <cell r="W13">
            <v>20.442195253960616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423</v>
          </cell>
          <cell r="E44">
            <v>65</v>
          </cell>
          <cell r="F44">
            <v>262</v>
          </cell>
          <cell r="G44">
            <v>28</v>
          </cell>
          <cell r="H44">
            <v>104</v>
          </cell>
          <cell r="I44">
            <v>131</v>
          </cell>
          <cell r="J44">
            <v>21</v>
          </cell>
          <cell r="K44">
            <v>171</v>
          </cell>
        </row>
        <row r="47">
          <cell r="E47">
            <v>488</v>
          </cell>
          <cell r="G47">
            <v>290</v>
          </cell>
          <cell r="I47">
            <v>235</v>
          </cell>
          <cell r="K47">
            <v>192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43.908522572481402</v>
          </cell>
        </row>
        <row r="7">
          <cell r="U7">
            <v>3</v>
          </cell>
          <cell r="X7">
            <v>36.486858555255623</v>
          </cell>
        </row>
        <row r="8">
          <cell r="U8">
            <v>4</v>
          </cell>
          <cell r="X8">
            <v>30.900561031905891</v>
          </cell>
        </row>
        <row r="9">
          <cell r="U9">
            <v>5</v>
          </cell>
          <cell r="X9">
            <v>25.572098427121563</v>
          </cell>
        </row>
        <row r="10">
          <cell r="U10">
            <v>6</v>
          </cell>
          <cell r="X10">
            <v>22.868827480091536</v>
          </cell>
        </row>
        <row r="11">
          <cell r="U11">
            <v>7</v>
          </cell>
          <cell r="X11">
            <v>17.899705295843763</v>
          </cell>
        </row>
        <row r="12">
          <cell r="U12">
            <v>8</v>
          </cell>
          <cell r="X12">
            <v>15.374197054657152</v>
          </cell>
        </row>
        <row r="13">
          <cell r="X13">
            <v>13.82713487042189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28</v>
          </cell>
          <cell r="E44">
            <v>18</v>
          </cell>
          <cell r="F44">
            <v>26</v>
          </cell>
          <cell r="G44">
            <v>35</v>
          </cell>
          <cell r="H44">
            <v>27</v>
          </cell>
          <cell r="I44">
            <v>37</v>
          </cell>
          <cell r="J44">
            <v>21</v>
          </cell>
          <cell r="K44">
            <v>926</v>
          </cell>
        </row>
        <row r="45">
          <cell r="E45">
            <v>46</v>
          </cell>
          <cell r="G45">
            <v>61</v>
          </cell>
          <cell r="I45">
            <v>64</v>
          </cell>
          <cell r="K45">
            <v>947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60.000872255251259</v>
          </cell>
        </row>
        <row r="7">
          <cell r="U7">
            <v>3</v>
          </cell>
          <cell r="X7">
            <v>54.391994264042431</v>
          </cell>
        </row>
        <row r="8">
          <cell r="U8">
            <v>4</v>
          </cell>
          <cell r="X8">
            <v>46.077792636881249</v>
          </cell>
        </row>
        <row r="9">
          <cell r="U9">
            <v>5</v>
          </cell>
          <cell r="X9">
            <v>43.734496803515917</v>
          </cell>
        </row>
        <row r="10">
          <cell r="U10">
            <v>6</v>
          </cell>
          <cell r="X10">
            <v>37.702030291161243</v>
          </cell>
        </row>
        <row r="11">
          <cell r="U11">
            <v>7</v>
          </cell>
          <cell r="X11">
            <v>33.36386117626612</v>
          </cell>
        </row>
        <row r="12">
          <cell r="U12">
            <v>8</v>
          </cell>
          <cell r="X12">
            <v>32.672102161097229</v>
          </cell>
        </row>
        <row r="13">
          <cell r="X13">
            <v>32.246590917812824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289</v>
          </cell>
          <cell r="E44">
            <v>139</v>
          </cell>
          <cell r="F44">
            <v>63</v>
          </cell>
          <cell r="G44">
            <v>189</v>
          </cell>
          <cell r="H44">
            <v>55</v>
          </cell>
          <cell r="I44">
            <v>131</v>
          </cell>
          <cell r="J44">
            <v>118</v>
          </cell>
          <cell r="K44">
            <v>131</v>
          </cell>
        </row>
        <row r="45">
          <cell r="E45">
            <v>428</v>
          </cell>
          <cell r="G45">
            <v>252</v>
          </cell>
          <cell r="I45">
            <v>186</v>
          </cell>
          <cell r="K45">
            <v>249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43.258976891029661</v>
          </cell>
        </row>
        <row r="7">
          <cell r="U7">
            <v>3</v>
          </cell>
          <cell r="X7">
            <v>38.996986233240662</v>
          </cell>
        </row>
        <row r="8">
          <cell r="U8">
            <v>4</v>
          </cell>
          <cell r="X8">
            <v>29.415548646960264</v>
          </cell>
        </row>
        <row r="9">
          <cell r="U9">
            <v>5</v>
          </cell>
          <cell r="X9">
            <v>25.372264731833116</v>
          </cell>
        </row>
        <row r="10">
          <cell r="U10">
            <v>6</v>
          </cell>
          <cell r="X10">
            <v>22.208367934021755</v>
          </cell>
        </row>
        <row r="11">
          <cell r="U11">
            <v>7</v>
          </cell>
          <cell r="X11">
            <v>18.419771171448684</v>
          </cell>
        </row>
        <row r="12">
          <cell r="U12">
            <v>8</v>
          </cell>
          <cell r="X12">
            <v>15.569550750704042</v>
          </cell>
        </row>
        <row r="13">
          <cell r="X13">
            <v>13.867874844960575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407</v>
          </cell>
          <cell r="E44">
            <v>15</v>
          </cell>
          <cell r="F44">
            <v>69</v>
          </cell>
          <cell r="G44">
            <v>130</v>
          </cell>
          <cell r="H44">
            <v>20</v>
          </cell>
          <cell r="I44">
            <v>159</v>
          </cell>
          <cell r="J44">
            <v>14</v>
          </cell>
          <cell r="K44">
            <v>691</v>
          </cell>
        </row>
        <row r="45">
          <cell r="E45">
            <v>422</v>
          </cell>
          <cell r="G45">
            <v>199</v>
          </cell>
          <cell r="I45">
            <v>179</v>
          </cell>
          <cell r="K45">
            <v>705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44.485890718048843</v>
          </cell>
        </row>
        <row r="7">
          <cell r="U7">
            <v>3</v>
          </cell>
          <cell r="X7">
            <v>44.905654442283392</v>
          </cell>
        </row>
        <row r="8">
          <cell r="U8">
            <v>4</v>
          </cell>
          <cell r="X8">
            <v>38</v>
          </cell>
        </row>
        <row r="9">
          <cell r="U9">
            <v>5</v>
          </cell>
          <cell r="X9">
            <v>38.179820850243011</v>
          </cell>
        </row>
        <row r="10">
          <cell r="U10">
            <v>6</v>
          </cell>
          <cell r="X10">
            <v>33.248587507831353</v>
          </cell>
        </row>
        <row r="11">
          <cell r="U11">
            <v>7</v>
          </cell>
          <cell r="X11">
            <v>30.843298305917912</v>
          </cell>
        </row>
        <row r="12">
          <cell r="U12">
            <v>8</v>
          </cell>
          <cell r="X12">
            <v>28.083449530126348</v>
          </cell>
        </row>
        <row r="13">
          <cell r="X13">
            <v>27.831839621180496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 refreshError="1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84</v>
          </cell>
          <cell r="E44">
            <v>55</v>
          </cell>
          <cell r="F44">
            <v>267</v>
          </cell>
          <cell r="G44">
            <v>5</v>
          </cell>
          <cell r="H44">
            <v>71</v>
          </cell>
          <cell r="I44">
            <v>168</v>
          </cell>
          <cell r="J44">
            <v>159</v>
          </cell>
          <cell r="K44">
            <v>66</v>
          </cell>
        </row>
        <row r="45">
          <cell r="E45">
            <v>139</v>
          </cell>
          <cell r="G45">
            <v>272</v>
          </cell>
          <cell r="I45">
            <v>239</v>
          </cell>
          <cell r="K45">
            <v>225</v>
          </cell>
        </row>
      </sheetData>
      <sheetData sheetId="2" refreshError="1"/>
      <sheetData sheetId="3">
        <row r="5">
          <cell r="U5">
            <v>1</v>
          </cell>
        </row>
        <row r="6">
          <cell r="U6">
            <v>2</v>
          </cell>
          <cell r="X6">
            <v>43.50817662491658</v>
          </cell>
        </row>
        <row r="7">
          <cell r="U7">
            <v>3</v>
          </cell>
          <cell r="X7">
            <v>36.174691835325824</v>
          </cell>
        </row>
        <row r="8">
          <cell r="U8">
            <v>4</v>
          </cell>
          <cell r="X8">
            <v>27.488052523621718</v>
          </cell>
        </row>
        <row r="9">
          <cell r="U9">
            <v>5</v>
          </cell>
          <cell r="X9">
            <v>24.04164029693365</v>
          </cell>
        </row>
        <row r="10">
          <cell r="U10">
            <v>6</v>
          </cell>
          <cell r="X10">
            <v>19.210152744642404</v>
          </cell>
        </row>
        <row r="11">
          <cell r="U11">
            <v>7</v>
          </cell>
          <cell r="X11">
            <v>16.051156232427285</v>
          </cell>
        </row>
        <row r="12">
          <cell r="U12">
            <v>8</v>
          </cell>
          <cell r="X12">
            <v>14.313610313723157</v>
          </cell>
        </row>
        <row r="13">
          <cell r="X13">
            <v>13.30674870208977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3"/>
  <sheetViews>
    <sheetView topLeftCell="H1" zoomScaleNormal="100" workbookViewId="0">
      <pane ySplit="1" topLeftCell="A45" activePane="bottomLeft" state="frozen"/>
      <selection pane="bottomLeft" activeCell="P5" sqref="P5"/>
    </sheetView>
  </sheetViews>
  <sheetFormatPr defaultRowHeight="14.4" x14ac:dyDescent="0.3"/>
  <cols>
    <col min="2" max="14" width="14.109375" customWidth="1"/>
    <col min="15" max="15" width="38.109375" customWidth="1"/>
    <col min="17" max="17" width="8.88671875" style="35"/>
    <col min="18" max="18" width="14.109375" customWidth="1"/>
  </cols>
  <sheetData>
    <row r="1" spans="1:18" ht="58.2" thickBot="1" x14ac:dyDescent="0.35">
      <c r="A1" s="149"/>
      <c r="B1" s="1" t="s">
        <v>174</v>
      </c>
      <c r="C1" s="2" t="s">
        <v>175</v>
      </c>
      <c r="D1" s="2" t="s">
        <v>176</v>
      </c>
      <c r="E1" s="2" t="s">
        <v>177</v>
      </c>
      <c r="F1" s="2" t="s">
        <v>178</v>
      </c>
      <c r="G1" s="2" t="s">
        <v>179</v>
      </c>
      <c r="H1" s="2" t="s">
        <v>180</v>
      </c>
      <c r="I1" s="2" t="s">
        <v>181</v>
      </c>
      <c r="J1" s="2" t="s">
        <v>182</v>
      </c>
      <c r="K1" s="2" t="s">
        <v>183</v>
      </c>
      <c r="L1" s="2" t="s">
        <v>184</v>
      </c>
      <c r="M1" s="2" t="s">
        <v>185</v>
      </c>
      <c r="N1" s="2" t="s">
        <v>186</v>
      </c>
      <c r="O1" s="2" t="s">
        <v>187</v>
      </c>
      <c r="P1" s="163" t="s">
        <v>196</v>
      </c>
      <c r="Q1" s="163" t="s">
        <v>197</v>
      </c>
      <c r="R1" s="2" t="s">
        <v>179</v>
      </c>
    </row>
    <row r="2" spans="1:18" x14ac:dyDescent="0.3">
      <c r="A2" s="12">
        <v>1</v>
      </c>
      <c r="B2" s="8">
        <v>44847</v>
      </c>
      <c r="C2" s="9">
        <v>211</v>
      </c>
      <c r="D2" s="9">
        <v>4800</v>
      </c>
      <c r="E2" s="9">
        <v>5000</v>
      </c>
      <c r="F2" s="9" t="s">
        <v>4</v>
      </c>
      <c r="G2" s="9">
        <v>85</v>
      </c>
      <c r="H2" s="9">
        <v>4.5</v>
      </c>
      <c r="I2" s="9">
        <v>0.6</v>
      </c>
      <c r="J2" s="9">
        <v>0</v>
      </c>
      <c r="K2" s="9">
        <v>645</v>
      </c>
      <c r="L2" s="73">
        <f t="shared" ref="L2:L7" si="0">K2/C2</f>
        <v>3.0568720379146921</v>
      </c>
      <c r="M2" s="9">
        <v>14.5</v>
      </c>
      <c r="N2" s="9">
        <v>2</v>
      </c>
      <c r="O2" s="9" t="s">
        <v>4</v>
      </c>
      <c r="R2" s="9">
        <f>G2</f>
        <v>85</v>
      </c>
    </row>
    <row r="3" spans="1:18" x14ac:dyDescent="0.3">
      <c r="A3" s="12">
        <v>2</v>
      </c>
      <c r="B3" s="6">
        <v>44847</v>
      </c>
      <c r="C3" s="4">
        <v>211</v>
      </c>
      <c r="D3" s="4">
        <v>4770</v>
      </c>
      <c r="E3" s="4">
        <v>5000</v>
      </c>
      <c r="F3" s="4" t="s">
        <v>4</v>
      </c>
      <c r="G3" s="4">
        <v>85</v>
      </c>
      <c r="H3" s="9">
        <v>4.5</v>
      </c>
      <c r="I3" s="4">
        <v>0.6</v>
      </c>
      <c r="J3" s="4">
        <v>0</v>
      </c>
      <c r="K3" s="4">
        <v>425</v>
      </c>
      <c r="L3" s="73">
        <f t="shared" si="0"/>
        <v>2.014218009478673</v>
      </c>
      <c r="M3" s="9">
        <v>14.7</v>
      </c>
      <c r="N3" s="9">
        <v>3</v>
      </c>
      <c r="O3" s="4" t="s">
        <v>4</v>
      </c>
      <c r="R3" s="9">
        <f t="shared" ref="R3:R66" si="1">G3</f>
        <v>85</v>
      </c>
    </row>
    <row r="4" spans="1:18" x14ac:dyDescent="0.3">
      <c r="A4" s="12">
        <v>3</v>
      </c>
      <c r="B4" s="6">
        <v>44847</v>
      </c>
      <c r="C4" s="4">
        <v>211</v>
      </c>
      <c r="D4" s="4">
        <v>4790</v>
      </c>
      <c r="E4" s="4">
        <v>5000</v>
      </c>
      <c r="F4" s="4" t="s">
        <v>4</v>
      </c>
      <c r="G4" s="4">
        <v>85</v>
      </c>
      <c r="H4" s="9">
        <v>4.5</v>
      </c>
      <c r="I4" s="4">
        <v>0.6</v>
      </c>
      <c r="J4" s="4">
        <v>0</v>
      </c>
      <c r="K4" s="4">
        <v>210</v>
      </c>
      <c r="L4" s="73">
        <f t="shared" si="0"/>
        <v>0.99526066350710896</v>
      </c>
      <c r="M4" s="4">
        <v>14.9</v>
      </c>
      <c r="N4" s="4">
        <v>6</v>
      </c>
      <c r="O4" s="4" t="s">
        <v>4</v>
      </c>
      <c r="R4" s="9">
        <f t="shared" si="1"/>
        <v>85</v>
      </c>
    </row>
    <row r="5" spans="1:18" x14ac:dyDescent="0.3">
      <c r="A5" s="87">
        <v>4</v>
      </c>
      <c r="B5" s="103">
        <v>44851</v>
      </c>
      <c r="C5" s="104">
        <v>208</v>
      </c>
      <c r="D5" s="104">
        <v>5200</v>
      </c>
      <c r="E5" s="104">
        <v>5000</v>
      </c>
      <c r="F5" s="104">
        <v>40</v>
      </c>
      <c r="G5" s="104">
        <v>86</v>
      </c>
      <c r="H5" s="104">
        <v>47</v>
      </c>
      <c r="I5" s="104">
        <v>19.600000000000001</v>
      </c>
      <c r="J5" s="104">
        <v>19.739999999999998</v>
      </c>
      <c r="K5" s="104">
        <v>210</v>
      </c>
      <c r="L5" s="105">
        <f t="shared" si="0"/>
        <v>1.0096153846153846</v>
      </c>
      <c r="M5" s="104">
        <v>15.6</v>
      </c>
      <c r="N5" s="89">
        <v>26</v>
      </c>
      <c r="P5" s="4">
        <f>(F5*1000)/C5</f>
        <v>192.30769230769232</v>
      </c>
      <c r="Q5" s="166">
        <v>63.905000000000001</v>
      </c>
      <c r="R5" s="9">
        <f t="shared" si="1"/>
        <v>86</v>
      </c>
    </row>
    <row r="6" spans="1:18" ht="15" thickBot="1" x14ac:dyDescent="0.35">
      <c r="A6" s="87">
        <v>5</v>
      </c>
      <c r="B6" s="88" t="s">
        <v>140</v>
      </c>
      <c r="C6" s="89">
        <v>207</v>
      </c>
      <c r="D6" s="89">
        <v>5200</v>
      </c>
      <c r="E6" s="89">
        <v>5000</v>
      </c>
      <c r="F6" s="89">
        <v>40</v>
      </c>
      <c r="G6" s="89">
        <v>85</v>
      </c>
      <c r="H6" s="89">
        <v>45</v>
      </c>
      <c r="I6" s="89">
        <v>19.3</v>
      </c>
      <c r="J6" s="89">
        <v>23.6</v>
      </c>
      <c r="K6" s="89">
        <v>438</v>
      </c>
      <c r="L6" s="90">
        <f t="shared" si="0"/>
        <v>2.1159420289855073</v>
      </c>
      <c r="M6" s="89">
        <v>14.9</v>
      </c>
      <c r="N6" s="89">
        <v>14.5</v>
      </c>
      <c r="P6" s="4">
        <f>(F6*1000)/C6</f>
        <v>193.23671497584542</v>
      </c>
      <c r="Q6" s="165" t="s">
        <v>198</v>
      </c>
      <c r="R6" s="9">
        <f t="shared" si="1"/>
        <v>85</v>
      </c>
    </row>
    <row r="7" spans="1:18" ht="13.5" customHeight="1" thickBot="1" x14ac:dyDescent="0.35">
      <c r="A7" s="87">
        <v>6</v>
      </c>
      <c r="B7" s="88" t="s">
        <v>141</v>
      </c>
      <c r="C7" s="89">
        <v>207</v>
      </c>
      <c r="D7" s="89">
        <v>5200</v>
      </c>
      <c r="E7" s="89">
        <v>5000</v>
      </c>
      <c r="F7" s="89">
        <v>40</v>
      </c>
      <c r="G7" s="89">
        <v>85</v>
      </c>
      <c r="H7" s="89">
        <v>45</v>
      </c>
      <c r="I7" s="89">
        <v>19.3</v>
      </c>
      <c r="J7" s="89">
        <v>25.2</v>
      </c>
      <c r="K7" s="89">
        <v>624</v>
      </c>
      <c r="L7" s="90">
        <f t="shared" si="0"/>
        <v>3.0144927536231885</v>
      </c>
      <c r="M7" s="89">
        <v>14.9</v>
      </c>
      <c r="N7" s="89">
        <v>11</v>
      </c>
      <c r="P7" s="4">
        <f>(F7*1000)/C7</f>
        <v>193.23671497584542</v>
      </c>
      <c r="Q7" s="165" t="s">
        <v>198</v>
      </c>
      <c r="R7" s="9">
        <f t="shared" si="1"/>
        <v>85</v>
      </c>
    </row>
    <row r="8" spans="1:18" x14ac:dyDescent="0.3">
      <c r="A8" s="87">
        <v>7</v>
      </c>
      <c r="B8" s="88" t="s">
        <v>142</v>
      </c>
      <c r="C8" s="89">
        <v>207</v>
      </c>
      <c r="D8" s="89">
        <v>5100</v>
      </c>
      <c r="E8" s="89">
        <v>5000</v>
      </c>
      <c r="F8" s="89">
        <v>40</v>
      </c>
      <c r="G8" s="89">
        <v>95</v>
      </c>
      <c r="H8" s="89">
        <v>31</v>
      </c>
      <c r="I8" s="89">
        <v>19.399999999999999</v>
      </c>
      <c r="J8" s="89">
        <v>24.6</v>
      </c>
      <c r="K8" s="89">
        <f>C8*2</f>
        <v>414</v>
      </c>
      <c r="L8" s="90">
        <f>K8/C8</f>
        <v>2</v>
      </c>
      <c r="M8" s="89">
        <v>14.5</v>
      </c>
      <c r="N8" s="89">
        <v>16</v>
      </c>
      <c r="P8" s="4">
        <f>(F8*1000)/C8</f>
        <v>193.23671497584542</v>
      </c>
      <c r="Q8" s="35">
        <v>63.987000000000002</v>
      </c>
      <c r="R8" s="9">
        <f t="shared" si="1"/>
        <v>95</v>
      </c>
    </row>
    <row r="9" spans="1:18" x14ac:dyDescent="0.3">
      <c r="A9" s="87">
        <v>8</v>
      </c>
      <c r="B9" s="88" t="s">
        <v>143</v>
      </c>
      <c r="C9" s="89">
        <v>207</v>
      </c>
      <c r="D9" s="89">
        <v>5000</v>
      </c>
      <c r="E9" s="89">
        <v>5000</v>
      </c>
      <c r="F9" s="89">
        <v>40</v>
      </c>
      <c r="G9" s="89">
        <v>105</v>
      </c>
      <c r="H9" s="89">
        <v>23</v>
      </c>
      <c r="I9" s="89">
        <v>19.399999999999999</v>
      </c>
      <c r="J9" s="89">
        <v>24.9</v>
      </c>
      <c r="K9" s="89">
        <f>C9*2</f>
        <v>414</v>
      </c>
      <c r="L9" s="90">
        <f>K9/C9</f>
        <v>2</v>
      </c>
      <c r="M9" s="89">
        <v>14.5</v>
      </c>
      <c r="N9" s="89">
        <v>16.5</v>
      </c>
      <c r="O9" s="74"/>
      <c r="P9" s="4">
        <f t="shared" ref="P9:P93" si="2">(F9*1000)/C9</f>
        <v>193.23671497584542</v>
      </c>
      <c r="Q9" s="35">
        <v>63.987000000000002</v>
      </c>
      <c r="R9" s="9">
        <f t="shared" si="1"/>
        <v>105</v>
      </c>
    </row>
    <row r="10" spans="1:18" x14ac:dyDescent="0.3">
      <c r="A10" s="78">
        <v>9</v>
      </c>
      <c r="B10" s="79" t="s">
        <v>144</v>
      </c>
      <c r="C10" s="80">
        <v>411</v>
      </c>
      <c r="D10" s="80">
        <v>10400</v>
      </c>
      <c r="E10" s="80">
        <v>10000</v>
      </c>
      <c r="F10" s="80">
        <v>81</v>
      </c>
      <c r="G10" s="80">
        <v>85</v>
      </c>
      <c r="H10" s="80">
        <v>50</v>
      </c>
      <c r="I10" s="80">
        <v>19.7</v>
      </c>
      <c r="J10" s="80">
        <v>22.4</v>
      </c>
      <c r="K10" s="80">
        <v>870</v>
      </c>
      <c r="L10" s="81">
        <f>K10/C10</f>
        <v>2.1167883211678831</v>
      </c>
      <c r="M10" s="80">
        <v>14</v>
      </c>
      <c r="N10" s="80">
        <v>13</v>
      </c>
      <c r="O10" s="29"/>
      <c r="P10" s="4">
        <f t="shared" si="2"/>
        <v>197.08029197080293</v>
      </c>
      <c r="Q10" s="35">
        <v>64.319999999999993</v>
      </c>
      <c r="R10" s="9">
        <f t="shared" si="1"/>
        <v>85</v>
      </c>
    </row>
    <row r="11" spans="1:18" x14ac:dyDescent="0.3">
      <c r="A11" s="78">
        <v>10</v>
      </c>
      <c r="B11" s="79" t="s">
        <v>145</v>
      </c>
      <c r="C11" s="80">
        <v>411</v>
      </c>
      <c r="D11" s="80">
        <v>10200</v>
      </c>
      <c r="E11" s="80">
        <v>10000</v>
      </c>
      <c r="F11" s="80">
        <v>81</v>
      </c>
      <c r="G11" s="80">
        <v>95</v>
      </c>
      <c r="H11" s="80">
        <v>36</v>
      </c>
      <c r="I11" s="80">
        <v>19.7</v>
      </c>
      <c r="J11" s="80">
        <v>22.6</v>
      </c>
      <c r="K11" s="82">
        <v>870</v>
      </c>
      <c r="L11" s="83">
        <f>K11/C11</f>
        <v>2.1167883211678831</v>
      </c>
      <c r="M11" s="80">
        <v>14</v>
      </c>
      <c r="N11" s="80">
        <v>14.5</v>
      </c>
      <c r="O11" s="29"/>
      <c r="P11" s="4">
        <f t="shared" si="2"/>
        <v>197.08029197080293</v>
      </c>
      <c r="Q11" s="35">
        <v>64.319999999999993</v>
      </c>
      <c r="R11" s="9">
        <f t="shared" si="1"/>
        <v>95</v>
      </c>
    </row>
    <row r="12" spans="1:18" x14ac:dyDescent="0.3">
      <c r="A12" s="84">
        <v>11</v>
      </c>
      <c r="B12" s="85">
        <v>44858</v>
      </c>
      <c r="C12" s="80">
        <v>411</v>
      </c>
      <c r="D12" s="80">
        <v>9900</v>
      </c>
      <c r="E12" s="80">
        <v>10000</v>
      </c>
      <c r="F12" s="80">
        <v>81</v>
      </c>
      <c r="G12" s="80">
        <v>105</v>
      </c>
      <c r="H12" s="80">
        <v>25</v>
      </c>
      <c r="I12" s="80">
        <v>19.600000000000001</v>
      </c>
      <c r="J12" s="80">
        <v>22.7</v>
      </c>
      <c r="K12" s="86">
        <v>870</v>
      </c>
      <c r="L12" s="86">
        <f t="shared" ref="L12:L17" si="3">K12/C12</f>
        <v>2.1167883211678831</v>
      </c>
      <c r="M12" s="80">
        <v>14</v>
      </c>
      <c r="N12" s="80">
        <v>14.5</v>
      </c>
      <c r="O12" s="76"/>
      <c r="P12" s="4">
        <f t="shared" si="2"/>
        <v>197.08029197080293</v>
      </c>
      <c r="Q12" s="164">
        <v>64.319999999999993</v>
      </c>
      <c r="R12" s="9">
        <f t="shared" si="1"/>
        <v>105</v>
      </c>
    </row>
    <row r="13" spans="1:18" x14ac:dyDescent="0.3">
      <c r="A13" s="91">
        <v>12</v>
      </c>
      <c r="B13" s="92" t="s">
        <v>146</v>
      </c>
      <c r="C13" s="93">
        <v>302</v>
      </c>
      <c r="D13" s="93">
        <v>7600</v>
      </c>
      <c r="E13" s="93">
        <v>7500</v>
      </c>
      <c r="F13" s="93">
        <v>60</v>
      </c>
      <c r="G13" s="93">
        <v>85</v>
      </c>
      <c r="H13" s="91">
        <v>48</v>
      </c>
      <c r="I13" s="91">
        <v>20</v>
      </c>
      <c r="J13" s="91">
        <v>24.7</v>
      </c>
      <c r="K13" s="93">
        <v>600</v>
      </c>
      <c r="L13" s="94">
        <f t="shared" si="3"/>
        <v>1.9867549668874172</v>
      </c>
      <c r="M13" s="91">
        <v>14</v>
      </c>
      <c r="N13" s="91">
        <v>15.8</v>
      </c>
      <c r="O13" s="75"/>
      <c r="P13" s="4">
        <f t="shared" si="2"/>
        <v>198.67549668874173</v>
      </c>
      <c r="Q13" s="35">
        <v>64.456000000000003</v>
      </c>
      <c r="R13" s="9">
        <f t="shared" si="1"/>
        <v>85</v>
      </c>
    </row>
    <row r="14" spans="1:18" x14ac:dyDescent="0.3">
      <c r="A14" s="95">
        <v>13</v>
      </c>
      <c r="B14" s="96" t="s">
        <v>147</v>
      </c>
      <c r="C14" s="93">
        <v>302</v>
      </c>
      <c r="D14" s="95">
        <v>7500</v>
      </c>
      <c r="E14" s="95">
        <v>7500</v>
      </c>
      <c r="F14" s="93">
        <v>60</v>
      </c>
      <c r="G14" s="93">
        <v>95</v>
      </c>
      <c r="H14" s="95">
        <v>36</v>
      </c>
      <c r="I14" s="95">
        <v>20</v>
      </c>
      <c r="J14" s="95">
        <v>22.8</v>
      </c>
      <c r="K14" s="93">
        <v>600</v>
      </c>
      <c r="L14" s="97">
        <f t="shared" si="3"/>
        <v>1.9867549668874172</v>
      </c>
      <c r="M14" s="93">
        <v>14</v>
      </c>
      <c r="N14" s="95">
        <v>15.7</v>
      </c>
      <c r="O14" s="77"/>
      <c r="P14" s="4">
        <f t="shared" si="2"/>
        <v>198.67549668874173</v>
      </c>
      <c r="Q14" s="35">
        <v>64.456000000000003</v>
      </c>
      <c r="R14" s="9">
        <f t="shared" si="1"/>
        <v>95</v>
      </c>
    </row>
    <row r="15" spans="1:18" x14ac:dyDescent="0.3">
      <c r="A15" s="91">
        <v>14</v>
      </c>
      <c r="B15" s="96" t="s">
        <v>148</v>
      </c>
      <c r="C15" s="93">
        <v>301</v>
      </c>
      <c r="D15" s="95">
        <v>7300</v>
      </c>
      <c r="E15" s="95">
        <v>7500</v>
      </c>
      <c r="F15" s="93">
        <v>60</v>
      </c>
      <c r="G15" s="93">
        <v>105</v>
      </c>
      <c r="H15" s="95">
        <v>24.8</v>
      </c>
      <c r="I15" s="95">
        <v>20</v>
      </c>
      <c r="J15" s="95">
        <v>22.9</v>
      </c>
      <c r="K15" s="93">
        <v>600</v>
      </c>
      <c r="L15" s="97">
        <f t="shared" si="3"/>
        <v>1.9933554817275747</v>
      </c>
      <c r="M15" s="93">
        <v>14</v>
      </c>
      <c r="N15" s="95">
        <v>15.9</v>
      </c>
      <c r="O15" s="29"/>
      <c r="P15" s="4">
        <f t="shared" si="2"/>
        <v>199.33554817275748</v>
      </c>
      <c r="Q15" s="35">
        <v>64.512</v>
      </c>
      <c r="R15" s="9">
        <f t="shared" si="1"/>
        <v>105</v>
      </c>
    </row>
    <row r="16" spans="1:18" x14ac:dyDescent="0.3">
      <c r="A16" s="95">
        <v>15</v>
      </c>
      <c r="B16" s="96" t="s">
        <v>149</v>
      </c>
      <c r="C16" s="93">
        <v>299</v>
      </c>
      <c r="D16" s="95">
        <v>7300</v>
      </c>
      <c r="E16" s="95">
        <v>7500</v>
      </c>
      <c r="F16" s="93">
        <v>60</v>
      </c>
      <c r="G16" s="93">
        <v>105</v>
      </c>
      <c r="H16" s="95">
        <v>24.8</v>
      </c>
      <c r="I16" s="95">
        <v>20</v>
      </c>
      <c r="J16" s="95">
        <v>25</v>
      </c>
      <c r="K16" s="93">
        <v>900</v>
      </c>
      <c r="L16" s="97">
        <f t="shared" si="3"/>
        <v>3.0100334448160537</v>
      </c>
      <c r="M16" s="93">
        <v>14</v>
      </c>
      <c r="N16" s="95">
        <v>11.5</v>
      </c>
      <c r="O16" s="29"/>
      <c r="P16" s="4">
        <f t="shared" si="2"/>
        <v>200.66889632107024</v>
      </c>
      <c r="Q16" s="35">
        <v>64.625</v>
      </c>
      <c r="R16" s="9">
        <f t="shared" si="1"/>
        <v>105</v>
      </c>
    </row>
    <row r="17" spans="1:18" x14ac:dyDescent="0.3">
      <c r="A17" s="102">
        <v>16</v>
      </c>
      <c r="B17" s="98" t="s">
        <v>150</v>
      </c>
      <c r="C17" s="99">
        <v>131</v>
      </c>
      <c r="D17" s="99">
        <v>3000</v>
      </c>
      <c r="E17" s="99">
        <v>3000</v>
      </c>
      <c r="F17" s="99">
        <v>26</v>
      </c>
      <c r="G17" s="100">
        <v>85</v>
      </c>
      <c r="H17" s="99">
        <v>59</v>
      </c>
      <c r="I17" s="99">
        <v>20</v>
      </c>
      <c r="J17" s="99">
        <v>36.5</v>
      </c>
      <c r="K17" s="99">
        <v>264</v>
      </c>
      <c r="L17" s="101">
        <f t="shared" si="3"/>
        <v>2.0152671755725189</v>
      </c>
      <c r="M17" s="99">
        <v>15</v>
      </c>
      <c r="N17" s="99">
        <v>23.2</v>
      </c>
      <c r="O17" s="29"/>
      <c r="P17" s="4">
        <f t="shared" si="2"/>
        <v>198.47328244274809</v>
      </c>
      <c r="Q17" s="35">
        <v>64.438999999999993</v>
      </c>
      <c r="R17" s="9">
        <f t="shared" si="1"/>
        <v>85</v>
      </c>
    </row>
    <row r="18" spans="1:18" x14ac:dyDescent="0.3">
      <c r="A18" s="46">
        <v>17</v>
      </c>
      <c r="B18" s="98" t="s">
        <v>151</v>
      </c>
      <c r="C18" s="99">
        <v>131</v>
      </c>
      <c r="D18" s="99">
        <v>3000</v>
      </c>
      <c r="E18" s="99">
        <v>3000</v>
      </c>
      <c r="F18" s="99">
        <v>26</v>
      </c>
      <c r="G18" s="100">
        <v>95</v>
      </c>
      <c r="H18" s="99">
        <v>39</v>
      </c>
      <c r="I18" s="99">
        <v>20</v>
      </c>
      <c r="J18" s="99">
        <v>35.6</v>
      </c>
      <c r="K18" s="99">
        <v>264</v>
      </c>
      <c r="L18" s="101">
        <f t="shared" ref="L18:L23" si="4">K18/C18</f>
        <v>2.0152671755725189</v>
      </c>
      <c r="M18" s="99">
        <v>15</v>
      </c>
      <c r="N18" s="99">
        <v>23.5</v>
      </c>
      <c r="O18" s="29"/>
      <c r="P18" s="4">
        <f t="shared" si="2"/>
        <v>198.47328244274809</v>
      </c>
      <c r="Q18" s="35">
        <v>64.438999999999993</v>
      </c>
      <c r="R18" s="9">
        <f t="shared" si="1"/>
        <v>95</v>
      </c>
    </row>
    <row r="19" spans="1:18" x14ac:dyDescent="0.3">
      <c r="A19" s="108">
        <v>18</v>
      </c>
      <c r="B19" s="109">
        <v>44862</v>
      </c>
      <c r="C19" s="108">
        <v>131</v>
      </c>
      <c r="D19" s="108">
        <v>3000</v>
      </c>
      <c r="E19" s="108">
        <v>3000</v>
      </c>
      <c r="F19" s="108">
        <v>26</v>
      </c>
      <c r="G19" s="107">
        <v>105</v>
      </c>
      <c r="H19" s="108">
        <v>28</v>
      </c>
      <c r="I19" s="108">
        <v>20</v>
      </c>
      <c r="J19" s="108">
        <v>35.4</v>
      </c>
      <c r="K19" s="108">
        <v>264</v>
      </c>
      <c r="L19" s="110">
        <f t="shared" si="4"/>
        <v>2.0152671755725189</v>
      </c>
      <c r="M19" s="108">
        <v>15</v>
      </c>
      <c r="N19" s="108">
        <v>23.9</v>
      </c>
      <c r="O19" s="106"/>
      <c r="P19" s="4">
        <f t="shared" si="2"/>
        <v>198.47328244274809</v>
      </c>
      <c r="Q19" s="35">
        <v>64.438999999999993</v>
      </c>
      <c r="R19" s="9">
        <f t="shared" si="1"/>
        <v>105</v>
      </c>
    </row>
    <row r="20" spans="1:18" x14ac:dyDescent="0.3">
      <c r="A20" s="52"/>
      <c r="B20" s="56"/>
      <c r="C20" s="52"/>
      <c r="D20" s="52"/>
      <c r="E20" s="52"/>
      <c r="F20" s="52"/>
      <c r="G20" s="117"/>
      <c r="H20" s="52" t="s">
        <v>164</v>
      </c>
      <c r="I20" s="140">
        <v>10</v>
      </c>
      <c r="J20" s="52"/>
      <c r="K20" s="52"/>
      <c r="L20" s="118"/>
      <c r="M20" s="52"/>
      <c r="N20" s="52"/>
      <c r="O20" s="119"/>
      <c r="P20" s="4" t="e">
        <f t="shared" si="2"/>
        <v>#DIV/0!</v>
      </c>
      <c r="R20" s="9">
        <f t="shared" si="1"/>
        <v>0</v>
      </c>
    </row>
    <row r="21" spans="1:18" x14ac:dyDescent="0.3">
      <c r="A21" s="57">
        <v>19</v>
      </c>
      <c r="B21" s="57" t="s">
        <v>152</v>
      </c>
      <c r="C21" s="111">
        <v>203.5</v>
      </c>
      <c r="D21" s="111">
        <v>4850</v>
      </c>
      <c r="E21" s="111">
        <v>5000</v>
      </c>
      <c r="F21" s="111">
        <v>21.5</v>
      </c>
      <c r="G21" s="111">
        <v>85</v>
      </c>
      <c r="H21" s="111">
        <v>33</v>
      </c>
      <c r="I21" s="111">
        <v>10</v>
      </c>
      <c r="J21" s="111">
        <v>31.5</v>
      </c>
      <c r="K21" s="111">
        <v>402</v>
      </c>
      <c r="L21" s="112">
        <f t="shared" si="4"/>
        <v>1.9754299754299753</v>
      </c>
      <c r="M21" s="111">
        <v>14</v>
      </c>
      <c r="N21" s="111">
        <v>12.2</v>
      </c>
      <c r="O21" s="10"/>
      <c r="P21" s="4">
        <f t="shared" si="2"/>
        <v>105.65110565110565</v>
      </c>
      <c r="Q21" s="35">
        <v>53.491999999999997</v>
      </c>
      <c r="R21" s="9">
        <f t="shared" si="1"/>
        <v>85</v>
      </c>
    </row>
    <row r="22" spans="1:18" x14ac:dyDescent="0.3">
      <c r="A22" s="57">
        <v>20</v>
      </c>
      <c r="B22" s="57" t="s">
        <v>153</v>
      </c>
      <c r="C22" s="111">
        <v>203.5</v>
      </c>
      <c r="D22" s="111">
        <v>4800</v>
      </c>
      <c r="E22" s="111">
        <v>5000</v>
      </c>
      <c r="F22" s="111">
        <v>21.5</v>
      </c>
      <c r="G22" s="57">
        <v>95</v>
      </c>
      <c r="H22" s="57">
        <v>24</v>
      </c>
      <c r="I22" s="57">
        <v>10</v>
      </c>
      <c r="J22" s="57">
        <v>31.4</v>
      </c>
      <c r="K22" s="57">
        <v>402</v>
      </c>
      <c r="L22" s="112">
        <f t="shared" si="4"/>
        <v>1.9754299754299753</v>
      </c>
      <c r="M22" s="57">
        <v>13.8</v>
      </c>
      <c r="N22" s="57">
        <v>12.4</v>
      </c>
      <c r="O22" s="29"/>
      <c r="P22" s="4">
        <f t="shared" si="2"/>
        <v>105.65110565110565</v>
      </c>
      <c r="Q22" s="35">
        <v>53.491999999999997</v>
      </c>
      <c r="R22" s="9">
        <f t="shared" si="1"/>
        <v>95</v>
      </c>
    </row>
    <row r="23" spans="1:18" x14ac:dyDescent="0.3">
      <c r="A23" s="57">
        <v>21</v>
      </c>
      <c r="B23" s="114">
        <v>44869</v>
      </c>
      <c r="C23" s="113">
        <v>205</v>
      </c>
      <c r="D23" s="113">
        <v>4800</v>
      </c>
      <c r="E23" s="113">
        <v>5000</v>
      </c>
      <c r="F23" s="113">
        <v>22</v>
      </c>
      <c r="G23" s="113">
        <v>105</v>
      </c>
      <c r="H23" s="113">
        <v>17.3</v>
      </c>
      <c r="I23" s="57">
        <v>10</v>
      </c>
      <c r="J23" s="113">
        <v>30</v>
      </c>
      <c r="K23" s="113">
        <v>402</v>
      </c>
      <c r="L23" s="112">
        <f t="shared" si="4"/>
        <v>1.9609756097560975</v>
      </c>
      <c r="M23" s="57">
        <v>13.8</v>
      </c>
      <c r="N23" s="57">
        <v>13</v>
      </c>
      <c r="O23" s="29"/>
      <c r="P23" s="4">
        <f t="shared" si="2"/>
        <v>107.3170731707317</v>
      </c>
      <c r="Q23" s="35">
        <v>53.768999999999998</v>
      </c>
      <c r="R23" s="9">
        <f t="shared" si="1"/>
        <v>105</v>
      </c>
    </row>
    <row r="24" spans="1:18" x14ac:dyDescent="0.3">
      <c r="A24" s="115">
        <v>22</v>
      </c>
      <c r="B24" s="115" t="s">
        <v>154</v>
      </c>
      <c r="C24" s="115">
        <f>372+41</f>
        <v>413</v>
      </c>
      <c r="D24" s="115">
        <v>10000</v>
      </c>
      <c r="E24" s="115">
        <v>10000</v>
      </c>
      <c r="F24" s="115">
        <v>41</v>
      </c>
      <c r="G24" s="115">
        <v>85</v>
      </c>
      <c r="H24" s="115">
        <v>26.5</v>
      </c>
      <c r="I24" s="115">
        <v>10</v>
      </c>
      <c r="J24" s="115">
        <v>17.8</v>
      </c>
      <c r="K24" s="115">
        <v>826</v>
      </c>
      <c r="L24" s="116">
        <f t="shared" ref="L24:L32" si="5">K24/C24</f>
        <v>2</v>
      </c>
      <c r="M24" s="115">
        <v>13</v>
      </c>
      <c r="N24" s="115">
        <v>7.3</v>
      </c>
      <c r="O24" s="12"/>
      <c r="P24" s="4">
        <f t="shared" si="2"/>
        <v>99.27360774818402</v>
      </c>
      <c r="Q24" s="35">
        <v>52.393000000000001</v>
      </c>
      <c r="R24" s="9">
        <f t="shared" si="1"/>
        <v>85</v>
      </c>
    </row>
    <row r="25" spans="1:18" x14ac:dyDescent="0.3">
      <c r="A25" s="115">
        <v>23</v>
      </c>
      <c r="B25" s="115" t="s">
        <v>155</v>
      </c>
      <c r="C25" s="115">
        <v>413</v>
      </c>
      <c r="D25" s="115">
        <v>9800</v>
      </c>
      <c r="E25" s="115">
        <v>10000</v>
      </c>
      <c r="F25" s="115">
        <v>41</v>
      </c>
      <c r="G25" s="115">
        <v>95</v>
      </c>
      <c r="H25" s="115">
        <v>18.899999999999999</v>
      </c>
      <c r="I25" s="115">
        <v>10</v>
      </c>
      <c r="J25" s="115">
        <v>17.8</v>
      </c>
      <c r="K25" s="115">
        <v>826</v>
      </c>
      <c r="L25" s="116">
        <f t="shared" si="5"/>
        <v>2</v>
      </c>
      <c r="M25" s="115">
        <v>13</v>
      </c>
      <c r="N25" s="115">
        <v>7.7</v>
      </c>
      <c r="O25" s="12"/>
      <c r="P25" s="4">
        <f t="shared" si="2"/>
        <v>99.27360774818402</v>
      </c>
      <c r="Q25" s="35">
        <v>52.393000000000001</v>
      </c>
      <c r="R25" s="9">
        <f t="shared" si="1"/>
        <v>95</v>
      </c>
    </row>
    <row r="26" spans="1:18" x14ac:dyDescent="0.3">
      <c r="A26" s="115">
        <v>24</v>
      </c>
      <c r="B26" s="120" t="s">
        <v>156</v>
      </c>
      <c r="C26" s="115">
        <v>413</v>
      </c>
      <c r="D26" s="115">
        <v>9500</v>
      </c>
      <c r="E26" s="115">
        <v>10000</v>
      </c>
      <c r="F26" s="115">
        <v>41</v>
      </c>
      <c r="G26" s="115">
        <v>105</v>
      </c>
      <c r="H26" s="115">
        <v>14.6</v>
      </c>
      <c r="I26" s="115">
        <v>10</v>
      </c>
      <c r="J26" s="115">
        <v>18.5</v>
      </c>
      <c r="K26" s="115">
        <v>826</v>
      </c>
      <c r="L26" s="116">
        <f t="shared" si="5"/>
        <v>2</v>
      </c>
      <c r="M26" s="115">
        <v>13</v>
      </c>
      <c r="N26" s="115">
        <v>8.5</v>
      </c>
      <c r="O26" s="12"/>
      <c r="P26" s="4">
        <f t="shared" si="2"/>
        <v>99.27360774818402</v>
      </c>
      <c r="Q26" s="35">
        <v>52.393000000000001</v>
      </c>
      <c r="R26" s="9">
        <f t="shared" si="1"/>
        <v>105</v>
      </c>
    </row>
    <row r="27" spans="1:18" x14ac:dyDescent="0.3">
      <c r="A27" s="121">
        <v>25</v>
      </c>
      <c r="B27" s="122" t="s">
        <v>157</v>
      </c>
      <c r="C27" s="123">
        <v>302</v>
      </c>
      <c r="D27" s="124">
        <v>7500</v>
      </c>
      <c r="E27" s="124">
        <v>7500</v>
      </c>
      <c r="F27" s="123">
        <v>31</v>
      </c>
      <c r="G27" s="123">
        <v>105</v>
      </c>
      <c r="H27" s="124">
        <v>16.600000000000001</v>
      </c>
      <c r="I27" s="124">
        <v>10</v>
      </c>
      <c r="J27" s="124">
        <v>24</v>
      </c>
      <c r="K27" s="123">
        <v>605</v>
      </c>
      <c r="L27" s="125">
        <f t="shared" si="5"/>
        <v>2.0033112582781456</v>
      </c>
      <c r="M27" s="123">
        <v>13</v>
      </c>
      <c r="N27" s="124">
        <v>10.7</v>
      </c>
      <c r="O27" s="29"/>
      <c r="P27" s="4">
        <f t="shared" si="2"/>
        <v>102.64900662251655</v>
      </c>
      <c r="Q27" s="35">
        <v>52.982999999999997</v>
      </c>
      <c r="R27" s="9">
        <f t="shared" si="1"/>
        <v>105</v>
      </c>
    </row>
    <row r="28" spans="1:18" x14ac:dyDescent="0.3">
      <c r="A28" s="126">
        <v>26</v>
      </c>
      <c r="B28" s="122" t="s">
        <v>158</v>
      </c>
      <c r="C28" s="123">
        <v>310</v>
      </c>
      <c r="D28" s="124">
        <v>7500</v>
      </c>
      <c r="E28" s="124">
        <v>7500</v>
      </c>
      <c r="F28" s="123">
        <v>31</v>
      </c>
      <c r="G28" s="123">
        <v>85</v>
      </c>
      <c r="H28" s="124">
        <v>29</v>
      </c>
      <c r="I28" s="124">
        <v>10</v>
      </c>
      <c r="J28" s="124">
        <v>24.5</v>
      </c>
      <c r="K28" s="123">
        <v>605</v>
      </c>
      <c r="L28" s="125">
        <f t="shared" si="5"/>
        <v>1.9516129032258065</v>
      </c>
      <c r="M28" s="123">
        <v>13</v>
      </c>
      <c r="N28" s="124">
        <v>9.4</v>
      </c>
      <c r="O28" s="29"/>
      <c r="P28" s="4">
        <f t="shared" si="2"/>
        <v>100</v>
      </c>
      <c r="Q28" s="35">
        <v>52.521000000000001</v>
      </c>
      <c r="R28" s="9">
        <f t="shared" si="1"/>
        <v>85</v>
      </c>
    </row>
    <row r="29" spans="1:18" x14ac:dyDescent="0.3">
      <c r="A29" s="126">
        <v>27</v>
      </c>
      <c r="B29" s="122" t="s">
        <v>159</v>
      </c>
      <c r="C29" s="123">
        <v>312</v>
      </c>
      <c r="D29" s="124">
        <v>7500</v>
      </c>
      <c r="E29" s="124">
        <v>7500</v>
      </c>
      <c r="F29" s="123">
        <v>32</v>
      </c>
      <c r="G29" s="123">
        <v>95</v>
      </c>
      <c r="H29" s="124">
        <v>21.8</v>
      </c>
      <c r="I29" s="124">
        <v>10</v>
      </c>
      <c r="J29" s="124">
        <v>24.2</v>
      </c>
      <c r="K29" s="123">
        <v>610</v>
      </c>
      <c r="L29" s="125">
        <f t="shared" si="5"/>
        <v>1.9551282051282051</v>
      </c>
      <c r="M29" s="123">
        <v>13</v>
      </c>
      <c r="N29" s="124">
        <v>10</v>
      </c>
      <c r="O29" s="29"/>
      <c r="P29" s="4">
        <f t="shared" si="2"/>
        <v>102.56410256410257</v>
      </c>
      <c r="Q29" s="35">
        <v>52.969000000000001</v>
      </c>
      <c r="R29" s="9">
        <f t="shared" si="1"/>
        <v>95</v>
      </c>
    </row>
    <row r="30" spans="1:18" x14ac:dyDescent="0.3">
      <c r="A30" s="127">
        <v>16</v>
      </c>
      <c r="B30" s="128" t="s">
        <v>160</v>
      </c>
      <c r="C30" s="129">
        <v>131</v>
      </c>
      <c r="D30" s="129">
        <v>3000</v>
      </c>
      <c r="E30" s="129">
        <v>3000</v>
      </c>
      <c r="F30" s="129">
        <v>14.5</v>
      </c>
      <c r="G30" s="130">
        <v>85</v>
      </c>
      <c r="H30" s="129">
        <v>33</v>
      </c>
      <c r="I30" s="129">
        <v>10</v>
      </c>
      <c r="J30" s="129">
        <v>37.200000000000003</v>
      </c>
      <c r="K30" s="129">
        <v>260</v>
      </c>
      <c r="L30" s="131">
        <f t="shared" si="5"/>
        <v>1.9847328244274809</v>
      </c>
      <c r="M30" s="129">
        <v>14</v>
      </c>
      <c r="N30" s="129">
        <v>15</v>
      </c>
      <c r="O30" s="29"/>
      <c r="P30" s="4">
        <f t="shared" si="2"/>
        <v>110.68702290076335</v>
      </c>
      <c r="Q30" s="35">
        <v>54.314</v>
      </c>
      <c r="R30" s="9">
        <f t="shared" si="1"/>
        <v>85</v>
      </c>
    </row>
    <row r="31" spans="1:18" x14ac:dyDescent="0.3">
      <c r="A31" s="129">
        <v>17</v>
      </c>
      <c r="B31" s="128" t="s">
        <v>161</v>
      </c>
      <c r="C31" s="129">
        <v>131</v>
      </c>
      <c r="D31" s="129">
        <v>3000</v>
      </c>
      <c r="E31" s="129">
        <v>3000</v>
      </c>
      <c r="F31" s="129">
        <v>14.5</v>
      </c>
      <c r="G31" s="130">
        <v>95</v>
      </c>
      <c r="H31" s="129">
        <v>24</v>
      </c>
      <c r="I31" s="129">
        <v>10</v>
      </c>
      <c r="J31" s="129">
        <v>36.799999999999997</v>
      </c>
      <c r="K31" s="129">
        <v>260</v>
      </c>
      <c r="L31" s="131">
        <f t="shared" si="5"/>
        <v>1.9847328244274809</v>
      </c>
      <c r="M31" s="129">
        <v>14</v>
      </c>
      <c r="N31" s="129">
        <v>15.3</v>
      </c>
      <c r="O31" s="29"/>
      <c r="P31" s="4">
        <f t="shared" si="2"/>
        <v>110.68702290076335</v>
      </c>
      <c r="Q31" s="35">
        <v>54.314</v>
      </c>
      <c r="R31" s="9">
        <f t="shared" si="1"/>
        <v>95</v>
      </c>
    </row>
    <row r="32" spans="1:18" x14ac:dyDescent="0.3">
      <c r="A32" s="129">
        <v>18</v>
      </c>
      <c r="B32" s="128">
        <v>44876</v>
      </c>
      <c r="C32" s="129">
        <v>131</v>
      </c>
      <c r="D32" s="129">
        <v>3000</v>
      </c>
      <c r="E32" s="129">
        <v>3000</v>
      </c>
      <c r="F32" s="129">
        <v>14.5</v>
      </c>
      <c r="G32" s="130">
        <v>105</v>
      </c>
      <c r="H32" s="129">
        <v>18.7</v>
      </c>
      <c r="I32" s="129">
        <v>10</v>
      </c>
      <c r="J32" s="129">
        <v>35</v>
      </c>
      <c r="K32" s="129">
        <v>260</v>
      </c>
      <c r="L32" s="131">
        <f t="shared" si="5"/>
        <v>1.9847328244274809</v>
      </c>
      <c r="M32" s="129">
        <v>14</v>
      </c>
      <c r="N32" s="129">
        <v>15.3</v>
      </c>
      <c r="O32" s="29"/>
      <c r="P32" s="4">
        <f t="shared" si="2"/>
        <v>110.68702290076335</v>
      </c>
      <c r="Q32" s="35">
        <v>54.314</v>
      </c>
      <c r="R32" s="9">
        <f t="shared" si="1"/>
        <v>105</v>
      </c>
    </row>
    <row r="33" spans="1:18" x14ac:dyDescent="0.3">
      <c r="A33" s="119"/>
      <c r="B33" s="119"/>
      <c r="C33" s="119"/>
      <c r="D33" s="119"/>
      <c r="E33" s="119"/>
      <c r="F33" s="119"/>
      <c r="G33" s="119"/>
      <c r="H33" s="52"/>
      <c r="I33" s="140"/>
      <c r="J33" s="119"/>
      <c r="K33" s="119"/>
      <c r="L33" s="119"/>
      <c r="M33" s="119"/>
      <c r="N33" s="119"/>
      <c r="O33" s="119"/>
      <c r="P33" s="4"/>
      <c r="R33" s="9"/>
    </row>
    <row r="34" spans="1:18" x14ac:dyDescent="0.3">
      <c r="A34" s="133">
        <v>19</v>
      </c>
      <c r="B34" s="88" t="s">
        <v>162</v>
      </c>
      <c r="C34" s="89">
        <v>200</v>
      </c>
      <c r="D34" s="89">
        <v>5200</v>
      </c>
      <c r="E34" s="89">
        <v>5000</v>
      </c>
      <c r="F34" s="89">
        <v>60</v>
      </c>
      <c r="G34" s="89">
        <v>95</v>
      </c>
      <c r="H34" s="89" t="s">
        <v>4</v>
      </c>
      <c r="I34" s="142">
        <f>F34/C34*100</f>
        <v>30</v>
      </c>
      <c r="J34" s="134">
        <v>29.9</v>
      </c>
      <c r="K34" s="89">
        <v>400</v>
      </c>
      <c r="L34" s="132">
        <f t="shared" ref="L34:L43" si="6">K34/C34</f>
        <v>2</v>
      </c>
      <c r="M34" s="89">
        <v>12.6</v>
      </c>
      <c r="N34" s="89">
        <v>26</v>
      </c>
      <c r="O34" s="29"/>
      <c r="P34" s="4">
        <f t="shared" si="2"/>
        <v>300</v>
      </c>
      <c r="Q34" s="35">
        <v>71.192999999999998</v>
      </c>
      <c r="R34" s="9">
        <f t="shared" si="1"/>
        <v>95</v>
      </c>
    </row>
    <row r="35" spans="1:18" x14ac:dyDescent="0.3">
      <c r="A35" s="133">
        <v>20</v>
      </c>
      <c r="B35" s="88" t="s">
        <v>163</v>
      </c>
      <c r="C35" s="133">
        <v>200</v>
      </c>
      <c r="D35" s="133">
        <v>5000</v>
      </c>
      <c r="E35" s="133">
        <v>5000</v>
      </c>
      <c r="F35" s="133">
        <v>60</v>
      </c>
      <c r="G35" s="133">
        <v>85</v>
      </c>
      <c r="H35" s="133" t="s">
        <v>4</v>
      </c>
      <c r="I35" s="142">
        <f>F35/C35*100</f>
        <v>30</v>
      </c>
      <c r="J35" s="133">
        <v>30.2</v>
      </c>
      <c r="K35" s="133">
        <v>400</v>
      </c>
      <c r="L35" s="133">
        <f t="shared" si="6"/>
        <v>2</v>
      </c>
      <c r="M35" s="133">
        <v>12.5</v>
      </c>
      <c r="N35" s="133">
        <v>25.6</v>
      </c>
      <c r="O35" s="29"/>
      <c r="P35" s="4">
        <f t="shared" si="2"/>
        <v>300</v>
      </c>
      <c r="Q35" s="35">
        <v>71.192999999999998</v>
      </c>
      <c r="R35" s="9">
        <f t="shared" si="1"/>
        <v>85</v>
      </c>
    </row>
    <row r="36" spans="1:18" x14ac:dyDescent="0.3">
      <c r="A36" s="133">
        <v>21</v>
      </c>
      <c r="B36" s="88" t="s">
        <v>166</v>
      </c>
      <c r="C36" s="133">
        <v>200</v>
      </c>
      <c r="D36" s="133">
        <v>5000</v>
      </c>
      <c r="E36" s="133">
        <v>5000</v>
      </c>
      <c r="F36" s="133">
        <v>60</v>
      </c>
      <c r="G36" s="133">
        <v>105</v>
      </c>
      <c r="H36" s="133" t="s">
        <v>4</v>
      </c>
      <c r="I36" s="142">
        <f>F36/C36*100</f>
        <v>30</v>
      </c>
      <c r="J36" s="133">
        <v>28.5</v>
      </c>
      <c r="K36" s="133">
        <v>400</v>
      </c>
      <c r="L36" s="133">
        <f t="shared" si="6"/>
        <v>2</v>
      </c>
      <c r="M36" s="133">
        <v>11</v>
      </c>
      <c r="N36" s="133">
        <v>26</v>
      </c>
      <c r="O36" s="29"/>
      <c r="P36" s="4">
        <f t="shared" si="2"/>
        <v>300</v>
      </c>
      <c r="Q36" s="35">
        <v>71.192999999999998</v>
      </c>
      <c r="R36" s="9">
        <f t="shared" si="1"/>
        <v>105</v>
      </c>
    </row>
    <row r="37" spans="1:18" x14ac:dyDescent="0.3">
      <c r="A37" s="135">
        <v>22</v>
      </c>
      <c r="B37" s="136" t="s">
        <v>165</v>
      </c>
      <c r="C37" s="137">
        <v>300</v>
      </c>
      <c r="D37" s="137">
        <v>7500</v>
      </c>
      <c r="E37" s="137">
        <v>7500</v>
      </c>
      <c r="F37" s="137">
        <v>90</v>
      </c>
      <c r="G37" s="137">
        <v>105</v>
      </c>
      <c r="H37" s="135" t="s">
        <v>4</v>
      </c>
      <c r="I37" s="143">
        <f>F37/C37*100</f>
        <v>30</v>
      </c>
      <c r="J37" s="135">
        <v>25</v>
      </c>
      <c r="K37" s="137">
        <v>600</v>
      </c>
      <c r="L37" s="138">
        <f t="shared" si="6"/>
        <v>2</v>
      </c>
      <c r="M37" s="135">
        <v>13</v>
      </c>
      <c r="N37" s="135">
        <v>23</v>
      </c>
      <c r="O37" s="29"/>
      <c r="P37" s="4">
        <f t="shared" si="2"/>
        <v>300</v>
      </c>
      <c r="Q37" s="35">
        <v>71.192999999999998</v>
      </c>
      <c r="R37" s="9">
        <f t="shared" si="1"/>
        <v>105</v>
      </c>
    </row>
    <row r="38" spans="1:18" x14ac:dyDescent="0.3">
      <c r="A38" s="139">
        <v>23</v>
      </c>
      <c r="B38" s="141" t="s">
        <v>167</v>
      </c>
      <c r="C38" s="137">
        <v>300</v>
      </c>
      <c r="D38" s="137">
        <v>7500</v>
      </c>
      <c r="E38" s="137">
        <v>7500</v>
      </c>
      <c r="F38" s="137">
        <v>85</v>
      </c>
      <c r="G38" s="58">
        <v>95</v>
      </c>
      <c r="H38" s="139" t="s">
        <v>4</v>
      </c>
      <c r="I38" s="143">
        <v>30</v>
      </c>
      <c r="J38" s="139">
        <v>25.4</v>
      </c>
      <c r="K38" s="139">
        <v>612</v>
      </c>
      <c r="L38" s="138">
        <f t="shared" si="6"/>
        <v>2.04</v>
      </c>
      <c r="M38" s="139">
        <v>12.5</v>
      </c>
      <c r="N38" s="139">
        <v>21.4</v>
      </c>
      <c r="O38" s="29"/>
      <c r="P38" s="4">
        <f t="shared" si="2"/>
        <v>283.33333333333331</v>
      </c>
      <c r="Q38" s="35">
        <v>70.27</v>
      </c>
      <c r="R38" s="9">
        <f t="shared" si="1"/>
        <v>95</v>
      </c>
    </row>
    <row r="39" spans="1:18" x14ac:dyDescent="0.3">
      <c r="A39" s="135">
        <v>24</v>
      </c>
      <c r="B39" s="141" t="s">
        <v>168</v>
      </c>
      <c r="C39" s="137">
        <v>300</v>
      </c>
      <c r="D39" s="137">
        <v>7500</v>
      </c>
      <c r="E39" s="137">
        <v>7500</v>
      </c>
      <c r="F39" s="137">
        <v>85</v>
      </c>
      <c r="G39" s="58">
        <v>85</v>
      </c>
      <c r="H39" s="139" t="s">
        <v>4</v>
      </c>
      <c r="I39" s="143">
        <v>30</v>
      </c>
      <c r="J39" s="139">
        <v>26.7</v>
      </c>
      <c r="K39" s="139">
        <v>600</v>
      </c>
      <c r="L39" s="138">
        <f t="shared" si="6"/>
        <v>2</v>
      </c>
      <c r="M39" s="139">
        <v>12</v>
      </c>
      <c r="N39" s="139">
        <v>21.8</v>
      </c>
      <c r="P39" s="4">
        <f t="shared" si="2"/>
        <v>283.33333333333331</v>
      </c>
      <c r="Q39" s="35">
        <v>70.27</v>
      </c>
      <c r="R39" s="9">
        <f t="shared" si="1"/>
        <v>85</v>
      </c>
    </row>
    <row r="40" spans="1:18" x14ac:dyDescent="0.3">
      <c r="A40" s="145">
        <v>25</v>
      </c>
      <c r="B40" s="145" t="s">
        <v>169</v>
      </c>
      <c r="C40" s="130">
        <v>403</v>
      </c>
      <c r="D40" s="130">
        <v>10000</v>
      </c>
      <c r="E40" s="130">
        <v>10000</v>
      </c>
      <c r="F40" s="130">
        <v>110</v>
      </c>
      <c r="G40" s="130">
        <v>95</v>
      </c>
      <c r="H40" s="130" t="s">
        <v>4</v>
      </c>
      <c r="I40" s="144">
        <v>28</v>
      </c>
      <c r="J40" s="130">
        <v>22.9</v>
      </c>
      <c r="K40" s="130">
        <f>C40*2</f>
        <v>806</v>
      </c>
      <c r="L40" s="144">
        <f t="shared" si="6"/>
        <v>2</v>
      </c>
      <c r="M40" s="130">
        <v>10.5</v>
      </c>
      <c r="N40" s="130">
        <v>19.3</v>
      </c>
      <c r="O40" t="s">
        <v>170</v>
      </c>
      <c r="P40" s="4">
        <f t="shared" si="2"/>
        <v>272.95285359801488</v>
      </c>
      <c r="Q40" s="35">
        <v>69.692999999999998</v>
      </c>
      <c r="R40" s="9">
        <f t="shared" si="1"/>
        <v>95</v>
      </c>
    </row>
    <row r="41" spans="1:18" x14ac:dyDescent="0.3">
      <c r="A41" s="145">
        <v>26</v>
      </c>
      <c r="B41" s="145" t="s">
        <v>171</v>
      </c>
      <c r="C41" s="130">
        <v>403</v>
      </c>
      <c r="D41" s="130">
        <v>10000</v>
      </c>
      <c r="E41" s="130">
        <v>10000</v>
      </c>
      <c r="F41" s="130">
        <v>110</v>
      </c>
      <c r="G41" s="130">
        <v>85</v>
      </c>
      <c r="H41" s="130" t="s">
        <v>4</v>
      </c>
      <c r="I41" s="144">
        <v>28</v>
      </c>
      <c r="J41" s="130">
        <v>23.6</v>
      </c>
      <c r="K41" s="130">
        <f>C41*2</f>
        <v>806</v>
      </c>
      <c r="L41" s="144">
        <f t="shared" si="6"/>
        <v>2</v>
      </c>
      <c r="M41" s="130">
        <v>10.6</v>
      </c>
      <c r="N41" s="130">
        <v>18.3</v>
      </c>
      <c r="O41" t="s">
        <v>170</v>
      </c>
      <c r="P41" s="4">
        <f t="shared" si="2"/>
        <v>272.95285359801488</v>
      </c>
      <c r="Q41" s="35">
        <v>69.692999999999998</v>
      </c>
      <c r="R41" s="9">
        <f t="shared" si="1"/>
        <v>85</v>
      </c>
    </row>
    <row r="42" spans="1:18" x14ac:dyDescent="0.3">
      <c r="A42" s="145">
        <v>27</v>
      </c>
      <c r="B42" s="128">
        <v>44883</v>
      </c>
      <c r="C42" s="130">
        <v>403</v>
      </c>
      <c r="D42" s="130">
        <v>10000</v>
      </c>
      <c r="E42" s="130">
        <v>10000</v>
      </c>
      <c r="F42" s="130">
        <v>110</v>
      </c>
      <c r="G42" s="129">
        <v>105</v>
      </c>
      <c r="H42" s="130" t="s">
        <v>4</v>
      </c>
      <c r="I42" s="144">
        <v>28</v>
      </c>
      <c r="J42" s="129">
        <v>22.8</v>
      </c>
      <c r="K42" s="129">
        <v>806</v>
      </c>
      <c r="L42" s="144">
        <f t="shared" si="6"/>
        <v>2</v>
      </c>
      <c r="M42" s="129">
        <v>12.3</v>
      </c>
      <c r="N42" s="129">
        <v>19.2</v>
      </c>
      <c r="O42" t="s">
        <v>170</v>
      </c>
      <c r="P42" s="4">
        <f t="shared" si="2"/>
        <v>272.95285359801488</v>
      </c>
      <c r="Q42" s="35">
        <v>69.692999999999998</v>
      </c>
      <c r="R42" s="9">
        <f t="shared" si="1"/>
        <v>105</v>
      </c>
    </row>
    <row r="43" spans="1:18" x14ac:dyDescent="0.3">
      <c r="B43" s="146" t="s">
        <v>172</v>
      </c>
      <c r="C43" s="26">
        <v>131</v>
      </c>
      <c r="D43" s="26">
        <v>3000</v>
      </c>
      <c r="E43" s="26">
        <v>3000</v>
      </c>
      <c r="F43" s="26">
        <v>39</v>
      </c>
      <c r="G43" s="147">
        <v>95</v>
      </c>
      <c r="H43" s="26" t="s">
        <v>4</v>
      </c>
      <c r="I43" s="26">
        <v>30</v>
      </c>
      <c r="J43" s="26">
        <v>31.1</v>
      </c>
      <c r="K43" s="26">
        <v>262</v>
      </c>
      <c r="L43" s="148">
        <f t="shared" si="6"/>
        <v>2</v>
      </c>
      <c r="M43" s="26">
        <v>13</v>
      </c>
      <c r="N43" s="26">
        <v>28.5</v>
      </c>
      <c r="P43" s="4">
        <f t="shared" si="2"/>
        <v>297.70992366412213</v>
      </c>
      <c r="Q43" s="35">
        <v>71.072999999999993</v>
      </c>
      <c r="R43" s="9">
        <f t="shared" si="1"/>
        <v>95</v>
      </c>
    </row>
    <row r="44" spans="1:18" x14ac:dyDescent="0.3">
      <c r="B44" s="146" t="s">
        <v>173</v>
      </c>
      <c r="C44" s="26">
        <v>131</v>
      </c>
      <c r="D44" s="26">
        <v>3000</v>
      </c>
      <c r="E44" s="26">
        <v>3000</v>
      </c>
      <c r="F44" s="26">
        <v>39</v>
      </c>
      <c r="G44" s="27">
        <v>85</v>
      </c>
      <c r="H44" s="27" t="s">
        <v>4</v>
      </c>
      <c r="I44" s="27">
        <v>30</v>
      </c>
      <c r="J44" s="27">
        <v>31.4</v>
      </c>
      <c r="K44" s="27">
        <v>262</v>
      </c>
      <c r="L44" s="27">
        <v>2</v>
      </c>
      <c r="M44" s="27">
        <v>12.5</v>
      </c>
      <c r="N44" s="27">
        <v>28.3</v>
      </c>
      <c r="P44" s="4">
        <f t="shared" si="2"/>
        <v>297.70992366412213</v>
      </c>
      <c r="Q44" s="35">
        <v>71.072999999999993</v>
      </c>
      <c r="R44" s="9">
        <f t="shared" si="1"/>
        <v>85</v>
      </c>
    </row>
    <row r="45" spans="1:18" x14ac:dyDescent="0.3">
      <c r="B45" s="146">
        <v>44887</v>
      </c>
      <c r="C45" s="26">
        <v>131</v>
      </c>
      <c r="D45" s="26">
        <v>3000</v>
      </c>
      <c r="E45" s="26">
        <v>3000</v>
      </c>
      <c r="F45" s="26">
        <v>39</v>
      </c>
      <c r="G45" s="147">
        <v>105</v>
      </c>
      <c r="H45" s="26" t="s">
        <v>4</v>
      </c>
      <c r="I45" s="26">
        <v>30</v>
      </c>
      <c r="J45" s="26">
        <v>31.4</v>
      </c>
      <c r="K45" s="26">
        <v>262</v>
      </c>
      <c r="L45" s="148">
        <f>K45/C45</f>
        <v>2</v>
      </c>
      <c r="M45" s="26">
        <v>11.5</v>
      </c>
      <c r="N45" s="26">
        <v>29.7</v>
      </c>
      <c r="P45" s="4">
        <f t="shared" si="2"/>
        <v>297.70992366412213</v>
      </c>
      <c r="Q45" s="35">
        <v>71.072999999999993</v>
      </c>
      <c r="R45" s="9">
        <f t="shared" si="1"/>
        <v>105</v>
      </c>
    </row>
    <row r="46" spans="1:18" x14ac:dyDescent="0.3">
      <c r="B46" s="150">
        <v>44888</v>
      </c>
      <c r="C46" s="26">
        <v>131</v>
      </c>
      <c r="D46" s="26">
        <v>3000</v>
      </c>
      <c r="E46" s="26">
        <v>3000</v>
      </c>
      <c r="F46" s="26">
        <v>39</v>
      </c>
      <c r="G46" s="26">
        <v>85</v>
      </c>
      <c r="H46" s="26" t="s">
        <v>4</v>
      </c>
      <c r="I46" s="26">
        <v>30</v>
      </c>
      <c r="J46" s="26">
        <v>32.200000000000003</v>
      </c>
      <c r="K46" s="26">
        <v>262</v>
      </c>
      <c r="L46" s="26">
        <v>2</v>
      </c>
      <c r="M46" s="26">
        <v>10</v>
      </c>
      <c r="N46" s="26">
        <v>29</v>
      </c>
      <c r="O46" t="s">
        <v>188</v>
      </c>
      <c r="P46" s="4">
        <f t="shared" si="2"/>
        <v>297.70992366412213</v>
      </c>
      <c r="Q46" s="35">
        <v>71.072999999999993</v>
      </c>
      <c r="R46" s="9">
        <f t="shared" si="1"/>
        <v>85</v>
      </c>
    </row>
    <row r="47" spans="1:18" x14ac:dyDescent="0.3">
      <c r="B47" s="119"/>
      <c r="C47" s="119"/>
      <c r="D47" s="119"/>
      <c r="E47" s="119"/>
      <c r="F47" s="119"/>
      <c r="G47" s="119"/>
      <c r="H47" s="52"/>
      <c r="I47" s="140"/>
      <c r="J47" s="119"/>
      <c r="K47" s="119"/>
      <c r="L47" s="119"/>
      <c r="M47" s="119"/>
      <c r="N47" s="119"/>
      <c r="O47" s="119"/>
      <c r="P47" s="4"/>
      <c r="R47" s="9"/>
    </row>
    <row r="48" spans="1:18" x14ac:dyDescent="0.3">
      <c r="B48" s="151" t="s">
        <v>189</v>
      </c>
      <c r="C48" s="130">
        <v>200</v>
      </c>
      <c r="D48" s="130">
        <v>5000</v>
      </c>
      <c r="E48" s="130">
        <v>5000</v>
      </c>
      <c r="F48" s="130">
        <v>40</v>
      </c>
      <c r="G48" s="130">
        <v>115</v>
      </c>
      <c r="H48" s="130" t="s">
        <v>4</v>
      </c>
      <c r="I48" s="130">
        <v>20</v>
      </c>
      <c r="J48" s="130">
        <v>25.9</v>
      </c>
      <c r="K48" s="130">
        <v>400</v>
      </c>
      <c r="L48" s="144">
        <f>K48/C48</f>
        <v>2</v>
      </c>
      <c r="M48" s="130">
        <v>11</v>
      </c>
      <c r="N48" s="130">
        <v>18.5</v>
      </c>
      <c r="P48" s="4">
        <f t="shared" si="2"/>
        <v>200</v>
      </c>
      <c r="Q48" s="35">
        <v>64.569000000000003</v>
      </c>
      <c r="R48" s="9">
        <f t="shared" si="1"/>
        <v>115</v>
      </c>
    </row>
    <row r="49" spans="2:18" x14ac:dyDescent="0.3">
      <c r="B49" s="151" t="s">
        <v>190</v>
      </c>
      <c r="C49" s="130">
        <v>200</v>
      </c>
      <c r="D49" s="130">
        <v>5000</v>
      </c>
      <c r="E49" s="130">
        <v>5000</v>
      </c>
      <c r="F49" s="130">
        <v>40</v>
      </c>
      <c r="G49" s="152">
        <v>125</v>
      </c>
      <c r="H49" s="145"/>
      <c r="I49" s="152">
        <v>20</v>
      </c>
      <c r="J49" s="152">
        <v>25.6</v>
      </c>
      <c r="K49" s="130">
        <v>400</v>
      </c>
      <c r="L49" s="144">
        <f>K49/C49</f>
        <v>2</v>
      </c>
      <c r="M49" s="152">
        <v>11</v>
      </c>
      <c r="N49" s="152">
        <v>18.7</v>
      </c>
      <c r="P49" s="4">
        <f t="shared" si="2"/>
        <v>200</v>
      </c>
      <c r="Q49" s="35">
        <v>64.569000000000003</v>
      </c>
      <c r="R49" s="9">
        <f t="shared" si="1"/>
        <v>125</v>
      </c>
    </row>
    <row r="50" spans="2:18" x14ac:dyDescent="0.3">
      <c r="B50" s="151">
        <v>44890</v>
      </c>
      <c r="C50" s="130">
        <v>200</v>
      </c>
      <c r="D50" s="130">
        <v>5000</v>
      </c>
      <c r="E50" s="130">
        <v>5000</v>
      </c>
      <c r="F50" s="130">
        <v>40</v>
      </c>
      <c r="G50" s="152">
        <v>135</v>
      </c>
      <c r="H50" s="145"/>
      <c r="I50" s="152">
        <v>20</v>
      </c>
      <c r="J50" s="152">
        <v>24</v>
      </c>
      <c r="K50" s="130">
        <v>400</v>
      </c>
      <c r="L50" s="144">
        <f>K50/C50</f>
        <v>2</v>
      </c>
      <c r="M50" s="152">
        <v>12</v>
      </c>
      <c r="N50" s="152">
        <v>19</v>
      </c>
      <c r="P50" s="4">
        <f t="shared" si="2"/>
        <v>200</v>
      </c>
      <c r="Q50" s="35">
        <v>64.569000000000003</v>
      </c>
      <c r="R50" s="9">
        <f t="shared" si="1"/>
        <v>135</v>
      </c>
    </row>
    <row r="51" spans="2:18" x14ac:dyDescent="0.3">
      <c r="B51" s="153">
        <v>44893</v>
      </c>
      <c r="C51" s="154">
        <v>213</v>
      </c>
      <c r="D51" s="155">
        <v>5000</v>
      </c>
      <c r="E51" s="155">
        <v>5000</v>
      </c>
      <c r="F51" s="155">
        <v>41.5</v>
      </c>
      <c r="G51" s="156">
        <v>145</v>
      </c>
      <c r="H51" s="157"/>
      <c r="I51" s="156">
        <v>20</v>
      </c>
      <c r="J51" s="156">
        <v>23.5</v>
      </c>
      <c r="K51" s="155">
        <v>403.5</v>
      </c>
      <c r="L51" s="156">
        <v>2</v>
      </c>
      <c r="M51" s="156">
        <v>8.84</v>
      </c>
      <c r="N51" s="156">
        <v>19.82</v>
      </c>
      <c r="P51" s="4">
        <f t="shared" si="2"/>
        <v>194.8356807511737</v>
      </c>
      <c r="Q51" s="35">
        <v>67.691999999999993</v>
      </c>
      <c r="R51" s="9">
        <f t="shared" si="1"/>
        <v>145</v>
      </c>
    </row>
    <row r="52" spans="2:18" x14ac:dyDescent="0.3">
      <c r="B52" s="153">
        <v>44893</v>
      </c>
      <c r="C52" s="154">
        <v>217</v>
      </c>
      <c r="D52" s="155">
        <v>5000</v>
      </c>
      <c r="E52" s="155">
        <v>5000</v>
      </c>
      <c r="F52" s="155">
        <v>41.5</v>
      </c>
      <c r="G52" s="156">
        <v>155</v>
      </c>
      <c r="H52" s="157"/>
      <c r="I52" s="156">
        <v>20</v>
      </c>
      <c r="J52" s="156">
        <v>22.97</v>
      </c>
      <c r="K52" s="155">
        <v>405</v>
      </c>
      <c r="L52" s="156">
        <v>2</v>
      </c>
      <c r="M52" s="156">
        <v>8.8800000000000008</v>
      </c>
      <c r="N52" s="156">
        <v>20.21</v>
      </c>
      <c r="P52" s="4">
        <f t="shared" si="2"/>
        <v>191.2442396313364</v>
      </c>
      <c r="Q52" s="35">
        <v>63.811</v>
      </c>
      <c r="R52" s="9">
        <f t="shared" si="1"/>
        <v>155</v>
      </c>
    </row>
    <row r="53" spans="2:18" x14ac:dyDescent="0.3">
      <c r="B53" t="s">
        <v>191</v>
      </c>
      <c r="C53" s="162">
        <v>225</v>
      </c>
      <c r="D53" s="159">
        <v>5000</v>
      </c>
      <c r="E53" s="159">
        <v>5000</v>
      </c>
      <c r="F53" s="159">
        <v>45</v>
      </c>
      <c r="G53" s="160">
        <v>165</v>
      </c>
      <c r="I53" s="160">
        <v>20</v>
      </c>
      <c r="J53" s="160">
        <v>22.43</v>
      </c>
      <c r="K53" s="159">
        <v>408</v>
      </c>
      <c r="L53" s="160">
        <v>2</v>
      </c>
      <c r="M53" s="160">
        <v>11.11</v>
      </c>
      <c r="N53" s="160">
        <v>20.66</v>
      </c>
      <c r="P53" s="4">
        <f t="shared" si="2"/>
        <v>200</v>
      </c>
      <c r="Q53" s="35">
        <v>64.569000000000003</v>
      </c>
      <c r="R53" s="9">
        <f t="shared" si="1"/>
        <v>165</v>
      </c>
    </row>
    <row r="54" spans="2:18" x14ac:dyDescent="0.3">
      <c r="B54" t="s">
        <v>191</v>
      </c>
      <c r="C54" s="158">
        <v>225</v>
      </c>
      <c r="D54" s="159">
        <v>5000</v>
      </c>
      <c r="E54" s="159">
        <v>5000</v>
      </c>
      <c r="F54" s="159">
        <v>45</v>
      </c>
      <c r="G54" s="161">
        <v>165</v>
      </c>
      <c r="I54" s="160">
        <v>20</v>
      </c>
      <c r="J54" s="160">
        <v>22.43</v>
      </c>
      <c r="K54" s="159">
        <v>408</v>
      </c>
      <c r="L54" s="160">
        <v>2</v>
      </c>
      <c r="M54" s="160">
        <v>11.11</v>
      </c>
      <c r="N54" s="160">
        <v>20.66</v>
      </c>
      <c r="P54" s="4">
        <f t="shared" si="2"/>
        <v>200</v>
      </c>
      <c r="Q54" s="35">
        <v>64.569000000000003</v>
      </c>
      <c r="R54" s="9">
        <f t="shared" si="1"/>
        <v>165</v>
      </c>
    </row>
    <row r="55" spans="2:18" x14ac:dyDescent="0.3">
      <c r="B55" t="s">
        <v>192</v>
      </c>
      <c r="C55">
        <v>223</v>
      </c>
      <c r="D55" s="159">
        <v>5000</v>
      </c>
      <c r="E55" s="159">
        <v>5000</v>
      </c>
      <c r="F55">
        <v>42</v>
      </c>
      <c r="G55">
        <v>185</v>
      </c>
      <c r="I55">
        <v>20</v>
      </c>
      <c r="J55">
        <v>23.88</v>
      </c>
      <c r="K55" s="159">
        <v>408</v>
      </c>
      <c r="L55">
        <v>2</v>
      </c>
      <c r="M55">
        <v>11.05</v>
      </c>
      <c r="N55">
        <v>22.1</v>
      </c>
      <c r="P55" s="4">
        <f t="shared" si="2"/>
        <v>188.34080717488789</v>
      </c>
      <c r="Q55" s="35">
        <v>63.552</v>
      </c>
      <c r="R55" s="9">
        <f t="shared" si="1"/>
        <v>185</v>
      </c>
    </row>
    <row r="56" spans="2:18" x14ac:dyDescent="0.3">
      <c r="B56" t="s">
        <v>193</v>
      </c>
      <c r="C56">
        <v>226</v>
      </c>
      <c r="D56" s="159">
        <v>5000</v>
      </c>
      <c r="E56" s="159">
        <v>5000</v>
      </c>
      <c r="F56">
        <f>226-182</f>
        <v>44</v>
      </c>
      <c r="G56">
        <v>185</v>
      </c>
      <c r="I56">
        <v>20</v>
      </c>
      <c r="J56">
        <v>22.76</v>
      </c>
      <c r="K56" s="159">
        <v>432</v>
      </c>
      <c r="L56">
        <v>2</v>
      </c>
      <c r="M56">
        <v>10.85</v>
      </c>
      <c r="N56">
        <v>21.6</v>
      </c>
      <c r="P56" s="4">
        <f t="shared" si="2"/>
        <v>194.69026548672565</v>
      </c>
      <c r="Q56" s="35">
        <v>64.114000000000004</v>
      </c>
      <c r="R56" s="9">
        <f t="shared" si="1"/>
        <v>185</v>
      </c>
    </row>
    <row r="57" spans="2:18" x14ac:dyDescent="0.3">
      <c r="B57" t="s">
        <v>194</v>
      </c>
      <c r="C57">
        <v>231</v>
      </c>
      <c r="D57" s="159">
        <v>5000</v>
      </c>
      <c r="E57" s="159">
        <v>5000</v>
      </c>
      <c r="F57">
        <f>231-186</f>
        <v>45</v>
      </c>
      <c r="G57">
        <v>195</v>
      </c>
      <c r="I57">
        <v>20</v>
      </c>
      <c r="J57">
        <v>23.44</v>
      </c>
      <c r="K57" s="159">
        <v>453</v>
      </c>
      <c r="L57">
        <v>2</v>
      </c>
      <c r="M57">
        <v>10.44</v>
      </c>
      <c r="N57">
        <v>21.56</v>
      </c>
      <c r="P57" s="4">
        <f t="shared" si="2"/>
        <v>194.80519480519482</v>
      </c>
      <c r="Q57" s="35">
        <v>64.123999999999995</v>
      </c>
      <c r="R57" s="9">
        <f t="shared" si="1"/>
        <v>195</v>
      </c>
    </row>
    <row r="58" spans="2:18" ht="15" thickBot="1" x14ac:dyDescent="0.35">
      <c r="B58" t="s">
        <v>195</v>
      </c>
      <c r="C58">
        <v>243</v>
      </c>
      <c r="D58" s="159">
        <v>5000</v>
      </c>
      <c r="E58" s="159">
        <v>5000</v>
      </c>
      <c r="F58">
        <v>45</v>
      </c>
      <c r="G58">
        <v>205</v>
      </c>
      <c r="I58">
        <v>20</v>
      </c>
      <c r="J58">
        <v>23.28</v>
      </c>
      <c r="K58" s="159">
        <v>468</v>
      </c>
      <c r="L58">
        <v>2</v>
      </c>
      <c r="M58">
        <v>10.42</v>
      </c>
      <c r="N58">
        <v>21.74</v>
      </c>
      <c r="P58" s="4">
        <f t="shared" si="2"/>
        <v>185.18518518518519</v>
      </c>
      <c r="Q58" s="167">
        <v>99.866</v>
      </c>
      <c r="R58" s="9">
        <f t="shared" si="1"/>
        <v>205</v>
      </c>
    </row>
    <row r="59" spans="2:18" x14ac:dyDescent="0.3">
      <c r="B59" t="s">
        <v>195</v>
      </c>
      <c r="C59">
        <v>243</v>
      </c>
      <c r="D59" s="159">
        <v>5000</v>
      </c>
      <c r="E59" s="159">
        <v>5000</v>
      </c>
      <c r="F59">
        <v>45</v>
      </c>
      <c r="G59">
        <v>215</v>
      </c>
      <c r="I59">
        <v>20</v>
      </c>
      <c r="J59">
        <v>23.13</v>
      </c>
      <c r="K59" s="159">
        <v>468</v>
      </c>
      <c r="L59">
        <v>2</v>
      </c>
      <c r="M59">
        <v>10.45</v>
      </c>
      <c r="N59">
        <v>22.5</v>
      </c>
      <c r="P59" s="4">
        <f t="shared" si="2"/>
        <v>185.18518518518519</v>
      </c>
      <c r="Q59" s="35">
        <v>99.866</v>
      </c>
      <c r="R59" s="9">
        <f t="shared" si="1"/>
        <v>215</v>
      </c>
    </row>
    <row r="60" spans="2:18" x14ac:dyDescent="0.3">
      <c r="B60" t="s">
        <v>206</v>
      </c>
      <c r="C60">
        <v>194</v>
      </c>
      <c r="D60" s="159">
        <v>5000</v>
      </c>
      <c r="E60" s="159">
        <v>5000</v>
      </c>
      <c r="F60">
        <v>38</v>
      </c>
      <c r="G60">
        <v>85</v>
      </c>
      <c r="I60">
        <v>20</v>
      </c>
      <c r="J60">
        <v>29.14</v>
      </c>
      <c r="K60" s="159">
        <v>396</v>
      </c>
      <c r="L60">
        <v>2</v>
      </c>
      <c r="M60">
        <v>10.220000000000001</v>
      </c>
      <c r="N60">
        <v>18.14</v>
      </c>
      <c r="P60" s="4">
        <f t="shared" si="2"/>
        <v>195.8762886597938</v>
      </c>
      <c r="Q60" s="35">
        <v>85.003</v>
      </c>
      <c r="R60" s="9">
        <f t="shared" si="1"/>
        <v>85</v>
      </c>
    </row>
    <row r="61" spans="2:18" x14ac:dyDescent="0.3">
      <c r="B61" t="s">
        <v>206</v>
      </c>
      <c r="C61">
        <v>196</v>
      </c>
      <c r="D61" s="159">
        <v>5000</v>
      </c>
      <c r="E61" s="159">
        <v>5000</v>
      </c>
      <c r="F61">
        <v>38</v>
      </c>
      <c r="G61">
        <v>95</v>
      </c>
      <c r="I61">
        <v>20</v>
      </c>
      <c r="J61">
        <v>28.52</v>
      </c>
      <c r="K61" s="159">
        <v>400.5</v>
      </c>
      <c r="L61">
        <v>2</v>
      </c>
      <c r="M61">
        <v>10.35</v>
      </c>
      <c r="N61">
        <v>17.97</v>
      </c>
      <c r="P61" s="4">
        <f t="shared" si="2"/>
        <v>193.87755102040816</v>
      </c>
      <c r="Q61" s="35">
        <v>95.003</v>
      </c>
      <c r="R61" s="9">
        <f t="shared" si="1"/>
        <v>95</v>
      </c>
    </row>
    <row r="62" spans="2:18" x14ac:dyDescent="0.3">
      <c r="B62" t="s">
        <v>207</v>
      </c>
      <c r="C62">
        <v>210</v>
      </c>
      <c r="D62" s="159">
        <v>5000</v>
      </c>
      <c r="E62" s="159">
        <v>5000</v>
      </c>
      <c r="F62">
        <v>40</v>
      </c>
      <c r="G62">
        <v>105</v>
      </c>
      <c r="I62">
        <v>20</v>
      </c>
      <c r="J62">
        <v>25.79</v>
      </c>
      <c r="K62" s="159">
        <v>426</v>
      </c>
      <c r="L62">
        <v>2</v>
      </c>
      <c r="M62">
        <v>10.11</v>
      </c>
      <c r="N62">
        <v>17.3</v>
      </c>
      <c r="P62" s="4">
        <f t="shared" si="2"/>
        <v>190.47619047619048</v>
      </c>
      <c r="Q62" s="35">
        <v>99.866</v>
      </c>
      <c r="R62" s="9">
        <f t="shared" si="1"/>
        <v>105</v>
      </c>
    </row>
    <row r="63" spans="2:18" x14ac:dyDescent="0.3">
      <c r="B63" t="s">
        <v>207</v>
      </c>
      <c r="C63">
        <v>211</v>
      </c>
      <c r="D63" s="159">
        <v>5000</v>
      </c>
      <c r="E63" s="159">
        <v>5000</v>
      </c>
      <c r="F63">
        <v>41</v>
      </c>
      <c r="G63">
        <v>115</v>
      </c>
      <c r="I63">
        <v>20</v>
      </c>
      <c r="J63">
        <v>24.76</v>
      </c>
      <c r="K63" s="159">
        <v>432</v>
      </c>
      <c r="L63">
        <v>2</v>
      </c>
      <c r="M63">
        <v>10.26</v>
      </c>
      <c r="N63">
        <v>17.59</v>
      </c>
      <c r="P63" s="4">
        <f t="shared" si="2"/>
        <v>194.31279620853081</v>
      </c>
      <c r="Q63" s="35">
        <v>99.866</v>
      </c>
      <c r="R63" s="9">
        <f t="shared" si="1"/>
        <v>115</v>
      </c>
    </row>
    <row r="64" spans="2:18" x14ac:dyDescent="0.3">
      <c r="B64" t="s">
        <v>208</v>
      </c>
      <c r="C64">
        <v>403</v>
      </c>
      <c r="D64" s="159">
        <v>10000</v>
      </c>
      <c r="E64" s="159">
        <v>10000</v>
      </c>
      <c r="F64">
        <v>82</v>
      </c>
      <c r="G64">
        <v>85</v>
      </c>
      <c r="I64">
        <v>20</v>
      </c>
      <c r="J64">
        <v>22.67</v>
      </c>
      <c r="K64" s="159">
        <v>831</v>
      </c>
      <c r="L64">
        <v>2</v>
      </c>
      <c r="M64">
        <v>10.130000000000001</v>
      </c>
      <c r="N64">
        <v>24.57</v>
      </c>
      <c r="P64" s="4">
        <f t="shared" si="2"/>
        <v>203.47394540942929</v>
      </c>
      <c r="Q64" s="35">
        <v>85.003</v>
      </c>
      <c r="R64" s="9">
        <f t="shared" si="1"/>
        <v>85</v>
      </c>
    </row>
    <row r="65" spans="2:18" x14ac:dyDescent="0.3">
      <c r="B65" t="s">
        <v>209</v>
      </c>
      <c r="C65">
        <v>417</v>
      </c>
      <c r="D65" s="159">
        <v>10000</v>
      </c>
      <c r="E65" s="159">
        <v>10000</v>
      </c>
      <c r="F65">
        <v>82</v>
      </c>
      <c r="G65">
        <v>115</v>
      </c>
      <c r="I65">
        <v>20</v>
      </c>
      <c r="J65">
        <v>22.02</v>
      </c>
      <c r="K65" s="159">
        <v>834</v>
      </c>
      <c r="L65">
        <v>2</v>
      </c>
      <c r="M65">
        <v>9.7200000000000006</v>
      </c>
      <c r="N65">
        <v>15.75</v>
      </c>
      <c r="P65" s="4">
        <f t="shared" si="2"/>
        <v>196.64268585131896</v>
      </c>
      <c r="Q65" s="35">
        <v>99.866</v>
      </c>
      <c r="R65" s="9">
        <f t="shared" si="1"/>
        <v>115</v>
      </c>
    </row>
    <row r="66" spans="2:18" x14ac:dyDescent="0.3">
      <c r="B66" t="s">
        <v>209</v>
      </c>
      <c r="C66">
        <v>417</v>
      </c>
      <c r="D66" s="159">
        <v>10000</v>
      </c>
      <c r="E66" s="159">
        <v>10000</v>
      </c>
      <c r="F66">
        <v>82</v>
      </c>
      <c r="G66">
        <v>145</v>
      </c>
      <c r="I66">
        <v>20</v>
      </c>
      <c r="J66">
        <v>20.100000000000001</v>
      </c>
      <c r="K66" s="159">
        <v>856.5</v>
      </c>
      <c r="L66">
        <v>2</v>
      </c>
      <c r="M66">
        <v>9.66</v>
      </c>
      <c r="N66">
        <v>16.010000000000002</v>
      </c>
      <c r="P66" s="4">
        <f t="shared" si="2"/>
        <v>196.64268585131896</v>
      </c>
      <c r="Q66" s="35">
        <v>99.866</v>
      </c>
      <c r="R66" s="9">
        <f t="shared" si="1"/>
        <v>145</v>
      </c>
    </row>
    <row r="67" spans="2:18" x14ac:dyDescent="0.3">
      <c r="B67" t="s">
        <v>210</v>
      </c>
      <c r="C67">
        <v>459</v>
      </c>
      <c r="D67" s="159">
        <v>10000</v>
      </c>
      <c r="E67" s="159">
        <v>10000</v>
      </c>
      <c r="F67">
        <v>90</v>
      </c>
      <c r="G67">
        <v>175</v>
      </c>
      <c r="I67">
        <v>20</v>
      </c>
      <c r="J67">
        <v>19.23</v>
      </c>
      <c r="K67" s="159">
        <v>931.5</v>
      </c>
      <c r="L67">
        <v>2</v>
      </c>
      <c r="M67">
        <v>9.56</v>
      </c>
      <c r="N67">
        <v>16.62</v>
      </c>
      <c r="P67" s="4">
        <f t="shared" si="2"/>
        <v>196.07843137254903</v>
      </c>
      <c r="Q67" s="35">
        <v>99.866</v>
      </c>
      <c r="R67" s="9">
        <f t="shared" ref="R67:R93" si="7">G67</f>
        <v>175</v>
      </c>
    </row>
    <row r="68" spans="2:18" x14ac:dyDescent="0.3">
      <c r="B68" t="s">
        <v>210</v>
      </c>
      <c r="C68">
        <v>463</v>
      </c>
      <c r="D68" s="159">
        <v>10000</v>
      </c>
      <c r="E68" s="159">
        <v>10000</v>
      </c>
      <c r="F68">
        <v>94</v>
      </c>
      <c r="G68">
        <v>205</v>
      </c>
      <c r="I68">
        <v>20</v>
      </c>
      <c r="J68">
        <v>18.25</v>
      </c>
      <c r="K68" s="159">
        <v>930</v>
      </c>
      <c r="L68">
        <v>2</v>
      </c>
      <c r="M68">
        <v>9.5</v>
      </c>
      <c r="N68">
        <v>18.07</v>
      </c>
      <c r="P68" s="4">
        <f t="shared" si="2"/>
        <v>203.02375809935205</v>
      </c>
      <c r="Q68" s="35">
        <v>99.866</v>
      </c>
      <c r="R68" s="9">
        <f t="shared" si="7"/>
        <v>205</v>
      </c>
    </row>
    <row r="69" spans="2:18" x14ac:dyDescent="0.3">
      <c r="B69" t="s">
        <v>211</v>
      </c>
      <c r="C69">
        <v>119</v>
      </c>
      <c r="D69" s="159">
        <v>3000</v>
      </c>
      <c r="E69" s="159">
        <v>3000</v>
      </c>
      <c r="F69">
        <v>23</v>
      </c>
      <c r="G69">
        <v>85</v>
      </c>
      <c r="I69">
        <v>20</v>
      </c>
      <c r="J69">
        <v>40.24</v>
      </c>
      <c r="K69" s="159">
        <v>241.5</v>
      </c>
      <c r="L69">
        <v>2</v>
      </c>
      <c r="M69">
        <v>10.1</v>
      </c>
      <c r="N69">
        <v>24.69</v>
      </c>
      <c r="P69" s="4">
        <f t="shared" si="2"/>
        <v>193.27731092436974</v>
      </c>
      <c r="Q69" s="35">
        <v>85.003</v>
      </c>
      <c r="R69" s="9">
        <f t="shared" si="7"/>
        <v>85</v>
      </c>
    </row>
    <row r="70" spans="2:18" x14ac:dyDescent="0.3">
      <c r="B70" t="s">
        <v>236</v>
      </c>
      <c r="C70">
        <v>128</v>
      </c>
      <c r="D70" s="159">
        <v>3000</v>
      </c>
      <c r="E70" s="159">
        <v>3000</v>
      </c>
      <c r="F70">
        <v>25</v>
      </c>
      <c r="G70">
        <v>115</v>
      </c>
      <c r="I70">
        <v>20</v>
      </c>
      <c r="J70">
        <v>39.01</v>
      </c>
      <c r="K70" s="159">
        <v>261</v>
      </c>
      <c r="L70">
        <v>2</v>
      </c>
      <c r="M70">
        <v>9.75</v>
      </c>
      <c r="N70">
        <v>35.79</v>
      </c>
      <c r="P70" s="4">
        <f t="shared" si="2"/>
        <v>195.3125</v>
      </c>
      <c r="Q70" s="35">
        <v>64.168000000000006</v>
      </c>
      <c r="R70" s="9">
        <f t="shared" si="7"/>
        <v>115</v>
      </c>
    </row>
    <row r="71" spans="2:18" x14ac:dyDescent="0.3">
      <c r="B71" t="s">
        <v>236</v>
      </c>
      <c r="C71">
        <v>137</v>
      </c>
      <c r="D71" s="159">
        <v>3000</v>
      </c>
      <c r="E71" s="159">
        <v>3000</v>
      </c>
      <c r="F71">
        <v>27</v>
      </c>
      <c r="G71">
        <v>145</v>
      </c>
      <c r="I71">
        <v>20</v>
      </c>
      <c r="J71">
        <v>36.22</v>
      </c>
      <c r="K71" s="159">
        <v>276</v>
      </c>
      <c r="L71">
        <v>2</v>
      </c>
      <c r="M71">
        <v>9.7200000000000006</v>
      </c>
      <c r="N71">
        <v>27.08</v>
      </c>
      <c r="P71" s="4">
        <f t="shared" si="2"/>
        <v>197.08029197080293</v>
      </c>
      <c r="Q71" s="35">
        <v>64.319999999999993</v>
      </c>
      <c r="R71" s="9">
        <f t="shared" si="7"/>
        <v>145</v>
      </c>
    </row>
    <row r="72" spans="2:18" x14ac:dyDescent="0.3">
      <c r="B72" t="s">
        <v>237</v>
      </c>
      <c r="C72">
        <v>142</v>
      </c>
      <c r="D72" s="159">
        <v>3000</v>
      </c>
      <c r="E72" s="159">
        <v>3000</v>
      </c>
      <c r="F72">
        <v>28</v>
      </c>
      <c r="G72">
        <v>175</v>
      </c>
      <c r="I72">
        <v>20</v>
      </c>
      <c r="J72">
        <v>34.07</v>
      </c>
      <c r="K72" s="159">
        <v>282</v>
      </c>
      <c r="L72">
        <v>2</v>
      </c>
      <c r="M72">
        <v>9.5500000000000007</v>
      </c>
      <c r="N72">
        <v>28.2</v>
      </c>
      <c r="P72" s="4">
        <f t="shared" si="2"/>
        <v>197.18309859154928</v>
      </c>
      <c r="Q72" s="35">
        <v>64.328999999999994</v>
      </c>
      <c r="R72" s="9">
        <f t="shared" si="7"/>
        <v>175</v>
      </c>
    </row>
    <row r="73" spans="2:18" x14ac:dyDescent="0.3">
      <c r="B73" t="s">
        <v>237</v>
      </c>
      <c r="C73">
        <v>150</v>
      </c>
      <c r="D73" s="159">
        <v>3000</v>
      </c>
      <c r="E73" s="159">
        <v>3000</v>
      </c>
      <c r="F73">
        <v>30</v>
      </c>
      <c r="G73">
        <v>205</v>
      </c>
      <c r="I73">
        <v>20</v>
      </c>
      <c r="J73">
        <v>32.369999999999997</v>
      </c>
      <c r="K73" s="159">
        <v>297</v>
      </c>
      <c r="L73">
        <v>2</v>
      </c>
      <c r="M73">
        <v>9.51</v>
      </c>
      <c r="N73">
        <v>29.86</v>
      </c>
      <c r="P73" s="168">
        <f t="shared" si="2"/>
        <v>200</v>
      </c>
      <c r="Q73" s="35">
        <v>68.986999999999995</v>
      </c>
      <c r="R73" s="168">
        <f t="shared" si="7"/>
        <v>205</v>
      </c>
    </row>
    <row r="74" spans="2:18" x14ac:dyDescent="0.3">
      <c r="B74" t="s">
        <v>238</v>
      </c>
      <c r="C74">
        <v>209</v>
      </c>
      <c r="D74" s="159">
        <v>5000</v>
      </c>
      <c r="E74" s="159">
        <v>5000</v>
      </c>
      <c r="F74">
        <v>22</v>
      </c>
      <c r="G74">
        <v>85</v>
      </c>
      <c r="I74">
        <v>10</v>
      </c>
      <c r="J74">
        <v>32.1</v>
      </c>
      <c r="K74" s="159">
        <v>411</v>
      </c>
      <c r="L74">
        <v>2</v>
      </c>
      <c r="M74">
        <v>8.5</v>
      </c>
      <c r="N74">
        <v>12.59</v>
      </c>
      <c r="P74" s="168">
        <f t="shared" si="2"/>
        <v>105.26315789473684</v>
      </c>
      <c r="Q74" s="35">
        <v>53.427</v>
      </c>
      <c r="R74" s="168">
        <f t="shared" si="7"/>
        <v>85</v>
      </c>
    </row>
    <row r="75" spans="2:18" x14ac:dyDescent="0.3">
      <c r="B75" t="s">
        <v>238</v>
      </c>
      <c r="C75">
        <v>223</v>
      </c>
      <c r="D75" s="159">
        <v>5000</v>
      </c>
      <c r="E75" s="159">
        <v>5000</v>
      </c>
      <c r="F75">
        <v>23</v>
      </c>
      <c r="G75">
        <v>115</v>
      </c>
      <c r="I75">
        <v>10</v>
      </c>
      <c r="J75">
        <v>30.17</v>
      </c>
      <c r="K75" s="159">
        <v>445.5</v>
      </c>
      <c r="L75">
        <v>2</v>
      </c>
      <c r="M75">
        <v>8.7799999999999994</v>
      </c>
      <c r="N75">
        <v>13.14</v>
      </c>
      <c r="P75" s="168">
        <f t="shared" si="2"/>
        <v>103.1390134529148</v>
      </c>
      <c r="Q75" s="35">
        <v>53.067999999999998</v>
      </c>
      <c r="R75" s="168">
        <f t="shared" si="7"/>
        <v>115</v>
      </c>
    </row>
    <row r="76" spans="2:18" x14ac:dyDescent="0.3">
      <c r="B76" t="s">
        <v>240</v>
      </c>
      <c r="C76">
        <v>238.5</v>
      </c>
      <c r="D76" s="159">
        <v>5000</v>
      </c>
      <c r="E76" s="159">
        <v>5000</v>
      </c>
      <c r="F76">
        <v>23.5</v>
      </c>
      <c r="G76">
        <v>145</v>
      </c>
      <c r="I76">
        <v>10</v>
      </c>
      <c r="J76">
        <v>28.54</v>
      </c>
      <c r="K76" s="159">
        <v>469.5</v>
      </c>
      <c r="L76">
        <v>2</v>
      </c>
      <c r="M76">
        <v>8.52</v>
      </c>
      <c r="N76">
        <v>14.11</v>
      </c>
      <c r="P76" s="168">
        <f t="shared" si="2"/>
        <v>98.532494758909849</v>
      </c>
      <c r="R76" s="168">
        <f t="shared" si="7"/>
        <v>145</v>
      </c>
    </row>
    <row r="77" spans="2:18" x14ac:dyDescent="0.3">
      <c r="B77" t="s">
        <v>240</v>
      </c>
      <c r="C77">
        <v>247</v>
      </c>
      <c r="D77" s="159">
        <v>5000</v>
      </c>
      <c r="E77" s="159">
        <v>5000</v>
      </c>
      <c r="F77">
        <v>25</v>
      </c>
      <c r="G77">
        <v>175</v>
      </c>
      <c r="I77">
        <v>10</v>
      </c>
      <c r="J77">
        <v>26.8</v>
      </c>
      <c r="K77" s="159">
        <v>499.5</v>
      </c>
      <c r="L77">
        <v>2</v>
      </c>
      <c r="M77">
        <v>8.74</v>
      </c>
      <c r="N77">
        <v>14.84</v>
      </c>
      <c r="P77" s="168">
        <f t="shared" si="2"/>
        <v>101.21457489878543</v>
      </c>
      <c r="R77" s="168">
        <f t="shared" si="7"/>
        <v>175</v>
      </c>
    </row>
    <row r="78" spans="2:18" x14ac:dyDescent="0.3">
      <c r="B78" t="s">
        <v>241</v>
      </c>
      <c r="C78">
        <v>260</v>
      </c>
      <c r="D78" s="159">
        <v>5000</v>
      </c>
      <c r="E78" s="159">
        <v>5000</v>
      </c>
      <c r="F78">
        <v>26</v>
      </c>
      <c r="G78">
        <v>205</v>
      </c>
      <c r="I78">
        <v>10</v>
      </c>
      <c r="J78">
        <v>23.23</v>
      </c>
      <c r="K78" s="159">
        <v>522</v>
      </c>
      <c r="L78">
        <v>2</v>
      </c>
      <c r="M78">
        <v>8.49</v>
      </c>
      <c r="N78">
        <v>15.54</v>
      </c>
      <c r="P78" s="168">
        <f t="shared" si="2"/>
        <v>100</v>
      </c>
      <c r="R78" s="168">
        <f t="shared" si="7"/>
        <v>205</v>
      </c>
    </row>
    <row r="79" spans="2:18" x14ac:dyDescent="0.3">
      <c r="B79" t="s">
        <v>241</v>
      </c>
      <c r="C79">
        <v>502</v>
      </c>
      <c r="D79" s="159">
        <v>10000</v>
      </c>
      <c r="E79" s="159">
        <v>10000</v>
      </c>
      <c r="F79">
        <v>100</v>
      </c>
      <c r="G79">
        <v>205</v>
      </c>
      <c r="I79">
        <v>20</v>
      </c>
      <c r="J79">
        <v>17.57</v>
      </c>
      <c r="K79" s="159">
        <v>1005</v>
      </c>
      <c r="L79">
        <v>2</v>
      </c>
      <c r="M79">
        <v>8.58</v>
      </c>
      <c r="N79">
        <v>17.57</v>
      </c>
      <c r="P79" s="168">
        <f t="shared" si="2"/>
        <v>199.20318725099602</v>
      </c>
      <c r="R79" s="168">
        <f t="shared" si="7"/>
        <v>205</v>
      </c>
    </row>
    <row r="80" spans="2:18" x14ac:dyDescent="0.3">
      <c r="B80" t="s">
        <v>239</v>
      </c>
      <c r="C80">
        <v>417</v>
      </c>
      <c r="D80" s="159">
        <v>10000</v>
      </c>
      <c r="E80" s="159">
        <v>10000</v>
      </c>
      <c r="F80">
        <v>42</v>
      </c>
      <c r="G80">
        <v>85</v>
      </c>
      <c r="I80">
        <v>10</v>
      </c>
      <c r="J80">
        <v>18.239999999999998</v>
      </c>
      <c r="K80" s="159">
        <v>831</v>
      </c>
      <c r="L80">
        <v>2</v>
      </c>
      <c r="M80">
        <v>8.48</v>
      </c>
      <c r="N80">
        <v>7.88</v>
      </c>
      <c r="P80" s="168">
        <f t="shared" si="2"/>
        <v>100.71942446043165</v>
      </c>
      <c r="R80" s="168">
        <f t="shared" si="7"/>
        <v>85</v>
      </c>
    </row>
    <row r="81" spans="2:18" x14ac:dyDescent="0.3">
      <c r="B81" t="s">
        <v>242</v>
      </c>
      <c r="C81">
        <v>439</v>
      </c>
      <c r="D81" s="159">
        <v>10000</v>
      </c>
      <c r="E81" s="159">
        <v>10000</v>
      </c>
      <c r="F81">
        <v>44</v>
      </c>
      <c r="G81">
        <v>115</v>
      </c>
      <c r="I81">
        <v>10</v>
      </c>
      <c r="J81">
        <v>17.940000000000001</v>
      </c>
      <c r="K81" s="159">
        <v>882</v>
      </c>
      <c r="L81">
        <v>2</v>
      </c>
      <c r="M81">
        <v>8.08</v>
      </c>
      <c r="N81">
        <v>8.8800000000000008</v>
      </c>
      <c r="P81" s="168">
        <f t="shared" si="2"/>
        <v>100.22779043280183</v>
      </c>
      <c r="R81" s="168">
        <f t="shared" si="7"/>
        <v>115</v>
      </c>
    </row>
    <row r="82" spans="2:18" x14ac:dyDescent="0.3">
      <c r="B82" t="s">
        <v>242</v>
      </c>
      <c r="C82">
        <v>477</v>
      </c>
      <c r="D82" s="159">
        <v>10000</v>
      </c>
      <c r="E82" s="159">
        <v>10000</v>
      </c>
      <c r="F82">
        <v>47</v>
      </c>
      <c r="G82">
        <v>145</v>
      </c>
      <c r="I82">
        <v>10</v>
      </c>
      <c r="J82">
        <v>16.309999999999999</v>
      </c>
      <c r="K82" s="159">
        <v>940.5</v>
      </c>
      <c r="L82">
        <v>2</v>
      </c>
      <c r="M82">
        <v>8.17</v>
      </c>
      <c r="N82">
        <v>9.85</v>
      </c>
      <c r="P82" s="168">
        <f t="shared" si="2"/>
        <v>98.532494758909849</v>
      </c>
      <c r="R82" s="168">
        <f t="shared" si="7"/>
        <v>145</v>
      </c>
    </row>
    <row r="83" spans="2:18" x14ac:dyDescent="0.3">
      <c r="B83" t="s">
        <v>243</v>
      </c>
      <c r="C83">
        <v>500</v>
      </c>
      <c r="D83" s="159">
        <v>10000</v>
      </c>
      <c r="E83" s="159">
        <v>10000</v>
      </c>
      <c r="F83">
        <v>50</v>
      </c>
      <c r="G83">
        <v>175</v>
      </c>
      <c r="I83">
        <v>10</v>
      </c>
      <c r="J83">
        <v>15.41</v>
      </c>
      <c r="K83" s="159">
        <v>999</v>
      </c>
      <c r="L83">
        <v>2</v>
      </c>
      <c r="M83">
        <v>8.32</v>
      </c>
      <c r="N83">
        <v>10.62</v>
      </c>
      <c r="P83" s="168">
        <f t="shared" si="2"/>
        <v>100</v>
      </c>
      <c r="R83" s="168">
        <f t="shared" si="7"/>
        <v>175</v>
      </c>
    </row>
    <row r="84" spans="2:18" x14ac:dyDescent="0.3">
      <c r="B84" t="s">
        <v>243</v>
      </c>
      <c r="C84">
        <v>525</v>
      </c>
      <c r="D84" s="159">
        <v>10000</v>
      </c>
      <c r="E84" s="159">
        <v>10000</v>
      </c>
      <c r="F84">
        <v>53</v>
      </c>
      <c r="G84">
        <v>205</v>
      </c>
      <c r="I84">
        <v>10</v>
      </c>
      <c r="J84">
        <v>12.49</v>
      </c>
      <c r="K84" s="159">
        <v>1051.5</v>
      </c>
      <c r="L84">
        <v>2</v>
      </c>
      <c r="M84">
        <v>8.2100000000000009</v>
      </c>
      <c r="N84">
        <v>11.12</v>
      </c>
      <c r="P84" s="168">
        <f t="shared" si="2"/>
        <v>100.95238095238095</v>
      </c>
      <c r="R84" s="168">
        <f t="shared" si="7"/>
        <v>205</v>
      </c>
    </row>
    <row r="85" spans="2:18" x14ac:dyDescent="0.3">
      <c r="B85" t="s">
        <v>244</v>
      </c>
      <c r="C85">
        <v>132</v>
      </c>
      <c r="D85" s="159">
        <v>3000</v>
      </c>
      <c r="E85" s="159">
        <v>3000</v>
      </c>
      <c r="F85">
        <v>14</v>
      </c>
      <c r="G85">
        <v>85</v>
      </c>
      <c r="I85">
        <v>10</v>
      </c>
      <c r="J85">
        <v>40.76</v>
      </c>
      <c r="K85" s="159">
        <v>265</v>
      </c>
      <c r="L85">
        <v>2</v>
      </c>
      <c r="M85">
        <v>8.4</v>
      </c>
      <c r="N85">
        <v>15.65</v>
      </c>
      <c r="P85" s="168">
        <f t="shared" si="2"/>
        <v>106.06060606060606</v>
      </c>
      <c r="R85" s="168">
        <f t="shared" si="7"/>
        <v>85</v>
      </c>
    </row>
    <row r="86" spans="2:18" x14ac:dyDescent="0.3">
      <c r="B86" t="s">
        <v>245</v>
      </c>
      <c r="C86">
        <v>134</v>
      </c>
      <c r="D86" s="159">
        <v>3000</v>
      </c>
      <c r="E86" s="159">
        <v>3000</v>
      </c>
      <c r="F86">
        <v>14</v>
      </c>
      <c r="G86">
        <v>115</v>
      </c>
      <c r="I86">
        <v>10</v>
      </c>
      <c r="J86">
        <v>39.04</v>
      </c>
      <c r="K86" s="159">
        <v>270</v>
      </c>
      <c r="L86">
        <v>2</v>
      </c>
      <c r="M86">
        <v>8.27</v>
      </c>
      <c r="N86">
        <v>16.91</v>
      </c>
      <c r="P86" s="168">
        <f t="shared" si="2"/>
        <v>104.4776119402985</v>
      </c>
      <c r="R86" s="168">
        <f t="shared" si="7"/>
        <v>115</v>
      </c>
    </row>
    <row r="87" spans="2:18" x14ac:dyDescent="0.3">
      <c r="B87" t="s">
        <v>246</v>
      </c>
      <c r="C87">
        <v>142</v>
      </c>
      <c r="D87" s="159">
        <v>3000</v>
      </c>
      <c r="E87" s="159">
        <v>3000</v>
      </c>
      <c r="F87">
        <v>14.5</v>
      </c>
      <c r="G87">
        <v>145</v>
      </c>
      <c r="I87">
        <v>10</v>
      </c>
      <c r="J87">
        <v>35.049999999999997</v>
      </c>
      <c r="K87" s="159">
        <v>285</v>
      </c>
      <c r="L87">
        <v>2</v>
      </c>
      <c r="M87">
        <v>8.09</v>
      </c>
      <c r="N87">
        <v>17.440000000000001</v>
      </c>
      <c r="P87" s="168">
        <f t="shared" si="2"/>
        <v>102.11267605633803</v>
      </c>
      <c r="R87" s="168">
        <f t="shared" si="7"/>
        <v>145</v>
      </c>
    </row>
    <row r="88" spans="2:18" x14ac:dyDescent="0.3">
      <c r="B88" t="s">
        <v>247</v>
      </c>
      <c r="C88">
        <v>156</v>
      </c>
      <c r="D88" s="159">
        <v>3000</v>
      </c>
      <c r="E88" s="159">
        <v>3000</v>
      </c>
      <c r="F88">
        <v>16</v>
      </c>
      <c r="G88">
        <v>205</v>
      </c>
      <c r="I88">
        <v>10</v>
      </c>
      <c r="J88">
        <v>25.28</v>
      </c>
      <c r="K88" s="159">
        <v>303</v>
      </c>
      <c r="L88">
        <v>2</v>
      </c>
      <c r="M88">
        <v>8.02</v>
      </c>
      <c r="N88">
        <v>19.510000000000002</v>
      </c>
      <c r="P88" s="168">
        <f t="shared" si="2"/>
        <v>102.56410256410257</v>
      </c>
      <c r="R88" s="168">
        <f t="shared" si="7"/>
        <v>205</v>
      </c>
    </row>
    <row r="89" spans="2:18" x14ac:dyDescent="0.3">
      <c r="B89" t="s">
        <v>248</v>
      </c>
      <c r="C89">
        <v>250</v>
      </c>
      <c r="D89" s="159">
        <v>5000</v>
      </c>
      <c r="E89" s="159">
        <v>5000</v>
      </c>
      <c r="F89">
        <v>50</v>
      </c>
      <c r="G89">
        <v>205</v>
      </c>
      <c r="I89">
        <v>20</v>
      </c>
      <c r="J89">
        <v>17.649999999999999</v>
      </c>
      <c r="K89" s="159">
        <v>495</v>
      </c>
      <c r="L89">
        <v>2</v>
      </c>
      <c r="M89">
        <v>16.5</v>
      </c>
      <c r="N89">
        <v>19.3</v>
      </c>
      <c r="P89" s="168">
        <f t="shared" si="2"/>
        <v>200</v>
      </c>
      <c r="R89" s="168">
        <f t="shared" si="7"/>
        <v>205</v>
      </c>
    </row>
    <row r="90" spans="2:18" x14ac:dyDescent="0.3">
      <c r="B90" t="s">
        <v>248</v>
      </c>
      <c r="C90">
        <v>250</v>
      </c>
      <c r="D90" s="159">
        <v>5000</v>
      </c>
      <c r="E90" s="159">
        <v>5000</v>
      </c>
      <c r="F90">
        <v>50</v>
      </c>
      <c r="G90">
        <v>205</v>
      </c>
      <c r="I90">
        <v>20</v>
      </c>
      <c r="J90">
        <v>5.18</v>
      </c>
      <c r="K90" s="159">
        <v>495</v>
      </c>
      <c r="L90">
        <v>2</v>
      </c>
      <c r="M90">
        <v>43.92</v>
      </c>
      <c r="N90">
        <v>10.94</v>
      </c>
      <c r="P90" s="168">
        <f t="shared" si="2"/>
        <v>200</v>
      </c>
      <c r="R90" s="168">
        <f t="shared" si="7"/>
        <v>205</v>
      </c>
    </row>
    <row r="91" spans="2:18" x14ac:dyDescent="0.3">
      <c r="B91" t="s">
        <v>249</v>
      </c>
      <c r="C91">
        <v>196</v>
      </c>
      <c r="D91" s="159">
        <v>5000</v>
      </c>
      <c r="E91" s="159">
        <v>5000</v>
      </c>
      <c r="F91">
        <v>38.5</v>
      </c>
      <c r="G91">
        <v>85</v>
      </c>
      <c r="I91">
        <v>20</v>
      </c>
      <c r="J91">
        <v>24.85</v>
      </c>
      <c r="K91" s="159">
        <v>397</v>
      </c>
      <c r="L91">
        <v>2</v>
      </c>
      <c r="M91">
        <v>13.46</v>
      </c>
      <c r="N91">
        <v>16.82</v>
      </c>
      <c r="P91" s="168">
        <f t="shared" si="2"/>
        <v>196.42857142857142</v>
      </c>
      <c r="R91" s="168">
        <f t="shared" si="7"/>
        <v>85</v>
      </c>
    </row>
    <row r="92" spans="2:18" x14ac:dyDescent="0.3">
      <c r="B92" t="s">
        <v>250</v>
      </c>
      <c r="C92">
        <v>211</v>
      </c>
      <c r="D92" s="159">
        <v>5000</v>
      </c>
      <c r="E92" s="159">
        <v>5000</v>
      </c>
      <c r="F92">
        <v>42</v>
      </c>
      <c r="G92">
        <v>115</v>
      </c>
      <c r="I92">
        <v>20</v>
      </c>
      <c r="J92">
        <v>25.04</v>
      </c>
      <c r="K92" s="159">
        <v>432</v>
      </c>
      <c r="L92">
        <v>2</v>
      </c>
      <c r="M92">
        <v>11.69</v>
      </c>
      <c r="N92">
        <v>18.309999999999999</v>
      </c>
      <c r="P92" s="168">
        <f t="shared" si="2"/>
        <v>199.05213270142181</v>
      </c>
      <c r="R92" s="168">
        <f t="shared" si="7"/>
        <v>115</v>
      </c>
    </row>
    <row r="93" spans="2:18" x14ac:dyDescent="0.3">
      <c r="B93" t="s">
        <v>250</v>
      </c>
      <c r="C93">
        <v>211</v>
      </c>
      <c r="D93" s="159">
        <v>5000</v>
      </c>
      <c r="E93" s="159">
        <v>5000</v>
      </c>
      <c r="F93">
        <v>42</v>
      </c>
      <c r="G93">
        <v>115</v>
      </c>
      <c r="I93">
        <v>20</v>
      </c>
      <c r="J93">
        <v>15.91</v>
      </c>
      <c r="K93" s="159">
        <v>432</v>
      </c>
      <c r="L93">
        <v>2</v>
      </c>
      <c r="M93">
        <v>35.76</v>
      </c>
      <c r="N93">
        <v>11.99</v>
      </c>
      <c r="P93" s="168">
        <f t="shared" si="2"/>
        <v>199.05213270142181</v>
      </c>
      <c r="R93" s="168">
        <f t="shared" si="7"/>
        <v>115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BBCEC-995D-4F11-8DC8-743C6C80AF08}">
  <dimension ref="A1:CT76"/>
  <sheetViews>
    <sheetView tabSelected="1" topLeftCell="G1" zoomScale="60" zoomScaleNormal="60" workbookViewId="0">
      <pane xSplit="1116" ySplit="1392" topLeftCell="AY1" activePane="bottomRight"/>
      <selection pane="topRight" activeCell="BP1" sqref="BP1:BW1048576"/>
      <selection pane="bottomLeft" activeCell="A16" sqref="A16:XFD16"/>
      <selection pane="bottomRight" activeCell="BA21" sqref="BA21"/>
    </sheetView>
  </sheetViews>
  <sheetFormatPr defaultRowHeight="14.4" x14ac:dyDescent="0.3"/>
  <cols>
    <col min="1" max="1" width="13" style="172" customWidth="1"/>
    <col min="2" max="3" width="8.88671875" style="172" customWidth="1"/>
    <col min="4" max="9" width="9" style="172" bestFit="1" customWidth="1"/>
    <col min="10" max="10" width="11.6640625" style="172" bestFit="1" customWidth="1"/>
    <col min="11" max="11" width="11.5546875" style="172" bestFit="1" customWidth="1"/>
    <col min="12" max="12" width="9.88671875" style="172" customWidth="1"/>
    <col min="13" max="13" width="11.5546875" style="172" bestFit="1" customWidth="1"/>
    <col min="14" max="14" width="11.33203125" style="172" customWidth="1"/>
    <col min="15" max="15" width="11.5546875" style="172" bestFit="1" customWidth="1"/>
    <col min="16" max="16" width="13" style="172" customWidth="1"/>
    <col min="17" max="17" width="20.5546875" style="172" customWidth="1"/>
    <col min="18" max="18" width="21.21875" style="172" customWidth="1"/>
    <col min="19" max="19" width="11.6640625" style="172" bestFit="1" customWidth="1"/>
    <col min="20" max="23" width="11.5546875" style="172" bestFit="1" customWidth="1"/>
    <col min="24" max="24" width="10.5546875" style="172" bestFit="1" customWidth="1"/>
    <col min="25" max="28" width="11.5546875" style="172" bestFit="1" customWidth="1"/>
    <col min="29" max="33" width="8.88671875" style="172"/>
    <col min="34" max="34" width="11.5546875" bestFit="1" customWidth="1"/>
    <col min="42" max="42" width="11.5546875" style="172" bestFit="1" customWidth="1"/>
    <col min="43" max="49" width="8.88671875" style="172"/>
    <col min="50" max="50" width="11.5546875" style="172" bestFit="1" customWidth="1"/>
    <col min="51" max="51" width="8.88671875" style="172"/>
    <col min="52" max="52" width="11.5546875" style="185" bestFit="1" customWidth="1"/>
    <col min="53" max="53" width="8.88671875" style="185"/>
    <col min="54" max="54" width="11.5546875" style="185" bestFit="1" customWidth="1"/>
    <col min="55" max="55" width="8.88671875" style="185"/>
    <col min="56" max="56" width="11.5546875" style="185" bestFit="1" customWidth="1"/>
    <col min="57" max="57" width="8.88671875" style="185"/>
    <col min="58" max="58" width="11.5546875" style="185" bestFit="1" customWidth="1"/>
    <col min="59" max="59" width="8.88671875" style="185"/>
    <col min="60" max="60" width="11.5546875" style="185" bestFit="1" customWidth="1"/>
    <col min="61" max="61" width="8.88671875" style="185"/>
    <col min="62" max="62" width="11.5546875" style="185" bestFit="1" customWidth="1"/>
    <col min="63" max="63" width="8.88671875" style="185"/>
    <col min="64" max="64" width="11.5546875" style="185" bestFit="1" customWidth="1"/>
    <col min="65" max="65" width="8.88671875" style="185"/>
    <col min="66" max="66" width="11.5546875" style="185" bestFit="1" customWidth="1"/>
    <col min="67" max="67" width="8.88671875" style="185"/>
    <col min="68" max="68" width="11.5546875" style="185" bestFit="1" customWidth="1"/>
    <col min="69" max="69" width="8.88671875" style="185"/>
    <col min="70" max="70" width="11.5546875" style="185" bestFit="1" customWidth="1"/>
    <col min="71" max="72" width="9" style="185" bestFit="1" customWidth="1"/>
    <col min="73" max="73" width="11.5546875" style="185" bestFit="1" customWidth="1"/>
    <col min="74" max="75" width="9" style="185" bestFit="1" customWidth="1"/>
    <col min="76" max="76" width="11.5546875" style="172" bestFit="1" customWidth="1"/>
    <col min="77" max="80" width="9" style="172" bestFit="1" customWidth="1"/>
    <col min="81" max="96" width="8.88671875" style="172"/>
    <col min="99" max="16384" width="8.88671875" style="172"/>
  </cols>
  <sheetData>
    <row r="1" spans="1:98" s="179" customFormat="1" ht="101.4" thickBot="1" x14ac:dyDescent="0.35">
      <c r="A1" s="179" t="s">
        <v>200</v>
      </c>
      <c r="B1" s="179" t="s">
        <v>212</v>
      </c>
      <c r="C1" s="179" t="s">
        <v>213</v>
      </c>
      <c r="D1" s="179" t="s">
        <v>214</v>
      </c>
      <c r="E1" s="179" t="s">
        <v>215</v>
      </c>
      <c r="F1" s="179" t="s">
        <v>216</v>
      </c>
      <c r="G1" s="179" t="s">
        <v>217</v>
      </c>
      <c r="H1" s="179" t="s">
        <v>218</v>
      </c>
      <c r="I1" s="179" t="s">
        <v>219</v>
      </c>
      <c r="J1" s="179" t="s">
        <v>220</v>
      </c>
      <c r="K1" s="179" t="s">
        <v>221</v>
      </c>
      <c r="L1" s="179" t="s">
        <v>222</v>
      </c>
      <c r="M1" s="179" t="s">
        <v>223</v>
      </c>
      <c r="N1" s="179" t="s">
        <v>224</v>
      </c>
      <c r="O1" s="179" t="s">
        <v>225</v>
      </c>
      <c r="P1" s="179" t="s">
        <v>226</v>
      </c>
      <c r="Q1" s="179" t="s">
        <v>227</v>
      </c>
      <c r="R1" s="179" t="s">
        <v>228</v>
      </c>
      <c r="S1" s="179" t="s">
        <v>235</v>
      </c>
      <c r="T1" s="179" t="s">
        <v>234</v>
      </c>
      <c r="U1" s="179" t="s">
        <v>233</v>
      </c>
      <c r="V1" s="179" t="s">
        <v>232</v>
      </c>
      <c r="W1" s="179" t="s">
        <v>231</v>
      </c>
      <c r="X1" s="179" t="s">
        <v>230</v>
      </c>
      <c r="Y1" s="179" t="s">
        <v>229</v>
      </c>
      <c r="Z1" s="179" t="s">
        <v>251</v>
      </c>
      <c r="AA1" s="179" t="s">
        <v>252</v>
      </c>
      <c r="AB1" s="179" t="s">
        <v>253</v>
      </c>
      <c r="AC1" s="179" t="s">
        <v>254</v>
      </c>
      <c r="AD1" s="179" t="s">
        <v>255</v>
      </c>
      <c r="AE1" s="179" t="s">
        <v>256</v>
      </c>
      <c r="AF1" s="179" t="s">
        <v>257</v>
      </c>
      <c r="AG1" s="179" t="s">
        <v>258</v>
      </c>
      <c r="AH1" s="179" t="s">
        <v>301</v>
      </c>
      <c r="AI1" s="179" t="s">
        <v>302</v>
      </c>
      <c r="AJ1" s="179" t="s">
        <v>303</v>
      </c>
      <c r="AK1" s="179" t="s">
        <v>304</v>
      </c>
      <c r="AL1" s="179" t="s">
        <v>305</v>
      </c>
      <c r="AM1" s="179" t="s">
        <v>306</v>
      </c>
      <c r="AN1" s="179" t="s">
        <v>307</v>
      </c>
      <c r="AO1" s="179" t="s">
        <v>308</v>
      </c>
      <c r="AP1" s="179" t="s">
        <v>259</v>
      </c>
      <c r="AQ1" s="179" t="s">
        <v>260</v>
      </c>
      <c r="AR1" s="179" t="s">
        <v>261</v>
      </c>
      <c r="AS1" s="179" t="s">
        <v>262</v>
      </c>
      <c r="AT1" s="179" t="s">
        <v>263</v>
      </c>
      <c r="AU1" s="179" t="s">
        <v>264</v>
      </c>
      <c r="AV1" s="179" t="s">
        <v>265</v>
      </c>
      <c r="AW1" s="179" t="s">
        <v>266</v>
      </c>
      <c r="AX1" s="163" t="s">
        <v>291</v>
      </c>
      <c r="AY1" s="163" t="s">
        <v>292</v>
      </c>
      <c r="AZ1" s="183" t="s">
        <v>293</v>
      </c>
      <c r="BA1" s="184" t="s">
        <v>267</v>
      </c>
      <c r="BB1" s="184" t="s">
        <v>300</v>
      </c>
      <c r="BC1" s="184" t="s">
        <v>268</v>
      </c>
      <c r="BD1" s="184" t="s">
        <v>299</v>
      </c>
      <c r="BE1" s="184" t="s">
        <v>269</v>
      </c>
      <c r="BF1" s="184" t="s">
        <v>298</v>
      </c>
      <c r="BG1" s="184" t="s">
        <v>270</v>
      </c>
      <c r="BH1" s="184" t="s">
        <v>297</v>
      </c>
      <c r="BI1" s="184" t="s">
        <v>271</v>
      </c>
      <c r="BJ1" s="184" t="s">
        <v>296</v>
      </c>
      <c r="BK1" s="184" t="s">
        <v>272</v>
      </c>
      <c r="BL1" s="184" t="s">
        <v>295</v>
      </c>
      <c r="BM1" s="184" t="s">
        <v>273</v>
      </c>
      <c r="BN1" s="184" t="s">
        <v>294</v>
      </c>
      <c r="BO1" s="184" t="s">
        <v>274</v>
      </c>
      <c r="BP1" s="184" t="s">
        <v>275</v>
      </c>
      <c r="BQ1" s="184" t="s">
        <v>276</v>
      </c>
      <c r="BR1" s="184" t="s">
        <v>277</v>
      </c>
      <c r="BS1" s="184" t="s">
        <v>278</v>
      </c>
      <c r="BT1" s="184" t="s">
        <v>279</v>
      </c>
      <c r="BU1" s="184" t="s">
        <v>280</v>
      </c>
      <c r="BV1" s="184" t="s">
        <v>281</v>
      </c>
      <c r="BW1" s="184" t="s">
        <v>282</v>
      </c>
      <c r="BX1" s="179" t="s">
        <v>283</v>
      </c>
      <c r="BY1" s="179" t="s">
        <v>284</v>
      </c>
      <c r="BZ1" s="179" t="s">
        <v>285</v>
      </c>
      <c r="CA1" s="179" t="s">
        <v>286</v>
      </c>
      <c r="CB1" s="179" t="s">
        <v>287</v>
      </c>
      <c r="CC1" s="179" t="s">
        <v>288</v>
      </c>
      <c r="CD1" s="179" t="s">
        <v>289</v>
      </c>
      <c r="CE1" s="179" t="s">
        <v>290</v>
      </c>
      <c r="CF1" s="179" t="s">
        <v>196</v>
      </c>
      <c r="CG1" s="179" t="s">
        <v>203</v>
      </c>
      <c r="CH1" s="179" t="s">
        <v>199</v>
      </c>
      <c r="CI1" s="179" t="s">
        <v>201</v>
      </c>
      <c r="CJ1" s="179" t="s">
        <v>202</v>
      </c>
      <c r="CK1" s="179" t="s">
        <v>204</v>
      </c>
      <c r="CL1" s="179" t="s">
        <v>205</v>
      </c>
      <c r="CM1" s="2" t="s">
        <v>175</v>
      </c>
      <c r="CN1" s="2" t="s">
        <v>178</v>
      </c>
      <c r="CO1" s="2" t="s">
        <v>183</v>
      </c>
      <c r="CP1" s="2" t="s">
        <v>185</v>
      </c>
      <c r="CQ1" s="2" t="s">
        <v>186</v>
      </c>
      <c r="CR1" s="2" t="s">
        <v>179</v>
      </c>
    </row>
    <row r="2" spans="1:98" x14ac:dyDescent="0.3">
      <c r="A2" s="170">
        <f>'Su K. oro stendu'!B46</f>
        <v>44888</v>
      </c>
      <c r="B2" s="171">
        <v>170</v>
      </c>
      <c r="C2" s="171">
        <v>648</v>
      </c>
      <c r="D2" s="171">
        <v>18</v>
      </c>
      <c r="E2" s="171">
        <v>517</v>
      </c>
      <c r="F2" s="171">
        <v>54</v>
      </c>
      <c r="G2" s="171">
        <v>831</v>
      </c>
      <c r="H2" s="171">
        <v>37</v>
      </c>
      <c r="I2" s="171">
        <v>863</v>
      </c>
      <c r="J2" s="171">
        <v>202.62</v>
      </c>
      <c r="K2" s="171">
        <v>296.15600000000001</v>
      </c>
      <c r="L2" s="171">
        <v>365.86500000000001</v>
      </c>
      <c r="M2" s="171">
        <v>408.73</v>
      </c>
      <c r="N2" s="171">
        <v>426.18</v>
      </c>
      <c r="O2" s="171">
        <v>464.34899999999999</v>
      </c>
      <c r="P2" s="171">
        <v>459.34699999999998</v>
      </c>
      <c r="Q2" s="171">
        <v>417.91500000000002</v>
      </c>
      <c r="R2" s="171" cm="1">
        <f t="array" ref="R2:Y2">TRANSPOSE([1]Alfa!$G$18:$G$25)</f>
        <v>300.32488582814722</v>
      </c>
      <c r="S2" s="171">
        <v>437.07019270879135</v>
      </c>
      <c r="T2" s="171">
        <v>536.72345379696822</v>
      </c>
      <c r="U2" s="171">
        <v>597.52089955440192</v>
      </c>
      <c r="V2" s="171">
        <v>620.3720919912148</v>
      </c>
      <c r="W2" s="171">
        <v>666.05139592744251</v>
      </c>
      <c r="X2" s="171">
        <v>661.69766968030115</v>
      </c>
      <c r="Y2" s="171">
        <v>601.47280836708899</v>
      </c>
      <c r="AX2" s="172">
        <f>(CN2*1000)/CM2</f>
        <v>297.70992366412213</v>
      </c>
      <c r="AY2" s="172">
        <f>'Su K. oro stendu'!Q5</f>
        <v>63.905000000000001</v>
      </c>
      <c r="AZ2" s="185">
        <f t="shared" ref="AZ2:AZ17" si="0">((CN2-(B2/1000))*1000)/CM2</f>
        <v>296.41221374045801</v>
      </c>
      <c r="BB2" s="185">
        <f t="shared" ref="BB2:BB20" si="1">((CN2-((B2+C2)/1000))*1000)/CM2</f>
        <v>291.46564885496184</v>
      </c>
      <c r="BD2" s="185">
        <f t="shared" ref="BD2:BD37" si="2">((CN2-((B2+C2+D2)/1000))*1000)/CM2</f>
        <v>291.32824427480915</v>
      </c>
      <c r="BF2" s="185">
        <f t="shared" ref="BF2:BF49" si="3">((CN2-((B2+C2+D2+E2)/1000))*1000)/CM2</f>
        <v>287.38167938931298</v>
      </c>
      <c r="BH2" s="185">
        <f t="shared" ref="BH2:BH31" si="4">((CN2-((B2+C2+D2+E2+F2)/1000))*1000)/CM2</f>
        <v>286.96946564885496</v>
      </c>
      <c r="BJ2" s="185">
        <f t="shared" ref="BJ2:BJ35" si="5">((CN2-((B2+C2+D2+E2+F2+G2)/1000))*1000)/CM2</f>
        <v>280.62595419847327</v>
      </c>
      <c r="BL2" s="185">
        <f t="shared" ref="BL2:BL40" si="6">((CN2-((B2+C2+D2+E2+F2+G2+H2)/1000))*1000)/CM2</f>
        <v>280.3435114503817</v>
      </c>
      <c r="BN2" s="185">
        <f t="shared" ref="BN2:BN37" si="7">((CN2-((B2+C2+D2+E2+F2+G2+H2+I2)/1000))*1000)/CM2</f>
        <v>273.75572519083971</v>
      </c>
      <c r="CF2" s="171">
        <f>'Su K. oro stendu'!Q46</f>
        <v>71.072999999999993</v>
      </c>
      <c r="CG2" s="171"/>
      <c r="CH2" s="171">
        <v>8284.6670129438262</v>
      </c>
      <c r="CI2" s="171">
        <f>'Su K. oro stendu'!E46</f>
        <v>3000</v>
      </c>
      <c r="CJ2" s="171">
        <f>'Su K. oro stendu'!I46</f>
        <v>30</v>
      </c>
      <c r="CK2" s="171">
        <v>0.2092</v>
      </c>
      <c r="CL2" s="171">
        <f>'Su K. oro stendu'!J46</f>
        <v>32.200000000000003</v>
      </c>
      <c r="CM2" s="172">
        <f>'Su K. oro stendu'!C46</f>
        <v>131</v>
      </c>
      <c r="CN2" s="172">
        <f>'Su K. oro stendu'!F46</f>
        <v>39</v>
      </c>
      <c r="CO2" s="172">
        <f>'Su K. oro stendu'!K46</f>
        <v>262</v>
      </c>
      <c r="CP2" s="172">
        <f>'Su K. oro stendu'!M46</f>
        <v>10</v>
      </c>
      <c r="CQ2" s="172">
        <f>'Su K. oro stendu'!N46</f>
        <v>29</v>
      </c>
      <c r="CR2" s="172">
        <f>'Su K. oro stendu'!G46</f>
        <v>85</v>
      </c>
    </row>
    <row r="3" spans="1:98" x14ac:dyDescent="0.3">
      <c r="A3" s="170"/>
      <c r="B3" s="171"/>
      <c r="C3" s="171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AX3" s="172" t="e">
        <f t="shared" ref="AX3:AX57" si="8">(CN3*1000)/CM3</f>
        <v>#DIV/0!</v>
      </c>
      <c r="AZ3" s="185" t="e">
        <f t="shared" si="0"/>
        <v>#DIV/0!</v>
      </c>
      <c r="BB3" s="185" t="e">
        <f t="shared" si="1"/>
        <v>#DIV/0!</v>
      </c>
      <c r="BD3" s="185" t="e">
        <f t="shared" si="2"/>
        <v>#DIV/0!</v>
      </c>
      <c r="BF3" s="185" t="e">
        <f t="shared" si="3"/>
        <v>#DIV/0!</v>
      </c>
      <c r="BH3" s="185" t="e">
        <f t="shared" si="4"/>
        <v>#DIV/0!</v>
      </c>
      <c r="BJ3" s="185" t="e">
        <f t="shared" si="5"/>
        <v>#DIV/0!</v>
      </c>
      <c r="BL3" s="185" t="e">
        <f t="shared" si="6"/>
        <v>#DIV/0!</v>
      </c>
      <c r="BN3" s="185" t="e">
        <f t="shared" si="7"/>
        <v>#DIV/0!</v>
      </c>
      <c r="CF3" s="171">
        <f>'Su K. oro stendu'!Q47</f>
        <v>0</v>
      </c>
      <c r="CG3" s="171"/>
      <c r="CH3" s="171"/>
      <c r="CI3" s="171"/>
      <c r="CJ3" s="171"/>
      <c r="CK3" s="171"/>
      <c r="CL3" s="171"/>
    </row>
    <row r="4" spans="1:98" s="169" customFormat="1" x14ac:dyDescent="0.3">
      <c r="A4" s="180" t="str">
        <f>'Su K. oro stendu'!B48</f>
        <v>2022.11.24-1</v>
      </c>
      <c r="B4" s="181">
        <v>11</v>
      </c>
      <c r="C4" s="181">
        <v>641</v>
      </c>
      <c r="D4" s="181">
        <v>12</v>
      </c>
      <c r="E4" s="181">
        <v>661</v>
      </c>
      <c r="F4" s="181">
        <v>13</v>
      </c>
      <c r="G4" s="181">
        <v>637</v>
      </c>
      <c r="H4" s="181">
        <v>12</v>
      </c>
      <c r="I4" s="181">
        <v>607</v>
      </c>
      <c r="J4" s="181" cm="1">
        <f t="array" ref="J4:Q4">TRANSPOSE('[2]Nu kitimas'!$J$4:$J$11)</f>
        <v>105.97556718282472</v>
      </c>
      <c r="K4" s="181">
        <v>125.08765841907814</v>
      </c>
      <c r="L4" s="181">
        <v>143.58582011311586</v>
      </c>
      <c r="M4" s="181">
        <v>160.41389230519036</v>
      </c>
      <c r="N4" s="181">
        <v>178.86947129972145</v>
      </c>
      <c r="O4" s="181">
        <v>197.28428967200841</v>
      </c>
      <c r="P4" s="181">
        <v>213.63059454008655</v>
      </c>
      <c r="Q4" s="182">
        <v>223.62406572600364</v>
      </c>
      <c r="R4" s="181" cm="1">
        <f t="array" ref="R4:Y4">TRANSPOSE([2]Alfa!$G$18:$G$25)</f>
        <v>173.36565163061681</v>
      </c>
      <c r="S4" s="181">
        <v>201.56891213826324</v>
      </c>
      <c r="T4" s="181">
        <v>229.54706115117571</v>
      </c>
      <c r="U4" s="181">
        <v>254.68674652221523</v>
      </c>
      <c r="V4" s="181">
        <v>281.37363391918927</v>
      </c>
      <c r="W4" s="181">
        <v>307.80978354410871</v>
      </c>
      <c r="X4" s="181">
        <v>329.97818201677171</v>
      </c>
      <c r="Y4" s="181">
        <v>342.52579173045336</v>
      </c>
      <c r="Z4" s="169" cm="1">
        <f t="array" ref="Z4:AG4">TRANSPOSE([2]Alfa!$F$127:$F$134)</f>
        <v>9.7744044781784504E-3</v>
      </c>
      <c r="AA4" s="169">
        <v>0.57203039096059938</v>
      </c>
      <c r="AB4" s="169">
        <v>1.0736500380114257E-2</v>
      </c>
      <c r="AC4" s="169">
        <v>0.59228442206307952</v>
      </c>
      <c r="AD4" s="169">
        <v>1.1660194584509412E-2</v>
      </c>
      <c r="AE4" s="169">
        <v>0.5719737989906829</v>
      </c>
      <c r="AF4" s="169">
        <v>1.07940353537511E-2</v>
      </c>
      <c r="AG4" s="169">
        <v>0.54763801437036796</v>
      </c>
      <c r="AH4" s="33" cm="1">
        <f t="array" ref="AH4:AO4">TRANSPOSE('[2]Silumos kiekio nustat.'!$F$25:$F$32)*3</f>
        <v>728.9981921531579</v>
      </c>
      <c r="AI4" s="33">
        <v>828.87396084923364</v>
      </c>
      <c r="AJ4" s="33">
        <v>916.4898553933748</v>
      </c>
      <c r="AK4" s="33">
        <v>991.93499191969067</v>
      </c>
      <c r="AL4" s="33">
        <v>1055.3371281677967</v>
      </c>
      <c r="AM4" s="33">
        <v>1106.8544450502973</v>
      </c>
      <c r="AN4" s="33">
        <v>1146.6674129162693</v>
      </c>
      <c r="AO4" s="33">
        <v>1174.9709301319281</v>
      </c>
      <c r="AP4" s="169" cm="1">
        <f t="array" ref="AP4:AW4">TRANSPOSE([2]Alfa!$E$127:$E$134)*3</f>
        <v>0.37702892418051703</v>
      </c>
      <c r="AQ4" s="169">
        <v>0.46865496927806716</v>
      </c>
      <c r="AR4" s="169">
        <v>0.19780428216004858</v>
      </c>
      <c r="AS4" s="169">
        <v>0.26621823573057746</v>
      </c>
      <c r="AT4" s="169">
        <v>0.2253061808299972</v>
      </c>
      <c r="AU4" s="169">
        <v>0.29100311514967936</v>
      </c>
      <c r="AV4" s="169">
        <v>0.23891298931631516</v>
      </c>
      <c r="AW4" s="169">
        <v>0.28767026189872513</v>
      </c>
      <c r="AX4" s="169">
        <f t="shared" si="8"/>
        <v>200</v>
      </c>
      <c r="AZ4" s="185">
        <f t="shared" si="0"/>
        <v>199.94499999999999</v>
      </c>
      <c r="BA4" s="185">
        <v>64.563999999999993</v>
      </c>
      <c r="BB4" s="185">
        <f t="shared" si="1"/>
        <v>196.74</v>
      </c>
      <c r="BC4" s="185">
        <v>64.290999999999997</v>
      </c>
      <c r="BD4" s="185">
        <f t="shared" si="2"/>
        <v>196.68</v>
      </c>
      <c r="BE4" s="185">
        <v>64.286000000000001</v>
      </c>
      <c r="BF4" s="185">
        <f t="shared" si="3"/>
        <v>193.375</v>
      </c>
      <c r="BG4" s="185">
        <v>63.999000000000002</v>
      </c>
      <c r="BH4" s="185">
        <f t="shared" si="4"/>
        <v>193.31</v>
      </c>
      <c r="BI4" s="185">
        <v>63.993000000000002</v>
      </c>
      <c r="BJ4" s="185">
        <f t="shared" si="5"/>
        <v>190.125</v>
      </c>
      <c r="BK4" s="185">
        <v>63.712000000000003</v>
      </c>
      <c r="BL4" s="185">
        <f t="shared" si="6"/>
        <v>190.065</v>
      </c>
      <c r="BM4" s="185">
        <v>63.706000000000003</v>
      </c>
      <c r="BN4" s="185">
        <f t="shared" si="7"/>
        <v>187.03</v>
      </c>
      <c r="BO4" s="185">
        <v>63.433</v>
      </c>
      <c r="BP4" s="185" cm="1">
        <f t="array" ref="BP4:BW4">TRANSPOSE('[2]Keithley Matavimai'!$G$5:$G$12)</f>
        <v>113.87213688729491</v>
      </c>
      <c r="BQ4" s="185">
        <v>107.63196817134931</v>
      </c>
      <c r="BR4" s="185">
        <v>103.66573501852938</v>
      </c>
      <c r="BS4" s="185">
        <v>98.403649758779466</v>
      </c>
      <c r="BT4" s="185">
        <v>96.736045385419942</v>
      </c>
      <c r="BU4" s="185">
        <v>91.281079145602817</v>
      </c>
      <c r="BV4" s="185">
        <v>88.705755293897326</v>
      </c>
      <c r="BW4" s="185">
        <v>83.74964504881433</v>
      </c>
      <c r="BX4" s="169" cm="1">
        <f t="array" ref="BX4:CE4">TRANSPOSE('[2]Silumos kiekio nustat.'!$B$24:$B$31)</f>
        <v>29.659280300718564</v>
      </c>
      <c r="BY4" s="169">
        <v>28.019035250361636</v>
      </c>
      <c r="BZ4" s="169">
        <v>26.148244761978972</v>
      </c>
      <c r="CA4" s="169">
        <v>24.072524198800021</v>
      </c>
      <c r="CB4" s="169">
        <v>21.817488924054242</v>
      </c>
      <c r="CC4" s="169">
        <v>19.408754300971093</v>
      </c>
      <c r="CD4" s="169">
        <v>16.871935692780028</v>
      </c>
      <c r="CE4" s="169">
        <v>14.232648462710504</v>
      </c>
      <c r="CF4" s="181">
        <f>'Su K. oro stendu'!Q48</f>
        <v>64.569000000000003</v>
      </c>
      <c r="CG4" s="181"/>
      <c r="CH4" s="181">
        <v>8059.5426190070111</v>
      </c>
      <c r="CI4" s="181">
        <f>'Su K. oro stendu'!E48</f>
        <v>5000</v>
      </c>
      <c r="CJ4" s="181">
        <f>'Su K. oro stendu'!I48</f>
        <v>20</v>
      </c>
      <c r="CK4" s="181">
        <v>0.17293333333333336</v>
      </c>
      <c r="CL4" s="181">
        <f>'Su K. oro stendu'!J48</f>
        <v>25.9</v>
      </c>
      <c r="CM4" s="169">
        <f>'Su K. oro stendu'!C48</f>
        <v>200</v>
      </c>
      <c r="CN4" s="169">
        <f>'Su K. oro stendu'!F48</f>
        <v>40</v>
      </c>
      <c r="CO4" s="169">
        <f>'Su K. oro stendu'!K48</f>
        <v>400</v>
      </c>
      <c r="CP4" s="169">
        <f>'Su K. oro stendu'!M48</f>
        <v>11</v>
      </c>
      <c r="CQ4" s="169">
        <f>'Su K. oro stendu'!N48</f>
        <v>18.5</v>
      </c>
      <c r="CR4" s="169">
        <f>'Su K. oro stendu'!G48</f>
        <v>115</v>
      </c>
      <c r="CS4" s="33"/>
      <c r="CT4" s="33"/>
    </row>
    <row r="5" spans="1:98" x14ac:dyDescent="0.3">
      <c r="A5" s="170" t="str">
        <f>'Su K. oro stendu'!B49</f>
        <v>2022.11.24-2</v>
      </c>
      <c r="B5" s="171">
        <v>11</v>
      </c>
      <c r="C5" s="171">
        <v>624</v>
      </c>
      <c r="D5" s="171">
        <v>10</v>
      </c>
      <c r="E5" s="171">
        <v>652</v>
      </c>
      <c r="F5" s="171">
        <v>13</v>
      </c>
      <c r="G5" s="171">
        <v>636</v>
      </c>
      <c r="H5" s="171">
        <v>12</v>
      </c>
      <c r="I5" s="171">
        <v>607</v>
      </c>
      <c r="J5" s="171" cm="1">
        <f t="array" ref="J5:Q5">TRANSPOSE('[3]Nu kitimas'!$G$4:$G$11)</f>
        <v>88.249317879113377</v>
      </c>
      <c r="K5" s="171">
        <v>105.2372732760888</v>
      </c>
      <c r="L5" s="171">
        <v>124.02487500762776</v>
      </c>
      <c r="M5" s="171">
        <v>141.83017189568338</v>
      </c>
      <c r="N5" s="171">
        <v>160.46357160181267</v>
      </c>
      <c r="O5" s="171">
        <v>178.43365669005931</v>
      </c>
      <c r="P5" s="171">
        <v>192.99134568453366</v>
      </c>
      <c r="Q5" s="173">
        <v>202.61493517153767</v>
      </c>
      <c r="R5" s="171" cm="1">
        <f t="array" ref="R5:Y5">TRANSPOSE([3]Alfa!$G$18:$G$25)</f>
        <v>148.41380578024607</v>
      </c>
      <c r="S5" s="171">
        <v>174.82222126345764</v>
      </c>
      <c r="T5" s="171">
        <v>202.93064539444904</v>
      </c>
      <c r="U5" s="171">
        <v>230.44467678077422</v>
      </c>
      <c r="V5" s="171">
        <v>257.30250146702525</v>
      </c>
      <c r="W5" s="171">
        <v>283.74847360160413</v>
      </c>
      <c r="X5" s="171">
        <v>303.53420064643569</v>
      </c>
      <c r="Y5" s="171">
        <v>315.53215947363174</v>
      </c>
      <c r="AX5" s="172">
        <f t="shared" si="8"/>
        <v>200</v>
      </c>
      <c r="AZ5" s="185">
        <f t="shared" si="0"/>
        <v>199.94499999999999</v>
      </c>
      <c r="BB5" s="185">
        <f t="shared" si="1"/>
        <v>196.82499999999999</v>
      </c>
      <c r="BD5" s="185">
        <f t="shared" si="2"/>
        <v>196.77500000000001</v>
      </c>
      <c r="BF5" s="185">
        <f t="shared" si="3"/>
        <v>193.51499999999999</v>
      </c>
      <c r="BH5" s="185">
        <f t="shared" si="4"/>
        <v>193.45</v>
      </c>
      <c r="BJ5" s="185">
        <f t="shared" si="5"/>
        <v>190.27</v>
      </c>
      <c r="BL5" s="185">
        <f t="shared" si="6"/>
        <v>190.21</v>
      </c>
      <c r="BN5" s="185">
        <f t="shared" si="7"/>
        <v>187.17500000000001</v>
      </c>
      <c r="CF5" s="171">
        <f>'Su K. oro stendu'!Q49</f>
        <v>64.569000000000003</v>
      </c>
      <c r="CG5" s="171"/>
      <c r="CH5" s="171">
        <v>8200.0866042764628</v>
      </c>
      <c r="CI5" s="171">
        <f>'Su K. oro stendu'!E49</f>
        <v>5000</v>
      </c>
      <c r="CJ5" s="171">
        <f>'Su K. oro stendu'!I49</f>
        <v>20</v>
      </c>
      <c r="CK5" s="171">
        <v>0.17100000000000001</v>
      </c>
      <c r="CL5" s="171">
        <f>'Su K. oro stendu'!J49</f>
        <v>25.6</v>
      </c>
      <c r="CM5" s="172">
        <f>'Su K. oro stendu'!C49</f>
        <v>200</v>
      </c>
      <c r="CN5" s="172">
        <f>'Su K. oro stendu'!F49</f>
        <v>40</v>
      </c>
      <c r="CO5" s="172">
        <f>'Su K. oro stendu'!K49</f>
        <v>400</v>
      </c>
      <c r="CP5" s="172">
        <f>'Su K. oro stendu'!M49</f>
        <v>11</v>
      </c>
      <c r="CQ5" s="172">
        <f>'Su K. oro stendu'!N49</f>
        <v>18.7</v>
      </c>
      <c r="CR5" s="172">
        <f>'Su K. oro stendu'!G49</f>
        <v>125</v>
      </c>
    </row>
    <row r="6" spans="1:98" x14ac:dyDescent="0.3">
      <c r="A6" s="170">
        <f>'Su K. oro stendu'!B50</f>
        <v>44890</v>
      </c>
      <c r="B6" s="171">
        <v>10</v>
      </c>
      <c r="C6" s="171">
        <v>596</v>
      </c>
      <c r="D6" s="171">
        <v>20</v>
      </c>
      <c r="E6" s="171">
        <v>606</v>
      </c>
      <c r="F6" s="171">
        <v>8</v>
      </c>
      <c r="G6" s="171">
        <v>623</v>
      </c>
      <c r="H6" s="171">
        <v>9</v>
      </c>
      <c r="I6" s="171">
        <v>592</v>
      </c>
      <c r="J6" s="171" cm="1">
        <f t="array" ref="J6:Q6">TRANSPOSE('[4]Nu kitimas'!$I$4:$I$11)</f>
        <v>100.71575529145197</v>
      </c>
      <c r="K6" s="171">
        <v>111.41878996891244</v>
      </c>
      <c r="L6" s="171">
        <v>123.2670156181475</v>
      </c>
      <c r="M6" s="171">
        <v>132.97083407974662</v>
      </c>
      <c r="N6" s="171">
        <v>142.10804652203277</v>
      </c>
      <c r="O6" s="171">
        <v>151.23622875767384</v>
      </c>
      <c r="P6" s="171">
        <v>153.612599827276</v>
      </c>
      <c r="Q6" s="173">
        <v>149.63596146477946</v>
      </c>
      <c r="R6" s="171" cm="1">
        <f t="array" ref="R6:Y6">TRANSPOSE([4]Alfa!$G$18:$G$25)</f>
        <v>173.62557328411955</v>
      </c>
      <c r="S6" s="171">
        <v>189.39502286197884</v>
      </c>
      <c r="T6" s="171">
        <v>206.05219979171724</v>
      </c>
      <c r="U6" s="171">
        <v>220.49167057369397</v>
      </c>
      <c r="V6" s="171">
        <v>232.29370006518104</v>
      </c>
      <c r="W6" s="171">
        <v>243.95076862483097</v>
      </c>
      <c r="X6" s="171">
        <v>245.66990776655018</v>
      </c>
      <c r="Y6" s="171">
        <v>236.67314809844831</v>
      </c>
      <c r="AX6" s="172">
        <f t="shared" si="8"/>
        <v>200</v>
      </c>
      <c r="AZ6" s="185">
        <f t="shared" si="0"/>
        <v>199.95</v>
      </c>
      <c r="BB6" s="185">
        <f t="shared" si="1"/>
        <v>196.97</v>
      </c>
      <c r="BD6" s="185">
        <f t="shared" si="2"/>
        <v>196.87</v>
      </c>
      <c r="BF6" s="185">
        <f t="shared" si="3"/>
        <v>193.84</v>
      </c>
      <c r="BH6" s="185">
        <f t="shared" si="4"/>
        <v>193.8</v>
      </c>
      <c r="BJ6" s="185">
        <f t="shared" si="5"/>
        <v>190.685</v>
      </c>
      <c r="BL6" s="185">
        <f t="shared" si="6"/>
        <v>190.64</v>
      </c>
      <c r="BN6" s="185">
        <f t="shared" si="7"/>
        <v>187.68</v>
      </c>
      <c r="CF6" s="171">
        <f>'Su K. oro stendu'!Q50</f>
        <v>64.569000000000003</v>
      </c>
      <c r="CG6" s="171"/>
      <c r="CH6" s="171">
        <v>8391.582635237708</v>
      </c>
      <c r="CI6" s="171">
        <f>'Su K. oro stendu'!E50</f>
        <v>5000</v>
      </c>
      <c r="CJ6" s="171">
        <f>'Su K. oro stendu'!I50</f>
        <v>20</v>
      </c>
      <c r="CK6" s="171">
        <v>0.16426666666666664</v>
      </c>
      <c r="CL6" s="171">
        <f>'Su K. oro stendu'!J50</f>
        <v>24</v>
      </c>
      <c r="CM6" s="172">
        <f>'Su K. oro stendu'!C50</f>
        <v>200</v>
      </c>
      <c r="CN6" s="172">
        <f>'Su K. oro stendu'!F50</f>
        <v>40</v>
      </c>
      <c r="CO6" s="172">
        <f>'Su K. oro stendu'!K50</f>
        <v>400</v>
      </c>
      <c r="CP6" s="172">
        <f>'Su K. oro stendu'!M50</f>
        <v>12</v>
      </c>
      <c r="CQ6" s="172">
        <f>'Su K. oro stendu'!N50</f>
        <v>19</v>
      </c>
      <c r="CR6" s="172">
        <f>'Su K. oro stendu'!G50</f>
        <v>135</v>
      </c>
    </row>
    <row r="7" spans="1:98" s="169" customFormat="1" x14ac:dyDescent="0.3">
      <c r="A7" s="180">
        <f>'Su K. oro stendu'!B51</f>
        <v>44893</v>
      </c>
      <c r="B7" s="181">
        <v>9</v>
      </c>
      <c r="C7" s="181">
        <v>573</v>
      </c>
      <c r="D7" s="181">
        <v>7</v>
      </c>
      <c r="E7" s="181">
        <v>624</v>
      </c>
      <c r="F7" s="181">
        <v>8</v>
      </c>
      <c r="G7" s="181">
        <v>618</v>
      </c>
      <c r="H7" s="181">
        <v>8</v>
      </c>
      <c r="I7" s="181">
        <v>591</v>
      </c>
      <c r="J7" s="181" cm="1">
        <f t="array" ref="J7:Q7">TRANSPOSE('[5]Nu kitimas'!$G$4:$G$11)</f>
        <v>41.908318928539138</v>
      </c>
      <c r="K7" s="181">
        <v>67.04751357876755</v>
      </c>
      <c r="L7" s="181">
        <v>93.296713202177642</v>
      </c>
      <c r="M7" s="181">
        <v>118.27852718231621</v>
      </c>
      <c r="N7" s="181">
        <v>143.79558671010338</v>
      </c>
      <c r="O7" s="181">
        <v>168.78379798564589</v>
      </c>
      <c r="P7" s="181">
        <v>193.13980048812792</v>
      </c>
      <c r="Q7" s="182">
        <v>211.71730638517744</v>
      </c>
      <c r="R7" s="181" cm="1">
        <f t="array" ref="R7:Y7">TRANSPOSE([5]Alfa!$G$18:$G$25)</f>
        <v>74.421946607995636</v>
      </c>
      <c r="S7" s="181">
        <v>117.29310391591262</v>
      </c>
      <c r="T7" s="181">
        <v>160.08488556202107</v>
      </c>
      <c r="U7" s="181">
        <v>201.20287362340159</v>
      </c>
      <c r="V7" s="181">
        <v>240.56620461831807</v>
      </c>
      <c r="W7" s="181">
        <v>279.42016312562589</v>
      </c>
      <c r="X7" s="181">
        <v>314.44922785244069</v>
      </c>
      <c r="Y7" s="181">
        <v>341.38218166239301</v>
      </c>
      <c r="Z7" s="169" cm="1">
        <f t="array" ref="Z7:AG7">TRANSPOSE([5]Alfa!$F$127:$F$134)</f>
        <v>7.9862313863158316E-3</v>
      </c>
      <c r="AA7" s="169">
        <v>0.51060035736462084</v>
      </c>
      <c r="AB7" s="169">
        <v>6.2543093514454869E-3</v>
      </c>
      <c r="AC7" s="169">
        <v>0.55844665409891114</v>
      </c>
      <c r="AD7" s="169">
        <v>7.1678303456317845E-3</v>
      </c>
      <c r="AE7" s="169">
        <v>0.55435873365036448</v>
      </c>
      <c r="AF7" s="169">
        <v>7.1881514238709178E-3</v>
      </c>
      <c r="AG7" s="169">
        <v>0.53244036352301183</v>
      </c>
      <c r="AH7" s="33" cm="1">
        <f t="array" ref="AH7:AO7">TRANSPOSE('[5]Silumos kiekio nustat.'!$F$25:$F$32)*3</f>
        <v>445.82791312255722</v>
      </c>
      <c r="AI7" s="33">
        <v>684.4511112133664</v>
      </c>
      <c r="AJ7" s="33">
        <v>894.87840018314319</v>
      </c>
      <c r="AK7" s="33">
        <v>1076.9559252402485</v>
      </c>
      <c r="AL7" s="33">
        <v>1230.7589571691904</v>
      </c>
      <c r="AM7" s="33">
        <v>1356.5520656381777</v>
      </c>
      <c r="AN7" s="33">
        <v>1454.7465971329475</v>
      </c>
      <c r="AO7" s="33">
        <v>1525.8575448139954</v>
      </c>
      <c r="AP7" s="169" cm="1">
        <f t="array" ref="AP7:AW7">TRANSPOSE([5]Alfa!$E$127:$E$134)*3</f>
        <v>0.55108568616507059</v>
      </c>
      <c r="AQ7" s="169">
        <v>0.4920837463515414</v>
      </c>
      <c r="AR7" s="169">
        <v>0.52693959282271219</v>
      </c>
      <c r="AS7" s="169">
        <v>0.32023677636538156</v>
      </c>
      <c r="AT7" s="169">
        <v>0.44164112146502499</v>
      </c>
      <c r="AU7" s="169">
        <v>0.36499872956978857</v>
      </c>
      <c r="AV7" s="169">
        <v>0.43017008978212556</v>
      </c>
      <c r="AW7" s="169">
        <v>0.33395492823177358</v>
      </c>
      <c r="AX7" s="169">
        <f t="shared" si="8"/>
        <v>194.8356807511737</v>
      </c>
      <c r="AZ7" s="185">
        <f t="shared" si="0"/>
        <v>194.79342723004694</v>
      </c>
      <c r="BA7" s="185">
        <v>64.123000000000005</v>
      </c>
      <c r="BB7" s="185">
        <f t="shared" si="1"/>
        <v>192.10328638497651</v>
      </c>
      <c r="BC7" s="185">
        <v>63.887</v>
      </c>
      <c r="BD7" s="185">
        <f t="shared" si="2"/>
        <v>192.07042253521126</v>
      </c>
      <c r="BE7" s="185">
        <v>63.884</v>
      </c>
      <c r="BF7" s="185">
        <f t="shared" si="3"/>
        <v>189.14084507042253</v>
      </c>
      <c r="BG7" s="185">
        <v>63.624000000000002</v>
      </c>
      <c r="BH7" s="185">
        <f t="shared" si="4"/>
        <v>189.10328638497651</v>
      </c>
      <c r="BI7" s="185">
        <v>63.62</v>
      </c>
      <c r="BJ7" s="185">
        <f t="shared" si="5"/>
        <v>186.20187793427229</v>
      </c>
      <c r="BK7" s="185">
        <v>63.356999999999999</v>
      </c>
      <c r="BL7" s="185">
        <f t="shared" si="6"/>
        <v>186.1643192488263</v>
      </c>
      <c r="BM7" s="185">
        <v>63.353999999999999</v>
      </c>
      <c r="BN7" s="185">
        <f t="shared" si="7"/>
        <v>183.38967136150234</v>
      </c>
      <c r="BO7" s="185">
        <v>63.097999999999999</v>
      </c>
      <c r="BP7" s="185" cm="1">
        <f t="array" ref="BP7:BW7">TRANSPOSE('[5]Keithley Matavimai'!$G$5:$G$12)</f>
        <v>145.216013814061</v>
      </c>
      <c r="BQ7" s="185">
        <v>136.80671961368927</v>
      </c>
      <c r="BR7" s="185">
        <v>132.62588212668956</v>
      </c>
      <c r="BS7" s="185">
        <v>123.05925455297782</v>
      </c>
      <c r="BT7" s="185">
        <v>121.10300214675034</v>
      </c>
      <c r="BU7" s="185">
        <v>113.32409289614556</v>
      </c>
      <c r="BV7" s="185">
        <v>109.70577094087267</v>
      </c>
      <c r="BW7" s="185">
        <v>102.03080084410909</v>
      </c>
      <c r="BX7" s="169" cm="1">
        <f t="array" ref="BX7:CE7">TRANSPOSE('[5]Silumos kiekio nustat.'!$B$24:$B$31)</f>
        <v>29.35448633630082</v>
      </c>
      <c r="BY7" s="169">
        <v>28.362595559576366</v>
      </c>
      <c r="BZ7" s="169">
        <v>26.836393644153816</v>
      </c>
      <c r="CA7" s="169">
        <v>24.834763306436717</v>
      </c>
      <c r="CB7" s="169">
        <v>22.416587262828607</v>
      </c>
      <c r="CC7" s="169">
        <v>19.64074822973302</v>
      </c>
      <c r="CD7" s="169">
        <v>16.566128923553507</v>
      </c>
      <c r="CE7" s="169">
        <v>13.251612060693603</v>
      </c>
      <c r="CF7" s="181">
        <f>'Su K. oro stendu'!Q51</f>
        <v>67.691999999999993</v>
      </c>
      <c r="CG7" s="181"/>
      <c r="CH7" s="181">
        <v>8770.746995210995</v>
      </c>
      <c r="CI7" s="181">
        <f>'Su K. oro stendu'!E51</f>
        <v>5000</v>
      </c>
      <c r="CJ7" s="181">
        <f>'Su K. oro stendu'!I51</f>
        <v>20</v>
      </c>
      <c r="CK7" s="181">
        <v>0.16253333333333331</v>
      </c>
      <c r="CL7" s="181">
        <f>'Su K. oro stendu'!J51</f>
        <v>23.5</v>
      </c>
      <c r="CM7" s="169">
        <f>'Su K. oro stendu'!C51</f>
        <v>213</v>
      </c>
      <c r="CN7" s="169">
        <f>'Su K. oro stendu'!F51</f>
        <v>41.5</v>
      </c>
      <c r="CO7" s="169">
        <f>'Su K. oro stendu'!K51</f>
        <v>403.5</v>
      </c>
      <c r="CP7" s="169">
        <f>'Su K. oro stendu'!M51</f>
        <v>8.84</v>
      </c>
      <c r="CQ7" s="169">
        <f>'Su K. oro stendu'!N51</f>
        <v>19.82</v>
      </c>
      <c r="CR7" s="169">
        <f>'Su K. oro stendu'!G51</f>
        <v>145</v>
      </c>
      <c r="CS7" s="33"/>
      <c r="CT7" s="33"/>
    </row>
    <row r="8" spans="1:98" x14ac:dyDescent="0.3">
      <c r="A8" s="170">
        <f>'Su K. oro stendu'!B52</f>
        <v>44893</v>
      </c>
      <c r="B8" s="174">
        <v>5</v>
      </c>
      <c r="C8" s="174">
        <v>555</v>
      </c>
      <c r="D8" s="174">
        <v>7</v>
      </c>
      <c r="E8" s="174">
        <v>597</v>
      </c>
      <c r="F8" s="174">
        <v>6</v>
      </c>
      <c r="G8" s="174">
        <v>612</v>
      </c>
      <c r="H8" s="174">
        <v>8</v>
      </c>
      <c r="I8" s="174">
        <v>593</v>
      </c>
      <c r="J8" s="171" cm="1">
        <f t="array" ref="J8:Q8">TRANSPOSE('[6]Nu kitimas'!$G$4:$G$11)</f>
        <v>49.009225095799557</v>
      </c>
      <c r="K8" s="171">
        <v>66.418845053186246</v>
      </c>
      <c r="L8" s="171">
        <v>87.087391642521226</v>
      </c>
      <c r="M8" s="171">
        <v>107.84430130998675</v>
      </c>
      <c r="N8" s="171">
        <v>128.80792317510239</v>
      </c>
      <c r="O8" s="171">
        <v>151.69996489765705</v>
      </c>
      <c r="P8" s="171">
        <v>175.15123880437289</v>
      </c>
      <c r="Q8" s="173">
        <v>200.00439541351014</v>
      </c>
      <c r="R8" s="171" cm="1">
        <f t="array" ref="R8:Y8">TRANSPOSE([6]Alfa!$G$18:$G$25)</f>
        <v>88.639198055591223</v>
      </c>
      <c r="S8" s="171">
        <v>118.2276192996481</v>
      </c>
      <c r="T8" s="171">
        <v>151.53845148976583</v>
      </c>
      <c r="U8" s="171">
        <v>185.90712573669367</v>
      </c>
      <c r="V8" s="171">
        <v>218.9026985722538</v>
      </c>
      <c r="W8" s="171">
        <v>254.46119223836266</v>
      </c>
      <c r="X8" s="171">
        <v>289.50728973019483</v>
      </c>
      <c r="Y8" s="171">
        <v>324.70458162355095</v>
      </c>
      <c r="AX8" s="172">
        <f t="shared" si="8"/>
        <v>191.2442396313364</v>
      </c>
      <c r="AZ8" s="185">
        <f t="shared" si="0"/>
        <v>191.22119815668202</v>
      </c>
      <c r="BB8" s="185">
        <f t="shared" si="1"/>
        <v>188.66359447004609</v>
      </c>
      <c r="BD8" s="185">
        <f t="shared" si="2"/>
        <v>188.63133640552996</v>
      </c>
      <c r="BF8" s="185">
        <f t="shared" si="3"/>
        <v>185.88018433179724</v>
      </c>
      <c r="BH8" s="185">
        <f t="shared" si="4"/>
        <v>185.85253456221199</v>
      </c>
      <c r="BJ8" s="185">
        <f t="shared" si="5"/>
        <v>183.03225806451613</v>
      </c>
      <c r="BL8" s="185">
        <f t="shared" si="6"/>
        <v>182.99539170506912</v>
      </c>
      <c r="BN8" s="185">
        <f t="shared" si="7"/>
        <v>180.2626728110599</v>
      </c>
      <c r="CF8" s="171">
        <f>'Su K. oro stendu'!Q52</f>
        <v>63.811</v>
      </c>
      <c r="CG8" s="171"/>
      <c r="CH8" s="171">
        <v>8983.0728051799724</v>
      </c>
      <c r="CI8" s="171">
        <f>'Su K. oro stendu'!E52</f>
        <v>5000</v>
      </c>
      <c r="CJ8" s="171">
        <f>'Su K. oro stendu'!I52</f>
        <v>20</v>
      </c>
      <c r="CK8" s="171">
        <v>0.15886666666666666</v>
      </c>
      <c r="CL8" s="171">
        <f>'Su K. oro stendu'!J52</f>
        <v>22.97</v>
      </c>
      <c r="CM8" s="172">
        <f>'Su K. oro stendu'!C52</f>
        <v>217</v>
      </c>
      <c r="CN8" s="172">
        <f>'Su K. oro stendu'!F52</f>
        <v>41.5</v>
      </c>
      <c r="CO8" s="172">
        <f>'Su K. oro stendu'!K52</f>
        <v>405</v>
      </c>
      <c r="CP8" s="172">
        <f>'Su K. oro stendu'!M52</f>
        <v>8.8800000000000008</v>
      </c>
      <c r="CQ8" s="172">
        <f>'Su K. oro stendu'!N52</f>
        <v>20.21</v>
      </c>
      <c r="CR8" s="172">
        <f>'Su K. oro stendu'!G52</f>
        <v>155</v>
      </c>
    </row>
    <row r="9" spans="1:98" x14ac:dyDescent="0.3">
      <c r="A9" s="170" t="str">
        <f>'Su K. oro stendu'!B53</f>
        <v>30.11.2022</v>
      </c>
      <c r="B9" s="174">
        <v>4</v>
      </c>
      <c r="C9" s="174">
        <v>529</v>
      </c>
      <c r="D9" s="174">
        <v>5</v>
      </c>
      <c r="E9" s="174">
        <v>600</v>
      </c>
      <c r="F9" s="174">
        <v>6</v>
      </c>
      <c r="G9" s="174">
        <v>620</v>
      </c>
      <c r="H9" s="174">
        <v>7</v>
      </c>
      <c r="I9" s="174">
        <v>584</v>
      </c>
      <c r="J9" s="171" cm="1">
        <f t="array" ref="J9:Q9">TRANSPOSE('[7]Nu kitimas'!$H$4:$H$11)</f>
        <v>88.281677901219552</v>
      </c>
      <c r="K9" s="171">
        <v>94.222286619097886</v>
      </c>
      <c r="L9" s="171">
        <v>101.34817617079257</v>
      </c>
      <c r="M9" s="171">
        <v>107.23810155239501</v>
      </c>
      <c r="N9" s="171">
        <v>113.18223362987018</v>
      </c>
      <c r="O9" s="171">
        <v>118.02138295015899</v>
      </c>
      <c r="P9" s="171">
        <v>120.37351454148704</v>
      </c>
      <c r="Q9" s="173">
        <v>122.38259679649873</v>
      </c>
      <c r="R9" s="171" cm="1">
        <f t="array" ref="R9:Y9">TRANSPOSE([7]Alfa!$G$18:$G$25)</f>
        <v>162.97551350153793</v>
      </c>
      <c r="S9" s="171">
        <v>171.33961465657879</v>
      </c>
      <c r="T9" s="171">
        <v>180.34370915987216</v>
      </c>
      <c r="U9" s="171">
        <v>188.80819341472969</v>
      </c>
      <c r="V9" s="171">
        <v>195.68036134491823</v>
      </c>
      <c r="W9" s="171">
        <v>201.57804974198649</v>
      </c>
      <c r="X9" s="171">
        <v>202.54152121928777</v>
      </c>
      <c r="Y9" s="171">
        <v>201.75395401498577</v>
      </c>
      <c r="AX9" s="172">
        <f t="shared" si="8"/>
        <v>200</v>
      </c>
      <c r="AZ9" s="185">
        <f t="shared" si="0"/>
        <v>199.98222222222222</v>
      </c>
      <c r="BB9" s="185">
        <f t="shared" si="1"/>
        <v>197.63111111111112</v>
      </c>
      <c r="BD9" s="185">
        <f t="shared" si="2"/>
        <v>197.60888888888888</v>
      </c>
      <c r="BF9" s="185">
        <f t="shared" si="3"/>
        <v>194.94222222222223</v>
      </c>
      <c r="BH9" s="185">
        <f t="shared" si="4"/>
        <v>194.91555555555556</v>
      </c>
      <c r="BJ9" s="185">
        <f t="shared" si="5"/>
        <v>192.16</v>
      </c>
      <c r="BL9" s="185">
        <f t="shared" si="6"/>
        <v>192.12888888888889</v>
      </c>
      <c r="BN9" s="185">
        <f t="shared" si="7"/>
        <v>189.53333333333333</v>
      </c>
      <c r="CF9" s="171">
        <f>'Su K. oro stendu'!Q53</f>
        <v>64.569000000000003</v>
      </c>
      <c r="CG9" s="171"/>
      <c r="CH9" s="171">
        <v>9288.7498672158199</v>
      </c>
      <c r="CI9" s="171">
        <f>'Su K. oro stendu'!E53</f>
        <v>5000</v>
      </c>
      <c r="CJ9" s="171">
        <f>'Su K. oro stendu'!I53</f>
        <v>20</v>
      </c>
      <c r="CK9" s="171">
        <v>0.157</v>
      </c>
      <c r="CL9" s="171">
        <f>'Su K. oro stendu'!J53</f>
        <v>22.43</v>
      </c>
      <c r="CM9" s="172">
        <f>'Su K. oro stendu'!C53</f>
        <v>225</v>
      </c>
      <c r="CN9" s="172">
        <f>'Su K. oro stendu'!F53</f>
        <v>45</v>
      </c>
      <c r="CO9" s="172">
        <f>'Su K. oro stendu'!K53</f>
        <v>408</v>
      </c>
      <c r="CP9" s="172">
        <f>'Su K. oro stendu'!M53</f>
        <v>11.11</v>
      </c>
      <c r="CQ9" s="172">
        <f>'Su K. oro stendu'!N53</f>
        <v>20.66</v>
      </c>
      <c r="CR9" s="172">
        <f>'Su K. oro stendu'!G53</f>
        <v>165</v>
      </c>
    </row>
    <row r="10" spans="1:98" x14ac:dyDescent="0.3">
      <c r="A10" s="170" t="str">
        <f>'Su K. oro stendu'!B54</f>
        <v>30.11.2022</v>
      </c>
      <c r="B10" s="171">
        <v>4</v>
      </c>
      <c r="C10" s="171">
        <v>505</v>
      </c>
      <c r="D10" s="171">
        <v>3</v>
      </c>
      <c r="E10" s="171">
        <v>579</v>
      </c>
      <c r="F10" s="171">
        <v>5</v>
      </c>
      <c r="G10" s="171">
        <v>607</v>
      </c>
      <c r="H10" s="171">
        <v>7</v>
      </c>
      <c r="I10" s="171">
        <v>569</v>
      </c>
      <c r="J10" s="171" cm="1">
        <f t="array" ref="J10:Q10">TRANSPOSE('[8]Nu kitimas'!$I$4:$I$11)</f>
        <v>85.143193450486564</v>
      </c>
      <c r="K10" s="171">
        <v>88.274699650158482</v>
      </c>
      <c r="L10" s="171">
        <v>93.361659967479511</v>
      </c>
      <c r="M10" s="171">
        <v>97.17314147197483</v>
      </c>
      <c r="N10" s="171">
        <v>101.43621207641162</v>
      </c>
      <c r="O10" s="171">
        <v>104.8576886365923</v>
      </c>
      <c r="P10" s="171">
        <v>106.99399085425149</v>
      </c>
      <c r="Q10" s="173">
        <v>107.03884264355693</v>
      </c>
      <c r="R10" s="171" cm="1">
        <f t="array" ref="R10:Y10">TRANSPOSE([8]Alfa!$G$18:$G$25)</f>
        <v>160.96234720084496</v>
      </c>
      <c r="S10" s="171">
        <v>163.80068381745167</v>
      </c>
      <c r="T10" s="171">
        <v>169.26863784017308</v>
      </c>
      <c r="U10" s="171">
        <v>174.14545452706588</v>
      </c>
      <c r="V10" s="171">
        <v>178.21562919413333</v>
      </c>
      <c r="W10" s="171">
        <v>181.85950720964104</v>
      </c>
      <c r="X10" s="171">
        <v>182.25499258046023</v>
      </c>
      <c r="Y10" s="171">
        <v>179.47353882855336</v>
      </c>
      <c r="AX10" s="172">
        <f t="shared" si="8"/>
        <v>200</v>
      </c>
      <c r="AZ10" s="185">
        <f t="shared" si="0"/>
        <v>199.98222222222222</v>
      </c>
      <c r="BB10" s="185">
        <f t="shared" si="1"/>
        <v>197.73777777777778</v>
      </c>
      <c r="BD10" s="185">
        <f t="shared" si="2"/>
        <v>197.72444444444446</v>
      </c>
      <c r="BF10" s="185">
        <f t="shared" si="3"/>
        <v>195.15111111111111</v>
      </c>
      <c r="BH10" s="185">
        <f t="shared" si="4"/>
        <v>195.12888888888889</v>
      </c>
      <c r="BJ10" s="185">
        <f t="shared" si="5"/>
        <v>192.43111111111111</v>
      </c>
      <c r="BL10" s="185">
        <f t="shared" si="6"/>
        <v>192.4</v>
      </c>
      <c r="BN10" s="185">
        <f t="shared" si="7"/>
        <v>189.87111111111111</v>
      </c>
      <c r="CF10" s="171">
        <f>'Su K. oro stendu'!Q54</f>
        <v>64.569000000000003</v>
      </c>
      <c r="CG10" s="171"/>
      <c r="CH10" s="171">
        <v>9221.9819070964677</v>
      </c>
      <c r="CI10" s="171">
        <f>'Su K. oro stendu'!E54</f>
        <v>5000</v>
      </c>
      <c r="CJ10" s="171">
        <f>'Su K. oro stendu'!I54</f>
        <v>20</v>
      </c>
      <c r="CK10" s="171">
        <v>0.15193333333333334</v>
      </c>
      <c r="CL10" s="171">
        <f>'Su K. oro stendu'!J54</f>
        <v>22.43</v>
      </c>
      <c r="CM10" s="172">
        <f>'Su K. oro stendu'!C54</f>
        <v>225</v>
      </c>
      <c r="CN10" s="172">
        <f>'Su K. oro stendu'!F54</f>
        <v>45</v>
      </c>
      <c r="CO10" s="172">
        <f>'Su K. oro stendu'!K54</f>
        <v>408</v>
      </c>
      <c r="CP10" s="172">
        <f>'Su K. oro stendu'!M54</f>
        <v>11.11</v>
      </c>
      <c r="CQ10" s="172">
        <f>'Su K. oro stendu'!N54</f>
        <v>20.66</v>
      </c>
      <c r="CR10" s="172">
        <f>'Su K. oro stendu'!G54</f>
        <v>165</v>
      </c>
    </row>
    <row r="11" spans="1:98" x14ac:dyDescent="0.3">
      <c r="A11" s="170" t="str">
        <f>'Su K. oro stendu'!B55</f>
        <v>01.12.2022</v>
      </c>
      <c r="B11" s="171">
        <v>3</v>
      </c>
      <c r="C11" s="171">
        <v>557</v>
      </c>
      <c r="D11" s="171">
        <v>33</v>
      </c>
      <c r="E11" s="171">
        <v>568</v>
      </c>
      <c r="F11" s="171">
        <v>7</v>
      </c>
      <c r="G11" s="171">
        <v>681</v>
      </c>
      <c r="H11" s="171">
        <v>7</v>
      </c>
      <c r="I11" s="171">
        <v>651</v>
      </c>
      <c r="J11" s="171" cm="1">
        <f t="array" ref="J11:Q11">TRANSPOSE('[9]Nu kitimas'!$G$4:$G$11)</f>
        <v>57.495828879087952</v>
      </c>
      <c r="K11" s="171">
        <v>72.080053530098439</v>
      </c>
      <c r="L11" s="171">
        <v>86.798479112649446</v>
      </c>
      <c r="M11" s="171">
        <v>99.097324042665534</v>
      </c>
      <c r="N11" s="171">
        <v>109.62341242927765</v>
      </c>
      <c r="O11" s="171">
        <v>118.54618676319669</v>
      </c>
      <c r="P11" s="171">
        <v>123.26738697280348</v>
      </c>
      <c r="Q11" s="173">
        <v>122.05162187314824</v>
      </c>
      <c r="R11" s="171" cm="1">
        <f t="array" ref="R11:Y11">TRANSPOSE([9]Alfa!$G$18:$G$25)</f>
        <v>112.06696341875501</v>
      </c>
      <c r="S11" s="171">
        <v>137.69183219050535</v>
      </c>
      <c r="T11" s="171">
        <v>161.80581632219619</v>
      </c>
      <c r="U11" s="171">
        <v>182.40476581175622</v>
      </c>
      <c r="V11" s="171">
        <v>198.04167771332462</v>
      </c>
      <c r="W11" s="171">
        <v>210.50449565482285</v>
      </c>
      <c r="X11" s="171">
        <v>215.18287824064495</v>
      </c>
      <c r="Y11" s="171">
        <v>209.68903978929541</v>
      </c>
      <c r="AX11" s="172">
        <f t="shared" si="8"/>
        <v>188.34080717488789</v>
      </c>
      <c r="AZ11" s="185">
        <f t="shared" si="0"/>
        <v>188.32735426008969</v>
      </c>
      <c r="BB11" s="185">
        <f t="shared" si="1"/>
        <v>185.82959641255604</v>
      </c>
      <c r="BD11" s="185">
        <f t="shared" si="2"/>
        <v>185.68161434977577</v>
      </c>
      <c r="BF11" s="185">
        <f t="shared" si="3"/>
        <v>183.13452914798205</v>
      </c>
      <c r="BH11" s="185">
        <f t="shared" si="4"/>
        <v>183.1031390134529</v>
      </c>
      <c r="BJ11" s="185">
        <f t="shared" si="5"/>
        <v>180.0493273542601</v>
      </c>
      <c r="BL11" s="185">
        <f t="shared" si="6"/>
        <v>180.01793721973095</v>
      </c>
      <c r="BN11" s="185">
        <f t="shared" si="7"/>
        <v>177.09865470852017</v>
      </c>
      <c r="CF11" s="171">
        <f>'Su K. oro stendu'!Q55</f>
        <v>63.552</v>
      </c>
      <c r="CG11" s="171"/>
      <c r="CH11" s="171">
        <v>9949.0681331985015</v>
      </c>
      <c r="CI11" s="171">
        <f>'Su K. oro stendu'!E55</f>
        <v>5000</v>
      </c>
      <c r="CJ11" s="171">
        <f>'Su K. oro stendu'!I55</f>
        <v>20</v>
      </c>
      <c r="CK11" s="171">
        <v>0.16713333333333333</v>
      </c>
      <c r="CL11" s="171">
        <f>'Su K. oro stendu'!J55</f>
        <v>23.88</v>
      </c>
      <c r="CM11" s="172">
        <f>'Su K. oro stendu'!C55</f>
        <v>223</v>
      </c>
      <c r="CN11" s="172">
        <f>'Su K. oro stendu'!F55</f>
        <v>42</v>
      </c>
      <c r="CO11" s="172">
        <f>'Su K. oro stendu'!K55</f>
        <v>408</v>
      </c>
      <c r="CP11" s="172">
        <f>'Su K. oro stendu'!M55</f>
        <v>11.05</v>
      </c>
      <c r="CQ11" s="172">
        <f>'Su K. oro stendu'!N55</f>
        <v>22.1</v>
      </c>
      <c r="CR11" s="172">
        <f>'Su K. oro stendu'!G55</f>
        <v>185</v>
      </c>
    </row>
    <row r="12" spans="1:98" x14ac:dyDescent="0.3">
      <c r="A12" s="170" t="str">
        <f>'Su K. oro stendu'!B56</f>
        <v>02.12.2022</v>
      </c>
      <c r="B12" s="171">
        <v>3</v>
      </c>
      <c r="C12" s="171">
        <v>550</v>
      </c>
      <c r="D12" s="171">
        <v>3</v>
      </c>
      <c r="E12" s="171">
        <v>640</v>
      </c>
      <c r="F12" s="171">
        <v>5</v>
      </c>
      <c r="G12" s="171">
        <v>661</v>
      </c>
      <c r="H12" s="171">
        <v>9</v>
      </c>
      <c r="I12" s="171">
        <v>633</v>
      </c>
      <c r="J12" s="171" cm="1">
        <f t="array" ref="J12:Q12">TRANSPOSE('[10]Nu kitimas'!$H$4:$H$11)</f>
        <v>74.024870029322372</v>
      </c>
      <c r="K12" s="171">
        <v>82.700632840324573</v>
      </c>
      <c r="L12" s="171">
        <v>92.495541560405755</v>
      </c>
      <c r="M12" s="171">
        <v>101.072629450446</v>
      </c>
      <c r="N12" s="171">
        <v>109.87854036142963</v>
      </c>
      <c r="O12" s="171">
        <v>117.41280187441173</v>
      </c>
      <c r="P12" s="171">
        <v>122.27115298807156</v>
      </c>
      <c r="Q12" s="171">
        <v>123.77307850101506</v>
      </c>
      <c r="R12" s="171" cm="1">
        <f t="array" ref="R12:Y12">TRANSPOSE([10]Alfa!$G$18:$G$25)</f>
        <v>138.54297375017694</v>
      </c>
      <c r="S12" s="171">
        <v>151.96335224134469</v>
      </c>
      <c r="T12" s="171">
        <v>165.78449999983633</v>
      </c>
      <c r="U12" s="171">
        <v>178.88335772319559</v>
      </c>
      <c r="V12" s="171">
        <v>190.38298630540081</v>
      </c>
      <c r="W12" s="171">
        <v>200.53548898792118</v>
      </c>
      <c r="X12" s="171">
        <v>205.15513616357768</v>
      </c>
      <c r="Y12" s="171">
        <v>204.18238075602653</v>
      </c>
      <c r="AX12" s="172">
        <f t="shared" si="8"/>
        <v>194.69026548672565</v>
      </c>
      <c r="AZ12" s="185">
        <f t="shared" si="0"/>
        <v>194.67699115044249</v>
      </c>
      <c r="BB12" s="185">
        <f t="shared" si="1"/>
        <v>192.24336283185841</v>
      </c>
      <c r="BD12" s="185">
        <f t="shared" si="2"/>
        <v>192.23008849557522</v>
      </c>
      <c r="BF12" s="185">
        <f t="shared" si="3"/>
        <v>189.39823008849558</v>
      </c>
      <c r="BH12" s="185">
        <f t="shared" si="4"/>
        <v>189.37610619469027</v>
      </c>
      <c r="BJ12" s="185">
        <f t="shared" si="5"/>
        <v>186.45132743362831</v>
      </c>
      <c r="BL12" s="185">
        <f t="shared" si="6"/>
        <v>186.41150442477877</v>
      </c>
      <c r="BN12" s="185">
        <f t="shared" si="7"/>
        <v>183.61061946902655</v>
      </c>
      <c r="CF12" s="171">
        <f>'Su K. oro stendu'!Q56</f>
        <v>64.114000000000004</v>
      </c>
      <c r="CG12" s="171"/>
      <c r="CH12" s="171">
        <v>10288.436746639441</v>
      </c>
      <c r="CI12" s="171">
        <f>'Su K. oro stendu'!E56</f>
        <v>5000</v>
      </c>
      <c r="CJ12" s="171">
        <f>'Su K. oro stendu'!I56</f>
        <v>20</v>
      </c>
      <c r="CK12" s="171">
        <v>0.16693333333333332</v>
      </c>
      <c r="CL12" s="171">
        <f>'Su K. oro stendu'!J56</f>
        <v>22.76</v>
      </c>
      <c r="CM12" s="172">
        <f>'Su K. oro stendu'!C56</f>
        <v>226</v>
      </c>
      <c r="CN12" s="172">
        <f>'Su K. oro stendu'!F56</f>
        <v>44</v>
      </c>
      <c r="CO12" s="172">
        <f>'Su K. oro stendu'!K56</f>
        <v>432</v>
      </c>
      <c r="CP12" s="172">
        <f>'Su K. oro stendu'!M56</f>
        <v>10.85</v>
      </c>
      <c r="CQ12" s="172">
        <f>'Su K. oro stendu'!N56</f>
        <v>21.6</v>
      </c>
      <c r="CR12" s="172">
        <f>'Su K. oro stendu'!G56</f>
        <v>185</v>
      </c>
    </row>
    <row r="13" spans="1:98" x14ac:dyDescent="0.3">
      <c r="A13" s="170" t="str">
        <f>'Su K. oro stendu'!B57</f>
        <v>05.12.2022</v>
      </c>
      <c r="B13" s="174">
        <v>3</v>
      </c>
      <c r="C13" s="174">
        <v>574</v>
      </c>
      <c r="D13" s="174">
        <v>4</v>
      </c>
      <c r="E13" s="174">
        <v>674</v>
      </c>
      <c r="F13" s="174">
        <v>5</v>
      </c>
      <c r="G13" s="174">
        <v>700</v>
      </c>
      <c r="H13" s="174">
        <v>6</v>
      </c>
      <c r="I13" s="174">
        <v>671</v>
      </c>
      <c r="J13" s="171" cm="1">
        <f t="array" ref="J13:Q13">TRANSPOSE('[11]Nu kitimas'!$I$4:$I$11)</f>
        <v>63.889510515399657</v>
      </c>
      <c r="K13" s="171">
        <v>74.258501465160109</v>
      </c>
      <c r="L13" s="171">
        <v>85.386370130888608</v>
      </c>
      <c r="M13" s="171">
        <v>95.276788991551015</v>
      </c>
      <c r="N13" s="171">
        <v>103.72526749594878</v>
      </c>
      <c r="O13" s="171">
        <v>111.66027290437756</v>
      </c>
      <c r="P13" s="171">
        <v>118.09542685071044</v>
      </c>
      <c r="Q13" s="171">
        <v>120.07506091626688</v>
      </c>
      <c r="R13" s="171" cm="1">
        <f t="array" ref="R13:Y13">TRANSPOSE([11]Alfa!$G$18:$G$25)</f>
        <v>128.17071107606117</v>
      </c>
      <c r="S13" s="171">
        <v>145.84152186536178</v>
      </c>
      <c r="T13" s="171">
        <v>163.45958520196052</v>
      </c>
      <c r="U13" s="171">
        <v>179.63874093458514</v>
      </c>
      <c r="V13" s="171">
        <v>192.15963938042873</v>
      </c>
      <c r="W13" s="171">
        <v>202.96789736934616</v>
      </c>
      <c r="X13" s="171">
        <v>210.12185797286594</v>
      </c>
      <c r="Y13" s="171">
        <v>209.70731106489674</v>
      </c>
      <c r="AX13" s="172">
        <f t="shared" si="8"/>
        <v>194.80519480519482</v>
      </c>
      <c r="AZ13" s="185">
        <f t="shared" si="0"/>
        <v>194.79220779220779</v>
      </c>
      <c r="BB13" s="185">
        <f t="shared" si="1"/>
        <v>192.30735930735932</v>
      </c>
      <c r="BD13" s="185">
        <f t="shared" si="2"/>
        <v>192.29004329004329</v>
      </c>
      <c r="BF13" s="185">
        <f t="shared" si="3"/>
        <v>189.37229437229436</v>
      </c>
      <c r="BH13" s="185">
        <f t="shared" si="4"/>
        <v>189.35064935064935</v>
      </c>
      <c r="BJ13" s="185">
        <f t="shared" si="5"/>
        <v>186.32034632034632</v>
      </c>
      <c r="BL13" s="185">
        <f t="shared" si="6"/>
        <v>186.29437229437229</v>
      </c>
      <c r="BN13" s="185">
        <f t="shared" si="7"/>
        <v>183.3896103896104</v>
      </c>
      <c r="CF13" s="171">
        <f>'Su K. oro stendu'!Q57</f>
        <v>64.123999999999995</v>
      </c>
      <c r="CG13" s="171"/>
      <c r="CH13" s="171">
        <v>10758.783327504958</v>
      </c>
      <c r="CI13" s="171">
        <f>'Su K. oro stendu'!E57</f>
        <v>5000</v>
      </c>
      <c r="CJ13" s="171">
        <f>'Su K. oro stendu'!I57</f>
        <v>20</v>
      </c>
      <c r="CK13" s="171">
        <v>0.17580000000000001</v>
      </c>
      <c r="CL13" s="171">
        <f>'Su K. oro stendu'!J57</f>
        <v>23.44</v>
      </c>
      <c r="CM13" s="172">
        <f>'Su K. oro stendu'!C57</f>
        <v>231</v>
      </c>
      <c r="CN13" s="172">
        <f>'Su K. oro stendu'!F57</f>
        <v>45</v>
      </c>
      <c r="CO13" s="172">
        <f>'Su K. oro stendu'!K57</f>
        <v>453</v>
      </c>
      <c r="CP13" s="172">
        <f>'Su K. oro stendu'!M57</f>
        <v>10.44</v>
      </c>
      <c r="CQ13" s="172">
        <f>'Su K. oro stendu'!N57</f>
        <v>21.56</v>
      </c>
      <c r="CR13" s="172">
        <f>'Su K. oro stendu'!G57</f>
        <v>195</v>
      </c>
    </row>
    <row r="14" spans="1:98" s="169" customFormat="1" x14ac:dyDescent="0.3">
      <c r="A14" s="180" t="str">
        <f>'Su K. oro stendu'!B58</f>
        <v>06.12.2022</v>
      </c>
      <c r="B14" s="181">
        <v>2</v>
      </c>
      <c r="C14" s="181">
        <v>558</v>
      </c>
      <c r="D14" s="181">
        <v>4</v>
      </c>
      <c r="E14" s="181">
        <v>669</v>
      </c>
      <c r="F14" s="181">
        <v>3</v>
      </c>
      <c r="G14" s="181">
        <v>699</v>
      </c>
      <c r="H14" s="181">
        <v>4</v>
      </c>
      <c r="I14" s="181">
        <v>680</v>
      </c>
      <c r="J14" s="181" cm="1">
        <f t="array" ref="J14:Q14">TRANSPOSE('[12]Nu kitimas'!$H$4:$H$11)</f>
        <v>60.753095478754481</v>
      </c>
      <c r="K14" s="181">
        <v>70.451810212936067</v>
      </c>
      <c r="L14" s="181">
        <v>81.038052228620785</v>
      </c>
      <c r="M14" s="181">
        <v>90.084888918986039</v>
      </c>
      <c r="N14" s="181">
        <v>98.14488282865851</v>
      </c>
      <c r="O14" s="181">
        <v>105.16519823266725</v>
      </c>
      <c r="P14" s="181">
        <v>110.02729867525616</v>
      </c>
      <c r="Q14" s="181">
        <v>109.71974685605322</v>
      </c>
      <c r="R14" s="181" cm="1">
        <f t="array" ref="R14:Y14">TRANSPOSE([12]Alfa!$G$18:$G$25)</f>
        <v>124.87799948499705</v>
      </c>
      <c r="S14" s="181">
        <v>141.65875433505485</v>
      </c>
      <c r="T14" s="181">
        <v>158.60308515019568</v>
      </c>
      <c r="U14" s="181">
        <v>173.7707698068408</v>
      </c>
      <c r="V14" s="181">
        <v>185.54637127369915</v>
      </c>
      <c r="W14" s="181">
        <v>195.20593573481662</v>
      </c>
      <c r="X14" s="181">
        <v>199.83941139133506</v>
      </c>
      <c r="Y14" s="181">
        <v>195.96751029759986</v>
      </c>
      <c r="Z14" s="169" cm="1">
        <f t="array" ref="Z14:AG14">TRANSPOSE([12]Alfa!$F$127:$F$134)</f>
        <v>1.7704187652342544E-3</v>
      </c>
      <c r="AA14" s="169">
        <v>0.49654928502991158</v>
      </c>
      <c r="AB14" s="169">
        <v>3.56926331211334E-3</v>
      </c>
      <c r="AC14" s="169">
        <v>0.59772435683920722</v>
      </c>
      <c r="AD14" s="169">
        <v>2.6826058750701117E-3</v>
      </c>
      <c r="AE14" s="169">
        <v>0.62590695400660312</v>
      </c>
      <c r="AF14" s="169">
        <v>3.5921116061091835E-3</v>
      </c>
      <c r="AG14" s="169">
        <v>0.61393201323326607</v>
      </c>
      <c r="AH14" s="33" cm="1">
        <f t="array" ref="AH14:AO14">TRANSPOSE('[12]Silumos kiekio nustat.'!$F$25:$F$32)*3</f>
        <v>1180.6465268634954</v>
      </c>
      <c r="AI14" s="33">
        <v>1296.5693932239535</v>
      </c>
      <c r="AJ14" s="33">
        <v>1382.6253942261028</v>
      </c>
      <c r="AK14" s="33">
        <v>1439.2976058028503</v>
      </c>
      <c r="AL14" s="33">
        <v>1467.1230806869171</v>
      </c>
      <c r="AM14" s="33">
        <v>1466.6573445732056</v>
      </c>
      <c r="AN14" s="33">
        <v>1438.4426196342051</v>
      </c>
      <c r="AO14" s="33">
        <v>1382.9804060338076</v>
      </c>
      <c r="AP14" s="169" cm="1">
        <f t="array" ref="AP14:AW14">TRANSPOSE([12]Alfa!$E$127:$E$134)</f>
        <v>0.32250442567284926</v>
      </c>
      <c r="AQ14" s="169">
        <v>0.26937831419616726</v>
      </c>
      <c r="AR14" s="169">
        <v>0.30300068823021709</v>
      </c>
      <c r="AS14" s="169">
        <v>0.18749533229383922</v>
      </c>
      <c r="AT14" s="169">
        <v>0.21998792611948106</v>
      </c>
      <c r="AU14" s="169">
        <v>0.22745981991047179</v>
      </c>
      <c r="AV14" s="169">
        <v>0.22993255289580605</v>
      </c>
      <c r="AW14" s="169">
        <v>0.20566691828654091</v>
      </c>
      <c r="AX14" s="169">
        <f t="shared" si="8"/>
        <v>185.18518518518519</v>
      </c>
      <c r="AZ14" s="185">
        <f t="shared" si="0"/>
        <v>185.1769547325103</v>
      </c>
      <c r="BA14" s="185">
        <v>63.264000000000003</v>
      </c>
      <c r="BB14" s="185">
        <f t="shared" si="1"/>
        <v>182.88065843621399</v>
      </c>
      <c r="BC14" s="185">
        <v>63.051000000000002</v>
      </c>
      <c r="BD14" s="185">
        <f t="shared" si="2"/>
        <v>182.8641975308642</v>
      </c>
      <c r="BE14" s="185">
        <v>63.048999999999999</v>
      </c>
      <c r="BF14" s="185">
        <f t="shared" si="3"/>
        <v>180.11111111111111</v>
      </c>
      <c r="BG14" s="185">
        <v>62.790999999999997</v>
      </c>
      <c r="BH14" s="185">
        <f t="shared" si="4"/>
        <v>180.09876543209876</v>
      </c>
      <c r="BI14" s="185">
        <v>62.789000000000001</v>
      </c>
      <c r="BJ14" s="185">
        <f t="shared" si="5"/>
        <v>177.22222222222223</v>
      </c>
      <c r="BK14" s="185">
        <v>62.512999999999998</v>
      </c>
      <c r="BL14" s="185">
        <f t="shared" si="6"/>
        <v>177.20576131687244</v>
      </c>
      <c r="BM14" s="185">
        <v>62.512999999999998</v>
      </c>
      <c r="BN14" s="185">
        <f t="shared" si="7"/>
        <v>174.40740740740742</v>
      </c>
      <c r="BO14" s="185">
        <v>62.24</v>
      </c>
      <c r="BP14" s="185" cm="1">
        <f t="array" ref="BP14:BW14">TRANSPOSE('[12]Keithley Matavimai'!$G$5:$G$12)</f>
        <v>205.91313886110191</v>
      </c>
      <c r="BQ14" s="185">
        <v>192.97876210333968</v>
      </c>
      <c r="BR14" s="185">
        <v>186.60878275755283</v>
      </c>
      <c r="BS14" s="185">
        <v>172.22271320722442</v>
      </c>
      <c r="BT14" s="185">
        <v>169.58699167212393</v>
      </c>
      <c r="BU14" s="185">
        <v>158.41175339408758</v>
      </c>
      <c r="BV14" s="185">
        <v>152.86480057452403</v>
      </c>
      <c r="BW14" s="185">
        <v>143.5039875821646</v>
      </c>
      <c r="BX14" s="169" cm="1">
        <f t="array" ref="BX14:CE14">TRANSPOSE('[12]Silumos kiekio nustat.'!$B$24:$B$31)</f>
        <v>32.228973318872072</v>
      </c>
      <c r="BY14" s="169">
        <v>29.973370332176337</v>
      </c>
      <c r="BZ14" s="169">
        <v>27.485715571118938</v>
      </c>
      <c r="CA14" s="169">
        <v>24.820821209604539</v>
      </c>
      <c r="CB14" s="169">
        <v>22.033499421537805</v>
      </c>
      <c r="CC14" s="169">
        <v>19.178562380823408</v>
      </c>
      <c r="CD14" s="169">
        <v>16.31082226136601</v>
      </c>
      <c r="CE14" s="169">
        <v>13.485091237070286</v>
      </c>
      <c r="CF14" s="181">
        <f>'Su K. oro stendu'!Q58</f>
        <v>99.866</v>
      </c>
      <c r="CG14" s="181"/>
      <c r="CH14" s="181">
        <v>11213.385118142874</v>
      </c>
      <c r="CI14" s="181">
        <f>'Su K. oro stendu'!E58</f>
        <v>5000</v>
      </c>
      <c r="CJ14" s="181">
        <f>'Su K. oro stendu'!I58</f>
        <v>20</v>
      </c>
      <c r="CK14" s="181">
        <v>0.17460000000000001</v>
      </c>
      <c r="CL14" s="181">
        <f>'Su K. oro stendu'!J58</f>
        <v>23.28</v>
      </c>
      <c r="CM14" s="169">
        <f>'Su K. oro stendu'!C58</f>
        <v>243</v>
      </c>
      <c r="CN14" s="169">
        <f>'Su K. oro stendu'!F58</f>
        <v>45</v>
      </c>
      <c r="CO14" s="169">
        <f>'Su K. oro stendu'!K58</f>
        <v>468</v>
      </c>
      <c r="CP14" s="169">
        <f>'Su K. oro stendu'!M58</f>
        <v>10.42</v>
      </c>
      <c r="CQ14" s="169">
        <f>'Su K. oro stendu'!N58</f>
        <v>21.74</v>
      </c>
      <c r="CR14" s="169">
        <f>'Su K. oro stendu'!G58</f>
        <v>205</v>
      </c>
      <c r="CS14" s="33"/>
      <c r="CT14" s="33"/>
    </row>
    <row r="15" spans="1:98" x14ac:dyDescent="0.3">
      <c r="A15" s="170" t="str">
        <f>'Su K. oro stendu'!B59</f>
        <v>06.12.2022</v>
      </c>
      <c r="B15" s="174">
        <v>0</v>
      </c>
      <c r="C15" s="174">
        <v>539</v>
      </c>
      <c r="D15" s="174">
        <v>0</v>
      </c>
      <c r="E15" s="174">
        <v>658</v>
      </c>
      <c r="F15" s="174">
        <v>2</v>
      </c>
      <c r="G15" s="174">
        <v>704</v>
      </c>
      <c r="H15" s="174">
        <v>4</v>
      </c>
      <c r="I15" s="174">
        <v>695</v>
      </c>
      <c r="J15" s="171" cm="1">
        <f t="array" ref="J15:Q15">TRANSPOSE('[13]Nu kitimas'!$F$4:$F$11)</f>
        <v>63.384450574750709</v>
      </c>
      <c r="K15" s="171">
        <v>70.690318274423177</v>
      </c>
      <c r="L15" s="171">
        <v>79.255663147694605</v>
      </c>
      <c r="M15" s="171">
        <v>87.0761322915275</v>
      </c>
      <c r="N15" s="171">
        <v>94.619918671999585</v>
      </c>
      <c r="O15" s="171">
        <v>102.06257827787138</v>
      </c>
      <c r="P15" s="171">
        <v>107.78411486420211</v>
      </c>
      <c r="Q15" s="171">
        <v>109.73297624767068</v>
      </c>
      <c r="R15" s="171" cm="1">
        <f t="array" ref="R15:Y15">TRANSPOSE([13]Alfa!$G$18:$G$25)</f>
        <v>131.43395843941596</v>
      </c>
      <c r="S15" s="171">
        <v>143.66055706866584</v>
      </c>
      <c r="T15" s="171">
        <v>156.58708433679723</v>
      </c>
      <c r="U15" s="171">
        <v>169.46033147270725</v>
      </c>
      <c r="V15" s="171">
        <v>180.32806373490408</v>
      </c>
      <c r="W15" s="171">
        <v>190.77429377675386</v>
      </c>
      <c r="X15" s="171">
        <v>197.39168730525887</v>
      </c>
      <c r="Y15" s="171">
        <v>197.44956334191463</v>
      </c>
      <c r="AH15" s="172"/>
      <c r="AI15" s="172"/>
      <c r="AJ15" s="172"/>
      <c r="AK15" s="172"/>
      <c r="AL15" s="172"/>
      <c r="AM15" s="172"/>
      <c r="AN15" s="172"/>
      <c r="AO15" s="172"/>
      <c r="AX15" s="172">
        <f t="shared" si="8"/>
        <v>185.18518518518519</v>
      </c>
      <c r="AZ15" s="185">
        <f t="shared" si="0"/>
        <v>185.18518518518519</v>
      </c>
      <c r="BB15" s="185">
        <f t="shared" si="1"/>
        <v>182.96707818930042</v>
      </c>
      <c r="BD15" s="185">
        <f t="shared" si="2"/>
        <v>182.96707818930042</v>
      </c>
      <c r="BF15" s="185">
        <f t="shared" si="3"/>
        <v>180.25925925925927</v>
      </c>
      <c r="BH15" s="185">
        <f t="shared" si="4"/>
        <v>180.25102880658437</v>
      </c>
      <c r="BJ15" s="185">
        <f t="shared" si="5"/>
        <v>177.35390946502056</v>
      </c>
      <c r="BL15" s="185">
        <f t="shared" si="6"/>
        <v>177.33744855967078</v>
      </c>
      <c r="BN15" s="185">
        <f t="shared" si="7"/>
        <v>174.47736625514403</v>
      </c>
      <c r="CF15" s="171">
        <f>'Su K. oro stendu'!Q59</f>
        <v>99.866</v>
      </c>
      <c r="CG15" s="171"/>
      <c r="CH15" s="171">
        <v>11611.539879496386</v>
      </c>
      <c r="CI15" s="171">
        <f>'Su K. oro stendu'!E59</f>
        <v>5000</v>
      </c>
      <c r="CJ15" s="171">
        <f>'Su K. oro stendu'!I59</f>
        <v>20</v>
      </c>
      <c r="CK15" s="171">
        <v>0.17346666666666669</v>
      </c>
      <c r="CL15" s="171">
        <f>'Su K. oro stendu'!J59</f>
        <v>23.13</v>
      </c>
      <c r="CM15" s="172">
        <f>'Su K. oro stendu'!C59</f>
        <v>243</v>
      </c>
      <c r="CN15" s="172">
        <f>'Su K. oro stendu'!F59</f>
        <v>45</v>
      </c>
      <c r="CO15" s="172">
        <f>'Su K. oro stendu'!K59</f>
        <v>468</v>
      </c>
      <c r="CP15" s="172">
        <f>'Su K. oro stendu'!M59</f>
        <v>10.45</v>
      </c>
      <c r="CQ15" s="172">
        <f>'Su K. oro stendu'!N59</f>
        <v>22.5</v>
      </c>
      <c r="CR15" s="172">
        <f>'Su K. oro stendu'!G59</f>
        <v>215</v>
      </c>
    </row>
    <row r="16" spans="1:98" s="178" customFormat="1" x14ac:dyDescent="0.3">
      <c r="A16" s="175" t="str">
        <f>'Su K. oro stendu'!B60</f>
        <v>07.12.2022</v>
      </c>
      <c r="B16" s="176">
        <v>14</v>
      </c>
      <c r="C16" s="176">
        <v>695</v>
      </c>
      <c r="D16" s="176">
        <v>40</v>
      </c>
      <c r="E16" s="176">
        <v>666</v>
      </c>
      <c r="F16" s="176">
        <v>14</v>
      </c>
      <c r="G16" s="176">
        <v>650</v>
      </c>
      <c r="H16" s="176">
        <v>13</v>
      </c>
      <c r="I16" s="176">
        <v>676</v>
      </c>
      <c r="J16" s="177" cm="1">
        <f t="array" ref="J16:Q16">TRANSPOSE('[14]Nu kitimas'!$I$4:$I$11)</f>
        <v>220.23159200113037</v>
      </c>
      <c r="K16" s="177">
        <v>229.30051485251383</v>
      </c>
      <c r="L16" s="177">
        <v>243.40856415755403</v>
      </c>
      <c r="M16" s="177">
        <v>255.25431813754057</v>
      </c>
      <c r="N16" s="177">
        <v>265.25902573808361</v>
      </c>
      <c r="O16" s="177">
        <v>271.17854075325096</v>
      </c>
      <c r="P16" s="177">
        <v>267.59765119521921</v>
      </c>
      <c r="Q16" s="177">
        <v>273.36710480243181</v>
      </c>
      <c r="R16" s="177" cm="1">
        <f t="array" ref="R16:Y16">TRANSPOSE([14]Alfa!$G$18:$G$25)</f>
        <v>337.65088883955065</v>
      </c>
      <c r="S16" s="177">
        <v>349.86250204469229</v>
      </c>
      <c r="T16" s="177">
        <v>368.018788084123</v>
      </c>
      <c r="U16" s="177">
        <v>384.96770767681733</v>
      </c>
      <c r="V16" s="177">
        <v>396.99358215951798</v>
      </c>
      <c r="W16" s="177">
        <v>404.12407975286334</v>
      </c>
      <c r="X16" s="177">
        <v>396.02286898568514</v>
      </c>
      <c r="Y16" s="177">
        <v>402.39157582598915</v>
      </c>
      <c r="Z16" s="178" cm="1">
        <f t="array" ref="Z16:AG16">TRANSPOSE([14]Alfa!$F$127:$F$134)</f>
        <v>1.2462624417623943E-2</v>
      </c>
      <c r="AA16" s="178">
        <v>0.62101493962644827</v>
      </c>
      <c r="AB16" s="178">
        <v>3.5828719040147311E-2</v>
      </c>
      <c r="AC16" s="178">
        <v>0.59753523446228929</v>
      </c>
      <c r="AD16" s="178">
        <v>1.2578734956120122E-2</v>
      </c>
      <c r="AE16" s="178">
        <v>0.5850279535025128</v>
      </c>
      <c r="AF16" s="178">
        <v>1.1730695833228074E-2</v>
      </c>
      <c r="AG16" s="178">
        <v>0.61238787006586837</v>
      </c>
      <c r="AH16" s="178" cm="1">
        <f t="array" ref="AH16:AO16">TRANSPOSE('[14]Silumos kiekio nustat.'!$F$25:$F$32)*3</f>
        <v>882.61043069271523</v>
      </c>
      <c r="AI16" s="178">
        <v>935.42144511941206</v>
      </c>
      <c r="AJ16" s="178">
        <v>974.20075736509386</v>
      </c>
      <c r="AK16" s="178">
        <v>999.14889364481098</v>
      </c>
      <c r="AL16" s="178">
        <v>1010.4772836812771</v>
      </c>
      <c r="AM16" s="178">
        <v>1008.3992601927648</v>
      </c>
      <c r="AN16" s="178">
        <v>993.12194740259338</v>
      </c>
      <c r="AO16" s="178">
        <v>964.839135131077</v>
      </c>
      <c r="AP16" s="178" cm="1">
        <f t="array" ref="AP16:AW16">TRANSPOSE([14]Alfa!$E$127:$E$134)*3</f>
        <v>0.20587417445894063</v>
      </c>
      <c r="AQ16" s="178">
        <v>0.20328339748784663</v>
      </c>
      <c r="AR16" s="178">
        <v>0.20988385042295279</v>
      </c>
      <c r="AS16" s="178">
        <v>0.14916450018593552</v>
      </c>
      <c r="AT16" s="178">
        <v>0.17205661318205723</v>
      </c>
      <c r="AU16" s="178">
        <v>0.18288263837943108</v>
      </c>
      <c r="AV16" s="178">
        <v>0.15213298230760894</v>
      </c>
      <c r="AW16" s="178">
        <v>0.20215643924021737</v>
      </c>
      <c r="AX16" s="169">
        <f t="shared" si="8"/>
        <v>195.8762886597938</v>
      </c>
      <c r="AZ16" s="185">
        <f t="shared" si="0"/>
        <v>195.8041237113402</v>
      </c>
      <c r="BA16" s="185">
        <v>64.209999999999994</v>
      </c>
      <c r="BB16" s="185">
        <f t="shared" si="1"/>
        <v>192.22164948453607</v>
      </c>
      <c r="BC16" s="186">
        <v>63.88</v>
      </c>
      <c r="BD16" s="185">
        <f t="shared" si="2"/>
        <v>192.01546391752578</v>
      </c>
      <c r="BE16" s="186">
        <v>63.88</v>
      </c>
      <c r="BF16" s="185">
        <f t="shared" si="3"/>
        <v>188.58247422680412</v>
      </c>
      <c r="BG16" s="186">
        <v>63.573</v>
      </c>
      <c r="BH16" s="185">
        <f t="shared" si="4"/>
        <v>188.51030927835052</v>
      </c>
      <c r="BI16" s="186">
        <v>63.567</v>
      </c>
      <c r="BJ16" s="185">
        <f t="shared" si="5"/>
        <v>185.15979381443299</v>
      </c>
      <c r="BK16" s="186">
        <v>63.262</v>
      </c>
      <c r="BL16" s="185">
        <f t="shared" si="6"/>
        <v>185.09278350515464</v>
      </c>
      <c r="BM16" s="186">
        <v>63.256</v>
      </c>
      <c r="BN16" s="185">
        <f t="shared" si="7"/>
        <v>181.60824742268042</v>
      </c>
      <c r="BO16" s="186">
        <v>62.932000000000002</v>
      </c>
      <c r="BP16" s="186" cm="1">
        <f t="array" ref="BP16:BW16">TRANSPOSE('[14]Keithley Matavimai'!$G$5:$G$12)</f>
        <v>85.156740260234969</v>
      </c>
      <c r="BQ16" s="186">
        <v>81.821209083926249</v>
      </c>
      <c r="BR16" s="186">
        <v>79.960305500505214</v>
      </c>
      <c r="BS16" s="186">
        <v>75.74604724947163</v>
      </c>
      <c r="BT16" s="186">
        <v>74.254525126272384</v>
      </c>
      <c r="BU16" s="186">
        <v>71.037486819212219</v>
      </c>
      <c r="BV16" s="186">
        <v>68.876045548626465</v>
      </c>
      <c r="BW16" s="186">
        <v>65.856313815184905</v>
      </c>
      <c r="BX16" s="178" cm="1">
        <f t="array" ref="BX16:CE16">TRANSPOSE('[14]Silumos kiekio nustat.'!$B$24:$B$31)</f>
        <v>28.44061025226631</v>
      </c>
      <c r="BY16" s="178">
        <v>26.434700024205707</v>
      </c>
      <c r="BZ16" s="178">
        <v>24.301011489099821</v>
      </c>
      <c r="CA16" s="178">
        <v>22.070438785626742</v>
      </c>
      <c r="CB16" s="178">
        <v>19.773876052464555</v>
      </c>
      <c r="CC16" s="178">
        <v>17.442217428291347</v>
      </c>
      <c r="CD16" s="178">
        <v>15.10635705178521</v>
      </c>
      <c r="CE16" s="178">
        <v>12.797189061624231</v>
      </c>
      <c r="CF16" s="177">
        <f>'Su K. oro stendu'!Q60</f>
        <v>85.003</v>
      </c>
      <c r="CG16" s="177"/>
      <c r="CH16" s="177">
        <v>7883.2367133114858</v>
      </c>
      <c r="CI16" s="177">
        <f>'Su K. oro stendu'!E60</f>
        <v>5000</v>
      </c>
      <c r="CJ16" s="177">
        <f>'Su K. oro stendu'!I60</f>
        <v>20</v>
      </c>
      <c r="CK16" s="177">
        <v>0.18453333333333335</v>
      </c>
      <c r="CL16" s="177">
        <f>'Su K. oro stendu'!J60</f>
        <v>29.14</v>
      </c>
      <c r="CM16" s="178">
        <f>'Su K. oro stendu'!C60</f>
        <v>194</v>
      </c>
      <c r="CN16" s="178">
        <f>'Su K. oro stendu'!F60</f>
        <v>38</v>
      </c>
      <c r="CO16" s="178">
        <f>'Su K. oro stendu'!K60</f>
        <v>396</v>
      </c>
      <c r="CP16" s="178">
        <f>'Su K. oro stendu'!M60</f>
        <v>10.220000000000001</v>
      </c>
      <c r="CQ16" s="178">
        <f>'Su K. oro stendu'!N60</f>
        <v>18.14</v>
      </c>
      <c r="CR16" s="178">
        <f>'Su K. oro stendu'!G60</f>
        <v>85</v>
      </c>
    </row>
    <row r="17" spans="1:96" x14ac:dyDescent="0.3">
      <c r="A17" s="170" t="str">
        <f>'Su K. oro stendu'!B61</f>
        <v>07.12.2022</v>
      </c>
      <c r="B17" s="171">
        <v>14</v>
      </c>
      <c r="C17" s="171">
        <v>678</v>
      </c>
      <c r="D17" s="171">
        <v>32</v>
      </c>
      <c r="E17" s="171">
        <v>659</v>
      </c>
      <c r="F17" s="171">
        <v>16</v>
      </c>
      <c r="G17" s="171">
        <v>640</v>
      </c>
      <c r="H17" s="171">
        <v>11</v>
      </c>
      <c r="I17" s="171">
        <v>659</v>
      </c>
      <c r="J17" s="171" cm="1">
        <f t="array" ref="J17:Q17">TRANSPOSE('[15]Nu kitimas'!$I$4:$I$11)</f>
        <v>183.64775593713625</v>
      </c>
      <c r="K17" s="171">
        <v>191.804747082478</v>
      </c>
      <c r="L17" s="171">
        <v>201.9650603857587</v>
      </c>
      <c r="M17" s="171">
        <v>211.6151447526735</v>
      </c>
      <c r="N17" s="171">
        <v>220.86735788251951</v>
      </c>
      <c r="O17" s="171">
        <v>225.72857466024686</v>
      </c>
      <c r="P17" s="171">
        <v>223.72072554502904</v>
      </c>
      <c r="Q17" s="171">
        <v>229.66166901480432</v>
      </c>
      <c r="R17" s="171" cm="1">
        <f t="array" ref="R17:Y17">TRANSPOSE([15]Alfa!$G$18:$G$25)</f>
        <v>289.92653596550417</v>
      </c>
      <c r="S17" s="171">
        <v>300.19469638843935</v>
      </c>
      <c r="T17" s="171">
        <v>313.50667991933432</v>
      </c>
      <c r="U17" s="171">
        <v>326.58367825626846</v>
      </c>
      <c r="V17" s="171">
        <v>338.21990919617747</v>
      </c>
      <c r="W17" s="171">
        <v>343.89356369859235</v>
      </c>
      <c r="X17" s="171">
        <v>338.40376567765782</v>
      </c>
      <c r="Y17" s="171">
        <v>345.6169771072386</v>
      </c>
      <c r="AX17" s="172">
        <f t="shared" si="8"/>
        <v>193.87755102040816</v>
      </c>
      <c r="AZ17" s="185">
        <f t="shared" si="0"/>
        <v>193.80612244897958</v>
      </c>
      <c r="BB17" s="185">
        <f t="shared" si="1"/>
        <v>190.34693877551021</v>
      </c>
      <c r="BD17" s="185">
        <f t="shared" si="2"/>
        <v>190.18367346938774</v>
      </c>
      <c r="BF17" s="185">
        <f t="shared" si="3"/>
        <v>186.82142857142858</v>
      </c>
      <c r="BH17" s="185">
        <f t="shared" si="4"/>
        <v>186.73979591836735</v>
      </c>
      <c r="BJ17" s="185">
        <f t="shared" si="5"/>
        <v>183.47448979591837</v>
      </c>
      <c r="BL17" s="185">
        <f t="shared" si="6"/>
        <v>183.41836734693877</v>
      </c>
      <c r="BN17" s="185">
        <f t="shared" si="7"/>
        <v>180.05612244897958</v>
      </c>
      <c r="CF17" s="171">
        <f>'Su K. oro stendu'!Q61</f>
        <v>95.003</v>
      </c>
      <c r="CG17" s="171"/>
      <c r="CH17" s="171">
        <v>7901.2570771146502</v>
      </c>
      <c r="CI17" s="171">
        <f>'Su K. oro stendu'!E61</f>
        <v>5000</v>
      </c>
      <c r="CJ17" s="171">
        <f>'Su K. oro stendu'!I61</f>
        <v>20</v>
      </c>
      <c r="CK17" s="171">
        <v>0.18059999999999998</v>
      </c>
      <c r="CL17" s="171">
        <f>'Su K. oro stendu'!J61</f>
        <v>28.52</v>
      </c>
      <c r="CM17" s="172">
        <f>'Su K. oro stendu'!C61</f>
        <v>196</v>
      </c>
      <c r="CN17" s="172">
        <f>'Su K. oro stendu'!F61</f>
        <v>38</v>
      </c>
      <c r="CO17" s="172">
        <f>'Su K. oro stendu'!K61</f>
        <v>400.5</v>
      </c>
      <c r="CP17" s="172">
        <f>'Su K. oro stendu'!M61</f>
        <v>10.35</v>
      </c>
      <c r="CQ17" s="172">
        <f>'Su K. oro stendu'!N61</f>
        <v>17.97</v>
      </c>
      <c r="CR17" s="172">
        <f>'Su K. oro stendu'!G61</f>
        <v>95</v>
      </c>
    </row>
    <row r="18" spans="1:96" x14ac:dyDescent="0.3">
      <c r="A18" s="170" t="str">
        <f>'Su K. oro stendu'!B62</f>
        <v>08.12.2022</v>
      </c>
      <c r="B18" s="171">
        <v>11</v>
      </c>
      <c r="C18" s="171">
        <v>646</v>
      </c>
      <c r="D18" s="171">
        <v>10</v>
      </c>
      <c r="E18" s="171">
        <v>662</v>
      </c>
      <c r="F18" s="171">
        <v>10</v>
      </c>
      <c r="G18" s="171">
        <v>629</v>
      </c>
      <c r="H18" s="171">
        <v>10</v>
      </c>
      <c r="I18" s="171">
        <v>601</v>
      </c>
      <c r="J18" s="171" cm="1">
        <f t="array" ref="J18:Q18">TRANSPOSE('[16]Nu kitimas'!$H$4:$H$11)</f>
        <v>146.18230584834254</v>
      </c>
      <c r="K18" s="171">
        <v>157.80021525897732</v>
      </c>
      <c r="L18" s="171">
        <v>171.847405084684</v>
      </c>
      <c r="M18" s="171">
        <v>184.43351064441381</v>
      </c>
      <c r="N18" s="171">
        <v>193.07707342693195</v>
      </c>
      <c r="O18" s="171">
        <v>197.39960274576075</v>
      </c>
      <c r="P18" s="171">
        <v>195.10477869269545</v>
      </c>
      <c r="Q18" s="171">
        <v>181.67524632068987</v>
      </c>
      <c r="R18" s="171" cm="1">
        <f t="array" ref="R18:Y18">TRANSPOSE([16]Alfa!$G$18:$G$25)</f>
        <v>237.31486598846672</v>
      </c>
      <c r="S18" s="171">
        <v>254.10443646106378</v>
      </c>
      <c r="T18" s="171">
        <v>273.30994105931148</v>
      </c>
      <c r="U18" s="171">
        <v>291.57613671843575</v>
      </c>
      <c r="V18" s="171">
        <v>302.79379290827177</v>
      </c>
      <c r="W18" s="171">
        <v>307.41908722136753</v>
      </c>
      <c r="X18" s="171">
        <v>300.93944354444568</v>
      </c>
      <c r="Y18" s="171">
        <v>278.27578911869699</v>
      </c>
      <c r="AX18" s="172">
        <f t="shared" si="8"/>
        <v>190.47619047619048</v>
      </c>
      <c r="BB18" s="185">
        <f t="shared" si="1"/>
        <v>187.34761904761905</v>
      </c>
      <c r="BD18" s="185">
        <f t="shared" si="2"/>
        <v>187.3</v>
      </c>
      <c r="BF18" s="185">
        <f t="shared" si="3"/>
        <v>184.14761904761906</v>
      </c>
      <c r="BH18" s="185">
        <f t="shared" si="4"/>
        <v>184.1</v>
      </c>
      <c r="BJ18" s="185">
        <f t="shared" si="5"/>
        <v>181.10476190476192</v>
      </c>
      <c r="BL18" s="185">
        <f t="shared" si="6"/>
        <v>181.05714285714285</v>
      </c>
      <c r="BN18" s="185">
        <f t="shared" si="7"/>
        <v>178.1952380952381</v>
      </c>
      <c r="CF18" s="171">
        <f>'Su K. oro stendu'!Q62</f>
        <v>99.866</v>
      </c>
      <c r="CG18" s="171"/>
      <c r="CH18" s="171">
        <v>8082.7935362092585</v>
      </c>
      <c r="CI18" s="171">
        <f>'Su K. oro stendu'!E62</f>
        <v>5000</v>
      </c>
      <c r="CJ18" s="171">
        <f>'Su K. oro stendu'!I62</f>
        <v>20</v>
      </c>
      <c r="CK18" s="171">
        <v>0.17193333333333333</v>
      </c>
      <c r="CL18" s="171">
        <f>'Su K. oro stendu'!J62</f>
        <v>25.79</v>
      </c>
      <c r="CM18" s="172">
        <f>'Su K. oro stendu'!C62</f>
        <v>210</v>
      </c>
      <c r="CN18" s="172">
        <f>'Su K. oro stendu'!F62</f>
        <v>40</v>
      </c>
      <c r="CO18" s="172">
        <f>'Su K. oro stendu'!K62</f>
        <v>426</v>
      </c>
      <c r="CP18" s="172">
        <f>'Su K. oro stendu'!M62</f>
        <v>10.11</v>
      </c>
      <c r="CQ18" s="172">
        <f>'Su K. oro stendu'!N62</f>
        <v>17.3</v>
      </c>
      <c r="CR18" s="172">
        <f>'Su K. oro stendu'!G62</f>
        <v>105</v>
      </c>
    </row>
    <row r="19" spans="1:96" x14ac:dyDescent="0.3">
      <c r="A19" s="170" t="str">
        <f>'Su K. oro stendu'!B63</f>
        <v>08.12.2022</v>
      </c>
      <c r="B19" s="171">
        <v>9</v>
      </c>
      <c r="C19" s="171">
        <v>634</v>
      </c>
      <c r="D19" s="171">
        <v>7</v>
      </c>
      <c r="E19" s="171">
        <v>652</v>
      </c>
      <c r="F19" s="171">
        <v>8</v>
      </c>
      <c r="G19" s="171">
        <v>627</v>
      </c>
      <c r="H19" s="171">
        <v>9</v>
      </c>
      <c r="I19" s="171">
        <v>592</v>
      </c>
      <c r="J19" s="171" cm="1">
        <f t="array" ref="J19:Q19">TRANSPOSE('[17]Nu kitimas'!$H$4:$H$11)</f>
        <v>132.69263897784393</v>
      </c>
      <c r="K19" s="171">
        <v>143.14399159009054</v>
      </c>
      <c r="L19" s="171">
        <v>154.44367281027027</v>
      </c>
      <c r="M19" s="171">
        <v>163.07208346407933</v>
      </c>
      <c r="N19" s="171">
        <v>171.52134855560328</v>
      </c>
      <c r="O19" s="171">
        <v>178.00457437578964</v>
      </c>
      <c r="P19" s="171">
        <v>178.994233928444</v>
      </c>
      <c r="Q19" s="171">
        <v>170.84769759835066</v>
      </c>
      <c r="R19" s="171" cm="1">
        <f t="array" ref="R19:Y19">TRANSPOSE([17]Alfa!$G$18:$G$25)</f>
        <v>220.39501636633364</v>
      </c>
      <c r="S19" s="171">
        <v>234.68847862885499</v>
      </c>
      <c r="T19" s="171">
        <v>250.47372571865867</v>
      </c>
      <c r="U19" s="171">
        <v>263.00431593736465</v>
      </c>
      <c r="V19" s="171">
        <v>273.74197860648542</v>
      </c>
      <c r="W19" s="171">
        <v>281.71238944176019</v>
      </c>
      <c r="X19" s="171">
        <v>280.24595379312893</v>
      </c>
      <c r="Y19" s="171">
        <v>265.24450159489874</v>
      </c>
      <c r="AX19" s="172">
        <f t="shared" si="8"/>
        <v>194.31279620853081</v>
      </c>
      <c r="BB19" s="185">
        <f t="shared" si="1"/>
        <v>191.26540284360189</v>
      </c>
      <c r="BD19" s="185">
        <f t="shared" si="2"/>
        <v>191.23222748815166</v>
      </c>
      <c r="BF19" s="185">
        <f t="shared" si="3"/>
        <v>188.14218009478674</v>
      </c>
      <c r="BH19" s="185">
        <f t="shared" si="4"/>
        <v>188.10426540284359</v>
      </c>
      <c r="BJ19" s="185">
        <f t="shared" si="5"/>
        <v>185.13270142180096</v>
      </c>
      <c r="BL19" s="185">
        <f t="shared" si="6"/>
        <v>185.09004739336493</v>
      </c>
      <c r="BN19" s="185">
        <f t="shared" si="7"/>
        <v>182.28436018957345</v>
      </c>
      <c r="CF19" s="171">
        <f>'Su K. oro stendu'!Q63</f>
        <v>99.866</v>
      </c>
      <c r="CG19" s="171"/>
      <c r="CH19" s="171">
        <v>8335.4942405081856</v>
      </c>
      <c r="CI19" s="171">
        <f>'Su K. oro stendu'!E63</f>
        <v>5000</v>
      </c>
      <c r="CJ19" s="171">
        <f>'Su K. oro stendu'!I63</f>
        <v>20</v>
      </c>
      <c r="CK19" s="171">
        <v>0.16919999999999999</v>
      </c>
      <c r="CL19" s="171">
        <f>'Su K. oro stendu'!J63</f>
        <v>24.76</v>
      </c>
      <c r="CM19" s="172">
        <f>'Su K. oro stendu'!C63</f>
        <v>211</v>
      </c>
      <c r="CN19" s="172">
        <f>'Su K. oro stendu'!F63</f>
        <v>41</v>
      </c>
      <c r="CO19" s="172">
        <f>'Su K. oro stendu'!K63</f>
        <v>432</v>
      </c>
      <c r="CP19" s="172">
        <f>'Su K. oro stendu'!M63</f>
        <v>10.26</v>
      </c>
      <c r="CQ19" s="172">
        <f>'Su K. oro stendu'!N63</f>
        <v>17.59</v>
      </c>
      <c r="CR19" s="172">
        <f>'Su K. oro stendu'!G63</f>
        <v>115</v>
      </c>
    </row>
    <row r="20" spans="1:96" x14ac:dyDescent="0.3">
      <c r="A20" s="170" t="str">
        <f>'Su K. oro stendu'!B64</f>
        <v>09.12.2022</v>
      </c>
      <c r="B20" s="171">
        <v>17</v>
      </c>
      <c r="C20" s="171">
        <v>752</v>
      </c>
      <c r="D20" s="171">
        <v>12</v>
      </c>
      <c r="E20" s="171">
        <v>747</v>
      </c>
      <c r="F20" s="171">
        <v>11</v>
      </c>
      <c r="G20" s="171">
        <v>715</v>
      </c>
      <c r="H20" s="171">
        <v>48</v>
      </c>
      <c r="I20" s="171">
        <v>796</v>
      </c>
      <c r="J20" s="171" cm="1">
        <f t="array" ref="J20:Q20">TRANSPOSE('[18]Nu kitimas'!$K$4:$K$11)</f>
        <v>350.92706894575394</v>
      </c>
      <c r="K20" s="171">
        <v>339.53121783232854</v>
      </c>
      <c r="L20" s="171">
        <v>348.41747931052601</v>
      </c>
      <c r="M20" s="171">
        <v>364.9975331424136</v>
      </c>
      <c r="N20" s="171">
        <v>382.61685629896886</v>
      </c>
      <c r="O20" s="171">
        <v>441.0532211053</v>
      </c>
      <c r="P20" s="171">
        <v>417.84196927427013</v>
      </c>
      <c r="Q20" s="171">
        <v>341.36297259693811</v>
      </c>
      <c r="R20" s="171" cm="1">
        <f t="array" ref="R20:Y20">TRANSPOSE([18]Alfa!$G$18:$G$25)</f>
        <v>537.13288032874902</v>
      </c>
      <c r="S20" s="171">
        <v>518.06135229282609</v>
      </c>
      <c r="T20" s="171">
        <v>528.07619419784373</v>
      </c>
      <c r="U20" s="171">
        <v>551.95860535615293</v>
      </c>
      <c r="V20" s="171">
        <v>575.57614667177097</v>
      </c>
      <c r="W20" s="171">
        <v>646.33584114454675</v>
      </c>
      <c r="X20" s="171">
        <v>623.42171313524545</v>
      </c>
      <c r="Y20" s="171">
        <v>507.76814794583305</v>
      </c>
      <c r="AX20" s="172">
        <f t="shared" si="8"/>
        <v>203.47394540942929</v>
      </c>
      <c r="BB20" s="185">
        <f t="shared" si="1"/>
        <v>201.56575682382135</v>
      </c>
      <c r="BD20" s="185">
        <f t="shared" si="2"/>
        <v>201.53598014888337</v>
      </c>
      <c r="BF20" s="185">
        <f t="shared" si="3"/>
        <v>199.68238213399505</v>
      </c>
      <c r="BH20" s="185">
        <f t="shared" si="4"/>
        <v>199.65508684863525</v>
      </c>
      <c r="BJ20" s="185">
        <f t="shared" si="5"/>
        <v>197.88089330024815</v>
      </c>
      <c r="BL20" s="185">
        <f t="shared" si="6"/>
        <v>197.76178660049627</v>
      </c>
      <c r="BN20" s="185">
        <f t="shared" si="7"/>
        <v>195.78660049627791</v>
      </c>
      <c r="CF20" s="171">
        <f>'Su K. oro stendu'!Q64</f>
        <v>85.003</v>
      </c>
      <c r="CG20" s="171"/>
      <c r="CH20" s="171">
        <v>13126.745272903605</v>
      </c>
      <c r="CI20" s="171">
        <f>'Su K. oro stendu'!E64</f>
        <v>10000</v>
      </c>
      <c r="CJ20" s="171">
        <f>'Su K. oro stendu'!I64</f>
        <v>20</v>
      </c>
      <c r="CK20" s="171">
        <v>0.30980000000000002</v>
      </c>
      <c r="CL20" s="171">
        <f>'Su K. oro stendu'!J64</f>
        <v>22.67</v>
      </c>
      <c r="CM20" s="172">
        <f>'Su K. oro stendu'!C64</f>
        <v>403</v>
      </c>
      <c r="CN20" s="172">
        <f>'Su K. oro stendu'!F64</f>
        <v>82</v>
      </c>
      <c r="CO20" s="172">
        <f>'Su K. oro stendu'!K64</f>
        <v>831</v>
      </c>
      <c r="CP20" s="172">
        <f>'Su K. oro stendu'!M64</f>
        <v>10.130000000000001</v>
      </c>
      <c r="CQ20" s="172">
        <f>'Su K. oro stendu'!N64</f>
        <v>24.57</v>
      </c>
      <c r="CR20" s="172">
        <f>'Su K. oro stendu'!G64</f>
        <v>85</v>
      </c>
    </row>
    <row r="21" spans="1:96" x14ac:dyDescent="0.3">
      <c r="A21" s="170" t="str">
        <f>'Su K. oro stendu'!B65</f>
        <v>12.12.2022</v>
      </c>
      <c r="B21" s="171">
        <v>13</v>
      </c>
      <c r="C21" s="171">
        <v>730</v>
      </c>
      <c r="D21" s="171">
        <v>5</v>
      </c>
      <c r="E21" s="171">
        <v>769</v>
      </c>
      <c r="F21" s="171">
        <v>9</v>
      </c>
      <c r="G21" s="171">
        <v>748</v>
      </c>
      <c r="H21" s="171">
        <v>9</v>
      </c>
      <c r="I21" s="171">
        <v>727</v>
      </c>
      <c r="J21" s="171" cm="1">
        <f t="array" ref="J21:Q21">TRANSPOSE('[19]Nu kitimas'!$K$4:$K$11)</f>
        <v>213.51402866557413</v>
      </c>
      <c r="K21" s="171">
        <v>219.21787028016897</v>
      </c>
      <c r="L21" s="171">
        <v>233.52248653225462</v>
      </c>
      <c r="M21" s="171">
        <v>250.05618751570196</v>
      </c>
      <c r="N21" s="171">
        <v>267.42683139177933</v>
      </c>
      <c r="O21" s="171">
        <v>279.69637363623355</v>
      </c>
      <c r="P21" s="171">
        <v>279.66020545921725</v>
      </c>
      <c r="Q21" s="171">
        <v>263.64050232020372</v>
      </c>
      <c r="R21" s="171" cm="1">
        <f t="array" ref="R21:Y21">TRANSPOSE([19]Alfa!$G$18:$G$25)</f>
        <v>351.3116555312385</v>
      </c>
      <c r="S21" s="171">
        <v>358.20305161206204</v>
      </c>
      <c r="T21" s="171">
        <v>377.62150390725765</v>
      </c>
      <c r="U21" s="171">
        <v>402.40500504911927</v>
      </c>
      <c r="V21" s="171">
        <v>426.55300574238083</v>
      </c>
      <c r="W21" s="171">
        <v>443.66137188185564</v>
      </c>
      <c r="X21" s="171">
        <v>440.33633435164813</v>
      </c>
      <c r="Y21" s="171">
        <v>412.32150978932594</v>
      </c>
      <c r="AX21" s="172">
        <f t="shared" si="8"/>
        <v>196.64268585131896</v>
      </c>
      <c r="BD21" s="185">
        <f t="shared" si="2"/>
        <v>194.84892086330936</v>
      </c>
      <c r="BF21" s="185">
        <f t="shared" si="3"/>
        <v>193.00479616306956</v>
      </c>
      <c r="BH21" s="185">
        <f t="shared" si="4"/>
        <v>192.98321342925661</v>
      </c>
      <c r="BJ21" s="185">
        <f t="shared" si="5"/>
        <v>191.18944844124701</v>
      </c>
      <c r="BL21" s="185">
        <f t="shared" si="6"/>
        <v>191.16786570743406</v>
      </c>
      <c r="BN21" s="185">
        <f t="shared" si="7"/>
        <v>189.42446043165467</v>
      </c>
      <c r="CF21" s="171">
        <f>'Su K. oro stendu'!Q65</f>
        <v>99.866</v>
      </c>
      <c r="CG21" s="171"/>
      <c r="CH21" s="171">
        <v>14373.346835346383</v>
      </c>
      <c r="CI21" s="171">
        <f>'Su K. oro stendu'!E65</f>
        <v>10000</v>
      </c>
      <c r="CJ21" s="171">
        <f>'Su K. oro stendu'!I65</f>
        <v>20</v>
      </c>
      <c r="CK21" s="171">
        <v>0.30099999999999993</v>
      </c>
      <c r="CL21" s="171">
        <f>'Su K. oro stendu'!J65</f>
        <v>22.02</v>
      </c>
      <c r="CM21" s="172">
        <f>'Su K. oro stendu'!C65</f>
        <v>417</v>
      </c>
      <c r="CN21" s="172">
        <f>'Su K. oro stendu'!F65</f>
        <v>82</v>
      </c>
      <c r="CO21" s="172">
        <f>'Su K. oro stendu'!K65</f>
        <v>834</v>
      </c>
      <c r="CP21" s="172">
        <f>'Su K. oro stendu'!M65</f>
        <v>9.7200000000000006</v>
      </c>
      <c r="CQ21" s="172">
        <f>'Su K. oro stendu'!N65</f>
        <v>15.75</v>
      </c>
      <c r="CR21" s="172">
        <f>'Su K. oro stendu'!G65</f>
        <v>115</v>
      </c>
    </row>
    <row r="22" spans="1:96" x14ac:dyDescent="0.3">
      <c r="A22" s="170" t="str">
        <f>'Su K. oro stendu'!B66</f>
        <v>12.12.2022</v>
      </c>
      <c r="B22" s="174">
        <v>7</v>
      </c>
      <c r="C22" s="174">
        <v>659</v>
      </c>
      <c r="D22" s="174">
        <v>0</v>
      </c>
      <c r="E22" s="174">
        <v>716</v>
      </c>
      <c r="F22" s="174">
        <v>7</v>
      </c>
      <c r="G22" s="174">
        <v>713</v>
      </c>
      <c r="H22" s="174">
        <v>7</v>
      </c>
      <c r="I22" s="174">
        <v>705</v>
      </c>
      <c r="J22" s="171" cm="1">
        <f t="array" ref="J22:Q22">TRANSPOSE('[20]Nu kitimas'!$I$4:$I$11)</f>
        <v>148.27350773311909</v>
      </c>
      <c r="K22" s="171">
        <v>157.78125650198888</v>
      </c>
      <c r="L22" s="171">
        <v>171.41809781834911</v>
      </c>
      <c r="M22" s="171">
        <v>185.35786895265261</v>
      </c>
      <c r="N22" s="171">
        <v>200.3512301030371</v>
      </c>
      <c r="O22" s="171">
        <v>209.57824988420535</v>
      </c>
      <c r="P22" s="171">
        <v>210.35821036835895</v>
      </c>
      <c r="Q22" s="171">
        <v>201.57291940642875</v>
      </c>
      <c r="R22" s="171" cm="1">
        <f t="array" ref="R22:Y22">TRANSPOSE([20]Alfa!$G$18:$G$25)</f>
        <v>263.02344932343885</v>
      </c>
      <c r="S22" s="171">
        <v>276.9681119014827</v>
      </c>
      <c r="T22" s="171">
        <v>296.57191225498218</v>
      </c>
      <c r="U22" s="171">
        <v>318.05895259622844</v>
      </c>
      <c r="V22" s="171">
        <v>338.88739450512639</v>
      </c>
      <c r="W22" s="171">
        <v>352.33647751132128</v>
      </c>
      <c r="X22" s="171">
        <v>349.96173463438902</v>
      </c>
      <c r="Y22" s="171">
        <v>332.13622569835184</v>
      </c>
      <c r="AX22" s="172">
        <f t="shared" si="8"/>
        <v>196.64268585131896</v>
      </c>
      <c r="BD22" s="185">
        <f t="shared" si="2"/>
        <v>195.04556354916068</v>
      </c>
      <c r="BF22" s="185">
        <f t="shared" si="3"/>
        <v>193.32853717026379</v>
      </c>
      <c r="BH22" s="185">
        <f t="shared" si="4"/>
        <v>193.31175059952039</v>
      </c>
      <c r="BJ22" s="185">
        <f t="shared" si="5"/>
        <v>191.60191846522781</v>
      </c>
      <c r="BL22" s="185">
        <f t="shared" si="6"/>
        <v>191.58513189448442</v>
      </c>
      <c r="BN22" s="185">
        <f t="shared" si="7"/>
        <v>189.89448441247004</v>
      </c>
      <c r="CF22" s="171">
        <f>'Su K. oro stendu'!Q66</f>
        <v>99.866</v>
      </c>
      <c r="CG22" s="171"/>
      <c r="CH22" s="171">
        <v>15009.800471546016</v>
      </c>
      <c r="CI22" s="171">
        <f>'Su K. oro stendu'!E66</f>
        <v>10000</v>
      </c>
      <c r="CJ22" s="171">
        <f>'Su K. oro stendu'!I66</f>
        <v>20</v>
      </c>
      <c r="CK22" s="171">
        <v>0.28139999999999998</v>
      </c>
      <c r="CL22" s="171">
        <f>'Su K. oro stendu'!J66</f>
        <v>20.100000000000001</v>
      </c>
      <c r="CM22" s="172">
        <f>'Su K. oro stendu'!C66</f>
        <v>417</v>
      </c>
      <c r="CN22" s="172">
        <f>'Su K. oro stendu'!F66</f>
        <v>82</v>
      </c>
      <c r="CO22" s="172">
        <f>'Su K. oro stendu'!K66</f>
        <v>856.5</v>
      </c>
      <c r="CP22" s="172">
        <f>'Su K. oro stendu'!M66</f>
        <v>9.66</v>
      </c>
      <c r="CQ22" s="172">
        <f>'Su K. oro stendu'!N66</f>
        <v>16.010000000000002</v>
      </c>
      <c r="CR22" s="172">
        <f>'Su K. oro stendu'!G66</f>
        <v>145</v>
      </c>
    </row>
    <row r="23" spans="1:96" x14ac:dyDescent="0.3">
      <c r="A23" s="170" t="str">
        <f>'Su K. oro stendu'!B67</f>
        <v>13.12.2022</v>
      </c>
      <c r="B23" s="171">
        <v>3</v>
      </c>
      <c r="C23" s="171">
        <v>645</v>
      </c>
      <c r="D23" s="171">
        <v>0</v>
      </c>
      <c r="E23" s="171">
        <v>750</v>
      </c>
      <c r="F23" s="171">
        <v>4</v>
      </c>
      <c r="G23" s="171">
        <v>735</v>
      </c>
      <c r="H23" s="171">
        <v>6</v>
      </c>
      <c r="I23" s="171">
        <v>742</v>
      </c>
      <c r="J23" s="171" cm="1">
        <f t="array" ref="J23:Q23">TRANSPOSE('[21]Nu kitimas'!$H$4:$H$11)</f>
        <v>123.88262480176873</v>
      </c>
      <c r="K23" s="171">
        <v>131.4371413208973</v>
      </c>
      <c r="L23" s="171">
        <v>142.52024742889435</v>
      </c>
      <c r="M23" s="171">
        <v>153.94989039668698</v>
      </c>
      <c r="N23" s="171">
        <v>166.06158259247479</v>
      </c>
      <c r="O23" s="171">
        <v>175.97357448756875</v>
      </c>
      <c r="P23" s="171">
        <v>180.76178749563465</v>
      </c>
      <c r="Q23" s="171">
        <v>181.60593014380467</v>
      </c>
      <c r="R23" s="171" cm="1">
        <f t="array" ref="R23:Y23">TRANSPOSE([21]Alfa!$G$18:$G$25)</f>
        <v>236.74483114544648</v>
      </c>
      <c r="S23" s="171">
        <v>247.73539516418731</v>
      </c>
      <c r="T23" s="171">
        <v>263.92166115925181</v>
      </c>
      <c r="U23" s="171">
        <v>282.06543070204884</v>
      </c>
      <c r="V23" s="171">
        <v>299.66136473305892</v>
      </c>
      <c r="W23" s="171">
        <v>314.19225629178874</v>
      </c>
      <c r="X23" s="171">
        <v>318.91922934349753</v>
      </c>
      <c r="Y23" s="171">
        <v>314.89767653677723</v>
      </c>
      <c r="AX23" s="172">
        <f t="shared" si="8"/>
        <v>196.07843137254903</v>
      </c>
      <c r="BD23" s="185">
        <f t="shared" si="2"/>
        <v>194.66666666666666</v>
      </c>
      <c r="BF23" s="185">
        <f t="shared" si="3"/>
        <v>193.03267973856208</v>
      </c>
      <c r="BH23" s="185">
        <f t="shared" si="4"/>
        <v>193.02396514161219</v>
      </c>
      <c r="BJ23" s="185">
        <f t="shared" si="5"/>
        <v>191.42265795206973</v>
      </c>
      <c r="BL23" s="185">
        <f t="shared" si="6"/>
        <v>191.40958605664488</v>
      </c>
      <c r="BN23" s="185">
        <f t="shared" si="7"/>
        <v>189.79302832244008</v>
      </c>
      <c r="CF23" s="171">
        <f>'Su K. oro stendu'!Q67</f>
        <v>99.866</v>
      </c>
      <c r="CG23" s="171"/>
      <c r="CH23" s="171">
        <v>16946.695177311845</v>
      </c>
      <c r="CI23" s="171">
        <f>'Su K. oro stendu'!E67</f>
        <v>10000</v>
      </c>
      <c r="CJ23" s="171">
        <f>'Su K. oro stendu'!I67</f>
        <v>20</v>
      </c>
      <c r="CK23" s="171">
        <v>0.28849999999999998</v>
      </c>
      <c r="CL23" s="171">
        <f>'Su K. oro stendu'!J67</f>
        <v>19.23</v>
      </c>
      <c r="CM23" s="172">
        <f>'Su K. oro stendu'!C67</f>
        <v>459</v>
      </c>
      <c r="CN23" s="172">
        <f>'Su K. oro stendu'!F67</f>
        <v>90</v>
      </c>
      <c r="CO23" s="172">
        <f>'Su K. oro stendu'!K67</f>
        <v>931.5</v>
      </c>
      <c r="CP23" s="172">
        <f>'Su K. oro stendu'!M67</f>
        <v>9.56</v>
      </c>
      <c r="CQ23" s="172">
        <f>'Su K. oro stendu'!N67</f>
        <v>16.62</v>
      </c>
      <c r="CR23" s="172">
        <f>'Su K. oro stendu'!G67</f>
        <v>175</v>
      </c>
    </row>
    <row r="24" spans="1:96" x14ac:dyDescent="0.3">
      <c r="A24" s="170" t="str">
        <f>'Su K. oro stendu'!B68</f>
        <v>13.12.2022</v>
      </c>
      <c r="B24" s="171">
        <v>2</v>
      </c>
      <c r="C24" s="171">
        <v>631</v>
      </c>
      <c r="D24" s="171">
        <v>0</v>
      </c>
      <c r="E24" s="171">
        <v>719</v>
      </c>
      <c r="F24" s="171">
        <v>4</v>
      </c>
      <c r="G24" s="171">
        <v>742</v>
      </c>
      <c r="H24" s="171">
        <v>6</v>
      </c>
      <c r="I24" s="171">
        <v>755</v>
      </c>
      <c r="J24" s="171" cm="1">
        <f t="array" ref="J24:Q24">TRANSPOSE('[22]Nu kitimas'!$G$4:$G$11)</f>
        <v>101.93631719009387</v>
      </c>
      <c r="K24" s="171">
        <v>108.95815320687021</v>
      </c>
      <c r="L24" s="171">
        <v>118.91672127520587</v>
      </c>
      <c r="M24" s="171">
        <v>131.51942716369985</v>
      </c>
      <c r="N24" s="171">
        <v>140.82468915231274</v>
      </c>
      <c r="O24" s="171">
        <v>148.83497255426943</v>
      </c>
      <c r="P24" s="171">
        <v>155.71629343810508</v>
      </c>
      <c r="Q24" s="171">
        <v>157.52462077510339</v>
      </c>
      <c r="R24" s="171" cm="1">
        <f t="array" ref="R24:Y24">TRANSPOSE([22]Alfa!$G$18:$G$25)</f>
        <v>209.96401288928874</v>
      </c>
      <c r="S24" s="171">
        <v>220.62174694819797</v>
      </c>
      <c r="T24" s="171">
        <v>235.6885057586382</v>
      </c>
      <c r="U24" s="171">
        <v>255.19313403022326</v>
      </c>
      <c r="V24" s="171">
        <v>271.09817434942778</v>
      </c>
      <c r="W24" s="171">
        <v>282.32378481152523</v>
      </c>
      <c r="X24" s="171">
        <v>290.86183717594969</v>
      </c>
      <c r="Y24" s="171">
        <v>290.05237114478325</v>
      </c>
      <c r="AX24" s="172">
        <f t="shared" si="8"/>
        <v>203.02375809935205</v>
      </c>
      <c r="BD24" s="185">
        <f t="shared" si="2"/>
        <v>201.65658747300216</v>
      </c>
      <c r="BF24" s="185">
        <f t="shared" si="3"/>
        <v>200.1036717062635</v>
      </c>
      <c r="BH24" s="185">
        <f t="shared" si="4"/>
        <v>200.0950323974082</v>
      </c>
      <c r="BJ24" s="185">
        <f t="shared" si="5"/>
        <v>198.49244060475161</v>
      </c>
      <c r="BL24" s="185">
        <f t="shared" si="6"/>
        <v>198.47948164146868</v>
      </c>
      <c r="BN24" s="185">
        <f t="shared" si="7"/>
        <v>196.8488120950324</v>
      </c>
      <c r="CF24" s="171">
        <f>'Su K. oro stendu'!Q68</f>
        <v>99.866</v>
      </c>
      <c r="CG24" s="171"/>
      <c r="CH24" s="171">
        <v>18416.074066361933</v>
      </c>
      <c r="CI24" s="171">
        <f>'Su K. oro stendu'!E68</f>
        <v>10000</v>
      </c>
      <c r="CJ24" s="171">
        <f>'Su K. oro stendu'!I68</f>
        <v>20</v>
      </c>
      <c r="CK24" s="171">
        <v>0.28589999999999999</v>
      </c>
      <c r="CL24" s="171">
        <f>'Su K. oro stendu'!J68</f>
        <v>18.25</v>
      </c>
      <c r="CM24" s="172">
        <f>'Su K. oro stendu'!C68</f>
        <v>463</v>
      </c>
      <c r="CN24" s="172">
        <f>'Su K. oro stendu'!F68</f>
        <v>94</v>
      </c>
      <c r="CO24" s="172">
        <f>'Su K. oro stendu'!K68</f>
        <v>930</v>
      </c>
      <c r="CP24" s="172">
        <f>'Su K. oro stendu'!M68</f>
        <v>9.5</v>
      </c>
      <c r="CQ24" s="172">
        <f>'Su K. oro stendu'!N68</f>
        <v>18.07</v>
      </c>
      <c r="CR24" s="172">
        <f>'Su K. oro stendu'!G68</f>
        <v>205</v>
      </c>
    </row>
    <row r="25" spans="1:96" x14ac:dyDescent="0.3">
      <c r="A25" s="170" t="str">
        <f>'Su K. oro stendu'!B69</f>
        <v>14.12.2022</v>
      </c>
      <c r="B25" s="171">
        <v>524</v>
      </c>
      <c r="C25" s="171">
        <v>107</v>
      </c>
      <c r="D25" s="171">
        <v>84</v>
      </c>
      <c r="E25" s="171">
        <v>446</v>
      </c>
      <c r="F25" s="171">
        <v>193</v>
      </c>
      <c r="G25" s="171">
        <v>224</v>
      </c>
      <c r="H25" s="171">
        <v>33</v>
      </c>
      <c r="I25" s="171">
        <v>729</v>
      </c>
      <c r="J25" s="171" cm="1">
        <f t="array" ref="J25:Q25">TRANSPOSE('[23]Nu kitimas'!$R$4:$R$11)</f>
        <v>245.7203252525872</v>
      </c>
      <c r="K25" s="171">
        <v>236.72293307664415</v>
      </c>
      <c r="L25" s="171">
        <v>234.55791687033633</v>
      </c>
      <c r="M25" s="171">
        <v>237.18168195600558</v>
      </c>
      <c r="N25" s="171">
        <v>242.37561131991535</v>
      </c>
      <c r="O25" s="171">
        <v>249.99953903744139</v>
      </c>
      <c r="P25" s="171">
        <v>261.00066615627003</v>
      </c>
      <c r="Q25" s="171">
        <v>293.92549364745031</v>
      </c>
      <c r="R25" s="171" cm="1">
        <f t="array" ref="R25:Y25">TRANSPOSE([23]Alfa!$G$18:$G$25)</f>
        <v>375.51936455632699</v>
      </c>
      <c r="S25" s="171">
        <v>359.52638746564077</v>
      </c>
      <c r="T25" s="171">
        <v>353.22607742449935</v>
      </c>
      <c r="U25" s="171">
        <v>355.71017151026979</v>
      </c>
      <c r="V25" s="171">
        <v>361.39833520461144</v>
      </c>
      <c r="W25" s="171">
        <v>370.92228970820224</v>
      </c>
      <c r="X25" s="171">
        <v>384.3759669669779</v>
      </c>
      <c r="Y25" s="171">
        <v>432.38224195357731</v>
      </c>
      <c r="AX25" s="172">
        <f t="shared" si="8"/>
        <v>193.27731092436974</v>
      </c>
      <c r="BD25" s="185">
        <f t="shared" si="2"/>
        <v>187.26890756302521</v>
      </c>
      <c r="BF25" s="185">
        <f t="shared" si="3"/>
        <v>183.52100840336135</v>
      </c>
      <c r="BH25" s="185">
        <f t="shared" si="4"/>
        <v>181.89915966386553</v>
      </c>
      <c r="BJ25" s="185">
        <f t="shared" si="5"/>
        <v>180.01680672268907</v>
      </c>
      <c r="BL25" s="185">
        <f t="shared" si="6"/>
        <v>179.73949579831933</v>
      </c>
      <c r="BN25" s="185">
        <f t="shared" si="7"/>
        <v>173.61344537815125</v>
      </c>
      <c r="CF25" s="171">
        <f>'Su K. oro stendu'!Q69</f>
        <v>85.003</v>
      </c>
      <c r="CG25" s="171"/>
      <c r="CH25" s="171">
        <v>6584.8177612567024</v>
      </c>
      <c r="CI25" s="171">
        <f>'Su K. oro stendu'!E69</f>
        <v>3000</v>
      </c>
      <c r="CJ25" s="171">
        <f>'Su K. oro stendu'!I69</f>
        <v>20</v>
      </c>
      <c r="CK25" s="171">
        <v>0.15426666666666666</v>
      </c>
      <c r="CL25" s="171">
        <f>'Su K. oro stendu'!J69</f>
        <v>40.24</v>
      </c>
      <c r="CM25" s="172">
        <f>'Su K. oro stendu'!C69</f>
        <v>119</v>
      </c>
      <c r="CN25" s="172">
        <f>'Su K. oro stendu'!F69</f>
        <v>23</v>
      </c>
      <c r="CO25" s="172">
        <f>'Su K. oro stendu'!K69</f>
        <v>241.5</v>
      </c>
      <c r="CP25" s="172">
        <f>'Su K. oro stendu'!M69</f>
        <v>10.1</v>
      </c>
      <c r="CQ25" s="172">
        <f>'Su K. oro stendu'!N69</f>
        <v>24.69</v>
      </c>
      <c r="CR25" s="172">
        <f>'Su K. oro stendu'!G69</f>
        <v>85</v>
      </c>
    </row>
    <row r="26" spans="1:96" x14ac:dyDescent="0.3">
      <c r="A26" s="170" t="str">
        <f>'Su K. oro stendu'!B70</f>
        <v>15.12.2022</v>
      </c>
      <c r="B26" s="171">
        <v>14</v>
      </c>
      <c r="C26" s="171">
        <v>650</v>
      </c>
      <c r="D26" s="171">
        <v>16</v>
      </c>
      <c r="E26" s="171">
        <v>424</v>
      </c>
      <c r="F26" s="171">
        <v>11</v>
      </c>
      <c r="G26" s="171">
        <v>742</v>
      </c>
      <c r="H26" s="171">
        <v>8</v>
      </c>
      <c r="I26" s="171">
        <v>573</v>
      </c>
      <c r="J26" s="171" cm="1">
        <f t="array" ref="J26:Q26">TRANSPOSE('[24]Nu kitimas'!$H$4:$H$11)</f>
        <v>124.36535284306495</v>
      </c>
      <c r="K26" s="171">
        <v>140.9477797926107</v>
      </c>
      <c r="L26" s="171">
        <v>159.43879627072727</v>
      </c>
      <c r="M26" s="171">
        <v>171.08196031406834</v>
      </c>
      <c r="N26" s="171">
        <v>179.64569076409475</v>
      </c>
      <c r="O26" s="171">
        <v>190.57103449073239</v>
      </c>
      <c r="P26" s="171">
        <v>198.68751867431203</v>
      </c>
      <c r="Q26" s="171">
        <v>216.67692426940837</v>
      </c>
      <c r="R26" s="171" cm="1">
        <f t="array" ref="R26:Y26">TRANSPOSE([24]Alfa!$G$18:$G$25)</f>
        <v>206.1198977470701</v>
      </c>
      <c r="S26" s="171">
        <v>230.78351389112927</v>
      </c>
      <c r="T26" s="171">
        <v>256.73479275513125</v>
      </c>
      <c r="U26" s="171">
        <v>274.56107262918971</v>
      </c>
      <c r="V26" s="171">
        <v>284.99712072583708</v>
      </c>
      <c r="W26" s="171">
        <v>299.48110872573216</v>
      </c>
      <c r="X26" s="171">
        <v>308.63769974358325</v>
      </c>
      <c r="Y26" s="171">
        <v>333.74547666197742</v>
      </c>
      <c r="AX26" s="172">
        <f t="shared" si="8"/>
        <v>195.3125</v>
      </c>
      <c r="BD26" s="185">
        <f t="shared" si="2"/>
        <v>190</v>
      </c>
      <c r="BF26" s="185">
        <f t="shared" si="3"/>
        <v>186.6875</v>
      </c>
      <c r="BH26" s="185">
        <f t="shared" si="4"/>
        <v>186.6015625</v>
      </c>
      <c r="BJ26" s="185">
        <f t="shared" si="5"/>
        <v>180.8046875</v>
      </c>
      <c r="BL26" s="185">
        <f t="shared" si="6"/>
        <v>180.7421875</v>
      </c>
      <c r="BN26" s="185">
        <f t="shared" si="7"/>
        <v>176.265625</v>
      </c>
      <c r="CF26" s="171">
        <f>'Su K. oro stendu'!Q70</f>
        <v>64.168000000000006</v>
      </c>
      <c r="CG26" s="171"/>
      <c r="CH26" s="171">
        <v>7510.7682478832367</v>
      </c>
      <c r="CI26" s="171">
        <f>'Su K. oro stendu'!E70</f>
        <v>3000</v>
      </c>
      <c r="CJ26" s="171">
        <f>'Su K. oro stendu'!I70</f>
        <v>20</v>
      </c>
      <c r="CK26" s="171">
        <v>0.16253333333333334</v>
      </c>
      <c r="CL26" s="171">
        <f>'Su K. oro stendu'!J70</f>
        <v>39.01</v>
      </c>
      <c r="CM26" s="172">
        <f>'Su K. oro stendu'!C70</f>
        <v>128</v>
      </c>
      <c r="CN26" s="172">
        <f>'Su K. oro stendu'!F70</f>
        <v>25</v>
      </c>
      <c r="CO26" s="172">
        <f>'Su K. oro stendu'!K70</f>
        <v>261</v>
      </c>
      <c r="CP26" s="172">
        <f>'Su K. oro stendu'!M70</f>
        <v>9.75</v>
      </c>
      <c r="CQ26" s="172">
        <f>'Su K. oro stendu'!N70</f>
        <v>35.79</v>
      </c>
      <c r="CR26" s="172">
        <f>'Su K. oro stendu'!G70</f>
        <v>115</v>
      </c>
    </row>
    <row r="27" spans="1:96" x14ac:dyDescent="0.3">
      <c r="A27" s="170" t="str">
        <f>'Su K. oro stendu'!B71</f>
        <v>15.12.2022</v>
      </c>
      <c r="B27" s="171">
        <v>10</v>
      </c>
      <c r="C27" s="171">
        <v>638</v>
      </c>
      <c r="D27" s="171">
        <v>16</v>
      </c>
      <c r="E27" s="171">
        <v>386</v>
      </c>
      <c r="F27" s="171">
        <v>11</v>
      </c>
      <c r="G27" s="171">
        <v>773</v>
      </c>
      <c r="H27" s="171">
        <v>8</v>
      </c>
      <c r="I27" s="171">
        <v>603</v>
      </c>
      <c r="J27" s="171" cm="1">
        <f t="array" ref="J27:Q27">TRANSPOSE('[25]Nu kitimas'!$H$4:$H$11)</f>
        <v>95.112246451876985</v>
      </c>
      <c r="K27" s="171">
        <v>104.62252045057851</v>
      </c>
      <c r="L27" s="171">
        <v>116.00867551534391</v>
      </c>
      <c r="M27" s="171">
        <v>125.43655902017525</v>
      </c>
      <c r="N27" s="171">
        <v>135.89143748341451</v>
      </c>
      <c r="O27" s="171">
        <v>145.90773013601523</v>
      </c>
      <c r="P27" s="171">
        <v>153.00779345383185</v>
      </c>
      <c r="Q27" s="171">
        <v>172.28025720681322</v>
      </c>
      <c r="R27" s="171" cm="1">
        <f t="array" ref="R27:Y27">TRANSPOSE([25]Alfa!$G$18:$G$25)</f>
        <v>167.51526494865169</v>
      </c>
      <c r="S27" s="171">
        <v>181.26371583565904</v>
      </c>
      <c r="T27" s="171">
        <v>196.73000369964535</v>
      </c>
      <c r="U27" s="171">
        <v>210.71739743047766</v>
      </c>
      <c r="V27" s="171">
        <v>224.03612013108625</v>
      </c>
      <c r="W27" s="171">
        <v>238.23834970452177</v>
      </c>
      <c r="X27" s="171">
        <v>246.74092314773682</v>
      </c>
      <c r="Y27" s="171">
        <v>274.42253330827339</v>
      </c>
      <c r="AX27" s="172">
        <f t="shared" si="8"/>
        <v>197.08029197080293</v>
      </c>
      <c r="BD27" s="185">
        <f t="shared" si="2"/>
        <v>192.23357664233578</v>
      </c>
      <c r="BF27" s="185">
        <f t="shared" si="3"/>
        <v>189.41605839416059</v>
      </c>
      <c r="BH27" s="185">
        <f t="shared" si="4"/>
        <v>189.33576642335765</v>
      </c>
      <c r="BJ27" s="185">
        <f t="shared" si="5"/>
        <v>183.69343065693431</v>
      </c>
      <c r="BL27" s="185">
        <f t="shared" si="6"/>
        <v>183.63503649635035</v>
      </c>
      <c r="BN27" s="185">
        <f t="shared" si="7"/>
        <v>179.23357664233578</v>
      </c>
      <c r="CF27" s="171">
        <f>'Su K. oro stendu'!Q71</f>
        <v>64.319999999999993</v>
      </c>
      <c r="CG27" s="171"/>
      <c r="CH27" s="171">
        <v>8268.8000703751095</v>
      </c>
      <c r="CI27" s="171">
        <f>'Su K. oro stendu'!E71</f>
        <v>3000</v>
      </c>
      <c r="CJ27" s="171">
        <f>'Su K. oro stendu'!I71</f>
        <v>20</v>
      </c>
      <c r="CK27" s="171">
        <v>0.16300000000000001</v>
      </c>
      <c r="CL27" s="171">
        <f>'Su K. oro stendu'!J71</f>
        <v>36.22</v>
      </c>
      <c r="CM27" s="172">
        <f>'Su K. oro stendu'!C71</f>
        <v>137</v>
      </c>
      <c r="CN27" s="172">
        <f>'Su K. oro stendu'!F71</f>
        <v>27</v>
      </c>
      <c r="CO27" s="172">
        <f>'Su K. oro stendu'!K71</f>
        <v>276</v>
      </c>
      <c r="CP27" s="172">
        <f>'Su K. oro stendu'!M71</f>
        <v>9.7200000000000006</v>
      </c>
      <c r="CQ27" s="172">
        <f>'Su K. oro stendu'!N71</f>
        <v>27.08</v>
      </c>
      <c r="CR27" s="172">
        <f>'Su K. oro stendu'!G71</f>
        <v>145</v>
      </c>
    </row>
    <row r="28" spans="1:96" x14ac:dyDescent="0.3">
      <c r="A28" s="170" t="str">
        <f>'Su K. oro stendu'!B72</f>
        <v>16.12.2022</v>
      </c>
      <c r="B28" s="171">
        <v>10</v>
      </c>
      <c r="C28" s="171">
        <v>517</v>
      </c>
      <c r="D28" s="171">
        <v>9</v>
      </c>
      <c r="E28" s="171">
        <v>608</v>
      </c>
      <c r="F28" s="171">
        <v>11</v>
      </c>
      <c r="G28" s="171">
        <v>633</v>
      </c>
      <c r="H28" s="171">
        <v>8</v>
      </c>
      <c r="I28" s="171">
        <v>589</v>
      </c>
      <c r="J28" s="171" cm="1">
        <f t="array" ref="J28:Q28">TRANSPOSE('[26]Nu kitimas'!$G$4:$G$11)</f>
        <v>71.323168821892224</v>
      </c>
      <c r="K28" s="171">
        <v>80.069601498205159</v>
      </c>
      <c r="L28" s="171">
        <v>89.756252518724239</v>
      </c>
      <c r="M28" s="171">
        <v>98.741802210685051</v>
      </c>
      <c r="N28" s="171">
        <v>107.96963856425754</v>
      </c>
      <c r="O28" s="171">
        <v>117.88380816506297</v>
      </c>
      <c r="P28" s="171">
        <v>126.8148665108482</v>
      </c>
      <c r="Q28" s="171">
        <v>144.72578753758759</v>
      </c>
      <c r="R28" s="171" cm="1">
        <f t="array" ref="R28:Y28">TRANSPOSE([26]Alfa!$G$18:$G$25)</f>
        <v>134.56773136668099</v>
      </c>
      <c r="S28" s="171">
        <v>148.23451724159403</v>
      </c>
      <c r="T28" s="171">
        <v>162.13884528672602</v>
      </c>
      <c r="U28" s="171">
        <v>175.94213513345389</v>
      </c>
      <c r="V28" s="171">
        <v>188.6259735425385</v>
      </c>
      <c r="W28" s="171">
        <v>202.59902135497794</v>
      </c>
      <c r="X28" s="171">
        <v>214.18217554617013</v>
      </c>
      <c r="Y28" s="171">
        <v>240.6647606662508</v>
      </c>
      <c r="AX28" s="172">
        <f t="shared" si="8"/>
        <v>197.18309859154928</v>
      </c>
      <c r="BD28" s="185">
        <f t="shared" si="2"/>
        <v>193.40845070422534</v>
      </c>
      <c r="BF28" s="185">
        <f t="shared" si="3"/>
        <v>189.12676056338029</v>
      </c>
      <c r="BH28" s="185">
        <f t="shared" si="4"/>
        <v>189.04929577464787</v>
      </c>
      <c r="BJ28" s="185">
        <f t="shared" si="5"/>
        <v>184.59154929577466</v>
      </c>
      <c r="BL28" s="185">
        <f t="shared" si="6"/>
        <v>184.53521126760563</v>
      </c>
      <c r="BN28" s="185">
        <f t="shared" si="7"/>
        <v>180.38732394366201</v>
      </c>
      <c r="CF28" s="171">
        <f>'Su K. oro stendu'!Q72</f>
        <v>64.328999999999994</v>
      </c>
      <c r="CG28" s="171"/>
      <c r="CH28" s="171">
        <v>8805.124470296174</v>
      </c>
      <c r="CI28" s="171">
        <f>'Su K. oro stendu'!E72</f>
        <v>3000</v>
      </c>
      <c r="CJ28" s="171">
        <f>'Su K. oro stendu'!I72</f>
        <v>20</v>
      </c>
      <c r="CK28" s="171">
        <v>0.159</v>
      </c>
      <c r="CL28" s="171">
        <f>'Su K. oro stendu'!J72</f>
        <v>34.07</v>
      </c>
      <c r="CM28" s="172">
        <f>'Su K. oro stendu'!C72</f>
        <v>142</v>
      </c>
      <c r="CN28" s="172">
        <f>'Su K. oro stendu'!F72</f>
        <v>28</v>
      </c>
      <c r="CO28" s="172">
        <f>'Su K. oro stendu'!K72</f>
        <v>282</v>
      </c>
      <c r="CP28" s="172">
        <f>'Su K. oro stendu'!M72</f>
        <v>9.5500000000000007</v>
      </c>
      <c r="CQ28" s="172">
        <f>'Su K. oro stendu'!N72</f>
        <v>28.2</v>
      </c>
      <c r="CR28" s="172">
        <f>'Su K. oro stendu'!G72</f>
        <v>175</v>
      </c>
    </row>
    <row r="29" spans="1:96" x14ac:dyDescent="0.3">
      <c r="A29" s="170" t="str">
        <f>'Su K. oro stendu'!B73</f>
        <v>16.12.2022</v>
      </c>
      <c r="B29" s="171">
        <v>8</v>
      </c>
      <c r="C29" s="171">
        <v>495</v>
      </c>
      <c r="D29" s="171">
        <v>6</v>
      </c>
      <c r="E29" s="171">
        <v>617</v>
      </c>
      <c r="F29" s="171">
        <v>10</v>
      </c>
      <c r="G29" s="171">
        <v>658</v>
      </c>
      <c r="H29" s="171">
        <v>8</v>
      </c>
      <c r="I29" s="171">
        <v>626</v>
      </c>
      <c r="J29" s="171" cm="1">
        <f t="array" ref="J29:Q29">TRANSPOSE('[27]Nu kitimas'!$F$4:$F$11)</f>
        <v>58.986965974228944</v>
      </c>
      <c r="K29" s="171">
        <v>67.65609577349278</v>
      </c>
      <c r="L29" s="171">
        <v>77.289293614527224</v>
      </c>
      <c r="M29" s="171">
        <v>86.0512210534188</v>
      </c>
      <c r="N29" s="171">
        <v>95.160648641181751</v>
      </c>
      <c r="O29" s="171">
        <v>104.43798844318599</v>
      </c>
      <c r="P29" s="171">
        <v>113.45655420698805</v>
      </c>
      <c r="Q29" s="171">
        <v>130.02237528738152</v>
      </c>
      <c r="R29" s="171" cm="1">
        <f t="array" ref="R29:Y29">TRANSPOSE([27]Alfa!$G$18:$G$25)</f>
        <v>119.40661965825733</v>
      </c>
      <c r="S29" s="171">
        <v>133.45201530529283</v>
      </c>
      <c r="T29" s="171">
        <v>148.10191703223097</v>
      </c>
      <c r="U29" s="171">
        <v>162.24814730819548</v>
      </c>
      <c r="V29" s="171">
        <v>175.38961525652812</v>
      </c>
      <c r="W29" s="171">
        <v>188.99226090184612</v>
      </c>
      <c r="X29" s="171">
        <v>200.7277345214325</v>
      </c>
      <c r="Y29" s="171">
        <v>225.95729465925729</v>
      </c>
      <c r="AX29" s="172">
        <f t="shared" si="8"/>
        <v>200</v>
      </c>
      <c r="BD29" s="185">
        <f t="shared" si="2"/>
        <v>196.60666666666665</v>
      </c>
      <c r="BF29" s="185">
        <f t="shared" si="3"/>
        <v>192.49333333333334</v>
      </c>
      <c r="BH29" s="185">
        <f t="shared" si="4"/>
        <v>192.42666666666668</v>
      </c>
      <c r="BJ29" s="185">
        <f t="shared" si="5"/>
        <v>188.04</v>
      </c>
      <c r="BL29" s="185">
        <f t="shared" si="6"/>
        <v>187.98666666666668</v>
      </c>
      <c r="BN29" s="185">
        <f t="shared" si="7"/>
        <v>183.81333333333333</v>
      </c>
      <c r="CF29" s="171">
        <f>'Su K. oro stendu'!Q73</f>
        <v>68.986999999999995</v>
      </c>
      <c r="CG29" s="171"/>
      <c r="CH29" s="171">
        <v>9836.3630960008322</v>
      </c>
      <c r="CI29" s="171">
        <f>'Su K. oro stendu'!E73</f>
        <v>3000</v>
      </c>
      <c r="CJ29" s="171">
        <f>'Su K. oro stendu'!I73</f>
        <v>20</v>
      </c>
      <c r="CK29" s="171">
        <v>0.16186666666666669</v>
      </c>
      <c r="CL29" s="171">
        <f>'Su K. oro stendu'!J73</f>
        <v>32.369999999999997</v>
      </c>
      <c r="CM29" s="172">
        <f>'Su K. oro stendu'!C73</f>
        <v>150</v>
      </c>
      <c r="CN29" s="172">
        <f>'Su K. oro stendu'!F73</f>
        <v>30</v>
      </c>
      <c r="CO29" s="172">
        <f>'Su K. oro stendu'!K73</f>
        <v>297</v>
      </c>
      <c r="CP29" s="172">
        <f>'Su K. oro stendu'!M73</f>
        <v>9.51</v>
      </c>
      <c r="CQ29" s="172">
        <f>'Su K. oro stendu'!N73</f>
        <v>29.86</v>
      </c>
      <c r="CR29" s="172">
        <f>'Su K. oro stendu'!G73</f>
        <v>205</v>
      </c>
    </row>
    <row r="30" spans="1:96" x14ac:dyDescent="0.3">
      <c r="A30" s="170" t="str">
        <f>'Su K. oro stendu'!B74</f>
        <v>19.12.2022</v>
      </c>
      <c r="B30" s="171">
        <v>6</v>
      </c>
      <c r="C30" s="171">
        <v>467</v>
      </c>
      <c r="D30" s="171">
        <v>5</v>
      </c>
      <c r="E30" s="171">
        <v>461</v>
      </c>
      <c r="F30" s="171">
        <v>7</v>
      </c>
      <c r="G30" s="171">
        <v>435</v>
      </c>
      <c r="H30" s="171">
        <v>7</v>
      </c>
      <c r="I30" s="171">
        <v>401</v>
      </c>
      <c r="J30" s="171" cm="1">
        <f t="array" ref="J30:Q30">TRANSPOSE('[28]Nu kitimas'!$J$4:$J$11)</f>
        <v>123.92119191546193</v>
      </c>
      <c r="K30" s="171">
        <v>133.97712215284218</v>
      </c>
      <c r="L30" s="171">
        <v>146.38813033791473</v>
      </c>
      <c r="M30" s="171">
        <v>158.47669367027081</v>
      </c>
      <c r="N30" s="171">
        <v>169.20433136657797</v>
      </c>
      <c r="O30" s="171">
        <v>176.43502316664575</v>
      </c>
      <c r="P30" s="171">
        <v>178.78415590549872</v>
      </c>
      <c r="Q30" s="171">
        <v>173.34776953362845</v>
      </c>
      <c r="R30" s="171" cm="1">
        <f t="array" ref="R30:Y30">TRANSPOSE([28]Alfa!$G$18:$G$25)</f>
        <v>193.3976803598047</v>
      </c>
      <c r="S30" s="171">
        <v>207.76722792209569</v>
      </c>
      <c r="T30" s="171">
        <v>224.81655237422228</v>
      </c>
      <c r="U30" s="171">
        <v>242.25860970245628</v>
      </c>
      <c r="V30" s="171">
        <v>256.73192934373725</v>
      </c>
      <c r="W30" s="171">
        <v>266.54220895793378</v>
      </c>
      <c r="X30" s="171">
        <v>268.00348857814174</v>
      </c>
      <c r="Y30" s="171">
        <v>258.39174178206241</v>
      </c>
      <c r="AX30" s="172">
        <f t="shared" si="8"/>
        <v>105.26315789473684</v>
      </c>
      <c r="BD30" s="185">
        <f t="shared" si="2"/>
        <v>102.97607655502392</v>
      </c>
      <c r="BF30" s="185">
        <f t="shared" si="3"/>
        <v>100.77033492822966</v>
      </c>
      <c r="BH30" s="185">
        <f t="shared" si="4"/>
        <v>100.73684210526316</v>
      </c>
      <c r="BJ30" s="185">
        <f t="shared" si="5"/>
        <v>98.655502392344502</v>
      </c>
      <c r="BL30" s="185">
        <f t="shared" si="6"/>
        <v>98.622009569378008</v>
      </c>
      <c r="BN30" s="185">
        <f t="shared" si="7"/>
        <v>96.703349282296656</v>
      </c>
      <c r="CF30" s="171">
        <f>'Su K. oro stendu'!Q74</f>
        <v>53.427</v>
      </c>
      <c r="CG30" s="171"/>
      <c r="CH30" s="171">
        <v>5634.7715274430357</v>
      </c>
      <c r="CI30" s="171">
        <f>'Su K. oro stendu'!E74</f>
        <v>5000</v>
      </c>
      <c r="CJ30" s="171">
        <f>'Su K. oro stendu'!I74</f>
        <v>10</v>
      </c>
      <c r="CK30" s="171">
        <v>0.11769736842105265</v>
      </c>
      <c r="CL30" s="171">
        <f>'Su K. oro stendu'!J74</f>
        <v>32.1</v>
      </c>
      <c r="CM30" s="172">
        <f>'Su K. oro stendu'!C74</f>
        <v>209</v>
      </c>
      <c r="CN30" s="172">
        <f>'Su K. oro stendu'!F74</f>
        <v>22</v>
      </c>
      <c r="CO30" s="172">
        <f>'Su K. oro stendu'!K74</f>
        <v>411</v>
      </c>
      <c r="CP30" s="172">
        <f>'Su K. oro stendu'!M74</f>
        <v>8.5</v>
      </c>
      <c r="CQ30" s="172">
        <f>'Su K. oro stendu'!N74</f>
        <v>12.59</v>
      </c>
      <c r="CR30" s="172">
        <f>'Su K. oro stendu'!G74</f>
        <v>85</v>
      </c>
    </row>
    <row r="31" spans="1:96" x14ac:dyDescent="0.3">
      <c r="A31" s="170" t="str">
        <f>'Su K. oro stendu'!B75</f>
        <v>19.12.2022</v>
      </c>
      <c r="B31" s="171">
        <v>5</v>
      </c>
      <c r="C31" s="171">
        <v>445</v>
      </c>
      <c r="D31" s="171">
        <v>4</v>
      </c>
      <c r="E31" s="171">
        <v>451</v>
      </c>
      <c r="F31" s="171">
        <v>7</v>
      </c>
      <c r="G31" s="171">
        <v>431</v>
      </c>
      <c r="H31" s="171">
        <v>6</v>
      </c>
      <c r="I31" s="171">
        <v>405</v>
      </c>
      <c r="J31" s="171" cm="1">
        <f t="array" ref="J31:Q31">TRANSPOSE('[29]Nu kitimas'!$J$4:$J$11)</f>
        <v>97.457309649396592</v>
      </c>
      <c r="K31" s="171">
        <v>100.67496240642464</v>
      </c>
      <c r="L31" s="171">
        <v>105.62471283400068</v>
      </c>
      <c r="M31" s="171">
        <v>110.7754304140414</v>
      </c>
      <c r="N31" s="171">
        <v>117.01121860928401</v>
      </c>
      <c r="O31" s="171">
        <v>124.68023580572422</v>
      </c>
      <c r="P31" s="171">
        <v>130.66621798603703</v>
      </c>
      <c r="Q31" s="171">
        <v>132.39089800828339</v>
      </c>
      <c r="R31" s="171" cm="1">
        <f t="array" ref="R31:Y31">TRANSPOSE([29]Alfa!$G$18:$G$25)</f>
        <v>163.06670093270165</v>
      </c>
      <c r="S31" s="171">
        <v>166.79333019784448</v>
      </c>
      <c r="T31" s="171">
        <v>172.88084744606832</v>
      </c>
      <c r="U31" s="171">
        <v>180.28915968906963</v>
      </c>
      <c r="V31" s="171">
        <v>188.49290761645022</v>
      </c>
      <c r="W31" s="171">
        <v>198.97570756635818</v>
      </c>
      <c r="X31" s="171">
        <v>206.60678013871828</v>
      </c>
      <c r="Y31" s="171">
        <v>207.77277190870561</v>
      </c>
      <c r="AX31" s="172">
        <f t="shared" si="8"/>
        <v>103.1390134529148</v>
      </c>
      <c r="BD31" s="185">
        <f t="shared" si="2"/>
        <v>101.10313901345292</v>
      </c>
      <c r="BF31" s="185">
        <f t="shared" si="3"/>
        <v>99.080717488789233</v>
      </c>
      <c r="BH31" s="185">
        <f t="shared" si="4"/>
        <v>99.049327354260086</v>
      </c>
      <c r="BJ31" s="185">
        <f t="shared" si="5"/>
        <v>97.116591928251125</v>
      </c>
      <c r="BL31" s="185">
        <f t="shared" si="6"/>
        <v>97.08968609865471</v>
      </c>
      <c r="BN31" s="185">
        <f t="shared" si="7"/>
        <v>95.27354260089686</v>
      </c>
      <c r="CF31" s="171">
        <f>'Su K. oro stendu'!Q75</f>
        <v>53.067999999999998</v>
      </c>
      <c r="CG31" s="171"/>
      <c r="CH31" s="171">
        <v>6379.6867918675089</v>
      </c>
      <c r="CI31" s="171">
        <f>'Su K. oro stendu'!E75</f>
        <v>5000</v>
      </c>
      <c r="CJ31" s="171">
        <f>'Su K. oro stendu'!I75</f>
        <v>10</v>
      </c>
      <c r="CK31" s="171">
        <v>0.11564835164835165</v>
      </c>
      <c r="CL31" s="171">
        <f>'Su K. oro stendu'!J75</f>
        <v>30.17</v>
      </c>
      <c r="CM31" s="172">
        <f>'Su K. oro stendu'!C75</f>
        <v>223</v>
      </c>
      <c r="CN31" s="172">
        <f>'Su K. oro stendu'!F75</f>
        <v>23</v>
      </c>
      <c r="CO31" s="172">
        <f>'Su K. oro stendu'!K75</f>
        <v>445.5</v>
      </c>
      <c r="CP31" s="172">
        <f>'Su K. oro stendu'!M75</f>
        <v>8.7799999999999994</v>
      </c>
      <c r="CQ31" s="172">
        <f>'Su K. oro stendu'!N75</f>
        <v>13.14</v>
      </c>
      <c r="CR31" s="172">
        <f>'Su K. oro stendu'!G75</f>
        <v>115</v>
      </c>
    </row>
    <row r="32" spans="1:96" x14ac:dyDescent="0.3">
      <c r="A32" s="170" t="str">
        <f>'Su K. oro stendu'!B76</f>
        <v>20.12.2022</v>
      </c>
      <c r="B32" s="171">
        <v>1</v>
      </c>
      <c r="C32" s="171">
        <v>417</v>
      </c>
      <c r="D32" s="171">
        <v>0</v>
      </c>
      <c r="E32" s="171">
        <v>440</v>
      </c>
      <c r="F32" s="171">
        <v>5</v>
      </c>
      <c r="G32" s="171">
        <v>428</v>
      </c>
      <c r="H32" s="171">
        <v>6</v>
      </c>
      <c r="I32" s="171">
        <v>402</v>
      </c>
      <c r="J32" s="171" cm="1">
        <f t="array" ref="J32:Q32">TRANSPOSE('[30]Nu kitimas'!$J$4:$J$11)</f>
        <v>71.73445857647954</v>
      </c>
      <c r="K32" s="171">
        <v>77.649970018051036</v>
      </c>
      <c r="L32" s="171">
        <v>85.138606553708257</v>
      </c>
      <c r="M32" s="171">
        <v>92.403095622055133</v>
      </c>
      <c r="N32" s="171">
        <v>99.093636157055471</v>
      </c>
      <c r="O32" s="171">
        <v>105.50410713052915</v>
      </c>
      <c r="P32" s="171">
        <v>109.68049931750244</v>
      </c>
      <c r="Q32" s="171">
        <v>110.28080211303011</v>
      </c>
      <c r="R32" s="171" cm="1">
        <f t="array" ref="R32:Y32">TRANSPOSE([30]Alfa!$G$18:$G$25)</f>
        <v>127.48432681808849</v>
      </c>
      <c r="S32" s="171">
        <v>136.0779322887781</v>
      </c>
      <c r="T32" s="171">
        <v>146.52191524097037</v>
      </c>
      <c r="U32" s="171">
        <v>157.40897132747295</v>
      </c>
      <c r="V32" s="171">
        <v>166.66493194125897</v>
      </c>
      <c r="W32" s="171">
        <v>175.30561840592125</v>
      </c>
      <c r="X32" s="171">
        <v>180.04905814658775</v>
      </c>
      <c r="Y32" s="171">
        <v>178.8159280797054</v>
      </c>
      <c r="AX32" s="172">
        <f t="shared" si="8"/>
        <v>98.532494758909849</v>
      </c>
      <c r="BD32" s="185">
        <f t="shared" si="2"/>
        <v>96.779874213836479</v>
      </c>
      <c r="BF32" s="185">
        <f t="shared" si="3"/>
        <v>94.935010482180289</v>
      </c>
      <c r="BJ32" s="185">
        <f t="shared" si="5"/>
        <v>93.119496855345915</v>
      </c>
      <c r="BL32" s="185">
        <f t="shared" si="6"/>
        <v>93.094339622641513</v>
      </c>
      <c r="BN32" s="185">
        <f t="shared" si="7"/>
        <v>91.408805031446548</v>
      </c>
      <c r="CF32" s="171">
        <f>'Su K. oro stendu'!Q76</f>
        <v>0</v>
      </c>
      <c r="CG32" s="171"/>
      <c r="CH32" s="171">
        <v>7219.833384971028</v>
      </c>
      <c r="CI32" s="171">
        <f>'Su K. oro stendu'!E76</f>
        <v>5000</v>
      </c>
      <c r="CJ32" s="171">
        <f>'Su K. oro stendu'!I76</f>
        <v>10</v>
      </c>
      <c r="CK32" s="171">
        <v>0.1117763157894737</v>
      </c>
      <c r="CL32" s="171">
        <f>'Su K. oro stendu'!J76</f>
        <v>28.54</v>
      </c>
      <c r="CM32" s="172">
        <f>'Su K. oro stendu'!C76</f>
        <v>238.5</v>
      </c>
      <c r="CN32" s="172">
        <f>'Su K. oro stendu'!F76</f>
        <v>23.5</v>
      </c>
      <c r="CO32" s="172">
        <f>'Su K. oro stendu'!K76</f>
        <v>469.5</v>
      </c>
      <c r="CP32" s="172">
        <f>'Su K. oro stendu'!M76</f>
        <v>8.52</v>
      </c>
      <c r="CQ32" s="172">
        <f>'Su K. oro stendu'!N76</f>
        <v>14.11</v>
      </c>
      <c r="CR32" s="172">
        <f>'Su K. oro stendu'!G76</f>
        <v>145</v>
      </c>
    </row>
    <row r="33" spans="1:96" x14ac:dyDescent="0.3">
      <c r="A33" s="170" t="str">
        <f>'Su K. oro stendu'!B77</f>
        <v>20.12.2022</v>
      </c>
      <c r="B33" s="172">
        <v>0</v>
      </c>
      <c r="C33" s="172">
        <v>395</v>
      </c>
      <c r="D33" s="172">
        <v>0</v>
      </c>
      <c r="E33" s="172">
        <v>434</v>
      </c>
      <c r="F33" s="172">
        <v>5</v>
      </c>
      <c r="G33" s="172">
        <v>435</v>
      </c>
      <c r="H33" s="172">
        <v>4</v>
      </c>
      <c r="I33" s="172">
        <v>411</v>
      </c>
      <c r="J33" s="172" cm="1">
        <f t="array" ref="J33:Q33">TRANSPOSE('[31]Nu kitimas'!$J$4:$J$11)</f>
        <v>61.244562641918392</v>
      </c>
      <c r="K33" s="172">
        <v>65.475544531117038</v>
      </c>
      <c r="L33" s="172">
        <v>71.804821040570303</v>
      </c>
      <c r="M33" s="172">
        <v>77.906481273036277</v>
      </c>
      <c r="N33" s="172">
        <v>84.146704044618076</v>
      </c>
      <c r="O33" s="172">
        <v>91.153237160009482</v>
      </c>
      <c r="P33" s="172">
        <v>96.93215299006539</v>
      </c>
      <c r="Q33" s="172">
        <v>101.4272248525815</v>
      </c>
      <c r="R33" s="172" cm="1">
        <f t="array" ref="R33:Y33">TRANSPOSE([31]Alfa!$G$18:$G$25)</f>
        <v>115.56368825889881</v>
      </c>
      <c r="S33" s="172">
        <v>121.70500555533107</v>
      </c>
      <c r="T33" s="172">
        <v>130.6126335680143</v>
      </c>
      <c r="U33" s="172">
        <v>140.21754450548659</v>
      </c>
      <c r="V33" s="172">
        <v>149.01843073582</v>
      </c>
      <c r="W33" s="172">
        <v>158.85425970015118</v>
      </c>
      <c r="X33" s="172">
        <v>166.24341725567433</v>
      </c>
      <c r="Y33" s="172">
        <v>170.45972113513417</v>
      </c>
      <c r="AX33" s="172">
        <f t="shared" si="8"/>
        <v>101.21457489878543</v>
      </c>
      <c r="BD33" s="185">
        <f t="shared" si="2"/>
        <v>99.615384615384613</v>
      </c>
      <c r="BF33" s="185">
        <f t="shared" si="3"/>
        <v>97.858299595141702</v>
      </c>
      <c r="BJ33" s="185">
        <f t="shared" si="5"/>
        <v>96.07692307692308</v>
      </c>
      <c r="BL33" s="185">
        <f t="shared" si="6"/>
        <v>96.060728744939269</v>
      </c>
      <c r="BN33" s="185">
        <f t="shared" si="7"/>
        <v>94.396761133603235</v>
      </c>
      <c r="CF33" s="171">
        <f>'Su K. oro stendu'!Q77</f>
        <v>0</v>
      </c>
      <c r="CH33" s="172">
        <v>8088.0808335726033</v>
      </c>
      <c r="CI33" s="171">
        <f>'Su K. oro stendu'!E77</f>
        <v>5000</v>
      </c>
      <c r="CJ33" s="171">
        <f>'Su K. oro stendu'!I77</f>
        <v>10</v>
      </c>
      <c r="CK33" s="172">
        <v>0.111646408839779</v>
      </c>
      <c r="CL33" s="171">
        <f>'Su K. oro stendu'!J77</f>
        <v>26.8</v>
      </c>
      <c r="CM33" s="172">
        <f>'Su K. oro stendu'!C77</f>
        <v>247</v>
      </c>
      <c r="CN33" s="172">
        <f>'Su K. oro stendu'!F77</f>
        <v>25</v>
      </c>
      <c r="CO33" s="172">
        <f>'Su K. oro stendu'!K77</f>
        <v>499.5</v>
      </c>
      <c r="CP33" s="172">
        <f>'Su K. oro stendu'!M77</f>
        <v>8.74</v>
      </c>
      <c r="CQ33" s="172">
        <f>'Su K. oro stendu'!N77</f>
        <v>14.84</v>
      </c>
      <c r="CR33" s="172">
        <f>'Su K. oro stendu'!G77</f>
        <v>175</v>
      </c>
    </row>
    <row r="34" spans="1:96" x14ac:dyDescent="0.3">
      <c r="A34" s="170" t="str">
        <f>'Su K. oro stendu'!B78</f>
        <v>22.12.2022</v>
      </c>
      <c r="B34" s="172">
        <v>0</v>
      </c>
      <c r="C34" s="172">
        <v>328</v>
      </c>
      <c r="D34" s="172">
        <v>0</v>
      </c>
      <c r="E34" s="172">
        <v>399</v>
      </c>
      <c r="F34" s="172">
        <v>0</v>
      </c>
      <c r="G34" s="172">
        <v>400</v>
      </c>
      <c r="H34" s="172">
        <v>0</v>
      </c>
      <c r="I34" s="172">
        <v>383</v>
      </c>
      <c r="J34" s="172" cm="1">
        <f t="array" ref="J34:Q34">TRANSPOSE('[32]Nu kitimas'!$I$4:$I$11)</f>
        <v>51.990737156321558</v>
      </c>
      <c r="K34" s="172">
        <v>57.392592877084198</v>
      </c>
      <c r="L34" s="172">
        <v>63.789230143140131</v>
      </c>
      <c r="M34" s="172">
        <v>68.803175180684718</v>
      </c>
      <c r="N34" s="172">
        <v>73.887202527349572</v>
      </c>
      <c r="O34" s="172">
        <v>78.71751171627271</v>
      </c>
      <c r="P34" s="172">
        <v>81.634344420448045</v>
      </c>
      <c r="Q34" s="172">
        <v>81.090196127368699</v>
      </c>
      <c r="R34" s="172" cm="1">
        <f t="array" ref="R34:Y34">TRANSPOSE([32]Alfa!$G$18:$G$25)</f>
        <v>104.72019429655239</v>
      </c>
      <c r="S34" s="172">
        <v>113.19686506860729</v>
      </c>
      <c r="T34" s="172">
        <v>122.60383584606791</v>
      </c>
      <c r="U34" s="172">
        <v>130.78430443335625</v>
      </c>
      <c r="V34" s="172">
        <v>137.50765805227277</v>
      </c>
      <c r="W34" s="172">
        <v>144.04090158510209</v>
      </c>
      <c r="X34" s="172">
        <v>146.66203723759503</v>
      </c>
      <c r="Y34" s="172">
        <v>143.61237196260856</v>
      </c>
      <c r="AX34" s="172">
        <f t="shared" si="8"/>
        <v>100</v>
      </c>
      <c r="BD34" s="185">
        <f t="shared" si="2"/>
        <v>98.738461538461536</v>
      </c>
      <c r="BF34" s="185">
        <f t="shared" si="3"/>
        <v>97.203846153846158</v>
      </c>
      <c r="BJ34" s="185">
        <f t="shared" si="5"/>
        <v>95.66538461538461</v>
      </c>
      <c r="BL34" s="185">
        <f t="shared" si="6"/>
        <v>95.66538461538461</v>
      </c>
      <c r="BN34" s="185">
        <f t="shared" si="7"/>
        <v>94.192307692307693</v>
      </c>
      <c r="CF34" s="171">
        <f>'Su K. oro stendu'!Q78</f>
        <v>0</v>
      </c>
      <c r="CH34" s="172">
        <v>8852.9268518950066</v>
      </c>
      <c r="CI34" s="171">
        <f>'Su K. oro stendu'!E78</f>
        <v>5000</v>
      </c>
      <c r="CJ34" s="171">
        <f>'Su K. oro stendu'!I78</f>
        <v>10</v>
      </c>
      <c r="CK34" s="172">
        <v>0.10066666666666667</v>
      </c>
      <c r="CL34" s="171">
        <f>'Su K. oro stendu'!J78</f>
        <v>23.23</v>
      </c>
      <c r="CM34" s="172">
        <f>'Su K. oro stendu'!C78</f>
        <v>260</v>
      </c>
      <c r="CN34" s="172">
        <f>'Su K. oro stendu'!F78</f>
        <v>26</v>
      </c>
      <c r="CO34" s="172">
        <f>'Su K. oro stendu'!K78</f>
        <v>522</v>
      </c>
      <c r="CP34" s="172">
        <f>'Su K. oro stendu'!M78</f>
        <v>8.49</v>
      </c>
      <c r="CQ34" s="172">
        <f>'Su K. oro stendu'!N78</f>
        <v>15.54</v>
      </c>
      <c r="CR34" s="172">
        <f>'Su K. oro stendu'!G78</f>
        <v>205</v>
      </c>
    </row>
    <row r="35" spans="1:96" x14ac:dyDescent="0.3">
      <c r="A35" s="170" t="str">
        <f>'Su K. oro stendu'!B79</f>
        <v>22.12.2022</v>
      </c>
      <c r="B35" s="172">
        <v>0</v>
      </c>
      <c r="C35" s="172">
        <v>673</v>
      </c>
      <c r="D35" s="172">
        <v>0</v>
      </c>
      <c r="E35" s="172">
        <v>744</v>
      </c>
      <c r="F35" s="172">
        <v>0</v>
      </c>
      <c r="G35" s="172">
        <v>765</v>
      </c>
      <c r="H35" s="172">
        <v>0</v>
      </c>
      <c r="I35" s="172">
        <v>747</v>
      </c>
      <c r="J35" s="172" cm="1">
        <f t="array" ref="J35:Q35">TRANSPOSE('[33]Nu kitimas'!$G$4:$G$11)</f>
        <v>118.5203966024052</v>
      </c>
      <c r="K35" s="172">
        <v>119.60481614191255</v>
      </c>
      <c r="L35" s="172">
        <v>125.10305952231306</v>
      </c>
      <c r="M35" s="172">
        <v>131.6546292016902</v>
      </c>
      <c r="N35" s="172">
        <v>140.17983092166924</v>
      </c>
      <c r="O35" s="172">
        <v>149.42608218119727</v>
      </c>
      <c r="P35" s="172">
        <v>158.77166851797668</v>
      </c>
      <c r="Q35" s="172">
        <v>165.1250320082203</v>
      </c>
      <c r="R35" s="172" cm="1">
        <f t="array" ref="R35:Y35">TRANSPOSE([33]Alfa!$G$18:$G$25)</f>
        <v>243.01865464929853</v>
      </c>
      <c r="S35" s="172">
        <v>240.96239709245646</v>
      </c>
      <c r="T35" s="172">
        <v>246.80518158867278</v>
      </c>
      <c r="U35" s="172">
        <v>256.60562713029071</v>
      </c>
      <c r="V35" s="172">
        <v>268.75252699240599</v>
      </c>
      <c r="W35" s="172">
        <v>282.8613418330832</v>
      </c>
      <c r="X35" s="172">
        <v>295.61545548559928</v>
      </c>
      <c r="Y35" s="172">
        <v>303.51151875549266</v>
      </c>
      <c r="AX35" s="172">
        <f t="shared" si="8"/>
        <v>199.20318725099602</v>
      </c>
      <c r="BD35" s="185">
        <f t="shared" si="2"/>
        <v>197.86254980079681</v>
      </c>
      <c r="BF35" s="185">
        <f t="shared" si="3"/>
        <v>196.38047808764941</v>
      </c>
      <c r="BJ35" s="185">
        <f t="shared" si="5"/>
        <v>194.85657370517927</v>
      </c>
      <c r="BL35" s="185">
        <f t="shared" si="6"/>
        <v>194.85657370517927</v>
      </c>
      <c r="BN35" s="185">
        <f t="shared" si="7"/>
        <v>193.36852589641435</v>
      </c>
      <c r="CF35" s="171">
        <f>'Su K. oro stendu'!Q79</f>
        <v>0</v>
      </c>
      <c r="CH35" s="172">
        <v>19313.611142123988</v>
      </c>
      <c r="CI35" s="171">
        <f>'Su K. oro stendu'!E79</f>
        <v>10000</v>
      </c>
      <c r="CJ35" s="171">
        <f>'Su K. oro stendu'!I79</f>
        <v>20</v>
      </c>
      <c r="CK35" s="172">
        <v>0.29289999999999999</v>
      </c>
      <c r="CL35" s="171">
        <f>'Su K. oro stendu'!J79</f>
        <v>17.57</v>
      </c>
      <c r="CM35" s="172">
        <f>'Su K. oro stendu'!C79</f>
        <v>502</v>
      </c>
      <c r="CN35" s="172">
        <f>'Su K. oro stendu'!F79</f>
        <v>100</v>
      </c>
      <c r="CO35" s="172">
        <f>'Su K. oro stendu'!K79</f>
        <v>1005</v>
      </c>
      <c r="CP35" s="172">
        <f>'Su K. oro stendu'!M79</f>
        <v>8.58</v>
      </c>
      <c r="CQ35" s="172">
        <f>'Su K. oro stendu'!N79</f>
        <v>17.57</v>
      </c>
      <c r="CR35" s="172">
        <f>'Su K. oro stendu'!G79</f>
        <v>205</v>
      </c>
    </row>
    <row r="36" spans="1:96" x14ac:dyDescent="0.3">
      <c r="A36" s="170" t="str">
        <f>'Su K. oro stendu'!B80</f>
        <v>23.12.2022</v>
      </c>
      <c r="B36" s="172">
        <v>4</v>
      </c>
      <c r="C36" s="172">
        <v>486</v>
      </c>
      <c r="D36" s="172">
        <v>3</v>
      </c>
      <c r="E36" s="172">
        <v>519</v>
      </c>
      <c r="F36" s="172">
        <v>1</v>
      </c>
      <c r="G36" s="172">
        <v>485</v>
      </c>
      <c r="H36" s="172">
        <v>3</v>
      </c>
      <c r="I36" s="172">
        <v>436</v>
      </c>
      <c r="J36" s="172" cm="1">
        <f t="array" ref="J36:Q36">TRANSPOSE('[34]Nu kitimas'!$J$4:$J$11)</f>
        <v>151.51513057203314</v>
      </c>
      <c r="K36" s="172">
        <v>154.81638764307115</v>
      </c>
      <c r="L36" s="172">
        <v>162.58071251650438</v>
      </c>
      <c r="M36" s="172">
        <v>170.53289601018662</v>
      </c>
      <c r="N36" s="172">
        <v>178.3050465125223</v>
      </c>
      <c r="O36" s="172">
        <v>183.88974438317729</v>
      </c>
      <c r="P36" s="172">
        <v>184.12480636536648</v>
      </c>
      <c r="Q36" s="172">
        <v>175.64877804609227</v>
      </c>
      <c r="R36" s="172" cm="1">
        <f t="array" ref="R36:Y36">TRANSPOSE([34]Alfa!$G$18:$G$25)</f>
        <v>245.55152059757884</v>
      </c>
      <c r="S36" s="172">
        <v>243.8595886363639</v>
      </c>
      <c r="T36" s="172">
        <v>250.40071683570142</v>
      </c>
      <c r="U36" s="172">
        <v>260.26221180395686</v>
      </c>
      <c r="V36" s="172">
        <v>270.76712901609176</v>
      </c>
      <c r="W36" s="172">
        <v>280.65954684796179</v>
      </c>
      <c r="X36" s="172">
        <v>284.29957728427445</v>
      </c>
      <c r="Y36" s="172">
        <v>277.07095290416129</v>
      </c>
      <c r="AX36" s="172">
        <f t="shared" si="8"/>
        <v>100.71942446043165</v>
      </c>
      <c r="BD36" s="185">
        <f t="shared" si="2"/>
        <v>99.537170263788965</v>
      </c>
      <c r="BF36" s="185">
        <f t="shared" si="3"/>
        <v>98.29256594724221</v>
      </c>
      <c r="BL36" s="185">
        <f t="shared" si="6"/>
        <v>97.119904076738607</v>
      </c>
      <c r="BN36" s="185">
        <f t="shared" si="7"/>
        <v>96.074340527577931</v>
      </c>
      <c r="CF36" s="171">
        <f>'Su K. oro stendu'!Q80</f>
        <v>0</v>
      </c>
      <c r="CH36" s="172">
        <v>7102.3762351979085</v>
      </c>
      <c r="CI36" s="171">
        <f>'Su K. oro stendu'!E80</f>
        <v>10000</v>
      </c>
      <c r="CJ36" s="171">
        <f>'Su K. oro stendu'!I80</f>
        <v>10</v>
      </c>
      <c r="CK36" s="172">
        <v>0.1277142857142857</v>
      </c>
      <c r="CL36" s="171">
        <f>'Su K. oro stendu'!J80</f>
        <v>18.239999999999998</v>
      </c>
      <c r="CM36" s="172">
        <f>'Su K. oro stendu'!C80</f>
        <v>417</v>
      </c>
      <c r="CN36" s="172">
        <f>'Su K. oro stendu'!F80</f>
        <v>42</v>
      </c>
      <c r="CO36" s="172">
        <f>'Su K. oro stendu'!K80</f>
        <v>831</v>
      </c>
      <c r="CP36" s="172">
        <f>'Su K. oro stendu'!M80</f>
        <v>8.48</v>
      </c>
      <c r="CQ36" s="172">
        <f>'Su K. oro stendu'!N80</f>
        <v>7.88</v>
      </c>
      <c r="CR36" s="172">
        <f>'Su K. oro stendu'!G80</f>
        <v>85</v>
      </c>
    </row>
    <row r="37" spans="1:96" x14ac:dyDescent="0.3">
      <c r="A37" s="170" t="str">
        <f>'Su K. oro stendu'!B81</f>
        <v>27.12.2022</v>
      </c>
      <c r="B37" s="172">
        <v>0</v>
      </c>
      <c r="C37" s="172">
        <v>494</v>
      </c>
      <c r="D37" s="172">
        <v>0</v>
      </c>
      <c r="E37" s="172">
        <v>534</v>
      </c>
      <c r="F37" s="172">
        <v>1</v>
      </c>
      <c r="G37" s="172">
        <v>505</v>
      </c>
      <c r="H37" s="172">
        <v>0</v>
      </c>
      <c r="I37" s="172">
        <v>461</v>
      </c>
      <c r="J37" s="172" cm="1">
        <f t="array" ref="J37:Q37">TRANSPOSE('[35]Nu kitimas'!$H$4:$H$11)</f>
        <v>126.01560705870912</v>
      </c>
      <c r="K37" s="172">
        <v>126.36409410797417</v>
      </c>
      <c r="L37" s="172">
        <v>129.35526480898406</v>
      </c>
      <c r="M37" s="172">
        <v>132.2731351123893</v>
      </c>
      <c r="N37" s="172">
        <v>137.0216579705569</v>
      </c>
      <c r="O37" s="172">
        <v>141.89347243920292</v>
      </c>
      <c r="P37" s="172">
        <v>144.7620895745996</v>
      </c>
      <c r="Q37" s="172">
        <v>142.94587275629351</v>
      </c>
      <c r="R37" s="172" cm="1">
        <f t="array" ref="R37:Y37">TRANSPOSE([35]Alfa!$G$18:$G$25)</f>
        <v>210.29089982208967</v>
      </c>
      <c r="S37" s="172">
        <v>208.39694712847134</v>
      </c>
      <c r="T37" s="172">
        <v>211.39072112804132</v>
      </c>
      <c r="U37" s="172">
        <v>215.017836997269</v>
      </c>
      <c r="V37" s="172">
        <v>220.64239113993307</v>
      </c>
      <c r="W37" s="172">
        <v>226.83663219896891</v>
      </c>
      <c r="X37" s="172">
        <v>229.27694720849129</v>
      </c>
      <c r="Y37" s="172">
        <v>224.77438188670132</v>
      </c>
      <c r="AX37" s="172">
        <f t="shared" si="8"/>
        <v>100.22779043280183</v>
      </c>
      <c r="BD37" s="185">
        <f t="shared" si="2"/>
        <v>99.102505694760822</v>
      </c>
      <c r="BF37" s="185">
        <f t="shared" si="3"/>
        <v>97.886104783599095</v>
      </c>
      <c r="BL37" s="185">
        <f t="shared" si="6"/>
        <v>96.733485193621874</v>
      </c>
      <c r="BN37" s="185">
        <f t="shared" si="7"/>
        <v>95.683371298405461</v>
      </c>
      <c r="CF37" s="171">
        <f>'Su K. oro stendu'!Q81</f>
        <v>0</v>
      </c>
      <c r="CH37" s="172">
        <v>8491.6543984010059</v>
      </c>
      <c r="CI37" s="171">
        <f>'Su K. oro stendu'!E81</f>
        <v>10000</v>
      </c>
      <c r="CJ37" s="171">
        <f>'Su K. oro stendu'!I81</f>
        <v>10</v>
      </c>
      <c r="CK37" s="172">
        <v>0.13153846153846158</v>
      </c>
      <c r="CL37" s="171">
        <f>'Su K. oro stendu'!J81</f>
        <v>17.940000000000001</v>
      </c>
      <c r="CM37" s="172">
        <f>'Su K. oro stendu'!C81</f>
        <v>439</v>
      </c>
      <c r="CN37" s="172">
        <f>'Su K. oro stendu'!F81</f>
        <v>44</v>
      </c>
      <c r="CO37" s="172">
        <f>'Su K. oro stendu'!K81</f>
        <v>882</v>
      </c>
      <c r="CP37" s="172">
        <f>'Su K. oro stendu'!M81</f>
        <v>8.08</v>
      </c>
      <c r="CQ37" s="172">
        <f>'Su K. oro stendu'!N81</f>
        <v>8.8800000000000008</v>
      </c>
      <c r="CR37" s="172">
        <f>'Su K. oro stendu'!G81</f>
        <v>115</v>
      </c>
    </row>
    <row r="38" spans="1:96" x14ac:dyDescent="0.3">
      <c r="A38" s="170" t="str">
        <f>'Su K. oro stendu'!B82</f>
        <v>27.12.2022</v>
      </c>
      <c r="B38" s="172">
        <v>0</v>
      </c>
      <c r="C38" s="172">
        <v>456</v>
      </c>
      <c r="D38" s="172">
        <v>0</v>
      </c>
      <c r="E38" s="172">
        <v>459</v>
      </c>
      <c r="F38" s="172">
        <v>0</v>
      </c>
      <c r="G38" s="172">
        <v>539</v>
      </c>
      <c r="H38" s="172">
        <v>0</v>
      </c>
      <c r="I38" s="172">
        <v>484</v>
      </c>
      <c r="J38" s="172" cm="1">
        <f t="array" ref="J38:Q38">TRANSPOSE('[36]Nu kitimas'!$J$4:$J$11)</f>
        <v>105.99517371346144</v>
      </c>
      <c r="K38" s="172">
        <v>106.11006356461235</v>
      </c>
      <c r="L38" s="172">
        <v>109.12206383594481</v>
      </c>
      <c r="M38" s="172">
        <v>112.40762550608315</v>
      </c>
      <c r="N38" s="172">
        <v>116.98185921393994</v>
      </c>
      <c r="O38" s="172">
        <v>121.16277766954363</v>
      </c>
      <c r="P38" s="172">
        <v>124.0342990803542</v>
      </c>
      <c r="Q38" s="172">
        <v>124.94634626752405</v>
      </c>
      <c r="R38" s="172" cm="1">
        <f t="array" ref="R38:Y38">TRANSPOSE([36]Alfa!$G$18:$G$25)</f>
        <v>189.74993241167562</v>
      </c>
      <c r="S38" s="172">
        <v>187.7599721419426</v>
      </c>
      <c r="T38" s="172">
        <v>190.17340270799525</v>
      </c>
      <c r="U38" s="172">
        <v>194.4601796204775</v>
      </c>
      <c r="V38" s="172">
        <v>199.74239255270606</v>
      </c>
      <c r="W38" s="172">
        <v>205.25287542363429</v>
      </c>
      <c r="X38" s="172">
        <v>207.68209070953807</v>
      </c>
      <c r="Y38" s="172">
        <v>206.81634771999424</v>
      </c>
      <c r="AX38" s="172">
        <f t="shared" si="8"/>
        <v>98.532494758909849</v>
      </c>
      <c r="BF38" s="185">
        <f t="shared" si="3"/>
        <v>96.614255765199161</v>
      </c>
      <c r="BL38" s="185">
        <f t="shared" si="6"/>
        <v>95.484276729559753</v>
      </c>
      <c r="CF38" s="171">
        <f>'Su K. oro stendu'!Q82</f>
        <v>0</v>
      </c>
      <c r="CH38" s="172">
        <v>10054.217868433196</v>
      </c>
      <c r="CI38" s="171">
        <f>'Su K. oro stendu'!E82</f>
        <v>10000</v>
      </c>
      <c r="CJ38" s="171">
        <f>'Su K. oro stendu'!I82</f>
        <v>10</v>
      </c>
      <c r="CK38" s="172">
        <v>0.12778021978021981</v>
      </c>
      <c r="CL38" s="171">
        <f>'Su K. oro stendu'!J82</f>
        <v>16.309999999999999</v>
      </c>
      <c r="CM38" s="172">
        <f>'Su K. oro stendu'!C82</f>
        <v>477</v>
      </c>
      <c r="CN38" s="172">
        <f>'Su K. oro stendu'!F82</f>
        <v>47</v>
      </c>
      <c r="CO38" s="172">
        <f>'Su K. oro stendu'!K82</f>
        <v>940.5</v>
      </c>
      <c r="CP38" s="172">
        <f>'Su K. oro stendu'!M82</f>
        <v>8.17</v>
      </c>
      <c r="CQ38" s="172">
        <f>'Su K. oro stendu'!N82</f>
        <v>9.85</v>
      </c>
      <c r="CR38" s="172">
        <f>'Su K. oro stendu'!G82</f>
        <v>145</v>
      </c>
    </row>
    <row r="39" spans="1:96" x14ac:dyDescent="0.3">
      <c r="A39" s="170" t="str">
        <f>'Su K. oro stendu'!B83</f>
        <v>28.12.2022</v>
      </c>
      <c r="B39" s="172">
        <v>0</v>
      </c>
      <c r="C39" s="172">
        <v>468</v>
      </c>
      <c r="D39" s="172">
        <v>0</v>
      </c>
      <c r="E39" s="172">
        <v>505</v>
      </c>
      <c r="F39" s="172">
        <v>0</v>
      </c>
      <c r="G39" s="172">
        <v>503</v>
      </c>
      <c r="H39" s="172">
        <v>0</v>
      </c>
      <c r="I39" s="172">
        <v>472</v>
      </c>
      <c r="J39" s="172" cm="1">
        <f t="array" ref="J39:Q39">TRANSPOSE('[37]Nu kitimas'!$K$4:$K$11)</f>
        <v>87.622899086898073</v>
      </c>
      <c r="K39" s="172">
        <v>89.963406574492225</v>
      </c>
      <c r="L39" s="172">
        <v>94.534890001793215</v>
      </c>
      <c r="M39" s="172">
        <v>99.485250112130203</v>
      </c>
      <c r="N39" s="172">
        <v>105.06954299795171</v>
      </c>
      <c r="O39" s="172">
        <v>110.39541210398974</v>
      </c>
      <c r="P39" s="172">
        <v>115.25475015515364</v>
      </c>
      <c r="Q39" s="172">
        <v>116.34069305333205</v>
      </c>
      <c r="R39" s="172" cm="1">
        <f t="array" ref="R39:Y39">TRANSPOSE([37]Alfa!$G$18:$G$25)</f>
        <v>166.38374774077326</v>
      </c>
      <c r="S39" s="172">
        <v>168.75409608646038</v>
      </c>
      <c r="T39" s="172">
        <v>174.2768531678187</v>
      </c>
      <c r="U39" s="172">
        <v>181.61928856170201</v>
      </c>
      <c r="V39" s="172">
        <v>189.13064466300574</v>
      </c>
      <c r="W39" s="172">
        <v>196.56838559494048</v>
      </c>
      <c r="X39" s="172">
        <v>202.00292280397147</v>
      </c>
      <c r="Y39" s="172">
        <v>201.94890094140374</v>
      </c>
      <c r="AX39" s="172">
        <f t="shared" si="8"/>
        <v>100</v>
      </c>
      <c r="BF39" s="185">
        <f t="shared" si="3"/>
        <v>98.054000000000002</v>
      </c>
      <c r="BL39" s="185">
        <f t="shared" si="6"/>
        <v>97.048000000000002</v>
      </c>
      <c r="CF39" s="171">
        <f>'Su K. oro stendu'!Q83</f>
        <v>0</v>
      </c>
      <c r="CH39" s="172">
        <v>11525.963747596372</v>
      </c>
      <c r="CI39" s="171">
        <f>'Su K. oro stendu'!E83</f>
        <v>10000</v>
      </c>
      <c r="CJ39" s="171">
        <f>'Su K. oro stendu'!I83</f>
        <v>10</v>
      </c>
      <c r="CK39" s="172">
        <v>0.12843956043956045</v>
      </c>
      <c r="CL39" s="171">
        <f>'Su K. oro stendu'!J83</f>
        <v>15.41</v>
      </c>
      <c r="CM39" s="172">
        <f>'Su K. oro stendu'!C83</f>
        <v>500</v>
      </c>
      <c r="CN39" s="172">
        <f>'Su K. oro stendu'!F83</f>
        <v>50</v>
      </c>
      <c r="CO39" s="172">
        <f>'Su K. oro stendu'!K83</f>
        <v>999</v>
      </c>
      <c r="CP39" s="172">
        <f>'Su K. oro stendu'!M83</f>
        <v>8.32</v>
      </c>
      <c r="CQ39" s="172">
        <f>'Su K. oro stendu'!N83</f>
        <v>10.62</v>
      </c>
      <c r="CR39" s="172">
        <f>'Su K. oro stendu'!G83</f>
        <v>175</v>
      </c>
    </row>
    <row r="40" spans="1:96" x14ac:dyDescent="0.3">
      <c r="A40" s="170" t="str">
        <f>'Su K. oro stendu'!B84</f>
        <v>28.12.2022</v>
      </c>
      <c r="B40" s="172">
        <v>0</v>
      </c>
      <c r="C40" s="172">
        <v>387</v>
      </c>
      <c r="D40" s="172">
        <v>0</v>
      </c>
      <c r="E40" s="172">
        <v>430</v>
      </c>
      <c r="F40" s="172">
        <v>1</v>
      </c>
      <c r="G40" s="172">
        <v>414</v>
      </c>
      <c r="H40" s="172">
        <v>0</v>
      </c>
      <c r="I40" s="172">
        <v>441</v>
      </c>
      <c r="J40" s="172" cm="1">
        <f t="array" ref="J40:Q40">TRANSPOSE('[38]Nu kitimas'!$H$4:$H$11)</f>
        <v>76.234033607225911</v>
      </c>
      <c r="K40" s="172">
        <v>77.832804789391275</v>
      </c>
      <c r="L40" s="172">
        <v>81.200581006979576</v>
      </c>
      <c r="M40" s="172">
        <v>85.639921712676042</v>
      </c>
      <c r="N40" s="172">
        <v>91.237579705909056</v>
      </c>
      <c r="O40" s="172">
        <v>95.625680112687292</v>
      </c>
      <c r="P40" s="172">
        <v>100.72496608794873</v>
      </c>
      <c r="Q40" s="172">
        <v>105.26891758847336</v>
      </c>
      <c r="R40" s="172" cm="1">
        <f t="array" ref="R40:Y40">TRANSPOSE([38]Alfa!$G$18:$G$25)</f>
        <v>154.98965222806478</v>
      </c>
      <c r="S40" s="172">
        <v>155.146674369153</v>
      </c>
      <c r="T40" s="172">
        <v>158.94281022205604</v>
      </c>
      <c r="U40" s="172">
        <v>164.98581381283711</v>
      </c>
      <c r="V40" s="172">
        <v>172.90832552616811</v>
      </c>
      <c r="W40" s="172">
        <v>179.79998315243756</v>
      </c>
      <c r="X40" s="172">
        <v>186.22304273601824</v>
      </c>
      <c r="Y40" s="172">
        <v>192.01777252797683</v>
      </c>
      <c r="AX40" s="172">
        <f t="shared" si="8"/>
        <v>100.95238095238095</v>
      </c>
      <c r="BF40" s="185">
        <f t="shared" si="3"/>
        <v>99.396190476190469</v>
      </c>
      <c r="BL40" s="185">
        <f t="shared" si="6"/>
        <v>98.605714285714285</v>
      </c>
      <c r="CF40" s="171">
        <f>'Su K. oro stendu'!Q84</f>
        <v>0</v>
      </c>
      <c r="CH40" s="172">
        <v>12708.061717773828</v>
      </c>
      <c r="CI40" s="171">
        <f>'Su K. oro stendu'!E84</f>
        <v>10000</v>
      </c>
      <c r="CJ40" s="171">
        <f>'Su K. oro stendu'!I84</f>
        <v>10</v>
      </c>
      <c r="CK40" s="172">
        <v>0.1103076923076923</v>
      </c>
      <c r="CL40" s="171">
        <f>'Su K. oro stendu'!J84</f>
        <v>12.49</v>
      </c>
      <c r="CM40" s="172">
        <f>'Su K. oro stendu'!C84</f>
        <v>525</v>
      </c>
      <c r="CN40" s="172">
        <f>'Su K. oro stendu'!F84</f>
        <v>53</v>
      </c>
      <c r="CO40" s="172">
        <f>'Su K. oro stendu'!K84</f>
        <v>1051.5</v>
      </c>
      <c r="CP40" s="172">
        <f>'Su K. oro stendu'!M84</f>
        <v>8.2100000000000009</v>
      </c>
      <c r="CQ40" s="172">
        <f>'Su K. oro stendu'!N84</f>
        <v>11.12</v>
      </c>
      <c r="CR40" s="172">
        <f>'Su K. oro stendu'!G84</f>
        <v>205</v>
      </c>
    </row>
    <row r="41" spans="1:96" x14ac:dyDescent="0.3">
      <c r="A41" s="170" t="str">
        <f>'Su K. oro stendu'!B85</f>
        <v>29.12.2022</v>
      </c>
      <c r="B41" s="172">
        <v>16</v>
      </c>
      <c r="C41" s="172">
        <v>548</v>
      </c>
      <c r="D41" s="172">
        <v>14</v>
      </c>
      <c r="E41" s="172">
        <v>451</v>
      </c>
      <c r="F41" s="172">
        <v>13</v>
      </c>
      <c r="G41" s="172">
        <v>501</v>
      </c>
      <c r="H41" s="172">
        <v>16</v>
      </c>
      <c r="I41" s="172">
        <v>439</v>
      </c>
      <c r="J41" s="172" cm="1">
        <f t="array" ref="J41:Q41">TRANSPOSE('[39]Nu kitimas'!$O$4:$O$11)</f>
        <v>121.19338572507472</v>
      </c>
      <c r="K41" s="172">
        <v>126.37448496881446</v>
      </c>
      <c r="L41" s="172">
        <v>133.48826620481398</v>
      </c>
      <c r="M41" s="172">
        <v>139.14952095330705</v>
      </c>
      <c r="N41" s="172">
        <v>143.8817628974908</v>
      </c>
      <c r="O41" s="172">
        <v>149.96616784212307</v>
      </c>
      <c r="P41" s="172">
        <v>155.94657288779126</v>
      </c>
      <c r="Q41" s="172">
        <v>158.9964305103949</v>
      </c>
      <c r="R41" s="172" cm="1">
        <f t="array" ref="R41:Y41">TRANSPOSE([39]Alfa!$G$18:$G$25)</f>
        <v>188.09517220202673</v>
      </c>
      <c r="S41" s="172">
        <v>194.79935069411206</v>
      </c>
      <c r="T41" s="172">
        <v>203.47433919961557</v>
      </c>
      <c r="U41" s="172">
        <v>211.21873252871154</v>
      </c>
      <c r="V41" s="172">
        <v>216.66412245559681</v>
      </c>
      <c r="W41" s="172">
        <v>224.45367803379253</v>
      </c>
      <c r="X41" s="172">
        <v>231.48720367351626</v>
      </c>
      <c r="Y41" s="172">
        <v>234.80508764541881</v>
      </c>
      <c r="AX41" s="172">
        <f t="shared" si="8"/>
        <v>106.06060606060606</v>
      </c>
      <c r="BF41" s="185">
        <f t="shared" si="3"/>
        <v>98.265151515151516</v>
      </c>
      <c r="CF41" s="171">
        <f>'Su K. oro stendu'!Q85</f>
        <v>0</v>
      </c>
      <c r="CH41" s="172">
        <v>4535.6731206444128</v>
      </c>
      <c r="CI41" s="171">
        <f>'Su K. oro stendu'!E85</f>
        <v>3000</v>
      </c>
      <c r="CJ41" s="171">
        <f>'Su K. oro stendu'!I85</f>
        <v>10</v>
      </c>
      <c r="CK41" s="172">
        <v>9.510743801652892E-2</v>
      </c>
      <c r="CL41" s="171">
        <f>'Su K. oro stendu'!J85</f>
        <v>40.76</v>
      </c>
      <c r="CM41" s="172">
        <f>'Su K. oro stendu'!C85</f>
        <v>132</v>
      </c>
      <c r="CN41" s="172">
        <f>'Su K. oro stendu'!F85</f>
        <v>14</v>
      </c>
      <c r="CO41" s="172">
        <f>'Su K. oro stendu'!K85</f>
        <v>265</v>
      </c>
      <c r="CP41" s="172">
        <f>'Su K. oro stendu'!M85</f>
        <v>8.4</v>
      </c>
      <c r="CQ41" s="172">
        <f>'Su K. oro stendu'!N85</f>
        <v>15.65</v>
      </c>
      <c r="CR41" s="172">
        <f>'Su K. oro stendu'!G85</f>
        <v>85</v>
      </c>
    </row>
    <row r="42" spans="1:96" x14ac:dyDescent="0.3">
      <c r="A42" s="170" t="str">
        <f>'Su K. oro stendu'!B86</f>
        <v>30.12.2022</v>
      </c>
      <c r="B42" s="172">
        <v>75</v>
      </c>
      <c r="C42" s="172">
        <v>410</v>
      </c>
      <c r="D42" s="172">
        <v>9</v>
      </c>
      <c r="E42" s="172">
        <v>477</v>
      </c>
      <c r="F42" s="172">
        <v>9</v>
      </c>
      <c r="G42" s="172">
        <v>450</v>
      </c>
      <c r="H42" s="172">
        <v>11</v>
      </c>
      <c r="I42" s="172">
        <v>396</v>
      </c>
      <c r="J42" s="172" cm="1">
        <f t="array" ref="J42:Q42">TRANSPOSE('[40]Nu kitimas'!$L$4:$L$11)</f>
        <v>85.437709018401037</v>
      </c>
      <c r="K42" s="172">
        <v>87.213784804736662</v>
      </c>
      <c r="L42" s="172">
        <v>90.873316225881425</v>
      </c>
      <c r="M42" s="172">
        <v>93.411749319540192</v>
      </c>
      <c r="N42" s="172">
        <v>97.126890186992881</v>
      </c>
      <c r="O42" s="172">
        <v>102.72562437460736</v>
      </c>
      <c r="P42" s="172">
        <v>109.79022417371198</v>
      </c>
      <c r="Q42" s="172">
        <v>117.12777784995458</v>
      </c>
      <c r="R42" s="172" cm="1">
        <f t="array" ref="R42:Y42">TRANSPOSE([40]Alfa!$G$18:$G$25)</f>
        <v>141.69320838282943</v>
      </c>
      <c r="S42" s="172">
        <v>142.73559122364668</v>
      </c>
      <c r="T42" s="172">
        <v>146.35855964787305</v>
      </c>
      <c r="U42" s="172">
        <v>149.47457031529322</v>
      </c>
      <c r="V42" s="172">
        <v>153.35083183901853</v>
      </c>
      <c r="W42" s="172">
        <v>160.61743336230469</v>
      </c>
      <c r="X42" s="172">
        <v>169.40751994939103</v>
      </c>
      <c r="Y42" s="172">
        <v>179.08518913099448</v>
      </c>
      <c r="AX42" s="172">
        <f t="shared" si="8"/>
        <v>104.4776119402985</v>
      </c>
      <c r="BF42" s="185">
        <f t="shared" si="3"/>
        <v>97.231343283582092</v>
      </c>
      <c r="CF42" s="171">
        <f>'Su K. oro stendu'!Q86</f>
        <v>0</v>
      </c>
      <c r="CH42" s="172">
        <v>4988.2564566207602</v>
      </c>
      <c r="CI42" s="171">
        <f>'Su K. oro stendu'!E86</f>
        <v>3000</v>
      </c>
      <c r="CJ42" s="171">
        <f>'Su K. oro stendu'!I86</f>
        <v>10</v>
      </c>
      <c r="CK42" s="172">
        <v>9.1090909090909097E-2</v>
      </c>
      <c r="CL42" s="171">
        <f>'Su K. oro stendu'!J86</f>
        <v>39.04</v>
      </c>
      <c r="CM42" s="172">
        <f>'Su K. oro stendu'!C86</f>
        <v>134</v>
      </c>
      <c r="CN42" s="172">
        <f>'Su K. oro stendu'!F86</f>
        <v>14</v>
      </c>
      <c r="CO42" s="172">
        <f>'Su K. oro stendu'!K86</f>
        <v>270</v>
      </c>
      <c r="CP42" s="172">
        <f>'Su K. oro stendu'!M86</f>
        <v>8.27</v>
      </c>
      <c r="CQ42" s="172">
        <f>'Su K. oro stendu'!N86</f>
        <v>16.91</v>
      </c>
      <c r="CR42" s="172">
        <f>'Su K. oro stendu'!G86</f>
        <v>115</v>
      </c>
    </row>
    <row r="43" spans="1:96" x14ac:dyDescent="0.3">
      <c r="A43" s="170" t="str">
        <f>'Su K. oro stendu'!B87</f>
        <v>03.01.2023</v>
      </c>
      <c r="B43" s="172">
        <v>7</v>
      </c>
      <c r="C43" s="172">
        <v>397</v>
      </c>
      <c r="D43" s="172">
        <v>6</v>
      </c>
      <c r="E43" s="172">
        <v>459</v>
      </c>
      <c r="F43" s="172">
        <v>6</v>
      </c>
      <c r="G43" s="172">
        <v>435</v>
      </c>
      <c r="H43" s="172">
        <v>7</v>
      </c>
      <c r="I43" s="172">
        <v>384</v>
      </c>
      <c r="J43" s="172" cm="1">
        <f t="array" ref="J43:Q43">TRANSPOSE('[41]Nu kitimas'!$I$4:$I$11)</f>
        <v>62.431790614016421</v>
      </c>
      <c r="K43" s="172">
        <v>64.102165105356875</v>
      </c>
      <c r="L43" s="172">
        <v>67.327204338234111</v>
      </c>
      <c r="M43" s="172">
        <v>70.673670463175085</v>
      </c>
      <c r="N43" s="172">
        <v>75.981041448622889</v>
      </c>
      <c r="O43" s="172">
        <v>83.114947194743564</v>
      </c>
      <c r="P43" s="172">
        <v>92.62106115859504</v>
      </c>
      <c r="Q43" s="172">
        <v>103.67841942434325</v>
      </c>
      <c r="R43" s="172" cm="1">
        <f t="array" ref="R43:Y43">TRANSPOSE([41]Alfa!$G$18:$G$25)</f>
        <v>110.42671287976931</v>
      </c>
      <c r="S43" s="172">
        <v>111.33362640819446</v>
      </c>
      <c r="T43" s="172">
        <v>114.58177940368999</v>
      </c>
      <c r="U43" s="172">
        <v>119.02399250299705</v>
      </c>
      <c r="V43" s="172">
        <v>125.7326880868371</v>
      </c>
      <c r="W43" s="172">
        <v>135.97462087873834</v>
      </c>
      <c r="X43" s="172">
        <v>149.01996077590474</v>
      </c>
      <c r="Y43" s="172">
        <v>164.92392715621645</v>
      </c>
      <c r="AX43" s="172">
        <f t="shared" si="8"/>
        <v>102.11267605633803</v>
      </c>
      <c r="BF43" s="185">
        <f t="shared" si="3"/>
        <v>95.992957746478879</v>
      </c>
      <c r="CF43" s="171">
        <f>'Su K. oro stendu'!Q87</f>
        <v>0</v>
      </c>
      <c r="CH43" s="172">
        <v>5431.4941741129969</v>
      </c>
      <c r="CI43" s="171">
        <f>'Su K. oro stendu'!E87</f>
        <v>3000</v>
      </c>
      <c r="CJ43" s="171">
        <f>'Su K. oro stendu'!I87</f>
        <v>10</v>
      </c>
      <c r="CK43" s="172">
        <v>8.4697095435684641E-2</v>
      </c>
      <c r="CL43" s="171">
        <f>'Su K. oro stendu'!J87</f>
        <v>35.049999999999997</v>
      </c>
      <c r="CM43" s="172">
        <f>'Su K. oro stendu'!C87</f>
        <v>142</v>
      </c>
      <c r="CN43" s="172">
        <f>'Su K. oro stendu'!F87</f>
        <v>14.5</v>
      </c>
      <c r="CO43" s="172">
        <f>'Su K. oro stendu'!K87</f>
        <v>285</v>
      </c>
      <c r="CP43" s="172">
        <f>'Su K. oro stendu'!M87</f>
        <v>8.09</v>
      </c>
      <c r="CQ43" s="172">
        <f>'Su K. oro stendu'!N87</f>
        <v>17.440000000000001</v>
      </c>
      <c r="CR43" s="172">
        <f>'Su K. oro stendu'!G87</f>
        <v>145</v>
      </c>
    </row>
    <row r="44" spans="1:96" x14ac:dyDescent="0.3">
      <c r="A44" s="170" t="str">
        <f>'Su K. oro stendu'!B88</f>
        <v>04.01.2023</v>
      </c>
      <c r="B44" s="172">
        <v>2</v>
      </c>
      <c r="C44" s="172">
        <v>177</v>
      </c>
      <c r="D44" s="172">
        <v>0</v>
      </c>
      <c r="E44" s="172">
        <v>399</v>
      </c>
      <c r="F44" s="172">
        <v>0</v>
      </c>
      <c r="G44" s="172">
        <v>405</v>
      </c>
      <c r="H44" s="172">
        <v>2</v>
      </c>
      <c r="I44" s="172">
        <v>369</v>
      </c>
      <c r="J44" s="172" cm="1">
        <f t="array" ref="J44:Q44">TRANSPOSE('[42]Nu kitimas'!$G$4:$G$11)</f>
        <v>47.235518050161964</v>
      </c>
      <c r="K44" s="172">
        <v>47.655283277738022</v>
      </c>
      <c r="L44" s="172">
        <v>48.916414533858315</v>
      </c>
      <c r="M44" s="172">
        <v>50.761781158766695</v>
      </c>
      <c r="N44" s="172">
        <v>55.144929883596568</v>
      </c>
      <c r="O44" s="172">
        <v>61.418774743695899</v>
      </c>
      <c r="P44" s="172">
        <v>71.617345317593575</v>
      </c>
      <c r="Q44" s="172">
        <v>83.661425856533043</v>
      </c>
      <c r="R44" s="172" cm="1">
        <f t="array" ref="R44:Y44">TRANSPOSE([42]Alfa!$G$18:$G$25)</f>
        <v>91.087412083859292</v>
      </c>
      <c r="S44" s="172">
        <v>89.128028184181744</v>
      </c>
      <c r="T44" s="172">
        <v>89.257070328798605</v>
      </c>
      <c r="U44" s="172">
        <v>91.043120315935184</v>
      </c>
      <c r="V44" s="172">
        <v>96.537065465469709</v>
      </c>
      <c r="W44" s="172">
        <v>105.86240877731237</v>
      </c>
      <c r="X44" s="172">
        <v>120.10170512756486</v>
      </c>
      <c r="Y44" s="172">
        <v>138.34130598373329</v>
      </c>
      <c r="AX44" s="172">
        <f t="shared" si="8"/>
        <v>102.56410256410257</v>
      </c>
      <c r="BF44" s="185">
        <f t="shared" si="3"/>
        <v>98.858974358974365</v>
      </c>
      <c r="CF44" s="171">
        <f>'Su K. oro stendu'!Q88</f>
        <v>0</v>
      </c>
      <c r="CH44" s="172">
        <v>6472.392475102557</v>
      </c>
      <c r="CI44" s="171">
        <f>'Su K. oro stendu'!E88</f>
        <v>3000</v>
      </c>
      <c r="CJ44" s="171">
        <f>'Su K. oro stendu'!I88</f>
        <v>10</v>
      </c>
      <c r="CK44" s="172">
        <v>6.741908713692947E-2</v>
      </c>
      <c r="CL44" s="171">
        <f>'Su K. oro stendu'!J88</f>
        <v>25.28</v>
      </c>
      <c r="CM44" s="172">
        <f>'Su K. oro stendu'!C88</f>
        <v>156</v>
      </c>
      <c r="CN44" s="172">
        <f>'Su K. oro stendu'!F88</f>
        <v>16</v>
      </c>
      <c r="CO44" s="172">
        <f>'Su K. oro stendu'!K88</f>
        <v>303</v>
      </c>
      <c r="CP44" s="172">
        <f>'Su K. oro stendu'!M88</f>
        <v>8.02</v>
      </c>
      <c r="CQ44" s="172">
        <f>'Su K. oro stendu'!N88</f>
        <v>19.510000000000002</v>
      </c>
      <c r="CR44" s="172">
        <f>'Su K. oro stendu'!G88</f>
        <v>205</v>
      </c>
    </row>
    <row r="45" spans="1:96" x14ac:dyDescent="0.3">
      <c r="A45" s="170" t="str">
        <f>'Su K. oro stendu'!B89</f>
        <v>05.01.2023</v>
      </c>
      <c r="B45" s="172">
        <v>0</v>
      </c>
      <c r="C45" s="172">
        <v>443</v>
      </c>
      <c r="D45" s="172">
        <v>0</v>
      </c>
      <c r="E45" s="172">
        <v>581</v>
      </c>
      <c r="F45" s="172">
        <v>0</v>
      </c>
      <c r="G45" s="172">
        <v>616</v>
      </c>
      <c r="H45" s="172">
        <v>0</v>
      </c>
      <c r="I45" s="172">
        <v>591</v>
      </c>
      <c r="J45" s="172" cm="1">
        <f t="array" ref="J45:Q45">TRANSPOSE('[43]Nu kitimas'!$H$4:$H$11)</f>
        <v>70.918310829176463</v>
      </c>
      <c r="K45" s="172">
        <v>71.421359226013621</v>
      </c>
      <c r="L45" s="172">
        <v>74.907522489022739</v>
      </c>
      <c r="M45" s="172">
        <v>79.492055035527443</v>
      </c>
      <c r="N45" s="172">
        <v>86.176886720489534</v>
      </c>
      <c r="O45" s="172">
        <v>95.28973617710389</v>
      </c>
      <c r="P45" s="172">
        <v>107.48889895600524</v>
      </c>
      <c r="Q45" s="172">
        <v>120.64561496970575</v>
      </c>
      <c r="R45" s="172" cm="1">
        <f t="array" ref="R45:Y45">TRANSPOSE([43]Alfa!$G$18:$G$25)</f>
        <v>144.53356258025582</v>
      </c>
      <c r="S45" s="172">
        <v>142.39648191121915</v>
      </c>
      <c r="T45" s="172">
        <v>145.29676834217361</v>
      </c>
      <c r="U45" s="172">
        <v>151.94558717683066</v>
      </c>
      <c r="V45" s="172">
        <v>161.54890281185601</v>
      </c>
      <c r="W45" s="172">
        <v>175.78089605691699</v>
      </c>
      <c r="X45" s="172">
        <v>193.98757863195107</v>
      </c>
      <c r="Y45" s="172">
        <v>214.08288641134149</v>
      </c>
      <c r="AX45" s="172">
        <f t="shared" si="8"/>
        <v>200</v>
      </c>
      <c r="BF45" s="185">
        <f t="shared" si="3"/>
        <v>195.904</v>
      </c>
      <c r="CF45" s="171">
        <f>'Su K. oro stendu'!Q89</f>
        <v>0</v>
      </c>
      <c r="CH45" s="172">
        <v>10618.727869339746</v>
      </c>
      <c r="CI45" s="171">
        <f>'Su K. oro stendu'!E89</f>
        <v>5000</v>
      </c>
      <c r="CJ45" s="171">
        <f>'Su K. oro stendu'!I89</f>
        <v>20</v>
      </c>
      <c r="CK45" s="172">
        <v>0.14709890109890109</v>
      </c>
      <c r="CL45" s="171">
        <f>'Su K. oro stendu'!J89</f>
        <v>17.649999999999999</v>
      </c>
      <c r="CM45" s="172">
        <f>'Su K. oro stendu'!C89</f>
        <v>250</v>
      </c>
      <c r="CN45" s="172">
        <f>'Su K. oro stendu'!F89</f>
        <v>50</v>
      </c>
      <c r="CO45" s="172">
        <f>'Su K. oro stendu'!K89</f>
        <v>495</v>
      </c>
      <c r="CP45" s="172">
        <f>'Su K. oro stendu'!M89</f>
        <v>16.5</v>
      </c>
      <c r="CQ45" s="172">
        <f>'Su K. oro stendu'!N89</f>
        <v>19.3</v>
      </c>
      <c r="CR45" s="172">
        <f>'Su K. oro stendu'!G89</f>
        <v>205</v>
      </c>
    </row>
    <row r="46" spans="1:96" x14ac:dyDescent="0.3">
      <c r="A46" s="170" t="str">
        <f>'Su K. oro stendu'!B90</f>
        <v>05.01.2023</v>
      </c>
      <c r="B46" s="172">
        <v>0</v>
      </c>
      <c r="C46" s="172">
        <v>4</v>
      </c>
      <c r="D46" s="172">
        <v>0</v>
      </c>
      <c r="E46" s="172">
        <v>141</v>
      </c>
      <c r="F46" s="172">
        <v>0</v>
      </c>
      <c r="G46" s="172">
        <v>227</v>
      </c>
      <c r="H46" s="172">
        <v>0</v>
      </c>
      <c r="I46" s="172">
        <v>283</v>
      </c>
      <c r="J46" s="172" cm="1">
        <f t="array" ref="J46:Q46">TRANSPOSE('[44]Nu kitimas'!$M$4:$M$11)</f>
        <v>45.30910415017361</v>
      </c>
      <c r="K46" s="172">
        <v>47.385095837407924</v>
      </c>
      <c r="L46" s="172">
        <v>50.778463581199148</v>
      </c>
      <c r="M46" s="172">
        <v>53.837796080867548</v>
      </c>
      <c r="N46" s="172">
        <v>58.159194259679708</v>
      </c>
      <c r="O46" s="172">
        <v>63.858079306483511</v>
      </c>
      <c r="P46" s="172">
        <v>70.85916172644994</v>
      </c>
      <c r="Q46" s="172">
        <v>78.593984938119391</v>
      </c>
      <c r="R46" s="172" cm="1">
        <f t="array" ref="R46:Y46">TRANSPOSE([44]Alfa!$G$18:$G$25)</f>
        <v>92.445450278099031</v>
      </c>
      <c r="S46" s="172">
        <v>94.604766523727434</v>
      </c>
      <c r="T46" s="172">
        <v>98.803796634975058</v>
      </c>
      <c r="U46" s="172">
        <v>103.61679994733838</v>
      </c>
      <c r="V46" s="172">
        <v>109.6463933628808</v>
      </c>
      <c r="W46" s="172">
        <v>118.56353994215391</v>
      </c>
      <c r="X46" s="172">
        <v>129.03536960768236</v>
      </c>
      <c r="Y46" s="172">
        <v>140.90179259849833</v>
      </c>
      <c r="AX46" s="172">
        <f t="shared" si="8"/>
        <v>200</v>
      </c>
      <c r="BF46" s="185">
        <f t="shared" si="3"/>
        <v>199.42</v>
      </c>
      <c r="CF46" s="171">
        <f>'Su K. oro stendu'!Q90</f>
        <v>0</v>
      </c>
      <c r="CH46" s="172">
        <v>6287.2413847860889</v>
      </c>
      <c r="CI46" s="171">
        <f>'Su K. oro stendu'!E90</f>
        <v>5000</v>
      </c>
      <c r="CJ46" s="171">
        <f>'Su K. oro stendu'!I90</f>
        <v>20</v>
      </c>
      <c r="CK46" s="172">
        <v>4.3186813186813187E-2</v>
      </c>
      <c r="CL46" s="171">
        <f>'Su K. oro stendu'!J90</f>
        <v>5.18</v>
      </c>
      <c r="CM46" s="172">
        <f>'Su K. oro stendu'!C90</f>
        <v>250</v>
      </c>
      <c r="CN46" s="172">
        <f>'Su K. oro stendu'!F90</f>
        <v>50</v>
      </c>
      <c r="CO46" s="172">
        <f>'Su K. oro stendu'!K90</f>
        <v>495</v>
      </c>
      <c r="CP46" s="172">
        <f>'Su K. oro stendu'!M90</f>
        <v>43.92</v>
      </c>
      <c r="CQ46" s="172">
        <f>'Su K. oro stendu'!N90</f>
        <v>10.94</v>
      </c>
      <c r="CR46" s="172">
        <f>'Su K. oro stendu'!G90</f>
        <v>205</v>
      </c>
    </row>
    <row r="47" spans="1:96" x14ac:dyDescent="0.3">
      <c r="A47" s="170" t="str">
        <f>'Su K. oro stendu'!B91</f>
        <v>06.01.2023</v>
      </c>
      <c r="B47" s="172">
        <v>23</v>
      </c>
      <c r="C47" s="172">
        <v>513</v>
      </c>
      <c r="D47" s="172">
        <v>21</v>
      </c>
      <c r="E47" s="172">
        <v>579</v>
      </c>
      <c r="F47" s="172">
        <v>19</v>
      </c>
      <c r="G47" s="172">
        <v>544</v>
      </c>
      <c r="H47" s="172">
        <v>21</v>
      </c>
      <c r="I47" s="172">
        <v>698</v>
      </c>
      <c r="J47" s="172" cm="1">
        <f t="array" ref="J47:Q47">TRANSPOSE('[45]Nu kitimas'!$K$4:$K$11)</f>
        <v>229.81557416372087</v>
      </c>
      <c r="K47" s="172">
        <v>225.02170909399274</v>
      </c>
      <c r="L47" s="172">
        <v>229.25892457915165</v>
      </c>
      <c r="M47" s="172">
        <v>232.85740299892402</v>
      </c>
      <c r="N47" s="172">
        <v>245.9977156911082</v>
      </c>
      <c r="O47" s="172">
        <v>264.82051479685367</v>
      </c>
      <c r="P47" s="172">
        <v>279.56926585531511</v>
      </c>
      <c r="Q47" s="172">
        <v>309.92355126821695</v>
      </c>
      <c r="R47" s="172" cm="1">
        <f t="array" ref="R47:Y47">TRANSPOSE([45]Alfa!$G$18:$G$25)</f>
        <v>397.63636266807777</v>
      </c>
      <c r="S47" s="172">
        <v>360.51632369301825</v>
      </c>
      <c r="T47" s="172">
        <v>343.87223251298354</v>
      </c>
      <c r="U47" s="172">
        <v>337.81263525621904</v>
      </c>
      <c r="V47" s="172">
        <v>347.0268358943859</v>
      </c>
      <c r="W47" s="172">
        <v>370.49744436372674</v>
      </c>
      <c r="X47" s="172">
        <v>393.10244584373311</v>
      </c>
      <c r="Y47" s="172">
        <v>437.6591056607574</v>
      </c>
      <c r="AX47" s="172">
        <f t="shared" si="8"/>
        <v>196.42857142857142</v>
      </c>
      <c r="BF47" s="185">
        <f t="shared" si="3"/>
        <v>190.63265306122449</v>
      </c>
      <c r="CF47" s="171">
        <f>'Su K. oro stendu'!Q91</f>
        <v>0</v>
      </c>
      <c r="CH47" s="172">
        <v>7369.6844425133095</v>
      </c>
      <c r="CI47" s="171">
        <f>'Su K. oro stendu'!E91</f>
        <v>5000</v>
      </c>
      <c r="CJ47" s="171">
        <f>'Su K. oro stendu'!I91</f>
        <v>20</v>
      </c>
      <c r="CK47" s="172">
        <v>0.15942857142857142</v>
      </c>
      <c r="CL47" s="171">
        <f>'Su K. oro stendu'!J91</f>
        <v>24.85</v>
      </c>
      <c r="CM47" s="172">
        <f>'Su K. oro stendu'!C91</f>
        <v>196</v>
      </c>
      <c r="CN47" s="172">
        <f>'Su K. oro stendu'!F91</f>
        <v>38.5</v>
      </c>
      <c r="CO47" s="172">
        <f>'Su K. oro stendu'!K91</f>
        <v>397</v>
      </c>
      <c r="CP47" s="172">
        <f>'Su K. oro stendu'!M91</f>
        <v>13.46</v>
      </c>
      <c r="CQ47" s="172">
        <f>'Su K. oro stendu'!N91</f>
        <v>16.82</v>
      </c>
      <c r="CR47" s="172">
        <f>'Su K. oro stendu'!G91</f>
        <v>85</v>
      </c>
    </row>
    <row r="48" spans="1:96" x14ac:dyDescent="0.3">
      <c r="A48" s="170" t="str">
        <f>'Su K. oro stendu'!B92</f>
        <v>09.01.2023</v>
      </c>
      <c r="B48" s="172">
        <v>9</v>
      </c>
      <c r="C48" s="172">
        <v>651</v>
      </c>
      <c r="D48" s="172">
        <v>19</v>
      </c>
      <c r="E48" s="172">
        <v>712</v>
      </c>
      <c r="F48" s="172">
        <v>13</v>
      </c>
      <c r="G48" s="172">
        <v>663</v>
      </c>
      <c r="H48" s="172">
        <v>13</v>
      </c>
      <c r="I48" s="172">
        <v>608</v>
      </c>
      <c r="J48" s="172" cm="1">
        <f t="array" ref="J48:Q48">TRANSPOSE('[46]Nu kitimas'!$G$4:$G$11)</f>
        <v>147.51652305509293</v>
      </c>
      <c r="K48" s="172">
        <v>147.45197724781005</v>
      </c>
      <c r="L48" s="172">
        <v>154.21385285644183</v>
      </c>
      <c r="M48" s="172">
        <v>162.84007780337743</v>
      </c>
      <c r="N48" s="172">
        <v>174.24637910280288</v>
      </c>
      <c r="O48" s="172">
        <v>222.99371209794782</v>
      </c>
      <c r="P48" s="172">
        <v>231.23610283189981</v>
      </c>
      <c r="Q48" s="172">
        <v>210.68307079424883</v>
      </c>
      <c r="R48" s="172" cm="1">
        <f t="array" ref="R48:Y48">TRANSPOSE([46]Alfa!$G$18:$G$25)</f>
        <v>242.20414137476737</v>
      </c>
      <c r="S48" s="172">
        <v>238.37936641324021</v>
      </c>
      <c r="T48" s="172">
        <v>244.26302772834504</v>
      </c>
      <c r="U48" s="172">
        <v>255.25914344242517</v>
      </c>
      <c r="V48" s="172">
        <v>270.24913710966541</v>
      </c>
      <c r="W48" s="172">
        <v>324.32306691383695</v>
      </c>
      <c r="X48" s="172">
        <v>343.20514108807669</v>
      </c>
      <c r="Y48" s="172">
        <v>315.93855999528819</v>
      </c>
      <c r="AX48" s="172">
        <f t="shared" si="8"/>
        <v>199.05213270142181</v>
      </c>
      <c r="BF48" s="185">
        <f t="shared" si="3"/>
        <v>192.45971563981044</v>
      </c>
      <c r="CF48" s="171">
        <f>'Su K. oro stendu'!Q92</f>
        <v>0</v>
      </c>
      <c r="CH48" s="172">
        <v>8704.6907660965953</v>
      </c>
      <c r="CI48" s="171">
        <f>'Su K. oro stendu'!E92</f>
        <v>5000</v>
      </c>
      <c r="CJ48" s="171">
        <f>'Su K. oro stendu'!I92</f>
        <v>20</v>
      </c>
      <c r="CK48" s="172">
        <v>0.17530434782608695</v>
      </c>
      <c r="CL48" s="171">
        <f>'Su K. oro stendu'!J92</f>
        <v>25.04</v>
      </c>
      <c r="CM48" s="172">
        <f>'Su K. oro stendu'!C92</f>
        <v>211</v>
      </c>
      <c r="CN48" s="172">
        <f>'Su K. oro stendu'!F92</f>
        <v>42</v>
      </c>
      <c r="CO48" s="172">
        <f>'Su K. oro stendu'!K92</f>
        <v>432</v>
      </c>
      <c r="CP48" s="172">
        <f>'Su K. oro stendu'!M92</f>
        <v>11.69</v>
      </c>
      <c r="CQ48" s="172">
        <f>'Su K. oro stendu'!N92</f>
        <v>18.309999999999999</v>
      </c>
      <c r="CR48" s="172">
        <f>'Su K. oro stendu'!G92</f>
        <v>115</v>
      </c>
    </row>
    <row r="49" spans="1:96" x14ac:dyDescent="0.3">
      <c r="A49" s="170" t="str">
        <f>'Su K. oro stendu'!B93</f>
        <v>09.01.2023</v>
      </c>
      <c r="B49" s="172">
        <v>11</v>
      </c>
      <c r="C49" s="172">
        <v>337</v>
      </c>
      <c r="D49" s="172">
        <v>14</v>
      </c>
      <c r="E49" s="172">
        <v>422</v>
      </c>
      <c r="F49" s="172">
        <v>11</v>
      </c>
      <c r="G49" s="172">
        <v>436</v>
      </c>
      <c r="H49" s="172">
        <v>16</v>
      </c>
      <c r="I49" s="172">
        <v>442</v>
      </c>
      <c r="J49" s="172" cm="1">
        <f t="array" ref="J49:Q49">TRANSPOSE('[47]Nu kitimas'!$H$4:$H$11)</f>
        <v>114.4024158343649</v>
      </c>
      <c r="K49" s="172">
        <v>119.56183424622657</v>
      </c>
      <c r="L49" s="172">
        <v>129.18203044876205</v>
      </c>
      <c r="M49" s="172">
        <v>139.48194954976839</v>
      </c>
      <c r="N49" s="172">
        <v>150.93673483843929</v>
      </c>
      <c r="O49" s="172">
        <v>164.48000764798275</v>
      </c>
      <c r="P49" s="172">
        <v>175.62514292354885</v>
      </c>
      <c r="Q49" s="172">
        <v>179.75867191395119</v>
      </c>
      <c r="R49" s="172" cm="1">
        <f t="array" ref="R49:Y49">TRANSPOSE([47]Alfa!$G$18:$G$25)</f>
        <v>187.53782242284274</v>
      </c>
      <c r="S49" s="172">
        <v>194.48725289704336</v>
      </c>
      <c r="T49" s="172">
        <v>207.63452000031035</v>
      </c>
      <c r="U49" s="172">
        <v>223.3560466334504</v>
      </c>
      <c r="V49" s="172">
        <v>239.57281983005586</v>
      </c>
      <c r="W49" s="172">
        <v>259.2137889869955</v>
      </c>
      <c r="X49" s="172">
        <v>274.53643982005036</v>
      </c>
      <c r="Y49" s="172">
        <v>279.42684137400869</v>
      </c>
      <c r="AX49" s="172">
        <f t="shared" si="8"/>
        <v>199.05213270142181</v>
      </c>
      <c r="BF49" s="185">
        <f t="shared" si="3"/>
        <v>195.33649289099526</v>
      </c>
      <c r="CF49" s="171">
        <f>'Su K. oro stendu'!Q93</f>
        <v>0</v>
      </c>
      <c r="CH49" s="172">
        <v>5921.256986108594</v>
      </c>
      <c r="CI49" s="171">
        <f>'Su K. oro stendu'!E93</f>
        <v>5000</v>
      </c>
      <c r="CJ49" s="171">
        <f>'Su K. oro stendu'!I93</f>
        <v>20</v>
      </c>
      <c r="CK49" s="172">
        <v>0.11136263736263735</v>
      </c>
      <c r="CL49" s="171">
        <f>'Su K. oro stendu'!J93</f>
        <v>15.91</v>
      </c>
      <c r="CM49" s="172">
        <f>'Su K. oro stendu'!C93</f>
        <v>211</v>
      </c>
      <c r="CN49" s="172">
        <f>'Su K. oro stendu'!F93</f>
        <v>42</v>
      </c>
      <c r="CO49" s="172">
        <f>'Su K. oro stendu'!K93</f>
        <v>432</v>
      </c>
      <c r="CP49" s="172">
        <f>'Su K. oro stendu'!M93</f>
        <v>35.76</v>
      </c>
      <c r="CQ49" s="172">
        <f>'Su K. oro stendu'!N93</f>
        <v>11.99</v>
      </c>
      <c r="CR49" s="172">
        <f>'Su K. oro stendu'!G93</f>
        <v>115</v>
      </c>
    </row>
    <row r="50" spans="1:96" x14ac:dyDescent="0.3">
      <c r="A50" s="170">
        <f>'Su K. oro stendu'!B94</f>
        <v>0</v>
      </c>
      <c r="AX50" s="172" t="e">
        <f t="shared" si="8"/>
        <v>#DIV/0!</v>
      </c>
      <c r="CF50" s="171">
        <f>'Su K. oro stendu'!Q94</f>
        <v>0</v>
      </c>
      <c r="CJ50" s="171">
        <f>'Su K. oro stendu'!I94</f>
        <v>0</v>
      </c>
      <c r="CL50" s="171">
        <f>'Su K. oro stendu'!J94</f>
        <v>0</v>
      </c>
      <c r="CM50" s="172">
        <f>'Su K. oro stendu'!C94</f>
        <v>0</v>
      </c>
      <c r="CN50" s="172">
        <f>'Su K. oro stendu'!F94</f>
        <v>0</v>
      </c>
      <c r="CO50" s="172">
        <f>'Su K. oro stendu'!K94</f>
        <v>0</v>
      </c>
      <c r="CP50" s="172">
        <f>'Su K. oro stendu'!M94</f>
        <v>0</v>
      </c>
      <c r="CQ50" s="172">
        <f>'Su K. oro stendu'!N94</f>
        <v>0</v>
      </c>
      <c r="CR50" s="172">
        <f>'Su K. oro stendu'!G94</f>
        <v>0</v>
      </c>
    </row>
    <row r="51" spans="1:96" x14ac:dyDescent="0.3">
      <c r="A51" s="170">
        <f>'Su K. oro stendu'!B95</f>
        <v>0</v>
      </c>
      <c r="AX51" s="172" t="e">
        <f t="shared" si="8"/>
        <v>#DIV/0!</v>
      </c>
      <c r="CF51" s="171">
        <f>'Su K. oro stendu'!Q95</f>
        <v>0</v>
      </c>
      <c r="CJ51" s="171">
        <f>'Su K. oro stendu'!I95</f>
        <v>0</v>
      </c>
      <c r="CL51" s="171">
        <f>'Su K. oro stendu'!J95</f>
        <v>0</v>
      </c>
      <c r="CM51" s="172">
        <f>'Su K. oro stendu'!C95</f>
        <v>0</v>
      </c>
      <c r="CN51" s="172">
        <f>'Su K. oro stendu'!F95</f>
        <v>0</v>
      </c>
      <c r="CO51" s="172">
        <f>'Su K. oro stendu'!K95</f>
        <v>0</v>
      </c>
      <c r="CP51" s="172">
        <f>'Su K. oro stendu'!M95</f>
        <v>0</v>
      </c>
      <c r="CR51" s="172">
        <f>'Su K. oro stendu'!G95</f>
        <v>0</v>
      </c>
    </row>
    <row r="52" spans="1:96" x14ac:dyDescent="0.3">
      <c r="A52" s="170">
        <f>'Su K. oro stendu'!B96</f>
        <v>0</v>
      </c>
      <c r="AX52" s="172" t="e">
        <f t="shared" si="8"/>
        <v>#DIV/0!</v>
      </c>
      <c r="CF52" s="171">
        <f>'Su K. oro stendu'!Q96</f>
        <v>0</v>
      </c>
      <c r="CJ52" s="171">
        <f>'Su K. oro stendu'!I96</f>
        <v>0</v>
      </c>
      <c r="CL52" s="171">
        <f>'Su K. oro stendu'!J96</f>
        <v>0</v>
      </c>
      <c r="CM52" s="172">
        <f>'Su K. oro stendu'!C96</f>
        <v>0</v>
      </c>
      <c r="CN52" s="172">
        <f>'Su K. oro stendu'!F96</f>
        <v>0</v>
      </c>
      <c r="CO52" s="172">
        <f>'Su K. oro stendu'!K96</f>
        <v>0</v>
      </c>
      <c r="CP52" s="172">
        <f>'Su K. oro stendu'!M96</f>
        <v>0</v>
      </c>
      <c r="CR52" s="172">
        <f>'Su K. oro stendu'!G96</f>
        <v>0</v>
      </c>
    </row>
    <row r="53" spans="1:96" x14ac:dyDescent="0.3">
      <c r="A53" s="170">
        <f>'Su K. oro stendu'!B97</f>
        <v>0</v>
      </c>
      <c r="AX53" s="172" t="e">
        <f t="shared" si="8"/>
        <v>#DIV/0!</v>
      </c>
      <c r="BX53" s="171"/>
      <c r="CB53" s="171">
        <f>'Su K. oro stendu'!I97</f>
        <v>0</v>
      </c>
      <c r="CD53" s="171">
        <f>'Su K. oro stendu'!J97</f>
        <v>0</v>
      </c>
      <c r="CE53" s="172">
        <f>'Su K. oro stendu'!C97</f>
        <v>0</v>
      </c>
      <c r="CF53" s="172">
        <f>'Su K. oro stendu'!F97</f>
        <v>0</v>
      </c>
      <c r="CG53" s="172">
        <f>'Su K. oro stendu'!K97</f>
        <v>0</v>
      </c>
    </row>
    <row r="54" spans="1:96" x14ac:dyDescent="0.3">
      <c r="A54" s="170">
        <f>'Su K. oro stendu'!B98</f>
        <v>0</v>
      </c>
      <c r="AX54" s="172" t="e">
        <f t="shared" si="8"/>
        <v>#DIV/0!</v>
      </c>
      <c r="BX54" s="171"/>
      <c r="CB54" s="171">
        <f>'Su K. oro stendu'!I98</f>
        <v>0</v>
      </c>
    </row>
    <row r="55" spans="1:96" x14ac:dyDescent="0.3">
      <c r="A55" s="170">
        <f>'Su K. oro stendu'!B99</f>
        <v>0</v>
      </c>
      <c r="AX55" s="172" t="e">
        <f t="shared" si="8"/>
        <v>#DIV/0!</v>
      </c>
      <c r="BX55" s="171"/>
    </row>
    <row r="56" spans="1:96" x14ac:dyDescent="0.3">
      <c r="A56" s="170">
        <f>'Su K. oro stendu'!B100</f>
        <v>0</v>
      </c>
      <c r="AX56" s="172" t="e">
        <f t="shared" si="8"/>
        <v>#DIV/0!</v>
      </c>
      <c r="BX56" s="171"/>
    </row>
    <row r="57" spans="1:96" x14ac:dyDescent="0.3">
      <c r="A57" s="170">
        <f>'Su K. oro stendu'!B101</f>
        <v>0</v>
      </c>
      <c r="AX57" s="172" t="e">
        <f t="shared" si="8"/>
        <v>#DIV/0!</v>
      </c>
    </row>
    <row r="76" spans="18:18" x14ac:dyDescent="0.3">
      <c r="R76" s="171">
        <f>'Su K. oro stendu'!J79</f>
        <v>17.57</v>
      </c>
    </row>
  </sheetData>
  <phoneticPr fontId="14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8"/>
  <sheetViews>
    <sheetView zoomScale="85" zoomScaleNormal="85" workbookViewId="0">
      <pane xSplit="15" ySplit="13" topLeftCell="R39" activePane="bottomRight" state="frozen"/>
      <selection pane="topRight" activeCell="J1" sqref="J1"/>
      <selection pane="bottomLeft" activeCell="A16" sqref="A16"/>
      <selection pane="bottomRight" activeCell="A3" sqref="A3:S7"/>
    </sheetView>
  </sheetViews>
  <sheetFormatPr defaultRowHeight="14.4" x14ac:dyDescent="0.3"/>
  <cols>
    <col min="2" max="3" width="15.33203125" customWidth="1"/>
    <col min="4" max="5" width="14.109375" customWidth="1"/>
    <col min="9" max="11" width="12.88671875" customWidth="1"/>
    <col min="12" max="15" width="19.5546875" customWidth="1"/>
    <col min="16" max="18" width="21.109375" customWidth="1"/>
    <col min="19" max="19" width="52.5546875" customWidth="1"/>
  </cols>
  <sheetData>
    <row r="1" spans="1:19" x14ac:dyDescent="0.3">
      <c r="B1" s="3" t="s">
        <v>8</v>
      </c>
      <c r="C1" s="3"/>
    </row>
    <row r="2" spans="1:19" ht="15" thickBot="1" x14ac:dyDescent="0.35">
      <c r="B2" s="3" t="s">
        <v>9</v>
      </c>
      <c r="C2" s="3"/>
    </row>
    <row r="3" spans="1:19" ht="32.4" thickBot="1" x14ac:dyDescent="0.35">
      <c r="A3" s="1" t="s">
        <v>23</v>
      </c>
      <c r="B3" s="1" t="s">
        <v>0</v>
      </c>
      <c r="C3" s="2" t="s">
        <v>19</v>
      </c>
      <c r="D3" s="2" t="s">
        <v>12</v>
      </c>
      <c r="E3" s="2" t="s">
        <v>40</v>
      </c>
      <c r="F3" s="2" t="s">
        <v>13</v>
      </c>
      <c r="G3" s="2" t="s">
        <v>14</v>
      </c>
      <c r="H3" s="23" t="s">
        <v>38</v>
      </c>
      <c r="I3" s="23" t="s">
        <v>39</v>
      </c>
      <c r="J3" s="23" t="s">
        <v>41</v>
      </c>
      <c r="K3" s="23" t="s">
        <v>42</v>
      </c>
      <c r="L3" s="2" t="s">
        <v>18</v>
      </c>
      <c r="M3" s="2" t="s">
        <v>37</v>
      </c>
      <c r="N3" s="2" t="s">
        <v>17</v>
      </c>
      <c r="O3" s="2" t="s">
        <v>15</v>
      </c>
      <c r="P3" s="2" t="s">
        <v>1</v>
      </c>
      <c r="Q3" s="2" t="s">
        <v>16</v>
      </c>
      <c r="R3" s="2" t="s">
        <v>11</v>
      </c>
      <c r="S3" s="2" t="s">
        <v>2</v>
      </c>
    </row>
    <row r="4" spans="1:19" x14ac:dyDescent="0.3">
      <c r="A4" s="12">
        <v>1</v>
      </c>
      <c r="B4" s="8">
        <v>43927</v>
      </c>
      <c r="C4" s="9">
        <v>20</v>
      </c>
      <c r="D4" s="9">
        <v>350</v>
      </c>
      <c r="E4" s="9">
        <v>350</v>
      </c>
      <c r="F4" s="9">
        <v>141</v>
      </c>
      <c r="G4" s="9">
        <v>5.8</v>
      </c>
      <c r="H4" s="24"/>
      <c r="I4" s="24">
        <v>13</v>
      </c>
      <c r="J4" s="24"/>
      <c r="K4" s="24"/>
      <c r="L4" s="9">
        <v>2.06</v>
      </c>
      <c r="M4" s="9">
        <v>2</v>
      </c>
      <c r="N4" s="9">
        <v>1169</v>
      </c>
      <c r="O4" s="9">
        <v>24.9</v>
      </c>
      <c r="P4" s="9" t="s">
        <v>3</v>
      </c>
      <c r="Q4" s="9">
        <v>0</v>
      </c>
      <c r="R4" s="9" t="s">
        <v>3</v>
      </c>
      <c r="S4" s="9" t="s">
        <v>4</v>
      </c>
    </row>
    <row r="5" spans="1:19" x14ac:dyDescent="0.3">
      <c r="A5" s="12">
        <v>2</v>
      </c>
      <c r="B5" s="6">
        <v>43930</v>
      </c>
      <c r="C5" s="4">
        <v>29</v>
      </c>
      <c r="D5" s="4">
        <v>495</v>
      </c>
      <c r="E5" s="4">
        <v>500</v>
      </c>
      <c r="F5" s="4">
        <v>145</v>
      </c>
      <c r="G5" s="4">
        <v>5.6</v>
      </c>
      <c r="H5" s="25"/>
      <c r="I5" s="25"/>
      <c r="J5" s="25"/>
      <c r="K5" s="25"/>
      <c r="L5" s="4">
        <v>1.83</v>
      </c>
      <c r="M5" s="4">
        <v>2</v>
      </c>
      <c r="N5" s="4">
        <v>1070</v>
      </c>
      <c r="O5" s="4">
        <v>26</v>
      </c>
      <c r="P5" s="4" t="s">
        <v>3</v>
      </c>
      <c r="Q5" s="4">
        <v>0</v>
      </c>
      <c r="R5" s="4" t="s">
        <v>3</v>
      </c>
      <c r="S5" s="4" t="s">
        <v>4</v>
      </c>
    </row>
    <row r="6" spans="1:19" x14ac:dyDescent="0.3">
      <c r="A6" s="12">
        <v>3</v>
      </c>
      <c r="B6" s="6">
        <v>43936</v>
      </c>
      <c r="C6" s="4">
        <v>41</v>
      </c>
      <c r="D6" s="4">
        <v>710</v>
      </c>
      <c r="E6" s="4">
        <v>700</v>
      </c>
      <c r="F6" s="4">
        <v>147</v>
      </c>
      <c r="G6" s="4">
        <v>5.5</v>
      </c>
      <c r="H6" s="25"/>
      <c r="I6" s="25"/>
      <c r="J6" s="25"/>
      <c r="K6" s="25"/>
      <c r="L6" s="4">
        <v>2.04</v>
      </c>
      <c r="M6" s="4">
        <v>2</v>
      </c>
      <c r="N6" s="4">
        <v>1167</v>
      </c>
      <c r="O6" s="4">
        <v>25</v>
      </c>
      <c r="P6" s="4" t="s">
        <v>3</v>
      </c>
      <c r="Q6" s="4">
        <v>0</v>
      </c>
      <c r="R6" s="4" t="s">
        <v>3</v>
      </c>
      <c r="S6" s="4" t="s">
        <v>4</v>
      </c>
    </row>
    <row r="7" spans="1:19" x14ac:dyDescent="0.3">
      <c r="A7" s="12">
        <v>4</v>
      </c>
      <c r="B7" s="6">
        <v>43941</v>
      </c>
      <c r="C7" s="4">
        <v>57</v>
      </c>
      <c r="D7" s="4">
        <v>980</v>
      </c>
      <c r="E7" s="4">
        <v>1000</v>
      </c>
      <c r="F7" s="4">
        <v>151</v>
      </c>
      <c r="G7" s="4">
        <v>5.5</v>
      </c>
      <c r="H7" s="25"/>
      <c r="I7" s="25"/>
      <c r="J7" s="25"/>
      <c r="K7" s="25"/>
      <c r="L7" s="4">
        <v>1.97</v>
      </c>
      <c r="M7" s="4">
        <v>2</v>
      </c>
      <c r="N7" s="4">
        <v>1121</v>
      </c>
      <c r="O7" s="4">
        <v>26</v>
      </c>
      <c r="P7" s="4" t="s">
        <v>3</v>
      </c>
      <c r="Q7" s="4">
        <v>0</v>
      </c>
      <c r="R7" s="4" t="s">
        <v>3</v>
      </c>
      <c r="S7" s="4" t="s">
        <v>4</v>
      </c>
    </row>
    <row r="8" spans="1:19" ht="28.8" x14ac:dyDescent="0.3">
      <c r="A8" s="10">
        <v>5</v>
      </c>
      <c r="B8" s="6">
        <v>44014</v>
      </c>
      <c r="C8" s="4">
        <v>58</v>
      </c>
      <c r="D8" s="4">
        <v>990</v>
      </c>
      <c r="E8" s="4">
        <v>990</v>
      </c>
      <c r="F8" s="4">
        <v>150</v>
      </c>
      <c r="G8" s="4">
        <v>6.2</v>
      </c>
      <c r="H8" s="25"/>
      <c r="I8" s="25"/>
      <c r="J8" s="25"/>
      <c r="K8" s="25"/>
      <c r="L8" s="4">
        <v>2.14</v>
      </c>
      <c r="M8" s="4">
        <v>2</v>
      </c>
      <c r="N8" s="4">
        <v>1442</v>
      </c>
      <c r="O8" s="4">
        <v>35</v>
      </c>
      <c r="P8" s="4" t="s">
        <v>3</v>
      </c>
      <c r="Q8" s="4">
        <v>0</v>
      </c>
      <c r="R8" s="4" t="s">
        <v>3</v>
      </c>
      <c r="S8" s="5" t="s">
        <v>10</v>
      </c>
    </row>
    <row r="9" spans="1:19" ht="30" customHeight="1" x14ac:dyDescent="0.3">
      <c r="A9" s="19">
        <v>6</v>
      </c>
      <c r="B9" s="6">
        <v>44015</v>
      </c>
      <c r="C9" s="4">
        <v>54</v>
      </c>
      <c r="D9" s="4">
        <v>915</v>
      </c>
      <c r="E9" s="4">
        <v>900</v>
      </c>
      <c r="F9" s="4">
        <v>123</v>
      </c>
      <c r="G9" s="4">
        <v>7.2</v>
      </c>
      <c r="H9" s="25"/>
      <c r="I9" s="25">
        <v>9</v>
      </c>
      <c r="J9" s="25"/>
      <c r="K9" s="25"/>
      <c r="L9" s="4">
        <v>2.1800000000000002</v>
      </c>
      <c r="M9" s="4">
        <v>2</v>
      </c>
      <c r="N9" s="4">
        <v>1520</v>
      </c>
      <c r="O9" s="4">
        <v>34</v>
      </c>
      <c r="P9" s="4" t="s">
        <v>3</v>
      </c>
      <c r="Q9" s="4">
        <v>0</v>
      </c>
      <c r="R9" s="4" t="s">
        <v>7</v>
      </c>
      <c r="S9" s="18"/>
    </row>
    <row r="10" spans="1:19" s="69" customFormat="1" x14ac:dyDescent="0.3">
      <c r="A10" s="65">
        <v>7</v>
      </c>
      <c r="B10" s="66">
        <v>44021</v>
      </c>
      <c r="C10" s="67">
        <v>56</v>
      </c>
      <c r="D10" s="67">
        <v>960</v>
      </c>
      <c r="E10" s="67">
        <v>960</v>
      </c>
      <c r="F10" s="67">
        <v>151</v>
      </c>
      <c r="G10" s="67">
        <v>5.0999999999999996</v>
      </c>
      <c r="H10" s="67"/>
      <c r="I10" s="67"/>
      <c r="J10" s="67"/>
      <c r="K10" s="67"/>
      <c r="L10" s="67">
        <v>1.94</v>
      </c>
      <c r="M10" s="67">
        <v>2</v>
      </c>
      <c r="N10" s="67">
        <v>1284</v>
      </c>
      <c r="O10" s="67">
        <v>32</v>
      </c>
      <c r="P10" s="67" t="s">
        <v>3</v>
      </c>
      <c r="Q10" s="67">
        <v>0</v>
      </c>
      <c r="R10" s="67" t="s">
        <v>3</v>
      </c>
      <c r="S10" s="68" t="s">
        <v>5</v>
      </c>
    </row>
    <row r="11" spans="1:19" s="62" customFormat="1" ht="14.25" customHeight="1" x14ac:dyDescent="0.3">
      <c r="A11" s="58">
        <v>8</v>
      </c>
      <c r="B11" s="59">
        <v>44022</v>
      </c>
      <c r="C11" s="60">
        <v>54</v>
      </c>
      <c r="D11" s="60">
        <v>930</v>
      </c>
      <c r="E11" s="60">
        <v>930</v>
      </c>
      <c r="F11" s="60">
        <v>124</v>
      </c>
      <c r="G11" s="60">
        <v>7.2</v>
      </c>
      <c r="H11" s="60"/>
      <c r="I11" s="60"/>
      <c r="J11" s="60"/>
      <c r="K11" s="60"/>
      <c r="L11" s="60">
        <v>1.98</v>
      </c>
      <c r="M11" s="60">
        <v>2</v>
      </c>
      <c r="N11" s="60">
        <v>1320</v>
      </c>
      <c r="O11" s="60">
        <v>32</v>
      </c>
      <c r="P11" s="60" t="s">
        <v>3</v>
      </c>
      <c r="Q11" s="60">
        <v>0</v>
      </c>
      <c r="R11" s="60" t="s">
        <v>7</v>
      </c>
      <c r="S11" s="61" t="s">
        <v>6</v>
      </c>
    </row>
    <row r="12" spans="1:19" ht="30" customHeight="1" x14ac:dyDescent="0.3">
      <c r="A12" s="19">
        <v>9</v>
      </c>
      <c r="B12" s="6">
        <v>44026</v>
      </c>
      <c r="C12" s="4">
        <v>54</v>
      </c>
      <c r="D12" s="4">
        <v>937</v>
      </c>
      <c r="E12" s="4">
        <v>930</v>
      </c>
      <c r="F12" s="4">
        <v>114</v>
      </c>
      <c r="G12" s="4">
        <v>11.2</v>
      </c>
      <c r="H12" s="25"/>
      <c r="I12" s="25"/>
      <c r="J12" s="25"/>
      <c r="K12" s="25"/>
      <c r="L12" s="4">
        <v>1.96</v>
      </c>
      <c r="M12" s="4">
        <v>2</v>
      </c>
      <c r="N12" s="4">
        <v>1293</v>
      </c>
      <c r="O12" s="4">
        <v>32</v>
      </c>
      <c r="P12" s="4" t="s">
        <v>7</v>
      </c>
      <c r="Q12" s="4">
        <v>5</v>
      </c>
      <c r="R12" s="4" t="s">
        <v>7</v>
      </c>
      <c r="S12" s="18"/>
    </row>
    <row r="13" spans="1:19" ht="30" customHeight="1" x14ac:dyDescent="0.3">
      <c r="A13" s="19">
        <v>10</v>
      </c>
      <c r="B13" s="6">
        <v>44026</v>
      </c>
      <c r="C13" s="4">
        <v>55</v>
      </c>
      <c r="D13" s="4">
        <v>938</v>
      </c>
      <c r="E13" s="4">
        <v>930</v>
      </c>
      <c r="F13" s="4">
        <v>114</v>
      </c>
      <c r="G13" s="4">
        <v>11.9</v>
      </c>
      <c r="H13" s="25"/>
      <c r="I13" s="25"/>
      <c r="J13" s="25"/>
      <c r="K13" s="25"/>
      <c r="L13" s="4">
        <v>3</v>
      </c>
      <c r="M13" s="4">
        <v>3</v>
      </c>
      <c r="N13" s="4">
        <v>2023</v>
      </c>
      <c r="O13" s="4">
        <v>32</v>
      </c>
      <c r="P13" s="4" t="s">
        <v>7</v>
      </c>
      <c r="Q13" s="4">
        <v>5</v>
      </c>
      <c r="R13" s="4" t="s">
        <v>7</v>
      </c>
      <c r="S13" s="18"/>
    </row>
    <row r="14" spans="1:19" x14ac:dyDescent="0.3">
      <c r="A14" s="10">
        <v>11</v>
      </c>
      <c r="B14" s="7">
        <v>44028</v>
      </c>
      <c r="C14" s="10">
        <v>55</v>
      </c>
      <c r="D14" s="10">
        <v>938</v>
      </c>
      <c r="E14" s="10">
        <v>930</v>
      </c>
      <c r="F14" s="10">
        <v>112.2</v>
      </c>
      <c r="G14" s="10">
        <v>13</v>
      </c>
      <c r="H14" s="26"/>
      <c r="I14" s="26"/>
      <c r="J14" s="26"/>
      <c r="K14" s="26"/>
      <c r="L14" s="10">
        <v>2.5299999999999998</v>
      </c>
      <c r="M14" s="10">
        <v>2.5</v>
      </c>
      <c r="N14" s="11">
        <v>1772</v>
      </c>
      <c r="O14" s="10">
        <v>35</v>
      </c>
      <c r="P14" s="10" t="s">
        <v>7</v>
      </c>
      <c r="Q14" s="10">
        <v>5</v>
      </c>
      <c r="R14" s="10" t="s">
        <v>7</v>
      </c>
      <c r="S14" s="5" t="s">
        <v>20</v>
      </c>
    </row>
    <row r="15" spans="1:19" s="62" customFormat="1" x14ac:dyDescent="0.3">
      <c r="A15" s="58">
        <v>12</v>
      </c>
      <c r="B15" s="63">
        <v>44029</v>
      </c>
      <c r="C15" s="58">
        <v>18.600000000000001</v>
      </c>
      <c r="D15" s="58">
        <v>316</v>
      </c>
      <c r="E15" s="58">
        <v>300</v>
      </c>
      <c r="F15" s="58">
        <v>116.8</v>
      </c>
      <c r="G15" s="58">
        <v>7.8</v>
      </c>
      <c r="H15" s="58"/>
      <c r="I15" s="58"/>
      <c r="J15" s="58"/>
      <c r="K15" s="58"/>
      <c r="L15" s="58">
        <v>1.91</v>
      </c>
      <c r="M15" s="58">
        <v>2</v>
      </c>
      <c r="N15" s="64">
        <v>1361</v>
      </c>
      <c r="O15" s="58">
        <v>35.6</v>
      </c>
      <c r="P15" s="58" t="s">
        <v>3</v>
      </c>
      <c r="Q15" s="58">
        <v>0</v>
      </c>
      <c r="R15" s="58" t="s">
        <v>7</v>
      </c>
      <c r="S15" s="61"/>
    </row>
    <row r="16" spans="1:19" s="62" customFormat="1" x14ac:dyDescent="0.3">
      <c r="A16" s="58">
        <v>13</v>
      </c>
      <c r="B16" s="63">
        <v>44032</v>
      </c>
      <c r="C16" s="58">
        <v>53.4</v>
      </c>
      <c r="D16" s="58">
        <v>909</v>
      </c>
      <c r="E16" s="58">
        <v>900</v>
      </c>
      <c r="F16" s="58">
        <v>108.9</v>
      </c>
      <c r="G16" s="58">
        <v>16.899999999999999</v>
      </c>
      <c r="H16" s="58"/>
      <c r="I16" s="58"/>
      <c r="J16" s="58"/>
      <c r="K16" s="58"/>
      <c r="L16" s="58">
        <v>2.0299999999999998</v>
      </c>
      <c r="M16" s="58">
        <v>2</v>
      </c>
      <c r="N16" s="64">
        <v>1435</v>
      </c>
      <c r="O16" s="58">
        <v>35.1</v>
      </c>
      <c r="P16" s="58" t="s">
        <v>7</v>
      </c>
      <c r="Q16" s="58">
        <v>8</v>
      </c>
      <c r="R16" s="58" t="s">
        <v>7</v>
      </c>
      <c r="S16" s="61"/>
    </row>
    <row r="17" spans="1:19" s="62" customFormat="1" x14ac:dyDescent="0.3">
      <c r="A17" s="58">
        <v>14</v>
      </c>
      <c r="B17" s="63">
        <v>44033</v>
      </c>
      <c r="C17" s="58">
        <v>18.399999999999999</v>
      </c>
      <c r="D17" s="58">
        <v>314</v>
      </c>
      <c r="E17" s="58">
        <v>300</v>
      </c>
      <c r="F17" s="58">
        <v>102.6</v>
      </c>
      <c r="G17" s="58">
        <v>16.5</v>
      </c>
      <c r="H17" s="58"/>
      <c r="I17" s="58"/>
      <c r="J17" s="58"/>
      <c r="K17" s="58"/>
      <c r="L17" s="58">
        <v>2.02</v>
      </c>
      <c r="M17" s="58">
        <v>2</v>
      </c>
      <c r="N17" s="64">
        <v>1387.2</v>
      </c>
      <c r="O17" s="58">
        <v>33.799999999999997</v>
      </c>
      <c r="P17" s="58" t="s">
        <v>7</v>
      </c>
      <c r="Q17" s="58">
        <v>5</v>
      </c>
      <c r="R17" s="58" t="s">
        <v>7</v>
      </c>
      <c r="S17" s="61"/>
    </row>
    <row r="18" spans="1:19" x14ac:dyDescent="0.3">
      <c r="A18" s="10">
        <v>15</v>
      </c>
      <c r="B18" s="7">
        <v>44035</v>
      </c>
      <c r="C18" s="10">
        <v>55.3</v>
      </c>
      <c r="D18" s="10">
        <v>942</v>
      </c>
      <c r="E18" s="10">
        <v>900</v>
      </c>
      <c r="F18" s="10">
        <v>107.8</v>
      </c>
      <c r="G18" s="10">
        <v>19.100000000000001</v>
      </c>
      <c r="H18" s="26"/>
      <c r="I18" s="26"/>
      <c r="J18" s="26"/>
      <c r="K18" s="26"/>
      <c r="L18" s="10">
        <v>2</v>
      </c>
      <c r="M18" s="10">
        <v>2</v>
      </c>
      <c r="N18" s="11">
        <v>1337</v>
      </c>
      <c r="O18" s="10">
        <v>32.4</v>
      </c>
      <c r="P18" s="10" t="s">
        <v>7</v>
      </c>
      <c r="Q18" s="10" t="s">
        <v>21</v>
      </c>
      <c r="R18" s="10" t="s">
        <v>7</v>
      </c>
      <c r="S18" s="5"/>
    </row>
    <row r="19" spans="1:19" x14ac:dyDescent="0.3">
      <c r="A19" s="10">
        <v>16</v>
      </c>
      <c r="B19" s="7">
        <v>44039</v>
      </c>
      <c r="C19" s="10">
        <v>18.7</v>
      </c>
      <c r="D19" s="10">
        <v>319</v>
      </c>
      <c r="E19" s="10">
        <v>300</v>
      </c>
      <c r="F19" s="10">
        <v>114.5</v>
      </c>
      <c r="G19" s="10">
        <v>8.1999999999999993</v>
      </c>
      <c r="H19" s="26"/>
      <c r="I19" s="26">
        <v>9.1</v>
      </c>
      <c r="J19" s="26"/>
      <c r="K19" s="26"/>
      <c r="L19" s="10">
        <v>1.06</v>
      </c>
      <c r="M19" s="10">
        <v>1</v>
      </c>
      <c r="N19" s="11">
        <v>746</v>
      </c>
      <c r="O19" s="10">
        <v>34.979999999999997</v>
      </c>
      <c r="P19" s="10" t="s">
        <v>3</v>
      </c>
      <c r="Q19" s="10">
        <v>0</v>
      </c>
      <c r="R19" s="10" t="s">
        <v>7</v>
      </c>
      <c r="S19" s="5"/>
    </row>
    <row r="20" spans="1:19" x14ac:dyDescent="0.3">
      <c r="A20" s="10">
        <v>17</v>
      </c>
      <c r="B20" s="7">
        <v>44040</v>
      </c>
      <c r="C20" s="10">
        <v>18.5</v>
      </c>
      <c r="D20" s="10">
        <v>314</v>
      </c>
      <c r="E20" s="10">
        <v>300</v>
      </c>
      <c r="F20" s="10">
        <v>104.5</v>
      </c>
      <c r="G20" s="10">
        <v>16.399999999999999</v>
      </c>
      <c r="H20" s="26"/>
      <c r="I20" s="26"/>
      <c r="J20" s="26"/>
      <c r="K20" s="26"/>
      <c r="L20" s="10">
        <v>1.99</v>
      </c>
      <c r="M20" s="10">
        <v>2</v>
      </c>
      <c r="N20" s="11">
        <v>1375</v>
      </c>
      <c r="O20" s="10">
        <v>34.1</v>
      </c>
      <c r="P20" s="10" t="s">
        <v>7</v>
      </c>
      <c r="Q20" s="10">
        <v>8</v>
      </c>
      <c r="R20" s="10" t="s">
        <v>7</v>
      </c>
      <c r="S20" s="5"/>
    </row>
    <row r="21" spans="1:19" x14ac:dyDescent="0.3">
      <c r="A21" s="10">
        <v>18</v>
      </c>
      <c r="B21" s="7">
        <v>44042</v>
      </c>
      <c r="C21" s="10">
        <v>18.8</v>
      </c>
      <c r="D21" s="10">
        <v>320</v>
      </c>
      <c r="E21" s="10">
        <v>300</v>
      </c>
      <c r="F21" s="10">
        <v>104.8</v>
      </c>
      <c r="G21" s="10">
        <v>16.399999999999999</v>
      </c>
      <c r="H21" s="26"/>
      <c r="I21" s="26"/>
      <c r="J21" s="26"/>
      <c r="K21" s="26"/>
      <c r="L21" s="10">
        <v>3</v>
      </c>
      <c r="M21" s="10">
        <v>3</v>
      </c>
      <c r="N21" s="11">
        <v>1993</v>
      </c>
      <c r="O21" s="10">
        <v>32.1</v>
      </c>
      <c r="P21" s="10" t="s">
        <v>7</v>
      </c>
      <c r="Q21" s="10">
        <v>8</v>
      </c>
      <c r="R21" s="10" t="s">
        <v>7</v>
      </c>
      <c r="S21" s="5"/>
    </row>
    <row r="22" spans="1:19" x14ac:dyDescent="0.3">
      <c r="A22" s="10">
        <v>19</v>
      </c>
      <c r="B22" s="7">
        <v>44043</v>
      </c>
      <c r="C22" s="10">
        <v>18.43</v>
      </c>
      <c r="D22" s="10">
        <v>314</v>
      </c>
      <c r="E22" s="10">
        <v>300</v>
      </c>
      <c r="F22" s="10">
        <v>118.8</v>
      </c>
      <c r="G22" s="10">
        <v>7.6</v>
      </c>
      <c r="H22" s="26"/>
      <c r="I22" s="26">
        <v>9</v>
      </c>
      <c r="J22" s="26"/>
      <c r="K22" s="26"/>
      <c r="L22" s="10">
        <v>3.04</v>
      </c>
      <c r="M22" s="10">
        <v>3</v>
      </c>
      <c r="N22" s="11">
        <v>2081</v>
      </c>
      <c r="O22" s="10">
        <v>33.6</v>
      </c>
      <c r="P22" s="10" t="s">
        <v>3</v>
      </c>
      <c r="Q22" s="10">
        <v>0</v>
      </c>
      <c r="R22" s="10" t="s">
        <v>7</v>
      </c>
      <c r="S22" s="5"/>
    </row>
    <row r="23" spans="1:19" x14ac:dyDescent="0.3">
      <c r="A23" s="10">
        <v>20</v>
      </c>
      <c r="B23" s="7">
        <v>44046</v>
      </c>
      <c r="C23" s="10">
        <v>54.23</v>
      </c>
      <c r="D23" s="10">
        <v>924</v>
      </c>
      <c r="E23" s="10">
        <v>900</v>
      </c>
      <c r="F23" s="10">
        <v>124.6</v>
      </c>
      <c r="G23" s="10">
        <v>7.8</v>
      </c>
      <c r="H23" s="26"/>
      <c r="I23" s="26"/>
      <c r="J23" s="26"/>
      <c r="K23" s="26"/>
      <c r="L23" s="10">
        <v>0.95</v>
      </c>
      <c r="M23" s="10">
        <v>1</v>
      </c>
      <c r="N23" s="11">
        <v>688</v>
      </c>
      <c r="O23" s="10">
        <v>36.5</v>
      </c>
      <c r="P23" s="10" t="s">
        <v>3</v>
      </c>
      <c r="Q23" s="10">
        <v>0</v>
      </c>
      <c r="R23" s="10" t="s">
        <v>7</v>
      </c>
      <c r="S23" s="13"/>
    </row>
    <row r="24" spans="1:19" x14ac:dyDescent="0.3">
      <c r="A24" s="10">
        <v>21</v>
      </c>
      <c r="B24" s="7">
        <v>44047</v>
      </c>
      <c r="C24" s="10">
        <v>18.22</v>
      </c>
      <c r="D24" s="10">
        <v>310</v>
      </c>
      <c r="E24" s="10">
        <v>300</v>
      </c>
      <c r="F24" s="10">
        <v>109.8</v>
      </c>
      <c r="G24" s="10">
        <v>13.1</v>
      </c>
      <c r="H24" s="26"/>
      <c r="I24" s="26"/>
      <c r="J24" s="26"/>
      <c r="K24" s="26"/>
      <c r="L24" s="10">
        <v>2.83</v>
      </c>
      <c r="M24" s="10">
        <v>3</v>
      </c>
      <c r="N24" s="11">
        <v>1990</v>
      </c>
      <c r="O24" s="10">
        <v>34.96</v>
      </c>
      <c r="P24" s="10" t="s">
        <v>7</v>
      </c>
      <c r="Q24" s="10">
        <v>5</v>
      </c>
      <c r="R24" s="10" t="s">
        <v>22</v>
      </c>
      <c r="S24" s="5"/>
    </row>
    <row r="25" spans="1:19" x14ac:dyDescent="0.3">
      <c r="A25" s="10">
        <v>22</v>
      </c>
      <c r="B25" s="7">
        <v>44049</v>
      </c>
      <c r="C25" s="10">
        <v>53.78</v>
      </c>
      <c r="D25" s="10">
        <v>916</v>
      </c>
      <c r="E25" s="10">
        <v>900</v>
      </c>
      <c r="F25" s="10">
        <v>118.1</v>
      </c>
      <c r="G25" s="10">
        <v>11.1</v>
      </c>
      <c r="H25" s="26"/>
      <c r="I25" s="26"/>
      <c r="J25" s="26"/>
      <c r="K25" s="26"/>
      <c r="L25" s="10">
        <v>2.97</v>
      </c>
      <c r="M25" s="10">
        <v>3</v>
      </c>
      <c r="N25" s="11">
        <v>2111</v>
      </c>
      <c r="O25" s="10">
        <v>35.5</v>
      </c>
      <c r="P25" s="10" t="s">
        <v>7</v>
      </c>
      <c r="Q25" s="10">
        <v>5</v>
      </c>
      <c r="R25" s="10" t="s">
        <v>22</v>
      </c>
      <c r="S25" s="5"/>
    </row>
    <row r="26" spans="1:19" x14ac:dyDescent="0.3">
      <c r="A26" s="10">
        <v>23</v>
      </c>
      <c r="B26" s="7">
        <v>44061</v>
      </c>
      <c r="C26" s="14">
        <v>54.9</v>
      </c>
      <c r="D26" s="10">
        <v>936</v>
      </c>
      <c r="E26" s="10">
        <v>900</v>
      </c>
      <c r="F26" s="10">
        <v>125</v>
      </c>
      <c r="G26" s="10">
        <v>7.8</v>
      </c>
      <c r="H26" s="26"/>
      <c r="I26" s="26"/>
      <c r="J26" s="26"/>
      <c r="K26" s="26"/>
      <c r="L26" s="10">
        <v>2.94</v>
      </c>
      <c r="M26" s="10">
        <v>3</v>
      </c>
      <c r="N26" s="10">
        <v>2143</v>
      </c>
      <c r="O26" s="10">
        <v>36.799999999999997</v>
      </c>
      <c r="P26" s="10" t="s">
        <v>3</v>
      </c>
      <c r="Q26" s="10">
        <v>0</v>
      </c>
      <c r="R26" s="10" t="s">
        <v>7</v>
      </c>
      <c r="S26" s="10"/>
    </row>
    <row r="27" spans="1:19" ht="14.25" customHeight="1" x14ac:dyDescent="0.3">
      <c r="A27" s="12" t="s">
        <v>24</v>
      </c>
      <c r="B27" s="15">
        <v>44063</v>
      </c>
      <c r="C27" s="12">
        <v>54.4</v>
      </c>
      <c r="D27" s="12">
        <v>930</v>
      </c>
      <c r="E27" s="12">
        <v>900</v>
      </c>
      <c r="F27" s="12">
        <v>112.5</v>
      </c>
      <c r="G27" s="12">
        <v>16.7</v>
      </c>
      <c r="H27" s="27"/>
      <c r="I27" s="27"/>
      <c r="J27" s="27"/>
      <c r="K27" s="27"/>
      <c r="L27" s="12">
        <v>2.94</v>
      </c>
      <c r="M27" s="12">
        <v>3</v>
      </c>
      <c r="N27" s="12">
        <v>2138</v>
      </c>
      <c r="O27" s="12">
        <v>35.1</v>
      </c>
      <c r="P27" s="10" t="s">
        <v>7</v>
      </c>
      <c r="Q27" s="12">
        <v>8</v>
      </c>
      <c r="R27" s="10" t="s">
        <v>7</v>
      </c>
      <c r="S27" s="12"/>
    </row>
    <row r="28" spans="1:19" ht="18.75" customHeight="1" x14ac:dyDescent="0.3">
      <c r="A28" s="17" t="s">
        <v>26</v>
      </c>
      <c r="B28" s="56">
        <v>44067</v>
      </c>
      <c r="C28" s="17">
        <v>52.5</v>
      </c>
      <c r="D28" s="17">
        <v>900</v>
      </c>
      <c r="E28" s="17">
        <v>900</v>
      </c>
      <c r="F28" s="57">
        <v>123</v>
      </c>
      <c r="G28" s="17">
        <v>8</v>
      </c>
      <c r="H28" s="26">
        <v>8</v>
      </c>
      <c r="I28" s="26">
        <v>11</v>
      </c>
      <c r="J28" s="26">
        <v>18.8</v>
      </c>
      <c r="K28" s="26">
        <v>1.5800000000000002E-2</v>
      </c>
      <c r="L28" s="17">
        <v>2.1</v>
      </c>
      <c r="M28" s="17">
        <v>2</v>
      </c>
      <c r="N28" s="17">
        <v>1085</v>
      </c>
      <c r="O28" s="17">
        <v>21</v>
      </c>
      <c r="P28" s="17" t="s">
        <v>3</v>
      </c>
      <c r="Q28" s="17">
        <v>0</v>
      </c>
      <c r="R28" s="17" t="s">
        <v>7</v>
      </c>
      <c r="S28" s="20" t="s">
        <v>25</v>
      </c>
    </row>
    <row r="29" spans="1:19" ht="18.75" customHeight="1" x14ac:dyDescent="0.3">
      <c r="A29" s="17" t="s">
        <v>27</v>
      </c>
      <c r="B29" s="56">
        <v>44068</v>
      </c>
      <c r="C29" s="17">
        <v>19</v>
      </c>
      <c r="D29" s="17">
        <v>324</v>
      </c>
      <c r="E29" s="17">
        <v>300</v>
      </c>
      <c r="F29" s="57">
        <v>117</v>
      </c>
      <c r="G29" s="17">
        <v>8.4</v>
      </c>
      <c r="H29" s="26">
        <v>8</v>
      </c>
      <c r="I29" s="26">
        <v>9.4</v>
      </c>
      <c r="J29" s="26">
        <v>36.6</v>
      </c>
      <c r="K29" s="26">
        <v>9.5999999999999992E-3</v>
      </c>
      <c r="L29" s="17">
        <v>1.87</v>
      </c>
      <c r="M29" s="17">
        <v>2</v>
      </c>
      <c r="N29" s="17">
        <v>988</v>
      </c>
      <c r="O29" s="17">
        <v>21</v>
      </c>
      <c r="P29" s="17" t="s">
        <v>3</v>
      </c>
      <c r="Q29" s="17">
        <v>0</v>
      </c>
      <c r="R29" s="17" t="s">
        <v>7</v>
      </c>
      <c r="S29" s="20" t="s">
        <v>25</v>
      </c>
    </row>
    <row r="30" spans="1:19" ht="18.75" customHeight="1" x14ac:dyDescent="0.3">
      <c r="A30" s="17" t="s">
        <v>28</v>
      </c>
      <c r="B30" s="56">
        <v>44070</v>
      </c>
      <c r="C30" s="17">
        <v>54.6</v>
      </c>
      <c r="D30" s="17">
        <v>930</v>
      </c>
      <c r="E30" s="17">
        <v>900</v>
      </c>
      <c r="F30" s="57">
        <v>111.8</v>
      </c>
      <c r="G30" s="17">
        <v>14.2</v>
      </c>
      <c r="H30" s="26">
        <v>14</v>
      </c>
      <c r="I30" s="26">
        <v>14.1</v>
      </c>
      <c r="J30" s="26">
        <v>34.869999999999997</v>
      </c>
      <c r="K30" s="26">
        <v>3.8600000000000002E-2</v>
      </c>
      <c r="L30" s="17">
        <v>1.9</v>
      </c>
      <c r="M30" s="17">
        <v>2</v>
      </c>
      <c r="N30" s="17">
        <v>960</v>
      </c>
      <c r="O30" s="17">
        <v>20</v>
      </c>
      <c r="P30" s="17" t="s">
        <v>7</v>
      </c>
      <c r="Q30" s="17">
        <v>5</v>
      </c>
      <c r="R30" s="17" t="s">
        <v>22</v>
      </c>
      <c r="S30" s="20" t="s">
        <v>25</v>
      </c>
    </row>
    <row r="31" spans="1:19" ht="18.75" customHeight="1" x14ac:dyDescent="0.3">
      <c r="A31" s="17" t="s">
        <v>29</v>
      </c>
      <c r="B31" s="56">
        <v>44071</v>
      </c>
      <c r="C31" s="17">
        <v>19.23</v>
      </c>
      <c r="D31" s="17">
        <v>330</v>
      </c>
      <c r="E31" s="17">
        <v>300</v>
      </c>
      <c r="F31" s="57">
        <v>106.1</v>
      </c>
      <c r="G31" s="17">
        <v>14.7</v>
      </c>
      <c r="H31" s="26">
        <v>14</v>
      </c>
      <c r="I31" s="26">
        <v>12</v>
      </c>
      <c r="J31" s="26">
        <v>57</v>
      </c>
      <c r="K31" s="26">
        <v>1.9E-2</v>
      </c>
      <c r="L31" s="17">
        <v>1.9</v>
      </c>
      <c r="M31" s="17">
        <v>2</v>
      </c>
      <c r="N31" s="17">
        <v>965</v>
      </c>
      <c r="O31" s="17">
        <v>20</v>
      </c>
      <c r="P31" s="17" t="s">
        <v>7</v>
      </c>
      <c r="Q31" s="17">
        <v>5</v>
      </c>
      <c r="R31" s="17" t="s">
        <v>22</v>
      </c>
      <c r="S31" s="20" t="s">
        <v>25</v>
      </c>
    </row>
    <row r="32" spans="1:19" ht="18.75" customHeight="1" x14ac:dyDescent="0.3">
      <c r="A32" s="17" t="s">
        <v>30</v>
      </c>
      <c r="B32" s="16">
        <v>44074</v>
      </c>
      <c r="C32" s="17">
        <v>54.6</v>
      </c>
      <c r="D32" s="17">
        <v>929</v>
      </c>
      <c r="E32" s="17">
        <v>900</v>
      </c>
      <c r="F32" s="17">
        <v>126</v>
      </c>
      <c r="G32" s="17">
        <v>7.6</v>
      </c>
      <c r="H32" s="26">
        <v>8</v>
      </c>
      <c r="I32" s="26">
        <v>11.7</v>
      </c>
      <c r="J32" s="26">
        <v>15.3</v>
      </c>
      <c r="K32" s="26">
        <v>1.38E-2</v>
      </c>
      <c r="L32" s="17">
        <v>3</v>
      </c>
      <c r="M32" s="17">
        <v>3</v>
      </c>
      <c r="N32" s="17">
        <v>1471</v>
      </c>
      <c r="O32" s="17">
        <v>20</v>
      </c>
      <c r="P32" s="17" t="s">
        <v>3</v>
      </c>
      <c r="Q32" s="17">
        <v>0</v>
      </c>
      <c r="R32" s="17" t="s">
        <v>7</v>
      </c>
      <c r="S32" s="20" t="s">
        <v>25</v>
      </c>
    </row>
    <row r="33" spans="1:19" ht="18.75" customHeight="1" x14ac:dyDescent="0.3">
      <c r="A33" s="17" t="s">
        <v>31</v>
      </c>
      <c r="B33" s="16">
        <v>44077</v>
      </c>
      <c r="C33" s="17">
        <v>18.899999999999999</v>
      </c>
      <c r="D33" s="17">
        <v>322</v>
      </c>
      <c r="E33" s="17">
        <v>300</v>
      </c>
      <c r="F33" s="17">
        <v>113.6</v>
      </c>
      <c r="G33" s="17">
        <v>8.6</v>
      </c>
      <c r="H33" s="26">
        <v>9</v>
      </c>
      <c r="I33" s="26">
        <v>8.6</v>
      </c>
      <c r="J33" s="26">
        <v>32</v>
      </c>
      <c r="K33" s="26">
        <v>7.7999999999999996E-3</v>
      </c>
      <c r="L33" s="17">
        <v>2.8</v>
      </c>
      <c r="M33" s="17">
        <v>3</v>
      </c>
      <c r="N33" s="17">
        <v>1402</v>
      </c>
      <c r="O33" s="17">
        <v>20</v>
      </c>
      <c r="P33" s="17" t="s">
        <v>3</v>
      </c>
      <c r="Q33" s="17">
        <v>0</v>
      </c>
      <c r="R33" s="17" t="s">
        <v>7</v>
      </c>
      <c r="S33" s="20" t="s">
        <v>25</v>
      </c>
    </row>
    <row r="34" spans="1:19" ht="18.75" customHeight="1" x14ac:dyDescent="0.3">
      <c r="A34" s="17" t="s">
        <v>32</v>
      </c>
      <c r="B34" s="16">
        <v>44078</v>
      </c>
      <c r="C34" s="17">
        <v>19.100000000000001</v>
      </c>
      <c r="D34" s="17">
        <v>326</v>
      </c>
      <c r="E34" s="17">
        <v>300</v>
      </c>
      <c r="F34" s="17">
        <v>104</v>
      </c>
      <c r="G34" s="17">
        <v>15.7</v>
      </c>
      <c r="H34" s="26">
        <v>16</v>
      </c>
      <c r="I34" s="26">
        <v>11.6</v>
      </c>
      <c r="J34" s="26">
        <v>59.7</v>
      </c>
      <c r="K34" s="26">
        <v>0.02</v>
      </c>
      <c r="L34" s="17">
        <v>2.9</v>
      </c>
      <c r="M34" s="17">
        <v>3</v>
      </c>
      <c r="N34" s="17">
        <v>1436</v>
      </c>
      <c r="O34" s="17">
        <v>19</v>
      </c>
      <c r="P34" s="17" t="s">
        <v>7</v>
      </c>
      <c r="Q34" s="17">
        <v>5</v>
      </c>
      <c r="R34" s="17" t="s">
        <v>7</v>
      </c>
      <c r="S34" s="20" t="s">
        <v>25</v>
      </c>
    </row>
    <row r="35" spans="1:19" x14ac:dyDescent="0.3">
      <c r="A35" s="21" t="s">
        <v>34</v>
      </c>
      <c r="B35" s="22">
        <v>44081</v>
      </c>
      <c r="C35" s="21">
        <v>53.7</v>
      </c>
      <c r="D35" s="21">
        <v>915</v>
      </c>
      <c r="E35" s="21">
        <v>900</v>
      </c>
      <c r="F35" s="21">
        <v>123</v>
      </c>
      <c r="G35" s="21">
        <v>7.4</v>
      </c>
      <c r="H35" s="27">
        <v>7</v>
      </c>
      <c r="I35" s="27">
        <v>10</v>
      </c>
      <c r="J35" s="27">
        <v>11.8</v>
      </c>
      <c r="K35" s="27">
        <v>9.2999999999999992E-3</v>
      </c>
      <c r="L35" s="21">
        <v>0.97</v>
      </c>
      <c r="M35" s="21">
        <v>1</v>
      </c>
      <c r="N35" s="21">
        <v>502</v>
      </c>
      <c r="O35" s="17">
        <v>21</v>
      </c>
      <c r="P35" s="17" t="s">
        <v>33</v>
      </c>
      <c r="Q35" s="17">
        <v>0</v>
      </c>
      <c r="R35" s="17" t="s">
        <v>7</v>
      </c>
      <c r="S35" s="20" t="s">
        <v>25</v>
      </c>
    </row>
    <row r="36" spans="1:19" ht="43.2" x14ac:dyDescent="0.3">
      <c r="A36" s="17" t="s">
        <v>35</v>
      </c>
      <c r="B36" s="16">
        <v>44082</v>
      </c>
      <c r="C36" s="17">
        <v>19.3</v>
      </c>
      <c r="D36" s="17">
        <v>334</v>
      </c>
      <c r="E36" s="17">
        <v>300</v>
      </c>
      <c r="F36" s="17">
        <v>103.3</v>
      </c>
      <c r="G36" s="17">
        <v>18.3</v>
      </c>
      <c r="H36" s="26">
        <v>18</v>
      </c>
      <c r="I36" s="26">
        <v>13.6</v>
      </c>
      <c r="J36" s="26">
        <v>62</v>
      </c>
      <c r="K36" s="26">
        <v>2.4E-2</v>
      </c>
      <c r="L36" s="17">
        <v>2.2000000000000002</v>
      </c>
      <c r="M36" s="17">
        <v>2</v>
      </c>
      <c r="N36" s="17">
        <v>1066</v>
      </c>
      <c r="O36" s="17">
        <v>19</v>
      </c>
      <c r="P36" s="17" t="s">
        <v>7</v>
      </c>
      <c r="Q36" s="17">
        <v>8</v>
      </c>
      <c r="R36" s="17" t="s">
        <v>7</v>
      </c>
      <c r="S36" s="28" t="s">
        <v>36</v>
      </c>
    </row>
    <row r="37" spans="1:19" x14ac:dyDescent="0.3">
      <c r="A37" s="21" t="s">
        <v>43</v>
      </c>
      <c r="B37" s="22">
        <v>44089</v>
      </c>
      <c r="C37" s="21">
        <v>53.8</v>
      </c>
      <c r="D37" s="21">
        <v>920</v>
      </c>
      <c r="E37" s="17">
        <v>900</v>
      </c>
      <c r="F37" s="21">
        <v>110</v>
      </c>
      <c r="G37" s="21">
        <v>15.5</v>
      </c>
      <c r="H37" s="21">
        <v>16</v>
      </c>
      <c r="I37" s="21">
        <v>14.2</v>
      </c>
      <c r="J37" s="21">
        <v>39</v>
      </c>
      <c r="K37" s="21">
        <v>4.2999999999999997E-2</v>
      </c>
      <c r="L37" s="21">
        <v>1.88</v>
      </c>
      <c r="M37" s="17">
        <v>2</v>
      </c>
      <c r="N37" s="21">
        <v>953</v>
      </c>
      <c r="O37" s="21">
        <v>20</v>
      </c>
      <c r="P37" s="21" t="s">
        <v>7</v>
      </c>
      <c r="Q37" s="17">
        <v>8</v>
      </c>
      <c r="R37" s="17" t="s">
        <v>7</v>
      </c>
      <c r="S37" s="28" t="s">
        <v>25</v>
      </c>
    </row>
    <row r="38" spans="1:19" x14ac:dyDescent="0.3">
      <c r="A38" s="21" t="s">
        <v>44</v>
      </c>
      <c r="B38" s="22">
        <v>44091</v>
      </c>
      <c r="C38" s="21">
        <v>19.7</v>
      </c>
      <c r="D38" s="21">
        <v>336</v>
      </c>
      <c r="E38" s="17">
        <v>300</v>
      </c>
      <c r="F38" s="21">
        <v>117.7</v>
      </c>
      <c r="G38" s="21">
        <v>8</v>
      </c>
      <c r="H38" s="21">
        <v>8</v>
      </c>
      <c r="I38" s="21">
        <v>9.1999999999999993</v>
      </c>
      <c r="J38" s="21">
        <v>27</v>
      </c>
      <c r="K38" s="21">
        <v>7.0000000000000001E-3</v>
      </c>
      <c r="L38" s="21">
        <v>0.95</v>
      </c>
      <c r="M38" s="17">
        <v>1</v>
      </c>
      <c r="N38" s="21">
        <v>514</v>
      </c>
      <c r="O38" s="21">
        <v>22</v>
      </c>
      <c r="P38" s="17" t="s">
        <v>33</v>
      </c>
      <c r="Q38" s="17">
        <v>0</v>
      </c>
      <c r="R38" s="17" t="s">
        <v>7</v>
      </c>
      <c r="S38" s="28" t="s">
        <v>25</v>
      </c>
    </row>
  </sheetData>
  <autoFilter ref="B4:S38" xr:uid="{00000000-0009-0000-0000-000001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28"/>
  <sheetViews>
    <sheetView zoomScale="85" zoomScaleNormal="85" workbookViewId="0">
      <pane xSplit="18" ySplit="3" topLeftCell="S4" activePane="bottomRight" state="frozen"/>
      <selection activeCell="C35" sqref="C35"/>
      <selection pane="topRight" activeCell="C35" sqref="C35"/>
      <selection pane="bottomLeft" activeCell="C35" sqref="C35"/>
      <selection pane="bottomRight" activeCell="P37" sqref="P37"/>
    </sheetView>
  </sheetViews>
  <sheetFormatPr defaultRowHeight="14.4" x14ac:dyDescent="0.3"/>
  <cols>
    <col min="2" max="3" width="15.33203125" customWidth="1"/>
    <col min="4" max="5" width="14.109375" customWidth="1"/>
    <col min="15" max="16" width="12.88671875" customWidth="1"/>
    <col min="17" max="18" width="19.5546875" customWidth="1"/>
    <col min="19" max="21" width="21.109375" customWidth="1"/>
    <col min="22" max="22" width="52.5546875" customWidth="1"/>
  </cols>
  <sheetData>
    <row r="1" spans="1:22" x14ac:dyDescent="0.3">
      <c r="B1" s="3" t="s">
        <v>8</v>
      </c>
      <c r="C1" s="3"/>
    </row>
    <row r="2" spans="1:22" ht="15" thickBot="1" x14ac:dyDescent="0.35">
      <c r="B2" s="3" t="s">
        <v>46</v>
      </c>
      <c r="C2" s="3"/>
    </row>
    <row r="3" spans="1:22" ht="43.8" thickBot="1" x14ac:dyDescent="0.35">
      <c r="A3" s="1" t="s">
        <v>23</v>
      </c>
      <c r="B3" s="1" t="s">
        <v>0</v>
      </c>
      <c r="C3" s="2" t="s">
        <v>19</v>
      </c>
      <c r="D3" s="2" t="s">
        <v>12</v>
      </c>
      <c r="E3" s="2" t="s">
        <v>40</v>
      </c>
      <c r="F3" s="2" t="s">
        <v>13</v>
      </c>
      <c r="G3" s="2" t="s">
        <v>14</v>
      </c>
      <c r="H3" s="2" t="s">
        <v>127</v>
      </c>
      <c r="I3" s="36" t="s">
        <v>92</v>
      </c>
      <c r="J3" s="36" t="s">
        <v>93</v>
      </c>
      <c r="K3" s="36" t="s">
        <v>94</v>
      </c>
      <c r="L3" s="36" t="s">
        <v>95</v>
      </c>
      <c r="M3" s="36" t="s">
        <v>96</v>
      </c>
      <c r="N3" s="23" t="s">
        <v>38</v>
      </c>
      <c r="O3" s="23" t="s">
        <v>90</v>
      </c>
      <c r="P3" s="23" t="s">
        <v>47</v>
      </c>
      <c r="Q3" s="2" t="s">
        <v>18</v>
      </c>
      <c r="R3" s="2" t="s">
        <v>15</v>
      </c>
      <c r="S3" s="2" t="s">
        <v>1</v>
      </c>
      <c r="T3" s="2" t="s">
        <v>16</v>
      </c>
      <c r="U3" s="2" t="s">
        <v>11</v>
      </c>
      <c r="V3" s="2" t="s">
        <v>2</v>
      </c>
    </row>
    <row r="4" spans="1:22" x14ac:dyDescent="0.3">
      <c r="A4" s="21">
        <v>1</v>
      </c>
      <c r="B4" s="22">
        <v>44636</v>
      </c>
      <c r="C4" s="21">
        <v>19.3</v>
      </c>
      <c r="D4" s="21">
        <v>330</v>
      </c>
      <c r="E4" s="17">
        <v>330</v>
      </c>
      <c r="F4" s="21">
        <v>99.5</v>
      </c>
      <c r="G4" s="21">
        <v>25.8</v>
      </c>
      <c r="H4" s="51" t="s">
        <v>3</v>
      </c>
      <c r="I4" s="37">
        <v>42</v>
      </c>
      <c r="J4" s="37">
        <v>22</v>
      </c>
      <c r="K4" s="37">
        <v>9</v>
      </c>
      <c r="L4" s="37">
        <v>21</v>
      </c>
      <c r="M4" s="37">
        <v>77</v>
      </c>
      <c r="N4" s="30">
        <f>G4</f>
        <v>25.8</v>
      </c>
      <c r="O4" s="21">
        <v>16.239999999999998</v>
      </c>
      <c r="P4" s="21" t="s">
        <v>48</v>
      </c>
      <c r="Q4" s="21">
        <v>1</v>
      </c>
      <c r="R4" s="21">
        <v>9.1999999999999993</v>
      </c>
      <c r="S4" s="17" t="s">
        <v>7</v>
      </c>
      <c r="T4" s="17">
        <v>8</v>
      </c>
      <c r="U4" s="17" t="s">
        <v>7</v>
      </c>
      <c r="V4" s="28" t="s">
        <v>25</v>
      </c>
    </row>
    <row r="5" spans="1:22" x14ac:dyDescent="0.3">
      <c r="A5" s="21">
        <v>2</v>
      </c>
      <c r="B5" s="22">
        <v>44641</v>
      </c>
      <c r="C5" s="21">
        <v>43.8</v>
      </c>
      <c r="D5" s="21">
        <v>750</v>
      </c>
      <c r="E5" s="17">
        <v>750</v>
      </c>
      <c r="F5" s="21">
        <v>111</v>
      </c>
      <c r="G5" s="21">
        <v>18.600000000000001</v>
      </c>
      <c r="H5" s="53" t="s">
        <v>7</v>
      </c>
      <c r="I5" s="37">
        <v>56</v>
      </c>
      <c r="J5" s="37">
        <v>35</v>
      </c>
      <c r="K5" s="37">
        <v>9</v>
      </c>
      <c r="L5" s="37">
        <v>28</v>
      </c>
      <c r="M5" s="37">
        <v>102</v>
      </c>
      <c r="N5" s="30">
        <v>19</v>
      </c>
      <c r="O5" s="21">
        <v>16.5</v>
      </c>
      <c r="P5" s="21">
        <v>63</v>
      </c>
      <c r="Q5" s="21">
        <v>1</v>
      </c>
      <c r="R5" s="21">
        <v>9</v>
      </c>
      <c r="S5" s="17" t="s">
        <v>7</v>
      </c>
      <c r="T5" s="17">
        <v>8</v>
      </c>
      <c r="U5" s="17" t="s">
        <v>7</v>
      </c>
      <c r="V5" s="28" t="s">
        <v>25</v>
      </c>
    </row>
    <row r="6" spans="1:22" x14ac:dyDescent="0.3">
      <c r="A6" s="21">
        <v>3</v>
      </c>
      <c r="B6" s="22">
        <v>44642</v>
      </c>
      <c r="C6" s="21">
        <v>44.4</v>
      </c>
      <c r="D6" s="21">
        <v>760</v>
      </c>
      <c r="E6" s="17">
        <v>750</v>
      </c>
      <c r="F6" s="21">
        <v>114</v>
      </c>
      <c r="G6" s="21">
        <v>18.2</v>
      </c>
      <c r="H6" s="51" t="s">
        <v>3</v>
      </c>
      <c r="I6" s="37">
        <v>48</v>
      </c>
      <c r="J6" s="37">
        <v>27</v>
      </c>
      <c r="K6" s="37">
        <v>9</v>
      </c>
      <c r="L6" s="37">
        <v>15</v>
      </c>
      <c r="M6" s="37">
        <v>77</v>
      </c>
      <c r="N6" s="30">
        <v>19</v>
      </c>
      <c r="O6" s="21">
        <v>17</v>
      </c>
      <c r="P6" s="21">
        <v>68</v>
      </c>
      <c r="Q6" s="21">
        <v>2</v>
      </c>
      <c r="R6" s="21">
        <v>9</v>
      </c>
      <c r="S6" s="17" t="s">
        <v>7</v>
      </c>
      <c r="T6" s="17">
        <v>8</v>
      </c>
      <c r="U6" s="17" t="s">
        <v>7</v>
      </c>
      <c r="V6" s="28" t="s">
        <v>25</v>
      </c>
    </row>
    <row r="7" spans="1:22" ht="14.25" customHeight="1" x14ac:dyDescent="0.3">
      <c r="A7" s="21">
        <v>4</v>
      </c>
      <c r="B7" s="70">
        <v>44643</v>
      </c>
      <c r="C7" s="21">
        <v>20</v>
      </c>
      <c r="D7" s="21">
        <v>340</v>
      </c>
      <c r="E7" s="21">
        <v>340</v>
      </c>
      <c r="F7" s="21">
        <v>103</v>
      </c>
      <c r="G7" s="21">
        <v>23.8</v>
      </c>
      <c r="H7" s="52" t="s">
        <v>128</v>
      </c>
      <c r="I7" s="37">
        <v>35</v>
      </c>
      <c r="J7" s="37">
        <v>15</v>
      </c>
      <c r="K7" s="51">
        <v>8</v>
      </c>
      <c r="L7" s="51">
        <v>10</v>
      </c>
      <c r="M7" s="37">
        <v>37</v>
      </c>
      <c r="N7" s="21">
        <v>24</v>
      </c>
      <c r="O7" s="21">
        <v>17.399999999999999</v>
      </c>
      <c r="P7" s="21">
        <v>76.7</v>
      </c>
      <c r="Q7" s="21">
        <v>2</v>
      </c>
      <c r="R7" s="21">
        <v>8</v>
      </c>
      <c r="S7" s="17" t="s">
        <v>7</v>
      </c>
      <c r="T7" s="17">
        <v>8</v>
      </c>
      <c r="U7" s="17" t="s">
        <v>7</v>
      </c>
      <c r="V7" s="28" t="s">
        <v>25</v>
      </c>
    </row>
    <row r="8" spans="1:22" x14ac:dyDescent="0.3">
      <c r="A8" s="21">
        <v>5</v>
      </c>
      <c r="B8" s="22">
        <v>44645</v>
      </c>
      <c r="C8" s="21">
        <v>44.6</v>
      </c>
      <c r="D8" s="21">
        <v>770</v>
      </c>
      <c r="E8" s="21">
        <v>770</v>
      </c>
      <c r="F8" s="21">
        <v>154</v>
      </c>
      <c r="G8" s="21">
        <v>8</v>
      </c>
      <c r="H8" s="51" t="s">
        <v>3</v>
      </c>
      <c r="I8" s="37">
        <v>63</v>
      </c>
      <c r="J8" s="37">
        <v>33</v>
      </c>
      <c r="K8" s="37">
        <v>9</v>
      </c>
      <c r="L8" s="37">
        <v>25</v>
      </c>
      <c r="M8" s="37">
        <v>83</v>
      </c>
      <c r="N8" s="21">
        <v>8</v>
      </c>
      <c r="O8" s="21">
        <v>28</v>
      </c>
      <c r="P8" s="21">
        <v>40.299999999999997</v>
      </c>
      <c r="Q8" s="21">
        <v>1</v>
      </c>
      <c r="R8" s="21">
        <v>9</v>
      </c>
      <c r="S8" s="17" t="s">
        <v>7</v>
      </c>
      <c r="T8" s="21">
        <v>8</v>
      </c>
      <c r="U8" s="17" t="s">
        <v>3</v>
      </c>
      <c r="V8" s="28" t="s">
        <v>25</v>
      </c>
    </row>
    <row r="9" spans="1:22" x14ac:dyDescent="0.3">
      <c r="A9" s="21">
        <v>6</v>
      </c>
      <c r="B9" s="22">
        <v>44648</v>
      </c>
      <c r="C9" s="21">
        <v>20.8</v>
      </c>
      <c r="D9" s="21">
        <v>357</v>
      </c>
      <c r="E9" s="21">
        <v>350</v>
      </c>
      <c r="F9" s="21">
        <v>145</v>
      </c>
      <c r="G9" s="21">
        <v>9.1999999999999993</v>
      </c>
      <c r="H9" s="52" t="s">
        <v>128</v>
      </c>
      <c r="I9" s="37">
        <v>40</v>
      </c>
      <c r="J9" s="37">
        <v>20</v>
      </c>
      <c r="K9" s="38">
        <v>9</v>
      </c>
      <c r="L9" s="37">
        <v>16</v>
      </c>
      <c r="M9" s="37">
        <v>56</v>
      </c>
      <c r="N9" s="21">
        <v>9</v>
      </c>
      <c r="O9" s="21">
        <v>26</v>
      </c>
      <c r="P9" s="21">
        <v>54</v>
      </c>
      <c r="Q9" s="21">
        <v>1</v>
      </c>
      <c r="R9" s="17">
        <v>9</v>
      </c>
      <c r="S9" s="17" t="s">
        <v>7</v>
      </c>
      <c r="T9" s="21">
        <v>8</v>
      </c>
      <c r="U9" s="17" t="s">
        <v>3</v>
      </c>
      <c r="V9" s="20" t="s">
        <v>25</v>
      </c>
    </row>
    <row r="10" spans="1:22" ht="21.75" customHeight="1" x14ac:dyDescent="0.3">
      <c r="A10" s="17">
        <v>7</v>
      </c>
      <c r="B10" s="16">
        <v>44649</v>
      </c>
      <c r="C10" s="17">
        <v>21.5</v>
      </c>
      <c r="D10" s="17">
        <v>368</v>
      </c>
      <c r="E10" s="17">
        <v>350</v>
      </c>
      <c r="F10" s="17">
        <v>150</v>
      </c>
      <c r="G10" s="17">
        <v>8.9</v>
      </c>
      <c r="H10" s="52" t="s">
        <v>128</v>
      </c>
      <c r="I10" s="38">
        <v>36</v>
      </c>
      <c r="J10" s="38">
        <v>16</v>
      </c>
      <c r="K10" s="54">
        <v>8</v>
      </c>
      <c r="L10" s="54">
        <v>11</v>
      </c>
      <c r="M10" s="38">
        <v>55</v>
      </c>
      <c r="N10" s="17">
        <v>9</v>
      </c>
      <c r="O10" s="17">
        <v>28</v>
      </c>
      <c r="P10" s="17">
        <v>51</v>
      </c>
      <c r="Q10" s="31">
        <v>2</v>
      </c>
      <c r="R10" s="17">
        <v>8</v>
      </c>
      <c r="S10" s="17" t="s">
        <v>7</v>
      </c>
      <c r="T10" s="17">
        <v>8</v>
      </c>
      <c r="U10" s="31" t="s">
        <v>3</v>
      </c>
      <c r="V10" s="20" t="s">
        <v>25</v>
      </c>
    </row>
    <row r="11" spans="1:22" x14ac:dyDescent="0.3">
      <c r="A11" s="21">
        <v>8</v>
      </c>
      <c r="B11" s="70">
        <v>44652</v>
      </c>
      <c r="C11" s="21">
        <v>45.9</v>
      </c>
      <c r="D11" s="21">
        <v>780</v>
      </c>
      <c r="E11" s="21">
        <v>750</v>
      </c>
      <c r="F11" s="21">
        <v>160</v>
      </c>
      <c r="G11" s="21">
        <v>8</v>
      </c>
      <c r="H11" s="51" t="s">
        <v>3</v>
      </c>
      <c r="I11" s="37">
        <v>58</v>
      </c>
      <c r="J11" s="37">
        <v>27</v>
      </c>
      <c r="K11" s="37">
        <v>8</v>
      </c>
      <c r="L11" s="37">
        <v>16</v>
      </c>
      <c r="M11" s="37">
        <v>53</v>
      </c>
      <c r="N11" s="21">
        <v>8</v>
      </c>
      <c r="O11" s="21">
        <v>30</v>
      </c>
      <c r="P11" s="21">
        <v>39.700000000000003</v>
      </c>
      <c r="Q11" s="21">
        <v>2</v>
      </c>
      <c r="R11" s="21">
        <v>8</v>
      </c>
      <c r="S11" s="21" t="s">
        <v>7</v>
      </c>
      <c r="T11" s="21">
        <v>8</v>
      </c>
      <c r="U11" s="17" t="s">
        <v>3</v>
      </c>
      <c r="V11" s="20" t="s">
        <v>25</v>
      </c>
    </row>
    <row r="12" spans="1:22" x14ac:dyDescent="0.3">
      <c r="A12" s="21">
        <v>9</v>
      </c>
      <c r="B12" s="32">
        <v>44657</v>
      </c>
      <c r="C12" s="21">
        <v>21.7</v>
      </c>
      <c r="D12" s="21">
        <v>370</v>
      </c>
      <c r="E12" s="21">
        <v>370</v>
      </c>
      <c r="F12" s="21">
        <v>160</v>
      </c>
      <c r="G12" s="21">
        <v>5.8</v>
      </c>
      <c r="H12" s="51" t="s">
        <v>3</v>
      </c>
      <c r="I12" s="37">
        <v>36</v>
      </c>
      <c r="J12" s="37">
        <v>16</v>
      </c>
      <c r="K12" s="51">
        <v>11</v>
      </c>
      <c r="L12" s="51">
        <v>14</v>
      </c>
      <c r="M12" s="37">
        <v>43</v>
      </c>
      <c r="N12" s="21">
        <v>6</v>
      </c>
      <c r="O12" s="21">
        <v>24</v>
      </c>
      <c r="P12" s="21">
        <v>18.600000000000001</v>
      </c>
      <c r="Q12" s="21">
        <v>1</v>
      </c>
      <c r="R12" s="21">
        <v>11</v>
      </c>
      <c r="S12" s="21" t="s">
        <v>33</v>
      </c>
      <c r="T12" s="21" t="s">
        <v>4</v>
      </c>
      <c r="U12" s="17" t="s">
        <v>3</v>
      </c>
      <c r="V12" s="20" t="s">
        <v>25</v>
      </c>
    </row>
    <row r="13" spans="1:22" x14ac:dyDescent="0.3">
      <c r="A13" s="21">
        <v>10</v>
      </c>
      <c r="B13" s="22">
        <v>44656</v>
      </c>
      <c r="C13" s="21">
        <v>47</v>
      </c>
      <c r="D13" s="21">
        <v>800</v>
      </c>
      <c r="E13" s="21">
        <v>800</v>
      </c>
      <c r="F13" s="21">
        <v>173</v>
      </c>
      <c r="G13" s="21">
        <v>5.9</v>
      </c>
      <c r="H13" s="51" t="s">
        <v>129</v>
      </c>
      <c r="I13" s="37">
        <v>58</v>
      </c>
      <c r="J13" s="37">
        <v>26</v>
      </c>
      <c r="K13" s="37">
        <v>11</v>
      </c>
      <c r="L13" s="37">
        <v>18</v>
      </c>
      <c r="M13" s="37">
        <v>50</v>
      </c>
      <c r="N13" s="21">
        <v>6</v>
      </c>
      <c r="O13" s="21">
        <v>35</v>
      </c>
      <c r="P13" s="21">
        <v>10</v>
      </c>
      <c r="Q13" s="21">
        <v>1</v>
      </c>
      <c r="R13" s="21">
        <v>11</v>
      </c>
      <c r="S13" s="21" t="s">
        <v>33</v>
      </c>
      <c r="T13" s="21" t="s">
        <v>4</v>
      </c>
      <c r="U13" s="17" t="s">
        <v>3</v>
      </c>
      <c r="V13" s="20" t="s">
        <v>25</v>
      </c>
    </row>
    <row r="14" spans="1:22" x14ac:dyDescent="0.3">
      <c r="A14" s="21">
        <v>11</v>
      </c>
      <c r="B14" s="22">
        <v>44651</v>
      </c>
      <c r="C14" s="21">
        <v>19.7</v>
      </c>
      <c r="D14" s="21">
        <v>340</v>
      </c>
      <c r="E14" s="21">
        <v>350</v>
      </c>
      <c r="F14" s="21">
        <v>127</v>
      </c>
      <c r="G14" s="21">
        <v>6.6</v>
      </c>
      <c r="H14" s="52" t="s">
        <v>128</v>
      </c>
      <c r="I14" s="37">
        <v>31</v>
      </c>
      <c r="J14" s="37">
        <v>15</v>
      </c>
      <c r="K14" s="37">
        <v>11</v>
      </c>
      <c r="L14" s="37">
        <v>13</v>
      </c>
      <c r="M14" s="37">
        <v>41</v>
      </c>
      <c r="N14" s="21">
        <v>7</v>
      </c>
      <c r="O14" s="21">
        <v>9.6999999999999993</v>
      </c>
      <c r="P14" s="21">
        <v>41</v>
      </c>
      <c r="Q14" s="21">
        <v>1</v>
      </c>
      <c r="R14" s="21">
        <v>11</v>
      </c>
      <c r="S14" s="21" t="s">
        <v>33</v>
      </c>
      <c r="T14" s="21" t="s">
        <v>4</v>
      </c>
      <c r="U14" s="17" t="s">
        <v>7</v>
      </c>
      <c r="V14" s="20" t="s">
        <v>25</v>
      </c>
    </row>
    <row r="15" spans="1:22" x14ac:dyDescent="0.3">
      <c r="A15" s="21">
        <v>12</v>
      </c>
      <c r="B15" s="22">
        <v>44655</v>
      </c>
      <c r="C15" s="21">
        <v>43.8</v>
      </c>
      <c r="D15" s="21">
        <v>747</v>
      </c>
      <c r="E15" s="21">
        <v>750</v>
      </c>
      <c r="F15" s="21">
        <v>141</v>
      </c>
      <c r="G15" s="21">
        <v>6.2</v>
      </c>
      <c r="H15" s="51" t="s">
        <v>3</v>
      </c>
      <c r="I15" s="37">
        <v>51</v>
      </c>
      <c r="J15" s="37">
        <v>25</v>
      </c>
      <c r="K15" s="37">
        <v>11</v>
      </c>
      <c r="L15" s="37">
        <v>18</v>
      </c>
      <c r="M15" s="37">
        <v>54</v>
      </c>
      <c r="N15" s="21">
        <v>6</v>
      </c>
      <c r="O15" s="21">
        <v>15</v>
      </c>
      <c r="P15" s="21">
        <v>21.8</v>
      </c>
      <c r="Q15" s="21">
        <v>1</v>
      </c>
      <c r="R15" s="21">
        <v>11</v>
      </c>
      <c r="S15" s="21" t="s">
        <v>33</v>
      </c>
      <c r="T15" s="21" t="s">
        <v>4</v>
      </c>
      <c r="U15" s="17" t="s">
        <v>7</v>
      </c>
      <c r="V15" s="20" t="s">
        <v>25</v>
      </c>
    </row>
    <row r="16" spans="1:22" x14ac:dyDescent="0.3">
      <c r="A16" s="21">
        <v>13</v>
      </c>
      <c r="B16" s="22">
        <v>44658</v>
      </c>
      <c r="C16" s="21">
        <v>21.7</v>
      </c>
      <c r="D16" s="21">
        <v>371</v>
      </c>
      <c r="E16" s="21">
        <v>370</v>
      </c>
      <c r="F16" s="21">
        <v>160</v>
      </c>
      <c r="G16" s="21">
        <v>5.7</v>
      </c>
      <c r="H16" s="51" t="s">
        <v>3</v>
      </c>
      <c r="I16" s="37">
        <v>32</v>
      </c>
      <c r="J16" s="37">
        <v>14</v>
      </c>
      <c r="K16" s="51">
        <v>10</v>
      </c>
      <c r="L16" s="51">
        <v>11</v>
      </c>
      <c r="M16" s="37">
        <v>35</v>
      </c>
      <c r="N16" s="21">
        <v>6</v>
      </c>
      <c r="O16" s="21">
        <v>24</v>
      </c>
      <c r="P16" s="21">
        <v>19.5</v>
      </c>
      <c r="Q16" s="21">
        <v>2</v>
      </c>
      <c r="R16" s="21">
        <v>10</v>
      </c>
      <c r="S16" s="21" t="s">
        <v>33</v>
      </c>
      <c r="T16" s="21" t="s">
        <v>4</v>
      </c>
      <c r="U16" s="17" t="s">
        <v>3</v>
      </c>
      <c r="V16" s="20" t="s">
        <v>25</v>
      </c>
    </row>
    <row r="17" spans="1:22" x14ac:dyDescent="0.3">
      <c r="A17" s="21">
        <v>14</v>
      </c>
      <c r="B17" s="16">
        <v>44662</v>
      </c>
      <c r="C17" s="17">
        <v>46.5</v>
      </c>
      <c r="D17" s="17">
        <v>790</v>
      </c>
      <c r="E17" s="17">
        <v>790</v>
      </c>
      <c r="F17" s="17">
        <v>167</v>
      </c>
      <c r="G17" s="17">
        <v>5.6</v>
      </c>
      <c r="H17" s="51" t="s">
        <v>3</v>
      </c>
      <c r="I17" s="38">
        <v>52</v>
      </c>
      <c r="J17" s="38">
        <v>22</v>
      </c>
      <c r="K17" s="38">
        <v>9</v>
      </c>
      <c r="L17" s="38">
        <v>13</v>
      </c>
      <c r="M17" s="38">
        <v>43</v>
      </c>
      <c r="N17" s="17">
        <v>6</v>
      </c>
      <c r="O17" s="17">
        <v>26</v>
      </c>
      <c r="P17" s="17">
        <v>15.9</v>
      </c>
      <c r="Q17" s="21">
        <v>2</v>
      </c>
      <c r="R17" s="17">
        <v>9</v>
      </c>
      <c r="S17" s="21" t="s">
        <v>33</v>
      </c>
      <c r="T17" s="21" t="s">
        <v>4</v>
      </c>
      <c r="U17" s="17" t="s">
        <v>3</v>
      </c>
      <c r="V17" s="20" t="s">
        <v>25</v>
      </c>
    </row>
    <row r="18" spans="1:22" x14ac:dyDescent="0.3">
      <c r="A18" s="21">
        <v>15</v>
      </c>
      <c r="B18" s="71">
        <v>44663</v>
      </c>
      <c r="C18" s="17">
        <v>43.6</v>
      </c>
      <c r="D18" s="17">
        <v>745</v>
      </c>
      <c r="E18" s="17">
        <v>750</v>
      </c>
      <c r="F18" s="17">
        <v>142</v>
      </c>
      <c r="G18" s="17">
        <v>6</v>
      </c>
      <c r="H18" s="52" t="s">
        <v>128</v>
      </c>
      <c r="I18" s="38">
        <v>47</v>
      </c>
      <c r="J18" s="38">
        <v>21</v>
      </c>
      <c r="K18" s="39">
        <v>9.5</v>
      </c>
      <c r="L18" s="38">
        <v>13</v>
      </c>
      <c r="M18" s="38">
        <v>31</v>
      </c>
      <c r="N18" s="17">
        <v>6</v>
      </c>
      <c r="O18" s="17">
        <v>16</v>
      </c>
      <c r="P18" s="17">
        <v>23</v>
      </c>
      <c r="Q18" s="34">
        <v>2</v>
      </c>
      <c r="R18" s="34">
        <v>9.5</v>
      </c>
      <c r="S18" s="31" t="s">
        <v>33</v>
      </c>
      <c r="T18" s="34" t="s">
        <v>4</v>
      </c>
      <c r="U18" s="31" t="s">
        <v>7</v>
      </c>
      <c r="V18" s="20" t="s">
        <v>25</v>
      </c>
    </row>
    <row r="19" spans="1:22" ht="31.5" customHeight="1" x14ac:dyDescent="0.3">
      <c r="A19" s="21">
        <v>16</v>
      </c>
      <c r="B19" s="70">
        <v>44664</v>
      </c>
      <c r="C19" s="21">
        <v>19.8</v>
      </c>
      <c r="D19" s="21">
        <v>340</v>
      </c>
      <c r="E19" s="21">
        <v>340</v>
      </c>
      <c r="F19" s="21">
        <v>127</v>
      </c>
      <c r="G19" s="21">
        <v>7</v>
      </c>
      <c r="H19" s="53" t="s">
        <v>7</v>
      </c>
      <c r="I19" s="37">
        <v>29</v>
      </c>
      <c r="J19" s="37">
        <v>14</v>
      </c>
      <c r="K19" s="51">
        <v>9.5</v>
      </c>
      <c r="L19" s="51">
        <v>11</v>
      </c>
      <c r="M19" s="37">
        <v>27</v>
      </c>
      <c r="N19" s="21">
        <v>7</v>
      </c>
      <c r="O19" s="21">
        <v>11</v>
      </c>
      <c r="P19" s="21">
        <v>41.6</v>
      </c>
      <c r="Q19" s="21">
        <v>2</v>
      </c>
      <c r="R19" s="21">
        <v>9.5</v>
      </c>
      <c r="S19" s="31" t="s">
        <v>33</v>
      </c>
      <c r="T19" s="21" t="s">
        <v>4</v>
      </c>
      <c r="U19" s="17" t="s">
        <v>7</v>
      </c>
      <c r="V19" s="20" t="s">
        <v>25</v>
      </c>
    </row>
    <row r="20" spans="1:22" ht="43.2" x14ac:dyDescent="0.3">
      <c r="A20" s="17">
        <v>17</v>
      </c>
      <c r="B20" s="16">
        <v>44665</v>
      </c>
      <c r="C20" s="17">
        <v>19.7</v>
      </c>
      <c r="D20" s="17">
        <v>337</v>
      </c>
      <c r="E20" s="17">
        <v>340</v>
      </c>
      <c r="F20" s="17">
        <v>103</v>
      </c>
      <c r="G20" s="17">
        <v>21</v>
      </c>
      <c r="H20" s="52" t="s">
        <v>128</v>
      </c>
      <c r="I20" s="38">
        <v>38</v>
      </c>
      <c r="J20" s="38">
        <v>18</v>
      </c>
      <c r="K20" s="38">
        <v>10</v>
      </c>
      <c r="L20" s="38">
        <v>15</v>
      </c>
      <c r="M20" s="38">
        <v>58</v>
      </c>
      <c r="N20" s="17">
        <v>21</v>
      </c>
      <c r="O20" s="17">
        <v>16.7</v>
      </c>
      <c r="P20" s="17">
        <v>73.2</v>
      </c>
      <c r="Q20" s="17">
        <v>1</v>
      </c>
      <c r="R20" s="17">
        <v>10</v>
      </c>
      <c r="S20" s="17" t="s">
        <v>7</v>
      </c>
      <c r="T20" s="17">
        <v>8</v>
      </c>
      <c r="U20" s="17" t="s">
        <v>7</v>
      </c>
      <c r="V20" s="20" t="s">
        <v>107</v>
      </c>
    </row>
    <row r="21" spans="1:22" ht="28.8" x14ac:dyDescent="0.3">
      <c r="A21" s="17">
        <v>18</v>
      </c>
      <c r="B21" s="16">
        <v>44666</v>
      </c>
      <c r="C21" s="17">
        <v>42</v>
      </c>
      <c r="D21" s="17">
        <v>716</v>
      </c>
      <c r="E21" s="17">
        <v>720</v>
      </c>
      <c r="F21" s="17">
        <v>113</v>
      </c>
      <c r="G21" s="17">
        <v>16.3</v>
      </c>
      <c r="H21" s="51" t="s">
        <v>3</v>
      </c>
      <c r="I21" s="38">
        <v>52</v>
      </c>
      <c r="J21" s="38">
        <v>32</v>
      </c>
      <c r="K21" s="38">
        <v>10</v>
      </c>
      <c r="L21" s="38">
        <v>25</v>
      </c>
      <c r="M21" s="38">
        <v>101</v>
      </c>
      <c r="N21" s="17">
        <v>16</v>
      </c>
      <c r="O21" s="17">
        <v>17</v>
      </c>
      <c r="P21" s="17">
        <v>62.3</v>
      </c>
      <c r="Q21" s="17">
        <v>1</v>
      </c>
      <c r="R21" s="17">
        <v>10</v>
      </c>
      <c r="S21" s="17" t="s">
        <v>7</v>
      </c>
      <c r="T21" s="17">
        <v>8</v>
      </c>
      <c r="U21" s="17" t="s">
        <v>7</v>
      </c>
      <c r="V21" s="20" t="s">
        <v>89</v>
      </c>
    </row>
    <row r="22" spans="1:22" x14ac:dyDescent="0.3">
      <c r="A22" s="17">
        <v>19</v>
      </c>
      <c r="B22" s="16">
        <v>44670</v>
      </c>
      <c r="C22" s="17">
        <v>31.4</v>
      </c>
      <c r="D22" s="17">
        <v>535</v>
      </c>
      <c r="E22" s="17">
        <v>540</v>
      </c>
      <c r="F22" s="17">
        <v>110</v>
      </c>
      <c r="G22" s="17">
        <v>17.2</v>
      </c>
      <c r="H22" s="51" t="s">
        <v>3</v>
      </c>
      <c r="I22" s="38">
        <v>43</v>
      </c>
      <c r="J22" s="38">
        <v>25</v>
      </c>
      <c r="K22" s="38">
        <v>10</v>
      </c>
      <c r="L22" s="38">
        <v>19</v>
      </c>
      <c r="M22" s="38">
        <v>63</v>
      </c>
      <c r="N22" s="17">
        <v>17</v>
      </c>
      <c r="O22" s="17">
        <v>16</v>
      </c>
      <c r="P22" s="17">
        <v>69.900000000000006</v>
      </c>
      <c r="Q22" s="17">
        <v>1</v>
      </c>
      <c r="R22" s="17">
        <v>10</v>
      </c>
      <c r="S22" s="17" t="s">
        <v>7</v>
      </c>
      <c r="T22" s="17">
        <v>8</v>
      </c>
      <c r="U22" s="17" t="s">
        <v>7</v>
      </c>
      <c r="V22" s="20" t="s">
        <v>25</v>
      </c>
    </row>
    <row r="23" spans="1:22" ht="28.8" x14ac:dyDescent="0.3">
      <c r="A23" s="17">
        <v>20</v>
      </c>
      <c r="B23" s="16">
        <v>44671</v>
      </c>
      <c r="C23" s="17">
        <v>32.700000000000003</v>
      </c>
      <c r="D23" s="17">
        <v>557</v>
      </c>
      <c r="E23" s="17">
        <v>560</v>
      </c>
      <c r="F23" s="17">
        <v>130</v>
      </c>
      <c r="G23" s="17">
        <v>10.5</v>
      </c>
      <c r="H23" s="52" t="s">
        <v>128</v>
      </c>
      <c r="I23" s="38">
        <v>41</v>
      </c>
      <c r="J23" s="38">
        <v>22</v>
      </c>
      <c r="K23" s="38">
        <v>9</v>
      </c>
      <c r="L23" s="38">
        <v>13</v>
      </c>
      <c r="M23" s="38">
        <v>58</v>
      </c>
      <c r="N23" s="17">
        <v>11</v>
      </c>
      <c r="O23" s="17">
        <v>19</v>
      </c>
      <c r="P23" s="17">
        <v>62</v>
      </c>
      <c r="Q23" s="17">
        <v>2</v>
      </c>
      <c r="R23" s="17">
        <v>9</v>
      </c>
      <c r="S23" s="17" t="s">
        <v>7</v>
      </c>
      <c r="T23" s="17">
        <v>8</v>
      </c>
      <c r="U23" s="17" t="s">
        <v>7</v>
      </c>
      <c r="V23" s="20" t="s">
        <v>91</v>
      </c>
    </row>
    <row r="24" spans="1:22" x14ac:dyDescent="0.3">
      <c r="A24" s="17">
        <v>21</v>
      </c>
      <c r="B24" s="16">
        <v>44673</v>
      </c>
      <c r="C24" s="17">
        <v>33.700000000000003</v>
      </c>
      <c r="D24" s="17">
        <v>574</v>
      </c>
      <c r="E24" s="17">
        <v>570</v>
      </c>
      <c r="F24" s="17">
        <v>150</v>
      </c>
      <c r="G24" s="17">
        <v>8.1999999999999993</v>
      </c>
      <c r="H24" s="53" t="s">
        <v>7</v>
      </c>
      <c r="I24" s="38">
        <v>45</v>
      </c>
      <c r="J24" s="38">
        <v>22</v>
      </c>
      <c r="K24" s="38">
        <v>9</v>
      </c>
      <c r="L24" s="38">
        <v>13</v>
      </c>
      <c r="M24" s="38">
        <v>8.1999999999999993</v>
      </c>
      <c r="N24" s="17">
        <v>8</v>
      </c>
      <c r="O24" s="17">
        <v>26</v>
      </c>
      <c r="P24" s="17">
        <v>47.7</v>
      </c>
      <c r="Q24" s="17">
        <v>2</v>
      </c>
      <c r="R24" s="17">
        <v>9</v>
      </c>
      <c r="S24" s="17" t="s">
        <v>7</v>
      </c>
      <c r="T24" s="17">
        <v>8</v>
      </c>
      <c r="U24" s="17" t="s">
        <v>98</v>
      </c>
      <c r="V24" s="20" t="s">
        <v>97</v>
      </c>
    </row>
    <row r="25" spans="1:22" x14ac:dyDescent="0.3">
      <c r="A25" s="21">
        <v>22</v>
      </c>
      <c r="B25" s="22">
        <v>44693</v>
      </c>
      <c r="C25" s="21">
        <v>19.899999999999999</v>
      </c>
      <c r="D25" s="21">
        <v>340</v>
      </c>
      <c r="E25" s="17">
        <v>340</v>
      </c>
      <c r="F25" s="21">
        <v>110</v>
      </c>
      <c r="G25" s="21">
        <v>17</v>
      </c>
      <c r="H25" s="12" t="s">
        <v>4</v>
      </c>
      <c r="I25" s="37" t="s">
        <v>4</v>
      </c>
      <c r="J25" s="37" t="s">
        <v>4</v>
      </c>
      <c r="K25" s="37" t="s">
        <v>4</v>
      </c>
      <c r="L25" s="37" t="s">
        <v>4</v>
      </c>
      <c r="M25" s="37" t="s">
        <v>4</v>
      </c>
      <c r="N25" s="30">
        <v>17</v>
      </c>
      <c r="O25" s="21">
        <v>15</v>
      </c>
      <c r="P25" s="21" t="s">
        <v>4</v>
      </c>
      <c r="Q25" s="21">
        <v>0</v>
      </c>
      <c r="R25" s="21">
        <v>0</v>
      </c>
      <c r="S25" s="17" t="s">
        <v>7</v>
      </c>
      <c r="T25" s="17">
        <v>8</v>
      </c>
      <c r="U25" s="17" t="s">
        <v>7</v>
      </c>
      <c r="V25" s="28" t="s">
        <v>130</v>
      </c>
    </row>
    <row r="26" spans="1:22" x14ac:dyDescent="0.3">
      <c r="A26" s="17">
        <v>23</v>
      </c>
      <c r="B26" s="16">
        <v>44697</v>
      </c>
      <c r="C26" s="21">
        <v>19.899999999999999</v>
      </c>
      <c r="D26" s="17">
        <v>330</v>
      </c>
      <c r="E26" s="17">
        <v>330</v>
      </c>
      <c r="F26" s="17">
        <v>111</v>
      </c>
      <c r="G26" s="17">
        <v>17</v>
      </c>
      <c r="H26" s="10" t="s">
        <v>4</v>
      </c>
      <c r="I26" s="38" t="s">
        <v>4</v>
      </c>
      <c r="J26" s="38" t="s">
        <v>4</v>
      </c>
      <c r="K26" s="38" t="s">
        <v>4</v>
      </c>
      <c r="L26" s="38" t="s">
        <v>4</v>
      </c>
      <c r="M26" s="38" t="s">
        <v>4</v>
      </c>
      <c r="N26" s="55">
        <v>15</v>
      </c>
      <c r="O26" s="17">
        <v>15</v>
      </c>
      <c r="P26" s="17" t="s">
        <v>4</v>
      </c>
      <c r="Q26" s="17">
        <v>1.05</v>
      </c>
      <c r="R26" s="17">
        <v>11</v>
      </c>
      <c r="S26" s="17" t="s">
        <v>7</v>
      </c>
      <c r="T26" s="17">
        <v>8</v>
      </c>
      <c r="U26" s="17" t="s">
        <v>7</v>
      </c>
      <c r="V26" s="28" t="s">
        <v>131</v>
      </c>
    </row>
    <row r="27" spans="1:22" ht="43.2" x14ac:dyDescent="0.3">
      <c r="A27" s="17">
        <v>24</v>
      </c>
      <c r="B27" s="16">
        <v>44704</v>
      </c>
      <c r="C27" s="17">
        <v>46.5</v>
      </c>
      <c r="D27" s="17">
        <v>792</v>
      </c>
      <c r="E27" s="17">
        <v>760</v>
      </c>
      <c r="F27" s="17">
        <v>160</v>
      </c>
      <c r="G27" s="17">
        <v>7.2</v>
      </c>
      <c r="H27" s="53"/>
      <c r="I27" s="38"/>
      <c r="J27" s="38"/>
      <c r="K27" s="38"/>
      <c r="L27" s="38"/>
      <c r="M27" s="38"/>
      <c r="N27" s="17">
        <v>7</v>
      </c>
      <c r="O27" s="17">
        <v>32</v>
      </c>
      <c r="P27" s="17" t="s">
        <v>133</v>
      </c>
      <c r="Q27" s="17">
        <v>1</v>
      </c>
      <c r="R27" s="17">
        <v>12</v>
      </c>
      <c r="S27" s="17" t="s">
        <v>7</v>
      </c>
      <c r="T27" s="17">
        <v>8</v>
      </c>
      <c r="U27" s="17" t="s">
        <v>98</v>
      </c>
      <c r="V27" s="20" t="s">
        <v>132</v>
      </c>
    </row>
    <row r="28" spans="1:22" ht="28.8" x14ac:dyDescent="0.3">
      <c r="A28" s="17">
        <v>24</v>
      </c>
      <c r="B28" s="16">
        <v>44706</v>
      </c>
      <c r="C28" s="17">
        <v>45.9</v>
      </c>
      <c r="D28" s="17">
        <v>780</v>
      </c>
      <c r="E28" s="17">
        <v>780</v>
      </c>
      <c r="F28" s="17">
        <v>163</v>
      </c>
      <c r="G28" s="17">
        <v>7.2</v>
      </c>
      <c r="H28" s="52" t="s">
        <v>135</v>
      </c>
      <c r="I28" s="38">
        <v>56</v>
      </c>
      <c r="J28" s="38">
        <v>27</v>
      </c>
      <c r="K28" s="38">
        <v>12</v>
      </c>
      <c r="L28" s="38">
        <v>18</v>
      </c>
      <c r="M28" s="38" t="s">
        <v>4</v>
      </c>
      <c r="N28" s="17">
        <v>7</v>
      </c>
      <c r="O28" s="17">
        <v>32</v>
      </c>
      <c r="P28" s="17" t="s">
        <v>133</v>
      </c>
      <c r="Q28" s="17">
        <v>2</v>
      </c>
      <c r="R28" s="17">
        <v>12</v>
      </c>
      <c r="S28" s="17" t="s">
        <v>7</v>
      </c>
      <c r="T28" s="17">
        <v>8</v>
      </c>
      <c r="U28" s="17" t="s">
        <v>98</v>
      </c>
      <c r="V28" s="28" t="s">
        <v>134</v>
      </c>
    </row>
  </sheetData>
  <autoFilter ref="A4:V28" xr:uid="{00000000-0009-0000-0000-00000200000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74"/>
  <sheetViews>
    <sheetView topLeftCell="G25" zoomScale="85" zoomScaleNormal="85" workbookViewId="0">
      <selection activeCell="I47" sqref="I47"/>
    </sheetView>
  </sheetViews>
  <sheetFormatPr defaultRowHeight="14.4" x14ac:dyDescent="0.3"/>
  <cols>
    <col min="2" max="3" width="15.33203125" customWidth="1"/>
    <col min="4" max="5" width="14.109375" customWidth="1"/>
    <col min="8" max="8" width="9.5546875" bestFit="1" customWidth="1"/>
    <col min="10" max="11" width="9.5546875" bestFit="1" customWidth="1"/>
    <col min="12" max="12" width="11.5546875" bestFit="1" customWidth="1"/>
    <col min="13" max="15" width="9.5546875" bestFit="1" customWidth="1"/>
    <col min="16" max="17" width="12.88671875" customWidth="1"/>
    <col min="18" max="19" width="19.5546875" customWidth="1"/>
    <col min="20" max="22" width="21.109375" customWidth="1"/>
  </cols>
  <sheetData>
    <row r="1" spans="1:22" x14ac:dyDescent="0.3">
      <c r="B1" s="3" t="s">
        <v>8</v>
      </c>
      <c r="C1" s="3"/>
    </row>
    <row r="2" spans="1:22" ht="15" thickBot="1" x14ac:dyDescent="0.35">
      <c r="B2" s="3" t="s">
        <v>46</v>
      </c>
      <c r="C2" s="3"/>
    </row>
    <row r="3" spans="1:22" ht="43.8" thickBot="1" x14ac:dyDescent="0.35">
      <c r="A3" s="1" t="s">
        <v>23</v>
      </c>
      <c r="B3" s="1" t="s">
        <v>0</v>
      </c>
      <c r="C3" s="2" t="s">
        <v>19</v>
      </c>
      <c r="D3" s="2" t="s">
        <v>12</v>
      </c>
      <c r="E3" s="2" t="s">
        <v>40</v>
      </c>
      <c r="F3" s="2" t="s">
        <v>13</v>
      </c>
      <c r="G3" s="2" t="s">
        <v>14</v>
      </c>
      <c r="H3" s="36" t="s">
        <v>101</v>
      </c>
      <c r="I3" s="36" t="s">
        <v>102</v>
      </c>
      <c r="J3" s="40" t="s">
        <v>99</v>
      </c>
      <c r="K3" s="40" t="s">
        <v>100</v>
      </c>
      <c r="L3" s="40" t="s">
        <v>103</v>
      </c>
      <c r="M3" s="40" t="s">
        <v>104</v>
      </c>
      <c r="N3" s="36" t="s">
        <v>105</v>
      </c>
      <c r="O3" s="36" t="s">
        <v>106</v>
      </c>
      <c r="P3" s="23" t="s">
        <v>90</v>
      </c>
      <c r="Q3" s="23" t="s">
        <v>47</v>
      </c>
      <c r="R3" s="2" t="s">
        <v>18</v>
      </c>
      <c r="S3" s="2" t="s">
        <v>15</v>
      </c>
      <c r="T3" s="2" t="s">
        <v>1</v>
      </c>
      <c r="U3" s="2" t="s">
        <v>16</v>
      </c>
      <c r="V3" s="2" t="s">
        <v>11</v>
      </c>
    </row>
    <row r="4" spans="1:22" x14ac:dyDescent="0.3">
      <c r="A4" s="21">
        <v>1</v>
      </c>
      <c r="B4" s="22">
        <v>44636</v>
      </c>
      <c r="C4" s="21">
        <v>19.3</v>
      </c>
      <c r="D4" s="21">
        <v>330</v>
      </c>
      <c r="E4" s="17">
        <v>330</v>
      </c>
      <c r="F4" s="21">
        <v>99.5</v>
      </c>
      <c r="G4" s="21">
        <v>25.8</v>
      </c>
      <c r="H4" s="37">
        <v>1840</v>
      </c>
      <c r="I4" s="37">
        <v>727</v>
      </c>
      <c r="J4" s="37">
        <v>42.7</v>
      </c>
      <c r="K4" s="37">
        <v>19.7</v>
      </c>
      <c r="L4" s="37">
        <v>89.2</v>
      </c>
      <c r="M4" s="37">
        <v>78.900000000000006</v>
      </c>
      <c r="N4" s="37">
        <v>60.3</v>
      </c>
      <c r="O4" s="37">
        <v>56.9</v>
      </c>
      <c r="P4" s="21">
        <v>16.600000000000001</v>
      </c>
      <c r="Q4" s="21">
        <v>79</v>
      </c>
      <c r="R4" s="21">
        <v>1</v>
      </c>
      <c r="S4" s="21">
        <v>9.1999999999999993</v>
      </c>
      <c r="T4" s="17" t="s">
        <v>7</v>
      </c>
      <c r="U4" s="17">
        <v>8</v>
      </c>
      <c r="V4" s="17" t="s">
        <v>7</v>
      </c>
    </row>
    <row r="5" spans="1:22" x14ac:dyDescent="0.3">
      <c r="A5" s="21">
        <v>2</v>
      </c>
      <c r="B5" s="22">
        <v>44641</v>
      </c>
      <c r="C5" s="21">
        <v>43.8</v>
      </c>
      <c r="D5" s="21">
        <v>750</v>
      </c>
      <c r="E5" s="17">
        <v>750</v>
      </c>
      <c r="F5" s="21">
        <v>111</v>
      </c>
      <c r="G5" s="21">
        <v>18.600000000000001</v>
      </c>
      <c r="H5" s="37">
        <v>2292</v>
      </c>
      <c r="I5" s="37">
        <v>1300</v>
      </c>
      <c r="J5" s="37">
        <v>53.6</v>
      </c>
      <c r="K5" s="37">
        <v>26.9</v>
      </c>
      <c r="L5" s="37">
        <v>88.5</v>
      </c>
      <c r="M5" s="37">
        <v>100</v>
      </c>
      <c r="N5" s="37">
        <v>57.8</v>
      </c>
      <c r="O5" s="37">
        <v>70.5</v>
      </c>
      <c r="P5" s="21">
        <v>16.5</v>
      </c>
      <c r="Q5" s="21">
        <v>63</v>
      </c>
      <c r="R5" s="21">
        <v>1</v>
      </c>
      <c r="S5" s="21">
        <v>9</v>
      </c>
      <c r="T5" s="17" t="s">
        <v>7</v>
      </c>
      <c r="U5" s="17">
        <v>8</v>
      </c>
      <c r="V5" s="17" t="s">
        <v>7</v>
      </c>
    </row>
    <row r="6" spans="1:22" x14ac:dyDescent="0.3">
      <c r="A6" s="21">
        <v>3</v>
      </c>
      <c r="B6" s="22">
        <v>44642</v>
      </c>
      <c r="C6" s="21">
        <v>44.4</v>
      </c>
      <c r="D6" s="21">
        <v>760</v>
      </c>
      <c r="E6" s="17">
        <v>750</v>
      </c>
      <c r="F6" s="21">
        <v>114</v>
      </c>
      <c r="G6" s="21">
        <v>18.2</v>
      </c>
      <c r="H6" s="37">
        <v>2694</v>
      </c>
      <c r="I6" s="37">
        <v>1031</v>
      </c>
      <c r="J6" s="37">
        <v>56.9</v>
      </c>
      <c r="K6" s="37">
        <v>26.2</v>
      </c>
      <c r="L6" s="37">
        <v>91.9</v>
      </c>
      <c r="M6" s="37">
        <v>81.599999999999994</v>
      </c>
      <c r="N6" s="37">
        <v>64.599999999999994</v>
      </c>
      <c r="O6" s="37">
        <v>58.7</v>
      </c>
      <c r="P6" s="21">
        <v>17</v>
      </c>
      <c r="Q6" s="21">
        <v>68</v>
      </c>
      <c r="R6" s="21">
        <v>2</v>
      </c>
      <c r="S6" s="21">
        <v>9</v>
      </c>
      <c r="T6" s="17" t="s">
        <v>7</v>
      </c>
      <c r="U6" s="17">
        <v>8</v>
      </c>
      <c r="V6" s="17" t="s">
        <v>7</v>
      </c>
    </row>
    <row r="7" spans="1:22" x14ac:dyDescent="0.3">
      <c r="A7" s="21">
        <v>4</v>
      </c>
      <c r="B7" s="22">
        <v>44643</v>
      </c>
      <c r="C7" s="21">
        <v>20</v>
      </c>
      <c r="D7" s="21">
        <v>340</v>
      </c>
      <c r="E7" s="21">
        <v>340</v>
      </c>
      <c r="F7" s="21">
        <v>103</v>
      </c>
      <c r="G7" s="21">
        <v>23.8</v>
      </c>
      <c r="H7" s="37">
        <v>1849</v>
      </c>
      <c r="I7" s="37">
        <v>379</v>
      </c>
      <c r="J7" s="37">
        <v>44.9</v>
      </c>
      <c r="K7" s="37">
        <v>15.5</v>
      </c>
      <c r="L7" s="37">
        <v>85.2</v>
      </c>
      <c r="M7" s="37">
        <v>50.7</v>
      </c>
      <c r="N7" s="37">
        <v>58.5</v>
      </c>
      <c r="O7" s="37">
        <v>37.5</v>
      </c>
      <c r="P7" s="21">
        <v>17.399999999999999</v>
      </c>
      <c r="Q7" s="21">
        <v>76.7</v>
      </c>
      <c r="R7" s="21">
        <v>2</v>
      </c>
      <c r="S7" s="21">
        <v>8</v>
      </c>
      <c r="T7" s="17" t="s">
        <v>7</v>
      </c>
      <c r="U7" s="17">
        <v>8</v>
      </c>
      <c r="V7" s="17" t="s">
        <v>7</v>
      </c>
    </row>
    <row r="8" spans="1:22" x14ac:dyDescent="0.3">
      <c r="A8" s="21">
        <v>5</v>
      </c>
      <c r="B8" s="22">
        <v>44645</v>
      </c>
      <c r="C8" s="21">
        <v>44.6</v>
      </c>
      <c r="D8" s="21">
        <v>770</v>
      </c>
      <c r="E8" s="21">
        <v>770</v>
      </c>
      <c r="F8" s="21">
        <v>154</v>
      </c>
      <c r="G8" s="21">
        <v>8.6999999999999993</v>
      </c>
      <c r="H8" s="37">
        <v>2397</v>
      </c>
      <c r="I8" s="37">
        <v>1165</v>
      </c>
      <c r="J8" s="37">
        <v>74</v>
      </c>
      <c r="K8" s="37">
        <v>30.5</v>
      </c>
      <c r="L8" s="37">
        <v>67</v>
      </c>
      <c r="M8" s="37">
        <v>79.2</v>
      </c>
      <c r="N8" s="37">
        <v>41.9</v>
      </c>
      <c r="O8" s="37">
        <v>59.2</v>
      </c>
      <c r="P8" s="21">
        <v>28</v>
      </c>
      <c r="Q8" s="21">
        <v>40.299999999999997</v>
      </c>
      <c r="R8" s="21">
        <v>1</v>
      </c>
      <c r="S8" s="21">
        <v>9</v>
      </c>
      <c r="T8" s="17" t="s">
        <v>7</v>
      </c>
      <c r="U8" s="21">
        <v>8</v>
      </c>
      <c r="V8" s="17" t="s">
        <v>3</v>
      </c>
    </row>
    <row r="9" spans="1:22" x14ac:dyDescent="0.3">
      <c r="A9" s="21">
        <v>6</v>
      </c>
      <c r="B9" s="22">
        <v>44648</v>
      </c>
      <c r="C9" s="21">
        <v>20.8</v>
      </c>
      <c r="D9" s="21">
        <v>357</v>
      </c>
      <c r="E9" s="21">
        <v>350</v>
      </c>
      <c r="F9" s="21">
        <v>145</v>
      </c>
      <c r="G9" s="21">
        <v>9.1999999999999993</v>
      </c>
      <c r="H9" s="37">
        <v>1456</v>
      </c>
      <c r="I9" s="37">
        <v>425</v>
      </c>
      <c r="J9" s="37">
        <v>53.3</v>
      </c>
      <c r="K9" s="37">
        <v>17.100000000000001</v>
      </c>
      <c r="L9" s="37">
        <v>56.5</v>
      </c>
      <c r="M9" s="37">
        <v>51.4</v>
      </c>
      <c r="N9" s="37">
        <v>37.799999999999997</v>
      </c>
      <c r="O9" s="37">
        <v>38</v>
      </c>
      <c r="P9" s="21">
        <v>26</v>
      </c>
      <c r="Q9" s="21">
        <v>54</v>
      </c>
      <c r="R9" s="21">
        <v>1</v>
      </c>
      <c r="S9" s="17">
        <v>9</v>
      </c>
      <c r="T9" s="17" t="s">
        <v>7</v>
      </c>
      <c r="U9" s="21">
        <v>8</v>
      </c>
      <c r="V9" s="17" t="s">
        <v>3</v>
      </c>
    </row>
    <row r="10" spans="1:22" x14ac:dyDescent="0.3">
      <c r="A10" s="17">
        <v>7</v>
      </c>
      <c r="B10" s="16">
        <v>44649</v>
      </c>
      <c r="C10" s="17">
        <v>21.5</v>
      </c>
      <c r="D10" s="17">
        <v>368</v>
      </c>
      <c r="E10" s="17">
        <v>350</v>
      </c>
      <c r="F10" s="17">
        <v>150</v>
      </c>
      <c r="G10" s="17">
        <v>8.9</v>
      </c>
      <c r="H10" s="37">
        <v>1768</v>
      </c>
      <c r="I10" s="37">
        <v>389</v>
      </c>
      <c r="J10" s="37">
        <v>55.5</v>
      </c>
      <c r="K10" s="37">
        <v>15.8</v>
      </c>
      <c r="L10" s="37">
        <v>66</v>
      </c>
      <c r="M10" s="37">
        <v>51</v>
      </c>
      <c r="N10" s="37">
        <v>44.5</v>
      </c>
      <c r="O10" s="37">
        <v>37.9</v>
      </c>
      <c r="P10" s="17">
        <v>28</v>
      </c>
      <c r="Q10" s="17">
        <v>51</v>
      </c>
      <c r="R10" s="31">
        <v>2</v>
      </c>
      <c r="S10" s="17">
        <v>8</v>
      </c>
      <c r="T10" s="17" t="s">
        <v>7</v>
      </c>
      <c r="U10" s="17">
        <v>8</v>
      </c>
      <c r="V10" s="31" t="s">
        <v>3</v>
      </c>
    </row>
    <row r="11" spans="1:22" x14ac:dyDescent="0.3">
      <c r="A11" s="21">
        <v>8</v>
      </c>
      <c r="B11" s="22">
        <v>44652</v>
      </c>
      <c r="C11" s="21">
        <v>45.9</v>
      </c>
      <c r="D11" s="21">
        <v>780</v>
      </c>
      <c r="E11" s="21">
        <v>750</v>
      </c>
      <c r="F11" s="21">
        <v>160</v>
      </c>
      <c r="G11" s="21">
        <v>8</v>
      </c>
      <c r="H11" s="37">
        <v>3286</v>
      </c>
      <c r="I11" s="37">
        <v>1022</v>
      </c>
      <c r="J11" s="37">
        <v>76.3</v>
      </c>
      <c r="K11" s="37">
        <v>28.8</v>
      </c>
      <c r="L11" s="37">
        <v>89.2</v>
      </c>
      <c r="M11" s="37">
        <v>73.400000000000006</v>
      </c>
      <c r="N11" s="37">
        <v>56.6</v>
      </c>
      <c r="O11" s="37">
        <v>53.6</v>
      </c>
      <c r="P11" s="21">
        <v>30</v>
      </c>
      <c r="Q11" s="21">
        <v>39.700000000000003</v>
      </c>
      <c r="R11" s="21">
        <v>2</v>
      </c>
      <c r="S11" s="21">
        <v>8</v>
      </c>
      <c r="T11" s="21" t="s">
        <v>7</v>
      </c>
      <c r="U11" s="21">
        <v>8</v>
      </c>
      <c r="V11" s="17" t="s">
        <v>3</v>
      </c>
    </row>
    <row r="12" spans="1:22" ht="14.25" customHeight="1" x14ac:dyDescent="0.3">
      <c r="A12" s="42">
        <v>9</v>
      </c>
      <c r="B12" s="43">
        <v>44657</v>
      </c>
      <c r="C12" s="42">
        <v>21.7</v>
      </c>
      <c r="D12" s="42">
        <v>370</v>
      </c>
      <c r="E12" s="42">
        <v>370</v>
      </c>
      <c r="F12" s="42">
        <v>160</v>
      </c>
      <c r="G12" s="42">
        <v>5.8</v>
      </c>
      <c r="H12" s="37">
        <v>906</v>
      </c>
      <c r="I12" s="37">
        <v>206</v>
      </c>
      <c r="J12" s="37">
        <v>54</v>
      </c>
      <c r="K12" s="37">
        <v>12</v>
      </c>
      <c r="L12" s="37">
        <v>34.700000000000003</v>
      </c>
      <c r="M12" s="37">
        <v>35.6</v>
      </c>
      <c r="N12" s="37">
        <v>22.9</v>
      </c>
      <c r="O12" s="37">
        <v>26.4</v>
      </c>
      <c r="P12" s="42">
        <v>24</v>
      </c>
      <c r="Q12" s="42">
        <v>18.600000000000001</v>
      </c>
      <c r="R12" s="42">
        <v>1</v>
      </c>
      <c r="S12" s="42">
        <v>11</v>
      </c>
      <c r="T12" s="42" t="s">
        <v>33</v>
      </c>
      <c r="U12" s="21" t="s">
        <v>4</v>
      </c>
      <c r="V12" s="17" t="s">
        <v>3</v>
      </c>
    </row>
    <row r="13" spans="1:22" x14ac:dyDescent="0.3">
      <c r="A13" s="42">
        <v>10</v>
      </c>
      <c r="B13" s="44">
        <v>44656</v>
      </c>
      <c r="C13" s="42">
        <v>47</v>
      </c>
      <c r="D13" s="42">
        <v>800</v>
      </c>
      <c r="E13" s="42">
        <v>800</v>
      </c>
      <c r="F13" s="42">
        <v>173</v>
      </c>
      <c r="G13" s="42">
        <v>5.9</v>
      </c>
      <c r="H13" s="37">
        <v>1542</v>
      </c>
      <c r="I13" s="37">
        <v>575</v>
      </c>
      <c r="J13" s="37">
        <v>78.599999999999994</v>
      </c>
      <c r="K13" s="37">
        <v>26.3</v>
      </c>
      <c r="L13" s="37">
        <v>40.6</v>
      </c>
      <c r="M13" s="37">
        <v>45</v>
      </c>
      <c r="N13" s="37">
        <v>25.3</v>
      </c>
      <c r="O13" s="37">
        <v>32.5</v>
      </c>
      <c r="P13" s="42">
        <v>35</v>
      </c>
      <c r="Q13" s="42">
        <v>10</v>
      </c>
      <c r="R13" s="42">
        <v>1</v>
      </c>
      <c r="S13" s="42">
        <v>11</v>
      </c>
      <c r="T13" s="42" t="s">
        <v>33</v>
      </c>
      <c r="U13" s="21" t="s">
        <v>4</v>
      </c>
      <c r="V13" s="17" t="s">
        <v>3</v>
      </c>
    </row>
    <row r="14" spans="1:22" x14ac:dyDescent="0.3">
      <c r="A14" s="42">
        <v>11</v>
      </c>
      <c r="B14" s="44">
        <v>44651</v>
      </c>
      <c r="C14" s="42">
        <v>19.7</v>
      </c>
      <c r="D14" s="42">
        <v>340</v>
      </c>
      <c r="E14" s="42">
        <v>350</v>
      </c>
      <c r="F14" s="42">
        <v>127</v>
      </c>
      <c r="G14" s="42">
        <v>6.6</v>
      </c>
      <c r="H14" s="37">
        <v>728</v>
      </c>
      <c r="I14" s="37">
        <v>169</v>
      </c>
      <c r="J14" s="37">
        <v>43.3</v>
      </c>
      <c r="K14" s="37">
        <v>10</v>
      </c>
      <c r="L14" s="37">
        <v>34.799999999999997</v>
      </c>
      <c r="M14" s="37">
        <v>34.6</v>
      </c>
      <c r="N14" s="37">
        <v>23.1</v>
      </c>
      <c r="O14" s="37">
        <v>25.7</v>
      </c>
      <c r="P14" s="42">
        <v>9.6999999999999993</v>
      </c>
      <c r="Q14" s="42">
        <v>41</v>
      </c>
      <c r="R14" s="42">
        <v>1</v>
      </c>
      <c r="S14" s="42">
        <v>11</v>
      </c>
      <c r="T14" s="42" t="s">
        <v>33</v>
      </c>
      <c r="U14" s="21" t="s">
        <v>4</v>
      </c>
      <c r="V14" s="17" t="s">
        <v>7</v>
      </c>
    </row>
    <row r="15" spans="1:22" x14ac:dyDescent="0.3">
      <c r="A15" s="42">
        <v>12</v>
      </c>
      <c r="B15" s="44">
        <v>44655</v>
      </c>
      <c r="C15" s="42">
        <v>43.8</v>
      </c>
      <c r="D15" s="42">
        <v>747</v>
      </c>
      <c r="E15" s="42">
        <v>750</v>
      </c>
      <c r="F15" s="42">
        <v>141</v>
      </c>
      <c r="G15" s="42">
        <v>6.2</v>
      </c>
      <c r="H15" s="37">
        <v>1271</v>
      </c>
      <c r="I15" s="37">
        <v>526</v>
      </c>
      <c r="J15" s="37">
        <v>64.2</v>
      </c>
      <c r="K15" s="37">
        <v>22.3</v>
      </c>
      <c r="L15" s="37">
        <v>41</v>
      </c>
      <c r="M15" s="37">
        <v>48.9</v>
      </c>
      <c r="N15" s="37">
        <v>26</v>
      </c>
      <c r="O15" s="37">
        <v>35</v>
      </c>
      <c r="P15" s="42">
        <v>15</v>
      </c>
      <c r="Q15" s="42">
        <v>21.8</v>
      </c>
      <c r="R15" s="42">
        <v>1</v>
      </c>
      <c r="S15" s="42">
        <v>11</v>
      </c>
      <c r="T15" s="42" t="s">
        <v>33</v>
      </c>
      <c r="U15" s="21" t="s">
        <v>4</v>
      </c>
      <c r="V15" s="17" t="s">
        <v>7</v>
      </c>
    </row>
    <row r="16" spans="1:22" x14ac:dyDescent="0.3">
      <c r="A16" s="42">
        <v>13</v>
      </c>
      <c r="B16" s="44">
        <v>44658</v>
      </c>
      <c r="C16" s="42">
        <v>21.7</v>
      </c>
      <c r="D16" s="42">
        <v>371</v>
      </c>
      <c r="E16" s="42">
        <v>370</v>
      </c>
      <c r="F16" s="42">
        <v>160</v>
      </c>
      <c r="G16" s="42">
        <v>5.7</v>
      </c>
      <c r="H16" s="37">
        <v>904</v>
      </c>
      <c r="I16" s="37">
        <v>174</v>
      </c>
      <c r="J16" s="37">
        <v>54</v>
      </c>
      <c r="K16" s="37">
        <v>11.2</v>
      </c>
      <c r="L16" s="37">
        <v>34.6</v>
      </c>
      <c r="M16" s="37">
        <v>32.299999999999997</v>
      </c>
      <c r="N16" s="37">
        <v>23</v>
      </c>
      <c r="O16" s="37">
        <v>24.3</v>
      </c>
      <c r="P16" s="42">
        <v>24</v>
      </c>
      <c r="Q16" s="42">
        <v>19.5</v>
      </c>
      <c r="R16" s="42">
        <v>2</v>
      </c>
      <c r="S16" s="42">
        <v>10</v>
      </c>
      <c r="T16" s="42" t="s">
        <v>33</v>
      </c>
      <c r="U16" s="21" t="s">
        <v>4</v>
      </c>
      <c r="V16" s="17" t="s">
        <v>3</v>
      </c>
    </row>
    <row r="17" spans="1:22" x14ac:dyDescent="0.3">
      <c r="A17" s="42">
        <v>14</v>
      </c>
      <c r="B17" s="45">
        <v>44662</v>
      </c>
      <c r="C17" s="46">
        <v>46.5</v>
      </c>
      <c r="D17" s="46">
        <v>790</v>
      </c>
      <c r="E17" s="46">
        <v>790</v>
      </c>
      <c r="F17" s="46">
        <v>167</v>
      </c>
      <c r="G17" s="46">
        <v>5.6</v>
      </c>
      <c r="H17" s="37">
        <v>1564</v>
      </c>
      <c r="I17" s="37">
        <v>487</v>
      </c>
      <c r="J17" s="37">
        <v>77.900000000000006</v>
      </c>
      <c r="K17" s="37">
        <v>24.7</v>
      </c>
      <c r="L17" s="37">
        <v>41.6</v>
      </c>
      <c r="M17" s="37">
        <v>40.9</v>
      </c>
      <c r="N17" s="37">
        <v>26</v>
      </c>
      <c r="O17" s="37">
        <v>29.5</v>
      </c>
      <c r="P17" s="46">
        <v>26</v>
      </c>
      <c r="Q17" s="46">
        <v>15.9</v>
      </c>
      <c r="R17" s="42">
        <v>2</v>
      </c>
      <c r="S17" s="46">
        <v>9</v>
      </c>
      <c r="T17" s="42" t="s">
        <v>33</v>
      </c>
      <c r="U17" s="21" t="s">
        <v>4</v>
      </c>
      <c r="V17" s="17" t="s">
        <v>3</v>
      </c>
    </row>
    <row r="18" spans="1:22" x14ac:dyDescent="0.3">
      <c r="A18" s="42">
        <v>15</v>
      </c>
      <c r="B18" s="47">
        <v>44663</v>
      </c>
      <c r="C18" s="46">
        <v>43.6</v>
      </c>
      <c r="D18" s="46">
        <v>745</v>
      </c>
      <c r="E18" s="46">
        <v>750</v>
      </c>
      <c r="F18" s="46">
        <v>142</v>
      </c>
      <c r="G18" s="46">
        <v>6</v>
      </c>
      <c r="H18" s="37">
        <v>1474</v>
      </c>
      <c r="I18" s="37">
        <v>455</v>
      </c>
      <c r="J18" s="37">
        <v>66.900000000000006</v>
      </c>
      <c r="K18" s="37">
        <v>21.8</v>
      </c>
      <c r="L18" s="37">
        <v>45.6</v>
      </c>
      <c r="M18" s="37">
        <v>43.3</v>
      </c>
      <c r="N18" s="37">
        <v>29</v>
      </c>
      <c r="O18" s="37">
        <v>31.2</v>
      </c>
      <c r="P18" s="46">
        <v>16</v>
      </c>
      <c r="Q18" s="46">
        <v>23</v>
      </c>
      <c r="R18" s="48">
        <v>2</v>
      </c>
      <c r="S18" s="48">
        <v>9.5</v>
      </c>
      <c r="T18" s="49" t="s">
        <v>33</v>
      </c>
      <c r="U18" s="34" t="s">
        <v>4</v>
      </c>
      <c r="V18" s="31" t="s">
        <v>7</v>
      </c>
    </row>
    <row r="19" spans="1:22" x14ac:dyDescent="0.3">
      <c r="A19" s="42">
        <v>16</v>
      </c>
      <c r="B19" s="44">
        <v>44664</v>
      </c>
      <c r="C19" s="42">
        <v>19.8</v>
      </c>
      <c r="D19" s="42">
        <v>340</v>
      </c>
      <c r="E19" s="42">
        <v>340</v>
      </c>
      <c r="F19" s="42">
        <v>127</v>
      </c>
      <c r="G19" s="42">
        <v>7</v>
      </c>
      <c r="H19" s="37">
        <v>848</v>
      </c>
      <c r="I19" s="37">
        <v>173</v>
      </c>
      <c r="J19" s="37">
        <v>44.4</v>
      </c>
      <c r="K19" s="37">
        <v>9.8000000000000007</v>
      </c>
      <c r="L19" s="37">
        <v>39.5</v>
      </c>
      <c r="M19" s="37">
        <v>36.6</v>
      </c>
      <c r="N19" s="37">
        <v>26.4</v>
      </c>
      <c r="O19" s="37">
        <v>27.4</v>
      </c>
      <c r="P19" s="42">
        <v>11</v>
      </c>
      <c r="Q19" s="42">
        <v>41.6</v>
      </c>
      <c r="R19" s="42">
        <v>2</v>
      </c>
      <c r="S19" s="42">
        <v>9.5</v>
      </c>
      <c r="T19" s="49" t="s">
        <v>33</v>
      </c>
      <c r="U19" s="21" t="s">
        <v>4</v>
      </c>
      <c r="V19" s="17" t="s">
        <v>7</v>
      </c>
    </row>
    <row r="20" spans="1:22" x14ac:dyDescent="0.3">
      <c r="A20" s="17">
        <v>17</v>
      </c>
      <c r="B20" s="16">
        <v>44665</v>
      </c>
      <c r="C20" s="17">
        <v>19.7</v>
      </c>
      <c r="D20" s="17">
        <v>337</v>
      </c>
      <c r="E20" s="17">
        <v>340</v>
      </c>
      <c r="F20" s="17">
        <v>103</v>
      </c>
      <c r="G20" s="17">
        <v>21</v>
      </c>
      <c r="H20" s="41">
        <v>1503</v>
      </c>
      <c r="I20" s="41">
        <v>379</v>
      </c>
      <c r="J20" s="41">
        <v>41.3</v>
      </c>
      <c r="K20" s="41">
        <v>14.5</v>
      </c>
      <c r="L20" s="41">
        <v>75.3</v>
      </c>
      <c r="M20" s="41">
        <v>54.1</v>
      </c>
      <c r="N20" s="41">
        <v>51.4</v>
      </c>
      <c r="O20" s="41">
        <v>40.1</v>
      </c>
      <c r="P20" s="17">
        <v>16.7</v>
      </c>
      <c r="Q20" s="17">
        <v>73.2</v>
      </c>
      <c r="R20" s="17">
        <v>1</v>
      </c>
      <c r="S20" s="17">
        <v>10</v>
      </c>
      <c r="T20" s="17" t="s">
        <v>7</v>
      </c>
      <c r="U20" s="17">
        <v>8</v>
      </c>
      <c r="V20" s="17" t="s">
        <v>7</v>
      </c>
    </row>
    <row r="21" spans="1:22" x14ac:dyDescent="0.3">
      <c r="A21" s="17">
        <v>18</v>
      </c>
      <c r="B21" s="16">
        <v>44666</v>
      </c>
      <c r="C21" s="17">
        <v>42</v>
      </c>
      <c r="D21" s="17">
        <v>716</v>
      </c>
      <c r="E21" s="17">
        <v>720</v>
      </c>
      <c r="F21" s="17">
        <v>113</v>
      </c>
      <c r="G21" s="17">
        <v>16.3</v>
      </c>
      <c r="H21" s="38">
        <v>2291</v>
      </c>
      <c r="I21" s="38">
        <v>1081</v>
      </c>
      <c r="J21" s="38">
        <v>51.4</v>
      </c>
      <c r="K21" s="38">
        <v>23.3</v>
      </c>
      <c r="L21" s="38">
        <v>92.2</v>
      </c>
      <c r="M21" s="38">
        <v>96.2</v>
      </c>
      <c r="N21" s="38">
        <v>60.5</v>
      </c>
      <c r="O21" s="38">
        <v>68.900000000000006</v>
      </c>
      <c r="P21" s="17">
        <v>17</v>
      </c>
      <c r="Q21" s="17">
        <v>62.3</v>
      </c>
      <c r="R21" s="17">
        <v>1</v>
      </c>
      <c r="S21" s="17">
        <v>10</v>
      </c>
      <c r="T21" s="17" t="s">
        <v>7</v>
      </c>
      <c r="U21" s="17">
        <v>8</v>
      </c>
      <c r="V21" s="17" t="s">
        <v>7</v>
      </c>
    </row>
    <row r="22" spans="1:22" x14ac:dyDescent="0.3">
      <c r="A22" s="17">
        <v>19</v>
      </c>
      <c r="B22" s="16">
        <v>44670</v>
      </c>
      <c r="C22" s="17">
        <v>31.4</v>
      </c>
      <c r="D22" s="17">
        <v>535</v>
      </c>
      <c r="E22" s="17">
        <v>540</v>
      </c>
      <c r="F22" s="17">
        <v>110</v>
      </c>
      <c r="G22" s="17">
        <v>17.2</v>
      </c>
      <c r="H22" s="38">
        <v>1745</v>
      </c>
      <c r="I22" s="38">
        <v>602</v>
      </c>
      <c r="J22" s="38">
        <v>46.5</v>
      </c>
      <c r="K22" s="38">
        <v>19.7</v>
      </c>
      <c r="L22" s="38">
        <v>77.7</v>
      </c>
      <c r="M22" s="38">
        <v>63.3</v>
      </c>
      <c r="N22" s="38">
        <v>51.9</v>
      </c>
      <c r="O22" s="38">
        <v>45.7</v>
      </c>
      <c r="P22" s="17">
        <v>16</v>
      </c>
      <c r="Q22" s="17">
        <v>69.900000000000006</v>
      </c>
      <c r="R22" s="17">
        <v>1</v>
      </c>
      <c r="S22" s="17">
        <v>10</v>
      </c>
      <c r="T22" s="17" t="s">
        <v>7</v>
      </c>
      <c r="U22" s="17">
        <v>8</v>
      </c>
      <c r="V22" s="17" t="s">
        <v>7</v>
      </c>
    </row>
    <row r="23" spans="1:22" x14ac:dyDescent="0.3">
      <c r="A23" s="17">
        <v>20</v>
      </c>
      <c r="B23" s="16">
        <v>44671</v>
      </c>
      <c r="C23" s="17">
        <v>32.700000000000003</v>
      </c>
      <c r="D23" s="17">
        <v>557</v>
      </c>
      <c r="E23" s="17">
        <v>560</v>
      </c>
      <c r="F23" s="17">
        <v>130</v>
      </c>
      <c r="G23" s="17">
        <v>10.5</v>
      </c>
      <c r="H23" s="38">
        <v>2042</v>
      </c>
      <c r="I23" s="38">
        <v>561</v>
      </c>
      <c r="J23" s="38">
        <v>55.6</v>
      </c>
      <c r="K23" s="38">
        <v>19.600000000000001</v>
      </c>
      <c r="L23" s="38">
        <v>76</v>
      </c>
      <c r="M23" s="38">
        <v>59.2</v>
      </c>
      <c r="N23" s="38">
        <v>50.2</v>
      </c>
      <c r="O23" s="38">
        <v>43.7</v>
      </c>
      <c r="P23" s="17">
        <v>19</v>
      </c>
      <c r="Q23" s="17">
        <v>62</v>
      </c>
      <c r="R23" s="17">
        <v>2</v>
      </c>
      <c r="S23" s="17">
        <v>9</v>
      </c>
      <c r="T23" s="17" t="s">
        <v>7</v>
      </c>
      <c r="U23" s="17">
        <v>8</v>
      </c>
      <c r="V23" s="17" t="s">
        <v>7</v>
      </c>
    </row>
    <row r="24" spans="1:22" x14ac:dyDescent="0.3">
      <c r="A24" s="17">
        <v>21</v>
      </c>
      <c r="B24" s="16">
        <v>44673</v>
      </c>
      <c r="C24" s="17">
        <v>33.700000000000003</v>
      </c>
      <c r="D24" s="17">
        <v>574</v>
      </c>
      <c r="E24" s="17">
        <v>570</v>
      </c>
      <c r="F24" s="17">
        <v>150</v>
      </c>
      <c r="G24" s="17">
        <v>8.1999999999999993</v>
      </c>
      <c r="H24" s="38">
        <v>2211</v>
      </c>
      <c r="I24" s="38">
        <v>503</v>
      </c>
      <c r="J24" s="38">
        <v>64.599999999999994</v>
      </c>
      <c r="K24" s="38">
        <v>20</v>
      </c>
      <c r="L24" s="38">
        <v>70.900000000000006</v>
      </c>
      <c r="M24" s="38">
        <v>52</v>
      </c>
      <c r="N24" s="38">
        <v>46</v>
      </c>
      <c r="O24" s="38">
        <v>38.4</v>
      </c>
      <c r="P24" s="17">
        <v>26</v>
      </c>
      <c r="Q24" s="17">
        <v>47.7</v>
      </c>
      <c r="R24" s="17">
        <v>2</v>
      </c>
      <c r="S24" s="17">
        <v>9</v>
      </c>
      <c r="T24" s="17" t="s">
        <v>7</v>
      </c>
      <c r="U24" s="17">
        <v>8</v>
      </c>
      <c r="V24" s="17" t="s">
        <v>98</v>
      </c>
    </row>
    <row r="32" spans="1:22" x14ac:dyDescent="0.3">
      <c r="H32" s="50" t="s">
        <v>119</v>
      </c>
      <c r="I32" s="50"/>
      <c r="J32" s="50"/>
      <c r="K32" s="50"/>
      <c r="L32" s="50"/>
      <c r="M32" s="50" t="s">
        <v>120</v>
      </c>
      <c r="N32" s="50"/>
      <c r="O32" s="50"/>
    </row>
    <row r="33" spans="8:15" x14ac:dyDescent="0.3">
      <c r="H33" s="50" t="s">
        <v>117</v>
      </c>
      <c r="I33" s="50"/>
      <c r="J33" s="50"/>
      <c r="K33" s="50"/>
      <c r="L33" s="50"/>
      <c r="M33" s="50" t="s">
        <v>117</v>
      </c>
      <c r="N33" s="50"/>
      <c r="O33" s="50"/>
    </row>
    <row r="34" spans="8:15" x14ac:dyDescent="0.3">
      <c r="H34" s="50" t="s">
        <v>113</v>
      </c>
      <c r="I34" s="50" t="s">
        <v>114</v>
      </c>
      <c r="J34" s="50"/>
      <c r="K34" s="50"/>
      <c r="L34" s="50"/>
      <c r="M34" s="50" t="s">
        <v>113</v>
      </c>
      <c r="N34" s="50" t="s">
        <v>114</v>
      </c>
      <c r="O34" s="50"/>
    </row>
    <row r="35" spans="8:15" x14ac:dyDescent="0.3">
      <c r="H35" s="50" t="s">
        <v>112</v>
      </c>
      <c r="I35" s="50" t="s">
        <v>108</v>
      </c>
      <c r="J35" s="50" t="s">
        <v>109</v>
      </c>
      <c r="K35" s="50"/>
      <c r="L35" s="50"/>
      <c r="M35" s="50" t="s">
        <v>112</v>
      </c>
      <c r="N35" s="50" t="s">
        <v>108</v>
      </c>
      <c r="O35" s="50" t="s">
        <v>109</v>
      </c>
    </row>
    <row r="36" spans="8:15" x14ac:dyDescent="0.3">
      <c r="H36" s="50">
        <v>1</v>
      </c>
      <c r="I36" s="50">
        <f>N4</f>
        <v>60.3</v>
      </c>
      <c r="J36" s="50">
        <f>N7</f>
        <v>58.5</v>
      </c>
      <c r="K36" s="50"/>
      <c r="L36" s="50"/>
      <c r="M36" s="50">
        <v>1</v>
      </c>
      <c r="N36" s="50">
        <f>N9</f>
        <v>37.799999999999997</v>
      </c>
      <c r="O36" s="50">
        <f>N10</f>
        <v>44.5</v>
      </c>
    </row>
    <row r="37" spans="8:15" x14ac:dyDescent="0.3">
      <c r="H37" s="50">
        <v>2</v>
      </c>
      <c r="I37" s="50">
        <f>O4</f>
        <v>56.9</v>
      </c>
      <c r="J37" s="50">
        <f>O7</f>
        <v>37.5</v>
      </c>
      <c r="K37" s="50"/>
      <c r="L37" s="50"/>
      <c r="M37" s="50">
        <v>2</v>
      </c>
      <c r="N37" s="50">
        <f>O9</f>
        <v>38</v>
      </c>
      <c r="O37" s="50">
        <f>O10</f>
        <v>37.9</v>
      </c>
    </row>
    <row r="38" spans="8:15" x14ac:dyDescent="0.3">
      <c r="H38" s="50" t="s">
        <v>115</v>
      </c>
      <c r="I38" s="50" t="s">
        <v>116</v>
      </c>
      <c r="J38" s="50"/>
      <c r="K38" s="50"/>
      <c r="L38" s="50"/>
      <c r="M38" s="50" t="s">
        <v>115</v>
      </c>
      <c r="N38" s="50" t="s">
        <v>116</v>
      </c>
      <c r="O38" s="50"/>
    </row>
    <row r="39" spans="8:15" x14ac:dyDescent="0.3">
      <c r="H39" s="50" t="s">
        <v>112</v>
      </c>
      <c r="I39" s="50" t="s">
        <v>110</v>
      </c>
      <c r="J39" s="50" t="s">
        <v>111</v>
      </c>
      <c r="K39" s="50"/>
      <c r="L39" s="50"/>
      <c r="M39" s="50" t="s">
        <v>112</v>
      </c>
      <c r="N39" s="50" t="s">
        <v>110</v>
      </c>
      <c r="O39" s="50" t="s">
        <v>111</v>
      </c>
    </row>
    <row r="40" spans="8:15" x14ac:dyDescent="0.3">
      <c r="H40" s="50">
        <v>1</v>
      </c>
      <c r="I40" s="50">
        <f>N14</f>
        <v>23.1</v>
      </c>
      <c r="J40" s="50">
        <f>N19</f>
        <v>26.4</v>
      </c>
      <c r="K40" s="50"/>
      <c r="L40" s="50"/>
      <c r="M40" s="50">
        <v>1</v>
      </c>
      <c r="N40" s="50">
        <f>N12</f>
        <v>22.9</v>
      </c>
      <c r="O40" s="50">
        <f>N16</f>
        <v>23</v>
      </c>
    </row>
    <row r="41" spans="8:15" x14ac:dyDescent="0.3">
      <c r="H41" s="50">
        <v>2</v>
      </c>
      <c r="I41" s="50">
        <f>O14</f>
        <v>25.7</v>
      </c>
      <c r="J41" s="50">
        <f>O19</f>
        <v>27.4</v>
      </c>
      <c r="K41" s="50"/>
      <c r="L41" s="50"/>
      <c r="M41" s="50">
        <v>2</v>
      </c>
      <c r="N41" s="50">
        <f>O12</f>
        <v>26.4</v>
      </c>
      <c r="O41" s="50">
        <f>O16</f>
        <v>24.3</v>
      </c>
    </row>
    <row r="42" spans="8:15" x14ac:dyDescent="0.3">
      <c r="H42" s="50"/>
      <c r="I42" s="50"/>
      <c r="J42" s="50"/>
      <c r="K42" s="50"/>
      <c r="L42" s="50"/>
      <c r="M42" s="50"/>
      <c r="N42" s="50"/>
      <c r="O42" s="50"/>
    </row>
    <row r="43" spans="8:15" x14ac:dyDescent="0.3">
      <c r="H43" s="50"/>
      <c r="I43" s="50"/>
      <c r="J43" s="50"/>
      <c r="K43" s="50"/>
      <c r="L43" s="50"/>
      <c r="M43" s="50"/>
      <c r="N43" s="50"/>
      <c r="O43" s="50"/>
    </row>
    <row r="44" spans="8:15" x14ac:dyDescent="0.3">
      <c r="H44" s="50" t="s">
        <v>118</v>
      </c>
      <c r="I44" s="50"/>
      <c r="J44" s="50"/>
      <c r="K44" s="50"/>
      <c r="L44" s="50"/>
      <c r="M44" s="50" t="s">
        <v>118</v>
      </c>
      <c r="N44" s="50"/>
      <c r="O44" s="50"/>
    </row>
    <row r="45" spans="8:15" x14ac:dyDescent="0.3">
      <c r="H45" s="50" t="s">
        <v>113</v>
      </c>
      <c r="I45" s="50" t="s">
        <v>114</v>
      </c>
      <c r="J45" s="50"/>
      <c r="K45" s="50"/>
      <c r="L45" s="50"/>
      <c r="M45" s="50" t="s">
        <v>113</v>
      </c>
      <c r="N45" s="50" t="s">
        <v>114</v>
      </c>
      <c r="O45" s="50"/>
    </row>
    <row r="46" spans="8:15" x14ac:dyDescent="0.3">
      <c r="H46" s="50" t="s">
        <v>112</v>
      </c>
      <c r="I46" s="50" t="s">
        <v>108</v>
      </c>
      <c r="J46" s="50" t="s">
        <v>109</v>
      </c>
      <c r="K46" s="50"/>
      <c r="L46" s="50"/>
      <c r="M46" s="50" t="s">
        <v>112</v>
      </c>
      <c r="N46" s="50" t="s">
        <v>108</v>
      </c>
      <c r="O46" s="50" t="s">
        <v>109</v>
      </c>
    </row>
    <row r="47" spans="8:15" x14ac:dyDescent="0.3">
      <c r="H47" s="50">
        <v>1</v>
      </c>
      <c r="I47" s="50">
        <f>N5</f>
        <v>57.8</v>
      </c>
      <c r="J47" s="50">
        <f>N6</f>
        <v>64.599999999999994</v>
      </c>
      <c r="K47" s="50"/>
      <c r="L47" s="50"/>
      <c r="M47" s="50">
        <v>1</v>
      </c>
      <c r="N47" s="50">
        <f>N8</f>
        <v>41.9</v>
      </c>
      <c r="O47" s="50">
        <f>N11</f>
        <v>56.6</v>
      </c>
    </row>
    <row r="48" spans="8:15" x14ac:dyDescent="0.3">
      <c r="H48" s="50">
        <v>2</v>
      </c>
      <c r="I48" s="50">
        <f>O5</f>
        <v>70.5</v>
      </c>
      <c r="J48" s="50">
        <f>O6</f>
        <v>58.7</v>
      </c>
      <c r="K48" s="50"/>
      <c r="L48" s="50"/>
      <c r="M48" s="50">
        <v>2</v>
      </c>
      <c r="N48" s="50">
        <f>O8</f>
        <v>59.2</v>
      </c>
      <c r="O48" s="50">
        <f>O11</f>
        <v>53.6</v>
      </c>
    </row>
    <row r="49" spans="8:15" x14ac:dyDescent="0.3">
      <c r="H49" s="50" t="s">
        <v>115</v>
      </c>
      <c r="I49" s="50" t="s">
        <v>116</v>
      </c>
      <c r="J49" s="50"/>
      <c r="K49" s="50"/>
      <c r="L49" s="50"/>
      <c r="M49" s="50" t="s">
        <v>115</v>
      </c>
      <c r="N49" s="50" t="s">
        <v>116</v>
      </c>
      <c r="O49" s="50"/>
    </row>
    <row r="50" spans="8:15" x14ac:dyDescent="0.3">
      <c r="H50" s="50" t="s">
        <v>112</v>
      </c>
      <c r="I50" s="50" t="s">
        <v>110</v>
      </c>
      <c r="J50" s="50" t="s">
        <v>111</v>
      </c>
      <c r="K50" s="50"/>
      <c r="L50" s="50"/>
      <c r="M50" s="50" t="s">
        <v>112</v>
      </c>
      <c r="N50" s="50" t="s">
        <v>110</v>
      </c>
      <c r="O50" s="50" t="s">
        <v>111</v>
      </c>
    </row>
    <row r="51" spans="8:15" x14ac:dyDescent="0.3">
      <c r="H51" s="50">
        <v>1</v>
      </c>
      <c r="I51" s="50">
        <f>N15</f>
        <v>26</v>
      </c>
      <c r="J51" s="50">
        <f>N18</f>
        <v>29</v>
      </c>
      <c r="K51" s="50"/>
      <c r="L51" s="50"/>
      <c r="M51" s="50">
        <v>1</v>
      </c>
      <c r="N51" s="50">
        <f>N13</f>
        <v>25.3</v>
      </c>
      <c r="O51" s="50">
        <f>N17</f>
        <v>26</v>
      </c>
    </row>
    <row r="52" spans="8:15" x14ac:dyDescent="0.3">
      <c r="H52" s="50">
        <v>2</v>
      </c>
      <c r="I52" s="50">
        <f>O15</f>
        <v>35</v>
      </c>
      <c r="J52" s="50">
        <f>O18</f>
        <v>31.2</v>
      </c>
      <c r="K52" s="50"/>
      <c r="L52" s="50"/>
      <c r="M52" s="50">
        <v>2</v>
      </c>
      <c r="N52" s="50">
        <f>O13</f>
        <v>32.5</v>
      </c>
      <c r="O52" s="50">
        <f>O17</f>
        <v>29.5</v>
      </c>
    </row>
    <row r="56" spans="8:15" x14ac:dyDescent="0.3">
      <c r="I56" t="s">
        <v>125</v>
      </c>
      <c r="N56" t="s">
        <v>126</v>
      </c>
    </row>
    <row r="57" spans="8:15" x14ac:dyDescent="0.3">
      <c r="H57" t="s">
        <v>117</v>
      </c>
      <c r="M57" t="s">
        <v>117</v>
      </c>
    </row>
    <row r="58" spans="8:15" x14ac:dyDescent="0.3">
      <c r="H58" t="s">
        <v>112</v>
      </c>
      <c r="I58" t="s">
        <v>121</v>
      </c>
      <c r="J58" t="s">
        <v>122</v>
      </c>
      <c r="M58" t="s">
        <v>112</v>
      </c>
      <c r="N58" t="s">
        <v>121</v>
      </c>
      <c r="O58" t="s">
        <v>122</v>
      </c>
    </row>
    <row r="59" spans="8:15" x14ac:dyDescent="0.3">
      <c r="H59">
        <v>1</v>
      </c>
      <c r="I59">
        <f>I40</f>
        <v>23.1</v>
      </c>
      <c r="J59">
        <f>N40</f>
        <v>22.9</v>
      </c>
      <c r="M59">
        <v>1</v>
      </c>
      <c r="N59">
        <f>J40</f>
        <v>26.4</v>
      </c>
      <c r="O59">
        <f>O40</f>
        <v>23</v>
      </c>
    </row>
    <row r="60" spans="8:15" x14ac:dyDescent="0.3">
      <c r="H60">
        <v>2</v>
      </c>
      <c r="I60">
        <f>I41</f>
        <v>25.7</v>
      </c>
      <c r="J60">
        <f>N41</f>
        <v>26.4</v>
      </c>
      <c r="M60">
        <v>2</v>
      </c>
      <c r="N60">
        <f>J41</f>
        <v>27.4</v>
      </c>
      <c r="O60">
        <f>O41</f>
        <v>24.3</v>
      </c>
    </row>
    <row r="61" spans="8:15" x14ac:dyDescent="0.3">
      <c r="H61" t="s">
        <v>117</v>
      </c>
      <c r="M61" t="s">
        <v>117</v>
      </c>
    </row>
    <row r="62" spans="8:15" x14ac:dyDescent="0.3">
      <c r="H62" t="s">
        <v>112</v>
      </c>
      <c r="I62" t="s">
        <v>123</v>
      </c>
      <c r="J62" t="s">
        <v>124</v>
      </c>
      <c r="M62" t="s">
        <v>112</v>
      </c>
      <c r="N62" t="s">
        <v>123</v>
      </c>
      <c r="O62" t="s">
        <v>124</v>
      </c>
    </row>
    <row r="63" spans="8:15" x14ac:dyDescent="0.3">
      <c r="H63">
        <v>1</v>
      </c>
      <c r="I63">
        <f>I36</f>
        <v>60.3</v>
      </c>
      <c r="J63">
        <f>N36</f>
        <v>37.799999999999997</v>
      </c>
      <c r="M63">
        <v>1</v>
      </c>
      <c r="N63">
        <f>J36</f>
        <v>58.5</v>
      </c>
      <c r="O63">
        <f>O36</f>
        <v>44.5</v>
      </c>
    </row>
    <row r="64" spans="8:15" x14ac:dyDescent="0.3">
      <c r="H64">
        <v>2</v>
      </c>
      <c r="I64">
        <f>I37</f>
        <v>56.9</v>
      </c>
      <c r="J64">
        <f>N37</f>
        <v>38</v>
      </c>
      <c r="M64">
        <v>2</v>
      </c>
      <c r="N64">
        <f>J37</f>
        <v>37.5</v>
      </c>
      <c r="O64">
        <f>O37</f>
        <v>37.9</v>
      </c>
    </row>
    <row r="67" spans="8:15" x14ac:dyDescent="0.3">
      <c r="H67" t="s">
        <v>118</v>
      </c>
      <c r="M67" t="s">
        <v>118</v>
      </c>
    </row>
    <row r="68" spans="8:15" x14ac:dyDescent="0.3">
      <c r="H68" t="s">
        <v>112</v>
      </c>
      <c r="I68" t="s">
        <v>121</v>
      </c>
      <c r="J68" t="s">
        <v>122</v>
      </c>
      <c r="M68" t="s">
        <v>112</v>
      </c>
      <c r="N68" t="s">
        <v>121</v>
      </c>
      <c r="O68" t="s">
        <v>122</v>
      </c>
    </row>
    <row r="69" spans="8:15" x14ac:dyDescent="0.3">
      <c r="H69">
        <v>1</v>
      </c>
      <c r="I69">
        <f>I51</f>
        <v>26</v>
      </c>
      <c r="J69">
        <f>N51</f>
        <v>25.3</v>
      </c>
      <c r="M69">
        <v>1</v>
      </c>
      <c r="N69">
        <f>J51</f>
        <v>29</v>
      </c>
      <c r="O69">
        <f>O51</f>
        <v>26</v>
      </c>
    </row>
    <row r="70" spans="8:15" x14ac:dyDescent="0.3">
      <c r="H70">
        <v>2</v>
      </c>
      <c r="I70">
        <f>I52</f>
        <v>35</v>
      </c>
      <c r="J70">
        <f>N52</f>
        <v>32.5</v>
      </c>
      <c r="M70">
        <v>2</v>
      </c>
      <c r="N70">
        <f>J52</f>
        <v>31.2</v>
      </c>
      <c r="O70">
        <f>O52</f>
        <v>29.5</v>
      </c>
    </row>
    <row r="71" spans="8:15" x14ac:dyDescent="0.3">
      <c r="H71" t="s">
        <v>118</v>
      </c>
      <c r="M71" t="s">
        <v>118</v>
      </c>
    </row>
    <row r="72" spans="8:15" x14ac:dyDescent="0.3">
      <c r="H72" t="s">
        <v>112</v>
      </c>
      <c r="I72" t="s">
        <v>123</v>
      </c>
      <c r="J72" t="s">
        <v>124</v>
      </c>
      <c r="M72" t="s">
        <v>112</v>
      </c>
      <c r="N72" t="s">
        <v>123</v>
      </c>
      <c r="O72" t="s">
        <v>124</v>
      </c>
    </row>
    <row r="73" spans="8:15" x14ac:dyDescent="0.3">
      <c r="H73">
        <v>1</v>
      </c>
      <c r="I73">
        <f>I47</f>
        <v>57.8</v>
      </c>
      <c r="J73">
        <f>N47</f>
        <v>41.9</v>
      </c>
      <c r="M73">
        <v>1</v>
      </c>
      <c r="N73">
        <f>J47</f>
        <v>64.599999999999994</v>
      </c>
      <c r="O73">
        <f>O47</f>
        <v>56.6</v>
      </c>
    </row>
    <row r="74" spans="8:15" x14ac:dyDescent="0.3">
      <c r="H74">
        <v>2</v>
      </c>
      <c r="I74">
        <f>I48</f>
        <v>70.5</v>
      </c>
      <c r="J74">
        <f>N48</f>
        <v>59.2</v>
      </c>
      <c r="M74">
        <v>2</v>
      </c>
      <c r="N74">
        <f>J48</f>
        <v>58.7</v>
      </c>
      <c r="O74">
        <f>O48</f>
        <v>53.6</v>
      </c>
    </row>
  </sheetData>
  <autoFilter ref="A4:V24" xr:uid="{00000000-0009-0000-0000-000003000000}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G65"/>
  <sheetViews>
    <sheetView zoomScaleNormal="100" workbookViewId="0">
      <selection activeCell="I18" sqref="I17:I18"/>
    </sheetView>
  </sheetViews>
  <sheetFormatPr defaultRowHeight="14.4" x14ac:dyDescent="0.3"/>
  <sheetData>
    <row r="1" spans="2:7" x14ac:dyDescent="0.3">
      <c r="B1" t="s">
        <v>67</v>
      </c>
    </row>
    <row r="2" spans="2:7" x14ac:dyDescent="0.3">
      <c r="C2" t="s">
        <v>49</v>
      </c>
      <c r="D2" t="s">
        <v>53</v>
      </c>
      <c r="E2" t="s">
        <v>64</v>
      </c>
      <c r="F2" t="s">
        <v>66</v>
      </c>
      <c r="G2" t="s">
        <v>85</v>
      </c>
    </row>
    <row r="3" spans="2:7" x14ac:dyDescent="0.3">
      <c r="B3" t="s">
        <v>54</v>
      </c>
      <c r="C3" t="s">
        <v>50</v>
      </c>
      <c r="D3" t="s">
        <v>52</v>
      </c>
      <c r="E3" t="s">
        <v>62</v>
      </c>
      <c r="F3" t="s">
        <v>65</v>
      </c>
      <c r="G3" t="s">
        <v>86</v>
      </c>
    </row>
    <row r="4" spans="2:7" x14ac:dyDescent="0.3">
      <c r="C4" t="s">
        <v>51</v>
      </c>
      <c r="D4" t="s">
        <v>60</v>
      </c>
      <c r="E4">
        <v>146</v>
      </c>
      <c r="F4">
        <v>150</v>
      </c>
      <c r="G4" s="35">
        <v>103</v>
      </c>
    </row>
    <row r="5" spans="2:7" x14ac:dyDescent="0.3">
      <c r="B5" s="26">
        <v>2</v>
      </c>
      <c r="C5">
        <v>41.985101991667683</v>
      </c>
      <c r="D5">
        <v>22.024874175846552</v>
      </c>
      <c r="E5">
        <v>20.707500152419239</v>
      </c>
      <c r="F5">
        <v>10.913316318355035</v>
      </c>
      <c r="G5">
        <v>19.009780541994434</v>
      </c>
    </row>
    <row r="6" spans="2:7" x14ac:dyDescent="0.3">
      <c r="B6" s="26">
        <v>3</v>
      </c>
      <c r="C6">
        <v>49.282258578055746</v>
      </c>
      <c r="D6">
        <v>31.584524259657137</v>
      </c>
      <c r="E6">
        <v>33.647594328842345</v>
      </c>
      <c r="F6">
        <v>24.699344808552063</v>
      </c>
      <c r="G6">
        <v>33.199651598495713</v>
      </c>
    </row>
    <row r="7" spans="2:7" x14ac:dyDescent="0.3">
      <c r="B7" s="26">
        <v>4</v>
      </c>
      <c r="C7">
        <v>56.112060945716529</v>
      </c>
      <c r="D7">
        <v>39.977921758776091</v>
      </c>
      <c r="E7">
        <v>44.287285805038358</v>
      </c>
      <c r="F7">
        <v>37.132849805841396</v>
      </c>
      <c r="G7">
        <v>45.597050010439666</v>
      </c>
    </row>
    <row r="8" spans="2:7" x14ac:dyDescent="0.3">
      <c r="B8" s="26">
        <v>5</v>
      </c>
      <c r="C8">
        <v>62.126298536609447</v>
      </c>
      <c r="D8">
        <v>46.930083603549249</v>
      </c>
      <c r="E8">
        <v>52.483483751548199</v>
      </c>
      <c r="F8">
        <v>48.536798383258734</v>
      </c>
      <c r="G8">
        <v>55.547303924020291</v>
      </c>
    </row>
    <row r="9" spans="2:7" x14ac:dyDescent="0.3">
      <c r="B9" s="26">
        <v>6</v>
      </c>
      <c r="C9">
        <v>68.449426057386432</v>
      </c>
      <c r="D9">
        <v>52.285902466709906</v>
      </c>
      <c r="E9">
        <v>57.983271386731566</v>
      </c>
      <c r="F9">
        <v>58.55921354554269</v>
      </c>
      <c r="G9">
        <v>62.066643532956313</v>
      </c>
    </row>
    <row r="10" spans="2:7" x14ac:dyDescent="0.3">
      <c r="B10" s="26">
        <v>7</v>
      </c>
      <c r="C10">
        <v>75.849160056081871</v>
      </c>
      <c r="D10">
        <v>54.399187975487308</v>
      </c>
      <c r="E10">
        <v>60.050730345213175</v>
      </c>
      <c r="F10">
        <v>64.588208834264151</v>
      </c>
      <c r="G10">
        <v>63.597579580591642</v>
      </c>
    </row>
    <row r="11" spans="2:7" x14ac:dyDescent="0.3">
      <c r="B11" s="26">
        <v>8</v>
      </c>
      <c r="C11">
        <v>84.584352049683062</v>
      </c>
      <c r="D11">
        <v>51.074394883886306</v>
      </c>
      <c r="E11">
        <v>56.804087822024577</v>
      </c>
      <c r="F11">
        <v>63.409111539046883</v>
      </c>
      <c r="G11">
        <v>58.444844630519718</v>
      </c>
    </row>
    <row r="12" spans="2:7" x14ac:dyDescent="0.3">
      <c r="B12" s="26">
        <v>9</v>
      </c>
      <c r="C12">
        <v>97.249747038981255</v>
      </c>
      <c r="D12">
        <v>41.529378758478579</v>
      </c>
      <c r="E12">
        <v>47.591982197079531</v>
      </c>
      <c r="F12">
        <v>53.724749183277915</v>
      </c>
      <c r="G12">
        <v>44.588051513600092</v>
      </c>
    </row>
    <row r="20" spans="2:7" x14ac:dyDescent="0.3">
      <c r="B20" t="s">
        <v>67</v>
      </c>
    </row>
    <row r="21" spans="2:7" x14ac:dyDescent="0.3">
      <c r="C21" t="s">
        <v>56</v>
      </c>
      <c r="D21" t="s">
        <v>58</v>
      </c>
      <c r="E21" t="s">
        <v>63</v>
      </c>
      <c r="F21" t="s">
        <v>73</v>
      </c>
      <c r="G21" s="33" t="s">
        <v>87</v>
      </c>
    </row>
    <row r="22" spans="2:7" x14ac:dyDescent="0.3">
      <c r="B22" t="s">
        <v>55</v>
      </c>
      <c r="C22" t="s">
        <v>50</v>
      </c>
      <c r="D22" t="s">
        <v>52</v>
      </c>
      <c r="E22" t="s">
        <v>62</v>
      </c>
      <c r="F22" t="s">
        <v>65</v>
      </c>
      <c r="G22" t="s">
        <v>88</v>
      </c>
    </row>
    <row r="23" spans="2:7" x14ac:dyDescent="0.3">
      <c r="C23" t="s">
        <v>57</v>
      </c>
      <c r="D23" t="s">
        <v>59</v>
      </c>
      <c r="E23" t="s">
        <v>61</v>
      </c>
      <c r="F23" t="s">
        <v>72</v>
      </c>
      <c r="G23" s="33">
        <v>113</v>
      </c>
    </row>
    <row r="24" spans="2:7" x14ac:dyDescent="0.3">
      <c r="B24" s="26">
        <v>2</v>
      </c>
      <c r="C24">
        <v>106.34172574293588</v>
      </c>
      <c r="D24">
        <v>48.737866390965372</v>
      </c>
      <c r="E24">
        <v>59.023997356036695</v>
      </c>
      <c r="F24">
        <v>32.513483163440867</v>
      </c>
      <c r="G24" s="33">
        <v>49.681861640066721</v>
      </c>
    </row>
    <row r="25" spans="2:7" x14ac:dyDescent="0.3">
      <c r="B25" s="26">
        <v>3</v>
      </c>
      <c r="C25">
        <v>83.671935779220291</v>
      </c>
      <c r="D25">
        <v>45.268908286921722</v>
      </c>
      <c r="E25">
        <v>53.784096966661586</v>
      </c>
      <c r="F25">
        <v>34.560189595439375</v>
      </c>
      <c r="G25" s="33">
        <v>59.327509535026202</v>
      </c>
    </row>
    <row r="26" spans="2:7" x14ac:dyDescent="0.3">
      <c r="B26" s="26">
        <v>4</v>
      </c>
      <c r="C26">
        <v>68.905599121991045</v>
      </c>
      <c r="D26">
        <v>45.386677583210826</v>
      </c>
      <c r="E26">
        <v>50.8026344740287</v>
      </c>
      <c r="F26">
        <v>40.379987874589681</v>
      </c>
      <c r="G26" s="33">
        <v>71.987212831319525</v>
      </c>
    </row>
    <row r="27" spans="2:7" x14ac:dyDescent="0.3">
      <c r="B27" s="26">
        <v>5</v>
      </c>
      <c r="C27">
        <v>61.149096768051443</v>
      </c>
      <c r="D27">
        <v>49.956504386318194</v>
      </c>
      <c r="E27">
        <v>52.886557025522166</v>
      </c>
      <c r="F27">
        <v>48.713075620426373</v>
      </c>
      <c r="G27" s="33">
        <v>81.676532791937689</v>
      </c>
    </row>
    <row r="28" spans="2:7" x14ac:dyDescent="0.3">
      <c r="B28" s="26">
        <v>6</v>
      </c>
      <c r="C28">
        <v>67.191787492884416</v>
      </c>
      <c r="D28">
        <v>59.256931622789452</v>
      </c>
      <c r="E28">
        <v>62.102159890608796</v>
      </c>
      <c r="F28">
        <v>61.059909283788357</v>
      </c>
      <c r="G28" s="33">
        <v>89.561475041445476</v>
      </c>
    </row>
    <row r="29" spans="2:7" x14ac:dyDescent="0.3">
      <c r="B29" s="26">
        <v>7</v>
      </c>
      <c r="C29">
        <v>84.042382410705144</v>
      </c>
      <c r="D29">
        <v>74.925592054529545</v>
      </c>
      <c r="E29">
        <v>78.437819139753543</v>
      </c>
      <c r="F29">
        <v>78.206583768120311</v>
      </c>
      <c r="G29" s="33">
        <v>99.643223606208352</v>
      </c>
    </row>
    <row r="30" spans="2:7" x14ac:dyDescent="0.3">
      <c r="B30" s="26">
        <v>8</v>
      </c>
      <c r="C30">
        <v>113.43681092980887</v>
      </c>
      <c r="D30">
        <v>97.643957097093889</v>
      </c>
      <c r="E30">
        <v>103.06724515222547</v>
      </c>
      <c r="F30">
        <v>102.89844147221589</v>
      </c>
      <c r="G30" s="33">
        <v>113.05997719961599</v>
      </c>
    </row>
    <row r="31" spans="2:7" x14ac:dyDescent="0.3">
      <c r="B31" s="26">
        <v>9</v>
      </c>
      <c r="C31">
        <v>161.23640954039141</v>
      </c>
      <c r="D31">
        <v>129.98102419843897</v>
      </c>
      <c r="E31">
        <v>141.2771076215304</v>
      </c>
      <c r="F31">
        <v>138.15783459848433</v>
      </c>
      <c r="G31" s="33">
        <v>133.10385106576129</v>
      </c>
    </row>
    <row r="38" spans="2:6" x14ac:dyDescent="0.3">
      <c r="B38" t="s">
        <v>68</v>
      </c>
    </row>
    <row r="39" spans="2:6" x14ac:dyDescent="0.3">
      <c r="C39" t="s">
        <v>70</v>
      </c>
      <c r="D39" t="s">
        <v>78</v>
      </c>
      <c r="E39" s="33">
        <v>4.07</v>
      </c>
      <c r="F39" t="s">
        <v>84</v>
      </c>
    </row>
    <row r="40" spans="2:6" x14ac:dyDescent="0.3">
      <c r="B40" t="s">
        <v>54</v>
      </c>
      <c r="C40" t="s">
        <v>71</v>
      </c>
      <c r="D40" t="s">
        <v>77</v>
      </c>
      <c r="E40" s="33" t="s">
        <v>81</v>
      </c>
      <c r="F40" t="s">
        <v>83</v>
      </c>
    </row>
    <row r="41" spans="2:6" x14ac:dyDescent="0.3">
      <c r="C41" t="s">
        <v>69</v>
      </c>
      <c r="D41">
        <v>160</v>
      </c>
      <c r="E41" s="33">
        <v>160</v>
      </c>
      <c r="F41">
        <v>127</v>
      </c>
    </row>
    <row r="42" spans="2:6" x14ac:dyDescent="0.3">
      <c r="B42" s="26">
        <v>2</v>
      </c>
      <c r="C42">
        <v>9.0762929191626576</v>
      </c>
      <c r="D42">
        <v>8.3641762715067109</v>
      </c>
      <c r="E42" s="33">
        <v>20.884449931006078</v>
      </c>
      <c r="F42">
        <v>20.114764206195609</v>
      </c>
    </row>
    <row r="43" spans="2:6" x14ac:dyDescent="0.3">
      <c r="B43" s="26">
        <v>3</v>
      </c>
      <c r="C43">
        <v>20.25162420505864</v>
      </c>
      <c r="D43">
        <v>19.197021097115371</v>
      </c>
      <c r="E43" s="33">
        <v>21.099168083223073</v>
      </c>
      <c r="F43">
        <v>24.203835579921048</v>
      </c>
    </row>
    <row r="44" spans="2:6" x14ac:dyDescent="0.3">
      <c r="B44" s="26">
        <v>4</v>
      </c>
      <c r="C44">
        <v>31.038664299026262</v>
      </c>
      <c r="D44">
        <v>30.249587333799582</v>
      </c>
      <c r="E44" s="33">
        <v>21.429191262340211</v>
      </c>
      <c r="F44">
        <v>27.963773682096033</v>
      </c>
    </row>
    <row r="45" spans="2:6" x14ac:dyDescent="0.3">
      <c r="B45" s="26">
        <v>5</v>
      </c>
      <c r="C45">
        <v>40.40261733394717</v>
      </c>
      <c r="D45">
        <v>40.694475476941349</v>
      </c>
      <c r="E45" s="33">
        <v>23.171610799663686</v>
      </c>
      <c r="F45">
        <v>32.161449938700407</v>
      </c>
    </row>
    <row r="46" spans="2:6" x14ac:dyDescent="0.3">
      <c r="B46" s="26">
        <v>6</v>
      </c>
      <c r="C46">
        <v>47.720594740671672</v>
      </c>
      <c r="D46">
        <v>48.749610877536171</v>
      </c>
      <c r="E46" s="33">
        <v>27.63475335953094</v>
      </c>
      <c r="F46">
        <v>36.66294371434762</v>
      </c>
    </row>
    <row r="47" spans="2:6" x14ac:dyDescent="0.3">
      <c r="B47" s="26">
        <v>7</v>
      </c>
      <c r="C47">
        <v>50.592013090357639</v>
      </c>
      <c r="D47">
        <v>51.870243419183069</v>
      </c>
      <c r="E47" s="33">
        <v>35.702483169269058</v>
      </c>
      <c r="F47">
        <v>39.89688892530036</v>
      </c>
    </row>
    <row r="48" spans="2:6" x14ac:dyDescent="0.3">
      <c r="B48" s="26">
        <v>8</v>
      </c>
      <c r="C48">
        <v>45.347951127188132</v>
      </c>
      <c r="D48">
        <v>47.336333198410458</v>
      </c>
      <c r="E48" s="33">
        <v>47.709019700904953</v>
      </c>
      <c r="F48">
        <v>41.922290921700544</v>
      </c>
    </row>
    <row r="49" spans="2:6" x14ac:dyDescent="0.3">
      <c r="B49" s="26">
        <v>9</v>
      </c>
      <c r="C49">
        <v>27.886859084876434</v>
      </c>
      <c r="D49">
        <v>31.200175517703808</v>
      </c>
      <c r="E49" s="33">
        <v>64.139764183958576</v>
      </c>
      <c r="F49">
        <v>41.462303433123672</v>
      </c>
    </row>
    <row r="54" spans="2:6" x14ac:dyDescent="0.3">
      <c r="B54" t="s">
        <v>68</v>
      </c>
    </row>
    <row r="55" spans="2:6" x14ac:dyDescent="0.3">
      <c r="C55" t="s">
        <v>74</v>
      </c>
      <c r="D55" t="s">
        <v>76</v>
      </c>
      <c r="E55" t="s">
        <v>80</v>
      </c>
      <c r="F55" t="s">
        <v>82</v>
      </c>
    </row>
    <row r="56" spans="2:6" x14ac:dyDescent="0.3">
      <c r="B56" t="s">
        <v>55</v>
      </c>
      <c r="C56" t="s">
        <v>71</v>
      </c>
      <c r="D56" t="s">
        <v>77</v>
      </c>
      <c r="E56" t="s">
        <v>79</v>
      </c>
      <c r="F56" t="s">
        <v>83</v>
      </c>
    </row>
    <row r="57" spans="2:6" x14ac:dyDescent="0.3">
      <c r="C57" t="s">
        <v>75</v>
      </c>
      <c r="D57">
        <v>174</v>
      </c>
      <c r="E57">
        <v>167</v>
      </c>
      <c r="F57">
        <v>144</v>
      </c>
    </row>
    <row r="58" spans="2:6" x14ac:dyDescent="0.3">
      <c r="B58" s="26">
        <v>2</v>
      </c>
      <c r="C58">
        <v>15.29276972508818</v>
      </c>
      <c r="D58">
        <v>13.911176458406626</v>
      </c>
      <c r="E58">
        <v>17.19301678612015</v>
      </c>
      <c r="F58">
        <v>30.783229278233875</v>
      </c>
    </row>
    <row r="59" spans="2:6" x14ac:dyDescent="0.3">
      <c r="B59" s="26">
        <v>3</v>
      </c>
      <c r="C59">
        <v>23.969693078602567</v>
      </c>
      <c r="D59">
        <v>20.931350356799214</v>
      </c>
      <c r="E59">
        <v>18.498166374402604</v>
      </c>
      <c r="F59">
        <v>28.179686119546325</v>
      </c>
    </row>
    <row r="60" spans="2:6" x14ac:dyDescent="0.3">
      <c r="B60" s="26">
        <v>4</v>
      </c>
      <c r="C60">
        <v>33.303353752982311</v>
      </c>
      <c r="D60">
        <v>28.894878165163369</v>
      </c>
      <c r="E60">
        <v>20.593452103186557</v>
      </c>
      <c r="F60">
        <v>25.904978951131802</v>
      </c>
    </row>
    <row r="61" spans="2:6" x14ac:dyDescent="0.3">
      <c r="B61" s="26">
        <v>5</v>
      </c>
      <c r="C61">
        <v>42.556084619172836</v>
      </c>
      <c r="D61">
        <v>37.190437728827739</v>
      </c>
      <c r="E61">
        <v>24.444111491416411</v>
      </c>
      <c r="F61">
        <v>25.146079179828966</v>
      </c>
    </row>
    <row r="62" spans="2:6" x14ac:dyDescent="0.3">
      <c r="B62" s="26">
        <v>6</v>
      </c>
      <c r="C62">
        <v>51.088188746809145</v>
      </c>
      <c r="D62">
        <v>45.884911441504116</v>
      </c>
      <c r="E62">
        <v>30.435868544225613</v>
      </c>
      <c r="F62">
        <v>27.327609426313483</v>
      </c>
    </row>
    <row r="63" spans="2:6" x14ac:dyDescent="0.3">
      <c r="B63" s="26">
        <v>7</v>
      </c>
      <c r="C63">
        <v>60.673623025383968</v>
      </c>
      <c r="D63">
        <v>56.42229186717416</v>
      </c>
      <c r="E63">
        <v>41.83365508831757</v>
      </c>
      <c r="F63">
        <v>34.745080221575108</v>
      </c>
    </row>
    <row r="64" spans="2:6" x14ac:dyDescent="0.3">
      <c r="B64" s="26">
        <v>8</v>
      </c>
      <c r="C64">
        <v>69.348604651846344</v>
      </c>
      <c r="D64">
        <v>67.084400155938241</v>
      </c>
      <c r="E64">
        <v>56.143118755618353</v>
      </c>
      <c r="F64">
        <v>47.8177268636951</v>
      </c>
    </row>
    <row r="65" spans="2:6" x14ac:dyDescent="0.3">
      <c r="B65" s="26">
        <v>9</v>
      </c>
      <c r="C65">
        <v>76.679718726057146</v>
      </c>
      <c r="D65">
        <v>77.753696473132464</v>
      </c>
      <c r="E65">
        <v>70.043894586068745</v>
      </c>
      <c r="F65">
        <v>67.276705081719555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10:K10"/>
  <sheetViews>
    <sheetView workbookViewId="0">
      <selection activeCell="D31" sqref="D31"/>
    </sheetView>
  </sheetViews>
  <sheetFormatPr defaultRowHeight="14.4" x14ac:dyDescent="0.3"/>
  <cols>
    <col min="3" max="3" width="30.88671875" customWidth="1"/>
  </cols>
  <sheetData>
    <row r="10" spans="3:11" x14ac:dyDescent="0.3">
      <c r="C10" s="29" t="s">
        <v>45</v>
      </c>
      <c r="D10" s="29">
        <f>0.0185*3</f>
        <v>5.5499999999999994E-2</v>
      </c>
      <c r="E10" s="29">
        <f t="shared" ref="E10:J10" si="0">0.02*3</f>
        <v>0.06</v>
      </c>
      <c r="F10" s="29">
        <f t="shared" si="0"/>
        <v>0.06</v>
      </c>
      <c r="G10" s="29">
        <f t="shared" si="0"/>
        <v>0.06</v>
      </c>
      <c r="H10" s="29">
        <f t="shared" si="0"/>
        <v>0.06</v>
      </c>
      <c r="I10" s="29">
        <f t="shared" si="0"/>
        <v>0.06</v>
      </c>
      <c r="J10" s="29">
        <f t="shared" si="0"/>
        <v>0.06</v>
      </c>
      <c r="K10" s="29">
        <f>0.0185*3</f>
        <v>5.5499999999999994E-2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284"/>
  <sheetViews>
    <sheetView topLeftCell="A427" zoomScale="70" zoomScaleNormal="70" workbookViewId="0">
      <selection activeCell="AD18" sqref="AD18"/>
    </sheetView>
  </sheetViews>
  <sheetFormatPr defaultRowHeight="14.4" x14ac:dyDescent="0.3"/>
  <sheetData>
    <row r="1" spans="8:13" x14ac:dyDescent="0.3">
      <c r="H1" s="72" t="s">
        <v>137</v>
      </c>
      <c r="I1" s="33"/>
      <c r="J1" s="33"/>
      <c r="K1" s="33"/>
      <c r="L1" s="33"/>
      <c r="M1" s="33"/>
    </row>
    <row r="2" spans="8:13" x14ac:dyDescent="0.3">
      <c r="H2" s="72" t="s">
        <v>136</v>
      </c>
      <c r="I2" s="33"/>
      <c r="J2" s="33"/>
      <c r="K2" s="33"/>
    </row>
    <row r="64" spans="7:12" x14ac:dyDescent="0.3">
      <c r="G64" s="72" t="s">
        <v>139</v>
      </c>
      <c r="H64" s="33"/>
      <c r="I64" s="33"/>
      <c r="J64" s="33"/>
      <c r="K64" s="33"/>
      <c r="L64" s="33"/>
    </row>
    <row r="284" spans="1:28" x14ac:dyDescent="0.3">
      <c r="A284" s="33"/>
      <c r="B284" s="33"/>
      <c r="C284" s="33"/>
      <c r="D284" s="33"/>
      <c r="E284" s="33"/>
      <c r="F284" s="33"/>
      <c r="G284" s="33"/>
      <c r="H284" s="33"/>
      <c r="I284" s="33" t="s">
        <v>138</v>
      </c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 K. oro stendu</vt:lpstr>
      <vt:lpstr>Sheet3</vt:lpstr>
      <vt:lpstr>Seni eksp.</vt:lpstr>
      <vt:lpstr>Nauji eks(2 ruozai)</vt:lpstr>
      <vt:lpstr>Nauji eks(2 ruozai-darbinis</vt:lpstr>
      <vt:lpstr>Sheet1</vt:lpstr>
      <vt:lpstr>Sheet2</vt:lpstr>
      <vt:lpstr>Seni eksp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Arūnas Sirvydas</dc:creator>
  <cp:lastModifiedBy>Carnival Stores</cp:lastModifiedBy>
  <dcterms:created xsi:type="dcterms:W3CDTF">2020-07-15T10:25:12Z</dcterms:created>
  <dcterms:modified xsi:type="dcterms:W3CDTF">2023-04-27T08:29:03Z</dcterms:modified>
</cp:coreProperties>
</file>