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55"/>
  </bookViews>
  <sheets>
    <sheet name="Data" sheetId="1" r:id="rId1"/>
    <sheet name="Calculations" sheetId="2" r:id="rId2"/>
    <sheet name="Cash Details" sheetId="6" r:id="rId3"/>
    <sheet name="Cash Flow" sheetId="3" r:id="rId4"/>
    <sheet name="NPV+IRR" sheetId="5" r:id="rId5"/>
    <sheet name="Graphs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3" l="1"/>
  <c r="N7" i="3"/>
  <c r="O7" i="3"/>
  <c r="N6" i="3"/>
  <c r="O6" i="3"/>
  <c r="S38" i="2" l="1"/>
  <c r="T38" i="2"/>
  <c r="U38" i="2"/>
  <c r="V38" i="2"/>
  <c r="W38" i="2"/>
  <c r="X38" i="2"/>
  <c r="Y38" i="2"/>
  <c r="Z38" i="2"/>
  <c r="AA38" i="2"/>
  <c r="AB38" i="2"/>
  <c r="AC38" i="2"/>
  <c r="S45" i="2"/>
  <c r="T45" i="2"/>
  <c r="U45" i="2"/>
  <c r="V45" i="2"/>
  <c r="W45" i="2"/>
  <c r="X45" i="2"/>
  <c r="Y45" i="2"/>
  <c r="Z45" i="2"/>
  <c r="AA45" i="2"/>
  <c r="AB45" i="2"/>
  <c r="AC45" i="2"/>
  <c r="T40" i="2" l="1"/>
  <c r="U40" i="2"/>
  <c r="V40" i="2"/>
  <c r="W40" i="2"/>
  <c r="X40" i="2"/>
  <c r="Y40" i="2"/>
  <c r="Z40" i="2"/>
  <c r="AA40" i="2"/>
  <c r="AB40" i="2"/>
  <c r="AC40" i="2"/>
  <c r="C10" i="1" l="1"/>
  <c r="C11" i="5" l="1"/>
  <c r="C10" i="5"/>
  <c r="C9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D8" i="5"/>
  <c r="E8" i="5"/>
  <c r="C8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10" i="5"/>
  <c r="AB8" i="5"/>
  <c r="AB9" i="5" s="1"/>
  <c r="AB11" i="5" s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D3" i="2"/>
  <c r="E3" i="2"/>
  <c r="F3" i="2"/>
  <c r="G3" i="2"/>
  <c r="H3" i="2"/>
  <c r="H5" i="2" s="1"/>
  <c r="I3" i="2"/>
  <c r="J3" i="2"/>
  <c r="K3" i="2"/>
  <c r="L3" i="2"/>
  <c r="L5" i="2" s="1"/>
  <c r="M3" i="2"/>
  <c r="N3" i="2"/>
  <c r="O3" i="2"/>
  <c r="P3" i="2"/>
  <c r="P5" i="2" s="1"/>
  <c r="Q3" i="2"/>
  <c r="R3" i="2"/>
  <c r="S3" i="2"/>
  <c r="T3" i="2"/>
  <c r="T5" i="2" s="1"/>
  <c r="U3" i="2"/>
  <c r="V3" i="2"/>
  <c r="W3" i="2"/>
  <c r="X3" i="2"/>
  <c r="X5" i="2" s="1"/>
  <c r="Y3" i="2"/>
  <c r="Z3" i="2"/>
  <c r="AA3" i="2"/>
  <c r="AB3" i="2"/>
  <c r="AB5" i="2" s="1"/>
  <c r="AC3" i="2"/>
  <c r="G5" i="2"/>
  <c r="K5" i="2"/>
  <c r="O5" i="2"/>
  <c r="S5" i="2"/>
  <c r="W5" i="2"/>
  <c r="AA5" i="2"/>
  <c r="AC5" i="2" l="1"/>
  <c r="Y5" i="2"/>
  <c r="U5" i="2"/>
  <c r="Q5" i="2"/>
  <c r="M5" i="2"/>
  <c r="I5" i="2"/>
  <c r="E5" i="2"/>
  <c r="E6" i="2" s="1"/>
  <c r="Z5" i="2"/>
  <c r="V5" i="2"/>
  <c r="R5" i="2"/>
  <c r="N5" i="2"/>
  <c r="J5" i="2"/>
  <c r="F5" i="2"/>
  <c r="F6" i="2" l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B36" i="6" l="1"/>
  <c r="L4" i="6"/>
  <c r="L5" i="6"/>
  <c r="L6" i="6"/>
  <c r="L7" i="6"/>
  <c r="L10" i="6"/>
  <c r="L11" i="6"/>
  <c r="J4" i="6"/>
  <c r="J5" i="6"/>
  <c r="J6" i="6"/>
  <c r="J7" i="6"/>
  <c r="J8" i="6"/>
  <c r="L8" i="6" s="1"/>
  <c r="J9" i="6"/>
  <c r="L9" i="6" s="1"/>
  <c r="J10" i="6"/>
  <c r="J3" i="6"/>
  <c r="L3" i="6" s="1"/>
  <c r="E28" i="6"/>
  <c r="F28" i="6" s="1"/>
  <c r="E27" i="6"/>
  <c r="D27" i="6"/>
  <c r="E26" i="6"/>
  <c r="D26" i="6"/>
  <c r="E25" i="6"/>
  <c r="D25" i="6"/>
  <c r="F25" i="6" s="1"/>
  <c r="E24" i="6"/>
  <c r="D24" i="6"/>
  <c r="F24" i="6" s="1"/>
  <c r="E23" i="6"/>
  <c r="D23" i="6"/>
  <c r="F23" i="6" s="1"/>
  <c r="F22" i="6"/>
  <c r="E22" i="6"/>
  <c r="D22" i="6"/>
  <c r="E21" i="6"/>
  <c r="D21" i="6"/>
  <c r="G15" i="6"/>
  <c r="G17" i="6" s="1"/>
  <c r="G9" i="6"/>
  <c r="G7" i="6"/>
  <c r="G6" i="6"/>
  <c r="G4" i="6"/>
  <c r="F21" i="6" l="1"/>
  <c r="F27" i="6"/>
  <c r="E18" i="3"/>
  <c r="F18" i="3" s="1"/>
  <c r="G18" i="3" s="1"/>
  <c r="H18" i="3" s="1"/>
  <c r="I18" i="3" s="1"/>
  <c r="J18" i="3" s="1"/>
  <c r="K18" i="3" s="1"/>
  <c r="L18" i="3" s="1"/>
  <c r="M18" i="3" s="1"/>
  <c r="N18" i="3" s="1"/>
  <c r="O18" i="3" s="1"/>
  <c r="P18" i="3" s="1"/>
  <c r="Q18" i="3" s="1"/>
  <c r="R18" i="3" s="1"/>
  <c r="S18" i="3" s="1"/>
  <c r="T18" i="3" s="1"/>
  <c r="U18" i="3" s="1"/>
  <c r="V18" i="3" s="1"/>
  <c r="W18" i="3" s="1"/>
  <c r="X18" i="3" s="1"/>
  <c r="Y18" i="3" s="1"/>
  <c r="Z18" i="3" s="1"/>
  <c r="AA18" i="3" s="1"/>
  <c r="AB18" i="3" s="1"/>
  <c r="J13" i="6"/>
  <c r="F26" i="6"/>
  <c r="G30" i="6" s="1"/>
  <c r="G32" i="6" s="1"/>
  <c r="E35" i="6" s="1"/>
  <c r="C4" i="3" s="1"/>
  <c r="D19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D16" i="2"/>
  <c r="D6" i="1"/>
  <c r="H17" i="2" s="1"/>
  <c r="E36" i="6" l="1"/>
  <c r="E37" i="6" s="1"/>
  <c r="D17" i="2"/>
  <c r="AA17" i="2"/>
  <c r="W17" i="2"/>
  <c r="X19" i="2" s="1"/>
  <c r="S17" i="2"/>
  <c r="O17" i="2"/>
  <c r="K17" i="2"/>
  <c r="G17" i="2"/>
  <c r="H19" i="2" s="1"/>
  <c r="E17" i="2"/>
  <c r="Z17" i="2"/>
  <c r="V17" i="2"/>
  <c r="R17" i="2"/>
  <c r="N17" i="2"/>
  <c r="J17" i="2"/>
  <c r="F17" i="2"/>
  <c r="AC17" i="2"/>
  <c r="Y17" i="2"/>
  <c r="U17" i="2"/>
  <c r="Q17" i="2"/>
  <c r="M17" i="2"/>
  <c r="I17" i="2"/>
  <c r="I19" i="2" s="1"/>
  <c r="AB17" i="2"/>
  <c r="X17" i="2"/>
  <c r="T17" i="2"/>
  <c r="P17" i="2"/>
  <c r="L17" i="2"/>
  <c r="L19" i="2" s="1"/>
  <c r="E63" i="2"/>
  <c r="E62" i="2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F16" i="3"/>
  <c r="E16" i="3"/>
  <c r="D58" i="2"/>
  <c r="D57" i="2"/>
  <c r="C22" i="3" s="1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G12" i="3"/>
  <c r="G13" i="3" s="1"/>
  <c r="H12" i="3"/>
  <c r="H13" i="3" s="1"/>
  <c r="I12" i="3"/>
  <c r="I13" i="3" s="1"/>
  <c r="J12" i="3"/>
  <c r="J13" i="3" s="1"/>
  <c r="K12" i="3"/>
  <c r="K13" i="3" s="1"/>
  <c r="L12" i="3"/>
  <c r="L13" i="3" s="1"/>
  <c r="M12" i="3"/>
  <c r="M13" i="3" s="1"/>
  <c r="N12" i="3"/>
  <c r="N13" i="3" s="1"/>
  <c r="O12" i="3"/>
  <c r="O13" i="3" s="1"/>
  <c r="P12" i="3"/>
  <c r="P13" i="3" s="1"/>
  <c r="Q12" i="3"/>
  <c r="Q13" i="3" s="1"/>
  <c r="R12" i="3"/>
  <c r="R13" i="3" s="1"/>
  <c r="S12" i="3"/>
  <c r="S13" i="3" s="1"/>
  <c r="T12" i="3"/>
  <c r="T13" i="3" s="1"/>
  <c r="U12" i="3"/>
  <c r="U13" i="3" s="1"/>
  <c r="V12" i="3"/>
  <c r="V13" i="3" s="1"/>
  <c r="W12" i="3"/>
  <c r="W13" i="3" s="1"/>
  <c r="X12" i="3"/>
  <c r="X13" i="3" s="1"/>
  <c r="Y12" i="3"/>
  <c r="Y13" i="3" s="1"/>
  <c r="Z12" i="3"/>
  <c r="Z13" i="3" s="1"/>
  <c r="AA12" i="3"/>
  <c r="AA13" i="3" s="1"/>
  <c r="AB12" i="3"/>
  <c r="AB13" i="3" s="1"/>
  <c r="F12" i="3"/>
  <c r="F13" i="3" s="1"/>
  <c r="E12" i="3"/>
  <c r="E13" i="3" s="1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E51" i="2"/>
  <c r="F52" i="2" s="1"/>
  <c r="D51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E44" i="2"/>
  <c r="E45" i="2" s="1"/>
  <c r="D44" i="2"/>
  <c r="D45" i="2" s="1"/>
  <c r="H37" i="2"/>
  <c r="H38" i="2" s="1"/>
  <c r="I37" i="2"/>
  <c r="I38" i="2" s="1"/>
  <c r="J37" i="2"/>
  <c r="J38" i="2" s="1"/>
  <c r="K40" i="2" s="1"/>
  <c r="K37" i="2"/>
  <c r="K38" i="2" s="1"/>
  <c r="L37" i="2"/>
  <c r="L38" i="2" s="1"/>
  <c r="M37" i="2"/>
  <c r="M38" i="2" s="1"/>
  <c r="N37" i="2"/>
  <c r="N38" i="2" s="1"/>
  <c r="O37" i="2"/>
  <c r="O38" i="2" s="1"/>
  <c r="P37" i="2"/>
  <c r="P38" i="2" s="1"/>
  <c r="Q37" i="2"/>
  <c r="Q38" i="2" s="1"/>
  <c r="R37" i="2"/>
  <c r="R38" i="2" s="1"/>
  <c r="S40" i="2" s="1"/>
  <c r="S37" i="2"/>
  <c r="T37" i="2"/>
  <c r="U37" i="2"/>
  <c r="V37" i="2"/>
  <c r="W37" i="2"/>
  <c r="X37" i="2"/>
  <c r="Y37" i="2"/>
  <c r="Z37" i="2"/>
  <c r="AA37" i="2"/>
  <c r="AB37" i="2"/>
  <c r="AC37" i="2"/>
  <c r="E37" i="2"/>
  <c r="E38" i="2" s="1"/>
  <c r="F37" i="2"/>
  <c r="F38" i="2" s="1"/>
  <c r="G37" i="2"/>
  <c r="G38" i="2" s="1"/>
  <c r="H40" i="2" s="1"/>
  <c r="D37" i="2"/>
  <c r="D38" i="2" s="1"/>
  <c r="E30" i="2"/>
  <c r="F30" i="2"/>
  <c r="F31" i="2" s="1"/>
  <c r="G30" i="2"/>
  <c r="G31" i="2" s="1"/>
  <c r="H30" i="2"/>
  <c r="H31" i="2" s="1"/>
  <c r="I30" i="2"/>
  <c r="I31" i="2" s="1"/>
  <c r="J30" i="2"/>
  <c r="J31" i="2" s="1"/>
  <c r="K30" i="2"/>
  <c r="K31" i="2" s="1"/>
  <c r="L30" i="2"/>
  <c r="L31" i="2" s="1"/>
  <c r="M30" i="2"/>
  <c r="N30" i="2"/>
  <c r="N31" i="2" s="1"/>
  <c r="O30" i="2"/>
  <c r="O31" i="2" s="1"/>
  <c r="P30" i="2"/>
  <c r="P31" i="2" s="1"/>
  <c r="Q30" i="2"/>
  <c r="R30" i="2"/>
  <c r="R31" i="2" s="1"/>
  <c r="S30" i="2"/>
  <c r="S31" i="2" s="1"/>
  <c r="T30" i="2"/>
  <c r="T31" i="2" s="1"/>
  <c r="U30" i="2"/>
  <c r="U31" i="2" s="1"/>
  <c r="V30" i="2"/>
  <c r="V31" i="2" s="1"/>
  <c r="W30" i="2"/>
  <c r="W31" i="2" s="1"/>
  <c r="X30" i="2"/>
  <c r="X31" i="2" s="1"/>
  <c r="Y30" i="2"/>
  <c r="Z30" i="2"/>
  <c r="Z31" i="2" s="1"/>
  <c r="AA30" i="2"/>
  <c r="AA31" i="2" s="1"/>
  <c r="AB30" i="2"/>
  <c r="AB31" i="2" s="1"/>
  <c r="AC30" i="2"/>
  <c r="AC31" i="2" s="1"/>
  <c r="E31" i="2"/>
  <c r="M31" i="2"/>
  <c r="Q31" i="2"/>
  <c r="Y31" i="2"/>
  <c r="D30" i="2"/>
  <c r="D31" i="2" s="1"/>
  <c r="E23" i="2"/>
  <c r="E24" i="2" s="1"/>
  <c r="F23" i="2"/>
  <c r="F24" i="2" s="1"/>
  <c r="G23" i="2"/>
  <c r="G24" i="2" s="1"/>
  <c r="H23" i="2"/>
  <c r="H24" i="2" s="1"/>
  <c r="I23" i="2"/>
  <c r="I24" i="2" s="1"/>
  <c r="J23" i="2"/>
  <c r="J24" i="2" s="1"/>
  <c r="K23" i="2"/>
  <c r="K24" i="2" s="1"/>
  <c r="L23" i="2"/>
  <c r="L24" i="2" s="1"/>
  <c r="M23" i="2"/>
  <c r="M24" i="2" s="1"/>
  <c r="N23" i="2"/>
  <c r="N24" i="2" s="1"/>
  <c r="O23" i="2"/>
  <c r="O24" i="2" s="1"/>
  <c r="P23" i="2"/>
  <c r="P24" i="2" s="1"/>
  <c r="Q23" i="2"/>
  <c r="Q24" i="2" s="1"/>
  <c r="R23" i="2"/>
  <c r="R24" i="2" s="1"/>
  <c r="S23" i="2"/>
  <c r="S24" i="2" s="1"/>
  <c r="T23" i="2"/>
  <c r="T24" i="2" s="1"/>
  <c r="U23" i="2"/>
  <c r="U24" i="2" s="1"/>
  <c r="V23" i="2"/>
  <c r="V24" i="2" s="1"/>
  <c r="W23" i="2"/>
  <c r="W24" i="2" s="1"/>
  <c r="X23" i="2"/>
  <c r="X24" i="2" s="1"/>
  <c r="Y23" i="2"/>
  <c r="Y24" i="2" s="1"/>
  <c r="Z23" i="2"/>
  <c r="Z24" i="2" s="1"/>
  <c r="AA23" i="2"/>
  <c r="AA24" i="2" s="1"/>
  <c r="AB23" i="2"/>
  <c r="AB24" i="2" s="1"/>
  <c r="AC23" i="2"/>
  <c r="AC24" i="2" s="1"/>
  <c r="D23" i="2"/>
  <c r="D24" i="2" s="1"/>
  <c r="D11" i="1"/>
  <c r="D10" i="1"/>
  <c r="D9" i="1"/>
  <c r="D8" i="1"/>
  <c r="D7" i="1"/>
  <c r="E9" i="2"/>
  <c r="E10" i="2" s="1"/>
  <c r="F9" i="2"/>
  <c r="F10" i="2" s="1"/>
  <c r="G9" i="2"/>
  <c r="G10" i="2" s="1"/>
  <c r="H9" i="2"/>
  <c r="H10" i="2" s="1"/>
  <c r="I9" i="2"/>
  <c r="I10" i="2" s="1"/>
  <c r="J9" i="2"/>
  <c r="J10" i="2" s="1"/>
  <c r="K9" i="2"/>
  <c r="K10" i="2" s="1"/>
  <c r="L9" i="2"/>
  <c r="L10" i="2" s="1"/>
  <c r="M9" i="2"/>
  <c r="M10" i="2" s="1"/>
  <c r="N9" i="2"/>
  <c r="N10" i="2" s="1"/>
  <c r="O9" i="2"/>
  <c r="O10" i="2" s="1"/>
  <c r="P9" i="2"/>
  <c r="P10" i="2" s="1"/>
  <c r="Q9" i="2"/>
  <c r="Q10" i="2" s="1"/>
  <c r="R9" i="2"/>
  <c r="R10" i="2" s="1"/>
  <c r="S9" i="2"/>
  <c r="S10" i="2" s="1"/>
  <c r="T9" i="2"/>
  <c r="T10" i="2" s="1"/>
  <c r="U9" i="2"/>
  <c r="U10" i="2" s="1"/>
  <c r="V9" i="2"/>
  <c r="V10" i="2" s="1"/>
  <c r="W9" i="2"/>
  <c r="W10" i="2" s="1"/>
  <c r="X9" i="2"/>
  <c r="X10" i="2" s="1"/>
  <c r="Y9" i="2"/>
  <c r="Y10" i="2" s="1"/>
  <c r="Z9" i="2"/>
  <c r="Z10" i="2" s="1"/>
  <c r="AA9" i="2"/>
  <c r="AA10" i="2" s="1"/>
  <c r="AB9" i="2"/>
  <c r="AB10" i="2" s="1"/>
  <c r="AC9" i="2"/>
  <c r="AC10" i="2" s="1"/>
  <c r="D9" i="2"/>
  <c r="D10" i="2" s="1"/>
  <c r="R19" i="2" l="1"/>
  <c r="G19" i="2"/>
  <c r="W19" i="2"/>
  <c r="Q40" i="2"/>
  <c r="M40" i="2"/>
  <c r="I40" i="2"/>
  <c r="G40" i="2"/>
  <c r="P40" i="2"/>
  <c r="L40" i="2"/>
  <c r="F40" i="2"/>
  <c r="O40" i="2"/>
  <c r="E40" i="2"/>
  <c r="R40" i="2"/>
  <c r="N40" i="2"/>
  <c r="J40" i="2"/>
  <c r="C5" i="3"/>
  <c r="C9" i="3" s="1"/>
  <c r="L6" i="3"/>
  <c r="K7" i="5" s="1"/>
  <c r="M6" i="3"/>
  <c r="L7" i="5" s="1"/>
  <c r="K6" i="3"/>
  <c r="J7" i="5" s="1"/>
  <c r="I6" i="3"/>
  <c r="H7" i="5" s="1"/>
  <c r="H6" i="3"/>
  <c r="G7" i="5" s="1"/>
  <c r="G6" i="3"/>
  <c r="F7" i="5" s="1"/>
  <c r="D7" i="5"/>
  <c r="F6" i="3"/>
  <c r="E7" i="5" s="1"/>
  <c r="J6" i="3"/>
  <c r="I7" i="5" s="1"/>
  <c r="C3" i="3"/>
  <c r="C28" i="3" s="1"/>
  <c r="P19" i="2"/>
  <c r="Z19" i="2"/>
  <c r="O19" i="2"/>
  <c r="O56" i="2"/>
  <c r="S56" i="2"/>
  <c r="V19" i="2"/>
  <c r="AB19" i="2"/>
  <c r="K19" i="2"/>
  <c r="AA19" i="2"/>
  <c r="U19" i="2"/>
  <c r="N19" i="2"/>
  <c r="S19" i="2"/>
  <c r="Y19" i="2"/>
  <c r="J19" i="2"/>
  <c r="E19" i="2"/>
  <c r="E20" i="2" s="1"/>
  <c r="W56" i="2"/>
  <c r="G56" i="2"/>
  <c r="M19" i="2"/>
  <c r="AC19" i="2"/>
  <c r="AA56" i="2"/>
  <c r="K56" i="2"/>
  <c r="T19" i="2"/>
  <c r="Q19" i="2"/>
  <c r="F19" i="2"/>
  <c r="E56" i="2"/>
  <c r="F56" i="2"/>
  <c r="Z56" i="2"/>
  <c r="V56" i="2"/>
  <c r="R56" i="2"/>
  <c r="N56" i="2"/>
  <c r="J56" i="2"/>
  <c r="AC56" i="2"/>
  <c r="Y56" i="2"/>
  <c r="U56" i="2"/>
  <c r="Q56" i="2"/>
  <c r="M56" i="2"/>
  <c r="I56" i="2"/>
  <c r="D56" i="2"/>
  <c r="AB56" i="2"/>
  <c r="X56" i="2"/>
  <c r="T56" i="2"/>
  <c r="P56" i="2"/>
  <c r="L56" i="2"/>
  <c r="H56" i="2"/>
  <c r="F47" i="2"/>
  <c r="F26" i="2"/>
  <c r="V52" i="2"/>
  <c r="R47" i="2"/>
  <c r="U52" i="2"/>
  <c r="O52" i="2"/>
  <c r="K52" i="2"/>
  <c r="G52" i="2"/>
  <c r="X26" i="2"/>
  <c r="L26" i="2"/>
  <c r="Z52" i="2"/>
  <c r="R52" i="2"/>
  <c r="N52" i="2"/>
  <c r="J52" i="2"/>
  <c r="AB26" i="2"/>
  <c r="P26" i="2"/>
  <c r="AC52" i="2"/>
  <c r="Y52" i="2"/>
  <c r="Q52" i="2"/>
  <c r="M52" i="2"/>
  <c r="I52" i="2"/>
  <c r="T26" i="2"/>
  <c r="H26" i="2"/>
  <c r="E52" i="2"/>
  <c r="E53" i="2" s="1"/>
  <c r="F53" i="2" s="1"/>
  <c r="AB33" i="2"/>
  <c r="X33" i="2"/>
  <c r="T33" i="2"/>
  <c r="P33" i="2"/>
  <c r="L33" i="2"/>
  <c r="H33" i="2"/>
  <c r="AB47" i="2"/>
  <c r="X47" i="2"/>
  <c r="T47" i="2"/>
  <c r="P47" i="2"/>
  <c r="L47" i="2"/>
  <c r="H47" i="2"/>
  <c r="AA47" i="2"/>
  <c r="K47" i="2"/>
  <c r="Z47" i="2"/>
  <c r="AA33" i="2"/>
  <c r="W33" i="2"/>
  <c r="S33" i="2"/>
  <c r="O33" i="2"/>
  <c r="K33" i="2"/>
  <c r="G33" i="2"/>
  <c r="J47" i="2"/>
  <c r="AC12" i="2"/>
  <c r="Y12" i="2"/>
  <c r="U12" i="2"/>
  <c r="Q12" i="2"/>
  <c r="X12" i="2"/>
  <c r="H12" i="2"/>
  <c r="W47" i="2"/>
  <c r="O47" i="2"/>
  <c r="G47" i="2"/>
  <c r="V47" i="2"/>
  <c r="N47" i="2"/>
  <c r="R33" i="2"/>
  <c r="AA26" i="2"/>
  <c r="W26" i="2"/>
  <c r="S26" i="2"/>
  <c r="O26" i="2"/>
  <c r="G26" i="2"/>
  <c r="R26" i="2"/>
  <c r="M26" i="2"/>
  <c r="Z12" i="2"/>
  <c r="V12" i="2"/>
  <c r="R12" i="2"/>
  <c r="N12" i="2"/>
  <c r="J12" i="2"/>
  <c r="F12" i="2"/>
  <c r="M12" i="2"/>
  <c r="I12" i="2"/>
  <c r="P12" i="2"/>
  <c r="V33" i="2"/>
  <c r="E26" i="2"/>
  <c r="E27" i="2" s="1"/>
  <c r="Z33" i="2"/>
  <c r="J33" i="2"/>
  <c r="E12" i="2"/>
  <c r="E13" i="2" s="1"/>
  <c r="AA12" i="2"/>
  <c r="W12" i="2"/>
  <c r="S12" i="2"/>
  <c r="O12" i="2"/>
  <c r="K12" i="2"/>
  <c r="G12" i="2"/>
  <c r="Z26" i="2"/>
  <c r="AC26" i="2"/>
  <c r="Y26" i="2"/>
  <c r="U26" i="2"/>
  <c r="Q26" i="2"/>
  <c r="I26" i="2"/>
  <c r="E47" i="2"/>
  <c r="E48" i="2" s="1"/>
  <c r="S47" i="2"/>
  <c r="K26" i="2"/>
  <c r="F33" i="2"/>
  <c r="AB12" i="2"/>
  <c r="T12" i="2"/>
  <c r="L12" i="2"/>
  <c r="N33" i="2"/>
  <c r="V26" i="2"/>
  <c r="J26" i="2"/>
  <c r="E33" i="2"/>
  <c r="E34" i="2" s="1"/>
  <c r="AB52" i="2"/>
  <c r="X52" i="2"/>
  <c r="T52" i="2"/>
  <c r="P52" i="2"/>
  <c r="L52" i="2"/>
  <c r="H52" i="2"/>
  <c r="N26" i="2"/>
  <c r="AC33" i="2"/>
  <c r="Y33" i="2"/>
  <c r="U33" i="2"/>
  <c r="Q33" i="2"/>
  <c r="M33" i="2"/>
  <c r="I33" i="2"/>
  <c r="E41" i="2"/>
  <c r="AC47" i="2"/>
  <c r="Y47" i="2"/>
  <c r="U47" i="2"/>
  <c r="Q47" i="2"/>
  <c r="M47" i="2"/>
  <c r="I47" i="2"/>
  <c r="AA52" i="2"/>
  <c r="W52" i="2"/>
  <c r="S52" i="2"/>
  <c r="H66" i="2"/>
  <c r="H17" i="3" s="1"/>
  <c r="H19" i="3" s="1"/>
  <c r="G9" i="5" s="1"/>
  <c r="G66" i="2"/>
  <c r="G17" i="3" s="1"/>
  <c r="D66" i="2"/>
  <c r="C17" i="3" s="1"/>
  <c r="Z66" i="2"/>
  <c r="Z17" i="3" s="1"/>
  <c r="V66" i="2"/>
  <c r="V17" i="3" s="1"/>
  <c r="R66" i="2"/>
  <c r="R17" i="3" s="1"/>
  <c r="N66" i="2"/>
  <c r="N17" i="3" s="1"/>
  <c r="J66" i="2"/>
  <c r="J17" i="3" s="1"/>
  <c r="J19" i="3" s="1"/>
  <c r="I9" i="5" s="1"/>
  <c r="F66" i="2"/>
  <c r="F17" i="3" s="1"/>
  <c r="AA66" i="2"/>
  <c r="AA17" i="3" s="1"/>
  <c r="AA19" i="3" s="1"/>
  <c r="Z9" i="5" s="1"/>
  <c r="W66" i="2"/>
  <c r="W17" i="3" s="1"/>
  <c r="S66" i="2"/>
  <c r="S17" i="3" s="1"/>
  <c r="O66" i="2"/>
  <c r="O17" i="3" s="1"/>
  <c r="O19" i="3" s="1"/>
  <c r="N9" i="5" s="1"/>
  <c r="K66" i="2"/>
  <c r="K17" i="3" s="1"/>
  <c r="K19" i="3" s="1"/>
  <c r="J9" i="5" s="1"/>
  <c r="AB66" i="2"/>
  <c r="AB17" i="3" s="1"/>
  <c r="X66" i="2"/>
  <c r="X17" i="3" s="1"/>
  <c r="T66" i="2"/>
  <c r="T17" i="3" s="1"/>
  <c r="P66" i="2"/>
  <c r="P17" i="3" s="1"/>
  <c r="L66" i="2"/>
  <c r="L17" i="3" s="1"/>
  <c r="AC66" i="2"/>
  <c r="Y66" i="2"/>
  <c r="Y17" i="3" s="1"/>
  <c r="Y19" i="3" s="1"/>
  <c r="X9" i="5" s="1"/>
  <c r="U66" i="2"/>
  <c r="U17" i="3" s="1"/>
  <c r="Q66" i="2"/>
  <c r="Q17" i="3" s="1"/>
  <c r="M66" i="2"/>
  <c r="M17" i="3" s="1"/>
  <c r="M19" i="3" s="1"/>
  <c r="L9" i="5" s="1"/>
  <c r="I66" i="2"/>
  <c r="I17" i="3" s="1"/>
  <c r="I19" i="3" s="1"/>
  <c r="H9" i="5" s="1"/>
  <c r="E66" i="2"/>
  <c r="E17" i="3" s="1"/>
  <c r="E19" i="3" s="1"/>
  <c r="D9" i="5" s="1"/>
  <c r="D7" i="3" l="1"/>
  <c r="D9" i="3"/>
  <c r="E7" i="3" s="1"/>
  <c r="E9" i="3" s="1"/>
  <c r="F41" i="2"/>
  <c r="G41" i="2" s="1"/>
  <c r="H41" i="2" s="1"/>
  <c r="I41" i="2" s="1"/>
  <c r="J41" i="2" s="1"/>
  <c r="K41" i="2" s="1"/>
  <c r="L41" i="2" s="1"/>
  <c r="M41" i="2" s="1"/>
  <c r="N41" i="2" s="1"/>
  <c r="O41" i="2" s="1"/>
  <c r="P41" i="2" s="1"/>
  <c r="Q41" i="2" s="1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AC41" i="2" s="1"/>
  <c r="D28" i="3"/>
  <c r="B2" i="5" s="1"/>
  <c r="C7" i="5"/>
  <c r="C19" i="3"/>
  <c r="C20" i="3" s="1"/>
  <c r="C23" i="3" s="1"/>
  <c r="C25" i="3" s="1"/>
  <c r="C27" i="3" s="1"/>
  <c r="L19" i="3"/>
  <c r="AB19" i="3"/>
  <c r="M20" i="3"/>
  <c r="E20" i="3"/>
  <c r="K20" i="3"/>
  <c r="AA20" i="3"/>
  <c r="S19" i="3"/>
  <c r="N19" i="3"/>
  <c r="P19" i="3"/>
  <c r="R19" i="3"/>
  <c r="Q19" i="3"/>
  <c r="J20" i="3"/>
  <c r="X19" i="3"/>
  <c r="I20" i="3"/>
  <c r="Y20" i="3"/>
  <c r="O20" i="3"/>
  <c r="H20" i="3"/>
  <c r="G19" i="3"/>
  <c r="W19" i="3"/>
  <c r="Z19" i="3"/>
  <c r="T19" i="3"/>
  <c r="F19" i="3"/>
  <c r="U19" i="3"/>
  <c r="V19" i="3"/>
  <c r="F20" i="2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F27" i="2"/>
  <c r="V57" i="2"/>
  <c r="V22" i="3" s="1"/>
  <c r="L57" i="2"/>
  <c r="L22" i="3" s="1"/>
  <c r="J57" i="2"/>
  <c r="J22" i="3" s="1"/>
  <c r="K57" i="2"/>
  <c r="K22" i="3" s="1"/>
  <c r="Q57" i="2"/>
  <c r="Q22" i="3" s="1"/>
  <c r="R57" i="2"/>
  <c r="R22" i="3" s="1"/>
  <c r="F48" i="2"/>
  <c r="G48" i="2" s="1"/>
  <c r="H48" i="2" s="1"/>
  <c r="I48" i="2" s="1"/>
  <c r="J48" i="2" s="1"/>
  <c r="K48" i="2" s="1"/>
  <c r="L48" i="2" s="1"/>
  <c r="M48" i="2" s="1"/>
  <c r="N48" i="2" s="1"/>
  <c r="O48" i="2" s="1"/>
  <c r="P48" i="2" s="1"/>
  <c r="Q48" i="2" s="1"/>
  <c r="R48" i="2" s="1"/>
  <c r="S48" i="2" s="1"/>
  <c r="T48" i="2" s="1"/>
  <c r="U48" i="2" s="1"/>
  <c r="V48" i="2" s="1"/>
  <c r="W48" i="2" s="1"/>
  <c r="X48" i="2" s="1"/>
  <c r="Y48" i="2" s="1"/>
  <c r="Z48" i="2" s="1"/>
  <c r="AA48" i="2" s="1"/>
  <c r="AB48" i="2" s="1"/>
  <c r="AC48" i="2" s="1"/>
  <c r="AA57" i="2"/>
  <c r="AA22" i="3" s="1"/>
  <c r="AA23" i="3" s="1"/>
  <c r="AA25" i="3" s="1"/>
  <c r="Z10" i="5" s="1"/>
  <c r="P57" i="2"/>
  <c r="P22" i="3" s="1"/>
  <c r="T57" i="2"/>
  <c r="T22" i="3" s="1"/>
  <c r="Z57" i="2"/>
  <c r="Z22" i="3" s="1"/>
  <c r="U57" i="2"/>
  <c r="U22" i="3" s="1"/>
  <c r="S57" i="2"/>
  <c r="S22" i="3" s="1"/>
  <c r="N57" i="2"/>
  <c r="N22" i="3" s="1"/>
  <c r="AB57" i="2"/>
  <c r="AB22" i="3" s="1"/>
  <c r="G57" i="2"/>
  <c r="G22" i="3" s="1"/>
  <c r="I57" i="2"/>
  <c r="I22" i="3" s="1"/>
  <c r="Y57" i="2"/>
  <c r="Y22" i="3" s="1"/>
  <c r="O57" i="2"/>
  <c r="O22" i="3" s="1"/>
  <c r="F57" i="2"/>
  <c r="F22" i="3" s="1"/>
  <c r="W57" i="2"/>
  <c r="W22" i="3" s="1"/>
  <c r="M57" i="2"/>
  <c r="M22" i="3" s="1"/>
  <c r="E57" i="2"/>
  <c r="E22" i="3" s="1"/>
  <c r="H57" i="2"/>
  <c r="H22" i="3" s="1"/>
  <c r="X57" i="2"/>
  <c r="X22" i="3" s="1"/>
  <c r="AC57" i="2"/>
  <c r="G53" i="2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G27" i="2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F13" i="2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F34" i="2"/>
  <c r="G34" i="2" s="1"/>
  <c r="H34" i="2" s="1"/>
  <c r="I34" i="2" s="1"/>
  <c r="J34" i="2" s="1"/>
  <c r="K34" i="2" s="1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E58" i="2"/>
  <c r="M23" i="3" l="1"/>
  <c r="M25" i="3" s="1"/>
  <c r="L10" i="5" s="1"/>
  <c r="V20" i="3"/>
  <c r="U9" i="5"/>
  <c r="Z20" i="3"/>
  <c r="Z23" i="3" s="1"/>
  <c r="Z25" i="3" s="1"/>
  <c r="Y10" i="5" s="1"/>
  <c r="Y9" i="5"/>
  <c r="N20" i="3"/>
  <c r="M9" i="5"/>
  <c r="U20" i="3"/>
  <c r="U23" i="3" s="1"/>
  <c r="U25" i="3" s="1"/>
  <c r="T10" i="5" s="1"/>
  <c r="T9" i="5"/>
  <c r="W20" i="3"/>
  <c r="V9" i="5"/>
  <c r="Q20" i="3"/>
  <c r="Q23" i="3" s="1"/>
  <c r="Q25" i="3" s="1"/>
  <c r="P10" i="5" s="1"/>
  <c r="P9" i="5"/>
  <c r="S20" i="3"/>
  <c r="R9" i="5"/>
  <c r="F20" i="3"/>
  <c r="F23" i="3" s="1"/>
  <c r="F25" i="3" s="1"/>
  <c r="E10" i="5" s="1"/>
  <c r="E9" i="5"/>
  <c r="G20" i="3"/>
  <c r="F9" i="5"/>
  <c r="R20" i="3"/>
  <c r="R23" i="3" s="1"/>
  <c r="R25" i="3" s="1"/>
  <c r="Q10" i="5" s="1"/>
  <c r="Q9" i="5"/>
  <c r="AB20" i="3"/>
  <c r="AA9" i="5"/>
  <c r="E23" i="3"/>
  <c r="E25" i="3" s="1"/>
  <c r="D10" i="5" s="1"/>
  <c r="T20" i="3"/>
  <c r="T23" i="3" s="1"/>
  <c r="T25" i="3" s="1"/>
  <c r="S10" i="5" s="1"/>
  <c r="S9" i="5"/>
  <c r="X20" i="3"/>
  <c r="W9" i="5"/>
  <c r="P20" i="3"/>
  <c r="P23" i="3" s="1"/>
  <c r="P25" i="3" s="1"/>
  <c r="O10" i="5" s="1"/>
  <c r="O9" i="5"/>
  <c r="L20" i="3"/>
  <c r="L23" i="3" s="1"/>
  <c r="L25" i="3" s="1"/>
  <c r="K10" i="5" s="1"/>
  <c r="K9" i="5"/>
  <c r="F7" i="3"/>
  <c r="F9" i="3" s="1"/>
  <c r="G7" i="3" s="1"/>
  <c r="G9" i="3" s="1"/>
  <c r="H7" i="3" s="1"/>
  <c r="H9" i="3" s="1"/>
  <c r="I7" i="3" s="1"/>
  <c r="I9" i="3" s="1"/>
  <c r="AA27" i="3"/>
  <c r="C19" i="5"/>
  <c r="Y23" i="3"/>
  <c r="Y25" i="3" s="1"/>
  <c r="X10" i="5" s="1"/>
  <c r="K23" i="3"/>
  <c r="K25" i="3" s="1"/>
  <c r="J10" i="5" s="1"/>
  <c r="O23" i="3"/>
  <c r="O25" i="3" s="1"/>
  <c r="N10" i="5" s="1"/>
  <c r="J23" i="3"/>
  <c r="J25" i="3" s="1"/>
  <c r="I10" i="5" s="1"/>
  <c r="I23" i="3"/>
  <c r="I25" i="3" s="1"/>
  <c r="H10" i="5" s="1"/>
  <c r="S23" i="3"/>
  <c r="S25" i="3" s="1"/>
  <c r="R10" i="5" s="1"/>
  <c r="AB23" i="3"/>
  <c r="AB25" i="3" s="1"/>
  <c r="AA10" i="5" s="1"/>
  <c r="N23" i="3"/>
  <c r="N25" i="3" s="1"/>
  <c r="M10" i="5" s="1"/>
  <c r="W23" i="3"/>
  <c r="W25" i="3" s="1"/>
  <c r="V10" i="5" s="1"/>
  <c r="V23" i="3"/>
  <c r="V25" i="3" s="1"/>
  <c r="U10" i="5" s="1"/>
  <c r="X23" i="3"/>
  <c r="X25" i="3" s="1"/>
  <c r="W10" i="5" s="1"/>
  <c r="H23" i="3"/>
  <c r="H25" i="3" s="1"/>
  <c r="G10" i="5" s="1"/>
  <c r="G23" i="3"/>
  <c r="G25" i="3" s="1"/>
  <c r="F10" i="5" s="1"/>
  <c r="F58" i="2"/>
  <c r="E27" i="3" l="1"/>
  <c r="M27" i="3"/>
  <c r="M28" i="3" s="1"/>
  <c r="K2" i="5" s="1"/>
  <c r="W27" i="3"/>
  <c r="X27" i="3"/>
  <c r="P27" i="3"/>
  <c r="T27" i="3"/>
  <c r="S27" i="3"/>
  <c r="K27" i="3"/>
  <c r="U27" i="3"/>
  <c r="Z27" i="3"/>
  <c r="N27" i="3"/>
  <c r="I27" i="3"/>
  <c r="AA28" i="3"/>
  <c r="Y2" i="5" s="1"/>
  <c r="Z11" i="5"/>
  <c r="G27" i="3"/>
  <c r="V27" i="3"/>
  <c r="L27" i="3"/>
  <c r="AB27" i="3"/>
  <c r="J27" i="3"/>
  <c r="Y27" i="3"/>
  <c r="H27" i="3"/>
  <c r="Q27" i="3"/>
  <c r="R27" i="3"/>
  <c r="F27" i="3"/>
  <c r="O27" i="3"/>
  <c r="E28" i="3"/>
  <c r="C2" i="5" s="1"/>
  <c r="D11" i="5"/>
  <c r="J7" i="3"/>
  <c r="J9" i="3" s="1"/>
  <c r="G58" i="2"/>
  <c r="D20" i="5" l="1"/>
  <c r="L11" i="5"/>
  <c r="O28" i="3"/>
  <c r="M2" i="5" s="1"/>
  <c r="N11" i="5"/>
  <c r="H28" i="3"/>
  <c r="F2" i="5" s="1"/>
  <c r="G11" i="5"/>
  <c r="L28" i="3"/>
  <c r="J2" i="5" s="1"/>
  <c r="K11" i="5"/>
  <c r="N28" i="3"/>
  <c r="L2" i="5" s="1"/>
  <c r="M11" i="5"/>
  <c r="U28" i="3"/>
  <c r="S2" i="5" s="1"/>
  <c r="T11" i="5"/>
  <c r="P28" i="3"/>
  <c r="N2" i="5" s="1"/>
  <c r="O11" i="5"/>
  <c r="W28" i="3"/>
  <c r="U2" i="5" s="1"/>
  <c r="V11" i="5"/>
  <c r="Q28" i="3"/>
  <c r="O2" i="5" s="1"/>
  <c r="P11" i="5"/>
  <c r="AB28" i="3"/>
  <c r="Z2" i="5" s="1"/>
  <c r="AA11" i="5"/>
  <c r="I28" i="3"/>
  <c r="G2" i="5" s="1"/>
  <c r="H11" i="5"/>
  <c r="D19" i="5"/>
  <c r="F28" i="3"/>
  <c r="D2" i="5" s="1"/>
  <c r="G20" i="5" s="1"/>
  <c r="E11" i="5"/>
  <c r="Y28" i="3"/>
  <c r="W2" i="5" s="1"/>
  <c r="X11" i="5"/>
  <c r="V28" i="3"/>
  <c r="T2" i="5" s="1"/>
  <c r="U11" i="5"/>
  <c r="Z28" i="3"/>
  <c r="X2" i="5" s="1"/>
  <c r="Y11" i="5"/>
  <c r="K28" i="3"/>
  <c r="I2" i="5" s="1"/>
  <c r="J11" i="5"/>
  <c r="T28" i="3"/>
  <c r="R2" i="5" s="1"/>
  <c r="S11" i="5"/>
  <c r="X28" i="3"/>
  <c r="V2" i="5" s="1"/>
  <c r="W11" i="5"/>
  <c r="R28" i="3"/>
  <c r="P2" i="5" s="1"/>
  <c r="Q11" i="5"/>
  <c r="J28" i="3"/>
  <c r="H2" i="5" s="1"/>
  <c r="I11" i="5"/>
  <c r="G28" i="3"/>
  <c r="E2" i="5" s="1"/>
  <c r="F11" i="5"/>
  <c r="S28" i="3"/>
  <c r="Q2" i="5" s="1"/>
  <c r="R11" i="5"/>
  <c r="K7" i="3"/>
  <c r="K9" i="3" s="1"/>
  <c r="L7" i="3" s="1"/>
  <c r="L9" i="3" s="1"/>
  <c r="M7" i="3" s="1"/>
  <c r="M9" i="3" s="1"/>
  <c r="H58" i="2"/>
  <c r="J20" i="5" l="1"/>
  <c r="F20" i="5"/>
  <c r="H20" i="5"/>
  <c r="I20" i="5"/>
  <c r="K20" i="5"/>
  <c r="E20" i="5"/>
  <c r="D16" i="5"/>
  <c r="D15" i="5"/>
  <c r="AA19" i="5"/>
  <c r="U20" i="5"/>
  <c r="AA20" i="5"/>
  <c r="E19" i="5"/>
  <c r="W20" i="5"/>
  <c r="P20" i="5"/>
  <c r="S20" i="5"/>
  <c r="Y19" i="5"/>
  <c r="V19" i="5"/>
  <c r="U19" i="5"/>
  <c r="R19" i="5"/>
  <c r="L20" i="5"/>
  <c r="Q19" i="5"/>
  <c r="N19" i="5"/>
  <c r="K19" i="5"/>
  <c r="F19" i="5"/>
  <c r="Z19" i="5"/>
  <c r="Y20" i="5"/>
  <c r="I19" i="5"/>
  <c r="V20" i="5"/>
  <c r="X19" i="5"/>
  <c r="S19" i="5"/>
  <c r="N20" i="5"/>
  <c r="T19" i="5"/>
  <c r="Q20" i="5"/>
  <c r="M19" i="5"/>
  <c r="P19" i="5"/>
  <c r="Z20" i="5"/>
  <c r="G19" i="5"/>
  <c r="O20" i="5"/>
  <c r="L19" i="5"/>
  <c r="X20" i="5"/>
  <c r="H19" i="5"/>
  <c r="T20" i="5"/>
  <c r="J19" i="5"/>
  <c r="M20" i="5"/>
  <c r="R20" i="5"/>
  <c r="O19" i="5"/>
  <c r="W19" i="5"/>
  <c r="I58" i="2"/>
  <c r="D5" i="1"/>
  <c r="D4" i="1"/>
  <c r="J58" i="2" l="1"/>
  <c r="K58" i="2" l="1"/>
  <c r="L58" i="2" l="1"/>
  <c r="M58" i="2" l="1"/>
  <c r="N58" i="2" l="1"/>
  <c r="O58" i="2" l="1"/>
  <c r="P58" i="2" l="1"/>
  <c r="Q58" i="2" l="1"/>
  <c r="R58" i="2" l="1"/>
  <c r="S58" i="2" l="1"/>
  <c r="T58" i="2" l="1"/>
  <c r="U58" i="2" l="1"/>
  <c r="V58" i="2" l="1"/>
  <c r="W58" i="2" l="1"/>
  <c r="X58" i="2" l="1"/>
  <c r="Y58" i="2" l="1"/>
  <c r="Z58" i="2" l="1"/>
  <c r="AA58" i="2" l="1"/>
  <c r="AB58" i="2" l="1"/>
  <c r="AC58" i="2" l="1"/>
</calcChain>
</file>

<file path=xl/sharedStrings.xml><?xml version="1.0" encoding="utf-8"?>
<sst xmlns="http://schemas.openxmlformats.org/spreadsheetml/2006/main" count="196" uniqueCount="104">
  <si>
    <t>Product</t>
  </si>
  <si>
    <t>Quantity</t>
  </si>
  <si>
    <t>Cost</t>
  </si>
  <si>
    <t>Total Cost</t>
  </si>
  <si>
    <t>Live Time</t>
  </si>
  <si>
    <t>PV</t>
  </si>
  <si>
    <t>MPPT</t>
  </si>
  <si>
    <t>Electrolyser</t>
  </si>
  <si>
    <t>Fuel Cell</t>
  </si>
  <si>
    <t>Motor</t>
  </si>
  <si>
    <t>Conections</t>
  </si>
  <si>
    <t>Depreciation Rate</t>
  </si>
  <si>
    <t>Expected shipment</t>
  </si>
  <si>
    <t>Cost/Ton</t>
  </si>
  <si>
    <t>Weight(ton)</t>
  </si>
  <si>
    <t>Sailing expenses</t>
  </si>
  <si>
    <t>Berth Rent</t>
  </si>
  <si>
    <t>Others</t>
  </si>
  <si>
    <t>Labor Costs</t>
  </si>
  <si>
    <t>Labor Cost</t>
  </si>
  <si>
    <t>Shipmaster</t>
  </si>
  <si>
    <t>Technical</t>
  </si>
  <si>
    <t>Shipping bonus</t>
  </si>
  <si>
    <t>Assistants</t>
  </si>
  <si>
    <t>Ship Cost</t>
  </si>
  <si>
    <t>Taxes</t>
  </si>
  <si>
    <t>Wind Turbine</t>
  </si>
  <si>
    <t>Num Of shipping</t>
  </si>
  <si>
    <t>Discount rate</t>
  </si>
  <si>
    <t>Price</t>
  </si>
  <si>
    <t>Year</t>
  </si>
  <si>
    <t>Power</t>
  </si>
  <si>
    <t>Num</t>
  </si>
  <si>
    <t>Ship</t>
  </si>
  <si>
    <t>Ship Structure</t>
  </si>
  <si>
    <t>%increase/year</t>
  </si>
  <si>
    <t>Earn 1 Shiping</t>
  </si>
  <si>
    <t>Earn/Year</t>
  </si>
  <si>
    <t>Basic Salary/mnth</t>
  </si>
  <si>
    <t>%increase in cost</t>
  </si>
  <si>
    <t>Num Of Shipping Days(FOR CREW)  / Year</t>
  </si>
  <si>
    <t>No. OF crews</t>
  </si>
  <si>
    <t>TLC</t>
  </si>
  <si>
    <t>depreciation</t>
  </si>
  <si>
    <t>ACC/Dep</t>
  </si>
  <si>
    <t>Total Comp Prices</t>
  </si>
  <si>
    <t>ToT Price</t>
  </si>
  <si>
    <t>Tot Dep</t>
  </si>
  <si>
    <t>Tot ACC/Dep</t>
  </si>
  <si>
    <t>Increase in fees by 5% Every year</t>
  </si>
  <si>
    <t>Fees</t>
  </si>
  <si>
    <t>Depreciation rate is 2%</t>
  </si>
  <si>
    <t>TLC/Year</t>
  </si>
  <si>
    <t>Operating Cost</t>
  </si>
  <si>
    <t>TOC/Year</t>
  </si>
  <si>
    <t>EPD</t>
  </si>
  <si>
    <t>Tot Depreciation</t>
  </si>
  <si>
    <t>EPT</t>
  </si>
  <si>
    <t>Net Income</t>
  </si>
  <si>
    <t>Cash Flow</t>
  </si>
  <si>
    <t>NPV</t>
  </si>
  <si>
    <t>IRR</t>
  </si>
  <si>
    <t>Labors</t>
  </si>
  <si>
    <t>Work days</t>
  </si>
  <si>
    <t>Type</t>
  </si>
  <si>
    <t>Cost/unit</t>
  </si>
  <si>
    <t>metal</t>
  </si>
  <si>
    <t>Traking</t>
  </si>
  <si>
    <t>Material</t>
  </si>
  <si>
    <t>Motors</t>
  </si>
  <si>
    <t>Tot</t>
  </si>
  <si>
    <t>equipments Postioning</t>
  </si>
  <si>
    <t>Wires</t>
  </si>
  <si>
    <t>Equipments</t>
  </si>
  <si>
    <t>Battary</t>
  </si>
  <si>
    <t>Tatal Initializing cost</t>
  </si>
  <si>
    <t>Initialinzing Cost</t>
  </si>
  <si>
    <t>(O&amp;M) Cost/unit</t>
  </si>
  <si>
    <t>(O&amp;M) Cost/year</t>
  </si>
  <si>
    <t>Operating &amp; maintenance Cost</t>
  </si>
  <si>
    <t>Tot (O&amp;M)</t>
  </si>
  <si>
    <t>Increase By 2% every year</t>
  </si>
  <si>
    <t>Equity capital</t>
  </si>
  <si>
    <t>Equity</t>
  </si>
  <si>
    <t>Loan</t>
  </si>
  <si>
    <t>interest</t>
  </si>
  <si>
    <t>Loan interest</t>
  </si>
  <si>
    <t>Required Return</t>
  </si>
  <si>
    <t>Equity%</t>
  </si>
  <si>
    <t>Loan%</t>
  </si>
  <si>
    <t>Loan Repayment period</t>
  </si>
  <si>
    <t>(O&amp;M)/year</t>
  </si>
  <si>
    <t>Investment</t>
  </si>
  <si>
    <t>Grace period</t>
  </si>
  <si>
    <t>Ac_Loan</t>
  </si>
  <si>
    <t>Annual Payment</t>
  </si>
  <si>
    <t>Loan Payment</t>
  </si>
  <si>
    <t>Proj Cash Flow</t>
  </si>
  <si>
    <t>Proj Name : P2G</t>
  </si>
  <si>
    <t>Earning</t>
  </si>
  <si>
    <t>Fuel Cell (KW)</t>
  </si>
  <si>
    <t>BLDC Price = 95$/KW(110KW Motor)</t>
  </si>
  <si>
    <t>PV Price = .85$/W</t>
  </si>
  <si>
    <t>PEM Fuel cell Price = 2000$/KW(110KW Fuel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</si>
</sst>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10" fontId="0" fillId="0" borderId="5" xfId="0" applyNumberFormat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0" fillId="0" borderId="9" xfId="0" applyBorder="1"/>
    <xf numFmtId="0" fontId="0" fillId="0" borderId="10" xfId="0" applyBorder="1"/>
    <xf numFmtId="0" fontId="2" fillId="0" borderId="9" xfId="0" applyFont="1" applyBorder="1"/>
    <xf numFmtId="0" fontId="2" fillId="0" borderId="10" xfId="0" applyFont="1" applyBorder="1"/>
    <xf numFmtId="10" fontId="0" fillId="0" borderId="7" xfId="0" applyNumberFormat="1" applyBorder="1"/>
    <xf numFmtId="0" fontId="2" fillId="0" borderId="3" xfId="0" applyFont="1" applyBorder="1"/>
    <xf numFmtId="0" fontId="2" fillId="0" borderId="0" xfId="0" applyFont="1"/>
    <xf numFmtId="0" fontId="2" fillId="0" borderId="0" xfId="0" applyFont="1" applyBorder="1"/>
    <xf numFmtId="0" fontId="2" fillId="0" borderId="7" xfId="0" applyFont="1" applyBorder="1"/>
    <xf numFmtId="9" fontId="0" fillId="0" borderId="7" xfId="0" applyNumberFormat="1" applyBorder="1"/>
    <xf numFmtId="9" fontId="2" fillId="0" borderId="0" xfId="0" applyNumberFormat="1" applyFont="1" applyBorder="1"/>
    <xf numFmtId="0" fontId="2" fillId="0" borderId="5" xfId="0" applyFont="1" applyBorder="1"/>
    <xf numFmtId="0" fontId="2" fillId="0" borderId="8" xfId="0" applyFont="1" applyBorder="1"/>
    <xf numFmtId="9" fontId="0" fillId="0" borderId="5" xfId="0" applyNumberFormat="1" applyBorder="1"/>
    <xf numFmtId="9" fontId="0" fillId="0" borderId="0" xfId="0" applyNumberFormat="1" applyBorder="1"/>
    <xf numFmtId="0" fontId="0" fillId="0" borderId="11" xfId="0" applyBorder="1"/>
    <xf numFmtId="8" fontId="0" fillId="0" borderId="0" xfId="0" applyNumberFormat="1"/>
    <xf numFmtId="0" fontId="2" fillId="0" borderId="11" xfId="0" applyFont="1" applyBorder="1"/>
    <xf numFmtId="9" fontId="2" fillId="0" borderId="10" xfId="0" applyNumberFormat="1" applyFont="1" applyBorder="1"/>
    <xf numFmtId="9" fontId="2" fillId="0" borderId="7" xfId="0" applyNumberFormat="1" applyFont="1" applyBorder="1"/>
    <xf numFmtId="0" fontId="2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8" xfId="0" applyFont="1" applyFill="1" applyBorder="1"/>
    <xf numFmtId="8" fontId="2" fillId="2" borderId="0" xfId="0" applyNumberFormat="1" applyFont="1" applyFill="1"/>
    <xf numFmtId="9" fontId="2" fillId="2" borderId="0" xfId="0" applyNumberFormat="1" applyFont="1" applyFill="1"/>
    <xf numFmtId="0" fontId="2" fillId="2" borderId="7" xfId="0" applyFont="1" applyFill="1" applyBorder="1"/>
    <xf numFmtId="0" fontId="2" fillId="3" borderId="1" xfId="0" applyFont="1" applyFill="1" applyBorder="1"/>
    <xf numFmtId="0" fontId="2" fillId="4" borderId="0" xfId="0" applyFont="1" applyFill="1"/>
    <xf numFmtId="0" fontId="2" fillId="5" borderId="1" xfId="0" applyFont="1" applyFill="1" applyBorder="1"/>
    <xf numFmtId="0" fontId="3" fillId="0" borderId="4" xfId="0" applyFont="1" applyBorder="1"/>
    <xf numFmtId="0" fontId="2" fillId="0" borderId="0" xfId="1" applyNumberFormat="1" applyFont="1" applyBorder="1"/>
    <xf numFmtId="0" fontId="2" fillId="0" borderId="5" xfId="1" applyNumberFormat="1" applyFont="1" applyBorder="1"/>
    <xf numFmtId="0" fontId="3" fillId="0" borderId="0" xfId="0" applyFont="1" applyBorder="1"/>
    <xf numFmtId="0" fontId="3" fillId="0" borderId="5" xfId="0" applyFont="1" applyBorder="1"/>
    <xf numFmtId="10" fontId="0" fillId="0" borderId="8" xfId="0" applyNumberFormat="1" applyBorder="1"/>
    <xf numFmtId="9" fontId="0" fillId="0" borderId="8" xfId="0" applyNumberFormat="1" applyBorder="1"/>
    <xf numFmtId="0" fontId="2" fillId="2" borderId="0" xfId="0" applyFont="1" applyFill="1" applyBorder="1"/>
    <xf numFmtId="9" fontId="0" fillId="0" borderId="3" xfId="0" applyNumberFormat="1" applyBorder="1"/>
    <xf numFmtId="164" fontId="0" fillId="0" borderId="0" xfId="0" applyNumberFormat="1" applyBorder="1"/>
    <xf numFmtId="0" fontId="0" fillId="0" borderId="7" xfId="0" applyNumberFormat="1" applyFill="1" applyBorder="1"/>
    <xf numFmtId="0" fontId="0" fillId="0" borderId="0" xfId="1" applyNumberFormat="1" applyFont="1" applyBorder="1"/>
    <xf numFmtId="8" fontId="0" fillId="0" borderId="0" xfId="0" applyNumberFormat="1" applyBorder="1"/>
    <xf numFmtId="8" fontId="0" fillId="0" borderId="7" xfId="0" applyNumberFormat="1" applyBorder="1"/>
    <xf numFmtId="0" fontId="2" fillId="4" borderId="2" xfId="0" applyFont="1" applyFill="1" applyBorder="1"/>
    <xf numFmtId="0" fontId="2" fillId="4" borderId="0" xfId="0" applyFont="1" applyFill="1" applyBorder="1"/>
    <xf numFmtId="0" fontId="2" fillId="4" borderId="7" xfId="0" applyFont="1" applyFill="1" applyBorder="1"/>
    <xf numFmtId="0" fontId="0" fillId="4" borderId="2" xfId="0" applyFill="1" applyBorder="1"/>
    <xf numFmtId="0" fontId="0" fillId="4" borderId="0" xfId="0" applyFill="1" applyBorder="1"/>
    <xf numFmtId="0" fontId="2" fillId="4" borderId="3" xfId="0" applyFont="1" applyFill="1" applyBorder="1"/>
    <xf numFmtId="8" fontId="2" fillId="0" borderId="0" xfId="0" applyNumberFormat="1" applyFont="1" applyBorder="1"/>
    <xf numFmtId="8" fontId="0" fillId="0" borderId="8" xfId="0" applyNumberFormat="1" applyBorder="1"/>
    <xf numFmtId="44" fontId="2" fillId="0" borderId="0" xfId="2" applyFont="1" applyBorder="1"/>
    <xf numFmtId="44" fontId="0" fillId="0" borderId="0" xfId="2" applyFont="1" applyBorder="1"/>
    <xf numFmtId="8" fontId="2" fillId="0" borderId="0" xfId="2" applyNumberFormat="1" applyFont="1" applyBorder="1"/>
    <xf numFmtId="0" fontId="2" fillId="4" borderId="1" xfId="0" applyFont="1" applyFill="1" applyBorder="1"/>
    <xf numFmtId="44" fontId="2" fillId="0" borderId="5" xfId="2" applyFont="1" applyBorder="1"/>
    <xf numFmtId="44" fontId="0" fillId="0" borderId="5" xfId="2" applyFont="1" applyBorder="1"/>
    <xf numFmtId="0" fontId="4" fillId="0" borderId="6" xfId="0" applyFont="1" applyBorder="1"/>
    <xf numFmtId="0" fontId="4" fillId="0" borderId="7" xfId="0" applyFont="1" applyBorder="1"/>
    <xf numFmtId="44" fontId="4" fillId="0" borderId="7" xfId="2" applyFont="1" applyBorder="1"/>
    <xf numFmtId="44" fontId="4" fillId="0" borderId="8" xfId="2" applyFont="1" applyBorder="1"/>
    <xf numFmtId="0" fontId="2" fillId="6" borderId="1" xfId="0" applyFont="1" applyFill="1" applyBorder="1"/>
    <xf numFmtId="0" fontId="2" fillId="4" borderId="5" xfId="0" applyFont="1" applyFill="1" applyBorder="1"/>
    <xf numFmtId="0" fontId="2" fillId="4" borderId="4" xfId="0" applyFont="1" applyFill="1" applyBorder="1"/>
    <xf numFmtId="0" fontId="2" fillId="4" borderId="6" xfId="0" applyFont="1" applyFill="1" applyBorder="1"/>
    <xf numFmtId="8" fontId="0" fillId="2" borderId="0" xfId="0" applyNumberFormat="1" applyFill="1" applyBorder="1"/>
    <xf numFmtId="44" fontId="0" fillId="2" borderId="0" xfId="2" applyFont="1" applyFill="1" applyBorder="1"/>
    <xf numFmtId="8" fontId="2" fillId="0" borderId="5" xfId="0" applyNumberFormat="1" applyFont="1" applyBorder="1"/>
    <xf numFmtId="9" fontId="2" fillId="0" borderId="8" xfId="0" applyNumberFormat="1" applyFont="1" applyBorder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Border="1"/>
    <xf numFmtId="0" fontId="6" fillId="0" borderId="0" xfId="0" applyFont="1" applyBorder="1"/>
    <xf numFmtId="0" fontId="5" fillId="0" borderId="5" xfId="0" applyFont="1" applyBorder="1"/>
    <xf numFmtId="0" fontId="2" fillId="7" borderId="1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7" borderId="6" xfId="0" applyFont="1" applyFill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Balance Chart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'NPV+IRR'!$A$7</c:f>
              <c:strCache>
                <c:ptCount val="1"/>
                <c:pt idx="0">
                  <c:v>Loan Payment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'NPV+IRR'!$B$6:$AA$6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'NPV+IRR'!$B$7:$AA$7</c:f>
              <c:numCache>
                <c:formatCode>"$"#,##0.00_);[Red]\("$"#,##0.00\)</c:formatCode>
                <c:ptCount val="26"/>
                <c:pt idx="1">
                  <c:v>0</c:v>
                </c:pt>
                <c:pt idx="2">
                  <c:v>0</c:v>
                </c:pt>
                <c:pt idx="3">
                  <c:v>-2331277.4877962475</c:v>
                </c:pt>
                <c:pt idx="4">
                  <c:v>-2331277.4877962475</c:v>
                </c:pt>
                <c:pt idx="5">
                  <c:v>-2331277.4877962475</c:v>
                </c:pt>
                <c:pt idx="6">
                  <c:v>-2331277.4877962475</c:v>
                </c:pt>
                <c:pt idx="7">
                  <c:v>-2331277.4877962475</c:v>
                </c:pt>
                <c:pt idx="8">
                  <c:v>-2331277.4877962475</c:v>
                </c:pt>
                <c:pt idx="9">
                  <c:v>-2331277.4877962475</c:v>
                </c:pt>
                <c:pt idx="10">
                  <c:v>-2331277.4877962475</c:v>
                </c:pt>
                <c:pt idx="11" formatCode="_(&quot;$&quot;* #,##0.00_);_(&quot;$&quot;* \(#,##0.00\);_(&quot;$&quot;* &quot;-&quot;??_);_(@_)">
                  <c:v>2331277.4877962475</c:v>
                </c:pt>
                <c:pt idx="12" formatCode="_(&quot;$&quot;* #,##0.00_);_(&quot;$&quot;* \(#,##0.00\);_(&quot;$&quot;* &quot;-&quot;??_);_(@_)">
                  <c:v>2331277.4877962475</c:v>
                </c:pt>
                <c:pt idx="13" formatCode="_(&quot;$&quot;* #,##0.00_);_(&quot;$&quot;* \(#,##0.00\);_(&quot;$&quot;* &quot;-&quot;??_);_(@_)">
                  <c:v>0</c:v>
                </c:pt>
                <c:pt idx="14" formatCode="_(&quot;$&quot;* #,##0.00_);_(&quot;$&quot;* \(#,##0.00\);_(&quot;$&quot;* &quot;-&quot;??_);_(@_)">
                  <c:v>0</c:v>
                </c:pt>
                <c:pt idx="15" formatCode="_(&quot;$&quot;* #,##0.00_);_(&quot;$&quot;* \(#,##0.00\);_(&quot;$&quot;* &quot;-&quot;??_);_(@_)">
                  <c:v>0</c:v>
                </c:pt>
                <c:pt idx="16" formatCode="_(&quot;$&quot;* #,##0.00_);_(&quot;$&quot;* \(#,##0.00\);_(&quot;$&quot;* &quot;-&quot;??_);_(@_)">
                  <c:v>0</c:v>
                </c:pt>
                <c:pt idx="17" formatCode="_(&quot;$&quot;* #,##0.00_);_(&quot;$&quot;* \(#,##0.00\);_(&quot;$&quot;* &quot;-&quot;??_);_(@_)">
                  <c:v>0</c:v>
                </c:pt>
                <c:pt idx="18" formatCode="_(&quot;$&quot;* #,##0.00_);_(&quot;$&quot;* \(#,##0.00\);_(&quot;$&quot;* &quot;-&quot;??_);_(@_)">
                  <c:v>0</c:v>
                </c:pt>
                <c:pt idx="19" formatCode="_(&quot;$&quot;* #,##0.00_);_(&quot;$&quot;* \(#,##0.00\);_(&quot;$&quot;* &quot;-&quot;??_);_(@_)">
                  <c:v>0</c:v>
                </c:pt>
                <c:pt idx="20" formatCode="_(&quot;$&quot;* #,##0.00_);_(&quot;$&quot;* \(#,##0.00\);_(&quot;$&quot;* &quot;-&quot;??_);_(@_)">
                  <c:v>0</c:v>
                </c:pt>
                <c:pt idx="21" formatCode="_(&quot;$&quot;* #,##0.00_);_(&quot;$&quot;* \(#,##0.00\);_(&quot;$&quot;* &quot;-&quot;??_);_(@_)">
                  <c:v>0</c:v>
                </c:pt>
                <c:pt idx="22" formatCode="_(&quot;$&quot;* #,##0.00_);_(&quot;$&quot;* \(#,##0.00\);_(&quot;$&quot;* &quot;-&quot;??_);_(@_)">
                  <c:v>0</c:v>
                </c:pt>
                <c:pt idx="23" formatCode="_(&quot;$&quot;* #,##0.00_);_(&quot;$&quot;* \(#,##0.00\);_(&quot;$&quot;* &quot;-&quot;??_);_(@_)">
                  <c:v>0</c:v>
                </c:pt>
                <c:pt idx="24" formatCode="_(&quot;$&quot;* #,##0.00_);_(&quot;$&quot;* \(#,##0.00\);_(&quot;$&quot;* &quot;-&quot;??_);_(@_)">
                  <c:v>0</c:v>
                </c:pt>
                <c:pt idx="25" formatCode="_(&quot;$&quot;* #,##0.00_);_(&quot;$&quot;* \(#,##0.00\);_(&quot;$&quot;* &quot;-&quot;??_);_(@_)">
                  <c:v>0</c:v>
                </c:pt>
              </c:numCache>
            </c:numRef>
          </c:val>
        </c:ser>
        <c:ser>
          <c:idx val="1"/>
          <c:order val="1"/>
          <c:tx>
            <c:strRef>
              <c:f>'NPV+IRR'!$A$8</c:f>
              <c:strCache>
                <c:ptCount val="1"/>
                <c:pt idx="0">
                  <c:v>Earn/Year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'NPV+IRR'!$B$6:$AA$6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'NPV+IRR'!$B$8:$AA$8</c:f>
              <c:numCache>
                <c:formatCode>_("$"* #,##0.00_);_("$"* \(#,##0.00\);_("$"* "-"??_);_(@_)</c:formatCode>
                <c:ptCount val="26"/>
                <c:pt idx="1">
                  <c:v>0</c:v>
                </c:pt>
                <c:pt idx="2">
                  <c:v>16000000</c:v>
                </c:pt>
                <c:pt idx="3">
                  <c:v>16800000</c:v>
                </c:pt>
                <c:pt idx="4">
                  <c:v>17600000.000000004</c:v>
                </c:pt>
                <c:pt idx="5">
                  <c:v>18399999.999999996</c:v>
                </c:pt>
                <c:pt idx="6">
                  <c:v>19200000</c:v>
                </c:pt>
                <c:pt idx="7">
                  <c:v>20000000</c:v>
                </c:pt>
                <c:pt idx="8">
                  <c:v>20800000</c:v>
                </c:pt>
                <c:pt idx="9">
                  <c:v>21600000</c:v>
                </c:pt>
                <c:pt idx="10">
                  <c:v>22400000</c:v>
                </c:pt>
                <c:pt idx="11">
                  <c:v>23200000</c:v>
                </c:pt>
                <c:pt idx="12">
                  <c:v>24000000</c:v>
                </c:pt>
                <c:pt idx="13">
                  <c:v>24800000</c:v>
                </c:pt>
                <c:pt idx="14">
                  <c:v>25600000</c:v>
                </c:pt>
                <c:pt idx="15">
                  <c:v>26400000</c:v>
                </c:pt>
                <c:pt idx="16">
                  <c:v>27200000.000000004</c:v>
                </c:pt>
                <c:pt idx="17">
                  <c:v>28000000</c:v>
                </c:pt>
                <c:pt idx="18">
                  <c:v>28800000</c:v>
                </c:pt>
                <c:pt idx="19">
                  <c:v>29600000</c:v>
                </c:pt>
                <c:pt idx="20">
                  <c:v>30400000</c:v>
                </c:pt>
                <c:pt idx="21">
                  <c:v>31200000.000000004</c:v>
                </c:pt>
                <c:pt idx="22">
                  <c:v>32000000</c:v>
                </c:pt>
                <c:pt idx="23">
                  <c:v>32799999.999999996</c:v>
                </c:pt>
                <c:pt idx="24">
                  <c:v>33600000</c:v>
                </c:pt>
                <c:pt idx="25">
                  <c:v>34400000.000000007</c:v>
                </c:pt>
              </c:numCache>
            </c:numRef>
          </c:val>
        </c:ser>
        <c:ser>
          <c:idx val="2"/>
          <c:order val="2"/>
          <c:tx>
            <c:strRef>
              <c:f>'NPV+IRR'!$A$9</c:f>
              <c:strCache>
                <c:ptCount val="1"/>
                <c:pt idx="0">
                  <c:v>TOC/Year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'NPV+IRR'!$B$6:$AA$6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'NPV+IRR'!$B$9:$AA$9</c:f>
              <c:numCache>
                <c:formatCode>_("$"* #,##0.00_);_("$"* \(#,##0.00\);_("$"* "-"??_);_(@_)</c:formatCode>
                <c:ptCount val="26"/>
                <c:pt idx="1">
                  <c:v>0</c:v>
                </c:pt>
                <c:pt idx="2">
                  <c:v>1816126.4383561644</c:v>
                </c:pt>
                <c:pt idx="3">
                  <c:v>1826216.6383561643</c:v>
                </c:pt>
                <c:pt idx="4">
                  <c:v>1836388.6423561643</c:v>
                </c:pt>
                <c:pt idx="5">
                  <c:v>1846644.0864361643</c:v>
                </c:pt>
                <c:pt idx="6">
                  <c:v>1856984.6393977643</c:v>
                </c:pt>
                <c:pt idx="7">
                  <c:v>1867412.0034185965</c:v>
                </c:pt>
                <c:pt idx="8">
                  <c:v>1877927.9147198452</c:v>
                </c:pt>
                <c:pt idx="9">
                  <c:v>1888534.1442471186</c:v>
                </c:pt>
                <c:pt idx="10">
                  <c:v>1899232.4983649377</c:v>
                </c:pt>
                <c:pt idx="11">
                  <c:v>1910024.8195651132</c:v>
                </c:pt>
                <c:pt idx="12">
                  <c:v>1920912.9871892922</c:v>
                </c:pt>
                <c:pt idx="13">
                  <c:v>1931898.9181659548</c:v>
                </c:pt>
                <c:pt idx="14">
                  <c:v>1942984.5677621507</c:v>
                </c:pt>
                <c:pt idx="15">
                  <c:v>1954171.9303502704</c:v>
                </c:pt>
                <c:pt idx="16">
                  <c:v>1965463.0401901524</c:v>
                </c:pt>
                <c:pt idx="17">
                  <c:v>1976859.9722268323</c:v>
                </c:pt>
                <c:pt idx="18">
                  <c:v>1988364.8429042455</c:v>
                </c:pt>
                <c:pt idx="19">
                  <c:v>1999979.8109952072</c:v>
                </c:pt>
                <c:pt idx="20">
                  <c:v>2011707.078447988</c:v>
                </c:pt>
                <c:pt idx="21">
                  <c:v>2023548.8912498245</c:v>
                </c:pt>
                <c:pt idx="22">
                  <c:v>2035507.5403076978</c:v>
                </c:pt>
                <c:pt idx="23">
                  <c:v>2047585.3623467283</c:v>
                </c:pt>
                <c:pt idx="24">
                  <c:v>2059784.7408265397</c:v>
                </c:pt>
                <c:pt idx="25">
                  <c:v>2072108.1068759472</c:v>
                </c:pt>
              </c:numCache>
            </c:numRef>
          </c:val>
        </c:ser>
        <c:ser>
          <c:idx val="3"/>
          <c:order val="3"/>
          <c:tx>
            <c:strRef>
              <c:f>'NPV+IRR'!$A$10</c:f>
              <c:strCache>
                <c:ptCount val="1"/>
                <c:pt idx="0">
                  <c:v>Taxes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'NPV+IRR'!$B$6:$AA$6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'NPV+IRR'!$B$10:$AA$10</c:f>
              <c:numCache>
                <c:formatCode>_("$"* #,##0.00_);_("$"* \(#,##0.00\);_("$"* "-"??_);_(@_)</c:formatCode>
                <c:ptCount val="26"/>
                <c:pt idx="1">
                  <c:v>0</c:v>
                </c:pt>
                <c:pt idx="2">
                  <c:v>6474153.2808219176</c:v>
                </c:pt>
                <c:pt idx="3">
                  <c:v>6869108.180821918</c:v>
                </c:pt>
                <c:pt idx="4">
                  <c:v>7264022.1788219195</c:v>
                </c:pt>
                <c:pt idx="5">
                  <c:v>7658894.4567819163</c:v>
                </c:pt>
                <c:pt idx="6">
                  <c:v>8053724.1803011186</c:v>
                </c:pt>
                <c:pt idx="7">
                  <c:v>8448510.4982907027</c:v>
                </c:pt>
                <c:pt idx="8">
                  <c:v>8843252.542640077</c:v>
                </c:pt>
                <c:pt idx="9">
                  <c:v>9237949.4278764408</c:v>
                </c:pt>
                <c:pt idx="10">
                  <c:v>9632600.2508175317</c:v>
                </c:pt>
                <c:pt idx="11">
                  <c:v>10027204.090217443</c:v>
                </c:pt>
                <c:pt idx="12">
                  <c:v>10421760.006405354</c:v>
                </c:pt>
                <c:pt idx="13">
                  <c:v>10816267.040917022</c:v>
                </c:pt>
                <c:pt idx="14">
                  <c:v>11210724.216118924</c:v>
                </c:pt>
                <c:pt idx="15">
                  <c:v>11605130.534824865</c:v>
                </c:pt>
                <c:pt idx="16">
                  <c:v>11999484.979904925</c:v>
                </c:pt>
                <c:pt idx="17">
                  <c:v>12393786.513886584</c:v>
                </c:pt>
                <c:pt idx="18">
                  <c:v>12788034.078547876</c:v>
                </c:pt>
                <c:pt idx="19">
                  <c:v>13182226.594502397</c:v>
                </c:pt>
                <c:pt idx="20">
                  <c:v>13576362.960776007</c:v>
                </c:pt>
                <c:pt idx="21">
                  <c:v>13970442.05437509</c:v>
                </c:pt>
                <c:pt idx="22">
                  <c:v>14364462.729846152</c:v>
                </c:pt>
                <c:pt idx="23">
                  <c:v>14758423.818826634</c:v>
                </c:pt>
                <c:pt idx="24">
                  <c:v>15152324.12958673</c:v>
                </c:pt>
                <c:pt idx="25">
                  <c:v>15546162.446562029</c:v>
                </c:pt>
              </c:numCache>
            </c:numRef>
          </c:val>
        </c:ser>
        <c:ser>
          <c:idx val="4"/>
          <c:order val="4"/>
          <c:tx>
            <c:strRef>
              <c:f>'NPV+IRR'!$A$11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'NPV+IRR'!$B$6:$AA$6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'NPV+IRR'!$B$11:$AA$11</c:f>
              <c:numCache>
                <c:formatCode>_("$"* #,##0.00_);_("$"* \(#,##0.00\);_("$"* "-"??_);_(@_)</c:formatCode>
                <c:ptCount val="26"/>
                <c:pt idx="1">
                  <c:v>0</c:v>
                </c:pt>
                <c:pt idx="2">
                  <c:v>6474153.2808219176</c:v>
                </c:pt>
                <c:pt idx="3">
                  <c:v>6869108.180821918</c:v>
                </c:pt>
                <c:pt idx="4">
                  <c:v>7264022.1788219195</c:v>
                </c:pt>
                <c:pt idx="5">
                  <c:v>7658894.4567819163</c:v>
                </c:pt>
                <c:pt idx="6">
                  <c:v>8053724.1803011186</c:v>
                </c:pt>
                <c:pt idx="7">
                  <c:v>8448510.4982907027</c:v>
                </c:pt>
                <c:pt idx="8">
                  <c:v>8843252.542640077</c:v>
                </c:pt>
                <c:pt idx="9">
                  <c:v>9237949.4278764408</c:v>
                </c:pt>
                <c:pt idx="10">
                  <c:v>9632600.2508175317</c:v>
                </c:pt>
                <c:pt idx="11">
                  <c:v>10027204.090217443</c:v>
                </c:pt>
                <c:pt idx="12">
                  <c:v>10421760.006405354</c:v>
                </c:pt>
                <c:pt idx="13">
                  <c:v>10816267.040917022</c:v>
                </c:pt>
                <c:pt idx="14">
                  <c:v>11210724.216118924</c:v>
                </c:pt>
                <c:pt idx="15">
                  <c:v>11605130.534824865</c:v>
                </c:pt>
                <c:pt idx="16">
                  <c:v>11999484.979904925</c:v>
                </c:pt>
                <c:pt idx="17">
                  <c:v>12393786.513886584</c:v>
                </c:pt>
                <c:pt idx="18">
                  <c:v>12788034.078547876</c:v>
                </c:pt>
                <c:pt idx="19">
                  <c:v>13182226.594502397</c:v>
                </c:pt>
                <c:pt idx="20">
                  <c:v>13576362.960776007</c:v>
                </c:pt>
                <c:pt idx="21">
                  <c:v>13970442.05437509</c:v>
                </c:pt>
                <c:pt idx="22">
                  <c:v>14364462.729846152</c:v>
                </c:pt>
                <c:pt idx="23">
                  <c:v>14758423.818826634</c:v>
                </c:pt>
                <c:pt idx="24">
                  <c:v>15152324.12958673</c:v>
                </c:pt>
                <c:pt idx="25">
                  <c:v>15546162.446562029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20130560"/>
        <c:axId val="1628656928"/>
      </c:barChart>
      <c:catAx>
        <c:axId val="142013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656928"/>
        <c:crosses val="autoZero"/>
        <c:auto val="1"/>
        <c:lblAlgn val="ctr"/>
        <c:lblOffset val="100"/>
        <c:noMultiLvlLbl val="0"/>
      </c:catAx>
      <c:valAx>
        <c:axId val="162865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13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'NPV+IRR'!$A$2</c:f>
              <c:strCache>
                <c:ptCount val="1"/>
                <c:pt idx="0">
                  <c:v>Cash Flow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'NPV+IRR'!$B$1:$Z$1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'NPV+IRR'!$B$2:$Z$2</c:f>
              <c:numCache>
                <c:formatCode>General</c:formatCode>
                <c:ptCount val="25"/>
                <c:pt idx="0" formatCode="&quot;$&quot;#,##0.00_);[Red]\(&quot;$&quot;#,##0.00\)">
                  <c:v>-22328350</c:v>
                </c:pt>
                <c:pt idx="1">
                  <c:v>6474153.2808219176</c:v>
                </c:pt>
                <c:pt idx="2">
                  <c:v>4537830.6930256709</c:v>
                </c:pt>
                <c:pt idx="3">
                  <c:v>4932744.6910256725</c:v>
                </c:pt>
                <c:pt idx="4">
                  <c:v>5327616.9689856693</c:v>
                </c:pt>
                <c:pt idx="5">
                  <c:v>5722446.6925048716</c:v>
                </c:pt>
                <c:pt idx="6">
                  <c:v>6117233.0104944557</c:v>
                </c:pt>
                <c:pt idx="7">
                  <c:v>6511975.0548438299</c:v>
                </c:pt>
                <c:pt idx="8">
                  <c:v>6906671.9400801938</c:v>
                </c:pt>
                <c:pt idx="9">
                  <c:v>7301322.7630212847</c:v>
                </c:pt>
                <c:pt idx="10">
                  <c:v>7695926.6024211962</c:v>
                </c:pt>
                <c:pt idx="11">
                  <c:v>8090482.5186091065</c:v>
                </c:pt>
                <c:pt idx="12">
                  <c:v>10816267.040917022</c:v>
                </c:pt>
                <c:pt idx="13">
                  <c:v>11210724.216118924</c:v>
                </c:pt>
                <c:pt idx="14">
                  <c:v>11605130.534824865</c:v>
                </c:pt>
                <c:pt idx="15">
                  <c:v>11999484.979904925</c:v>
                </c:pt>
                <c:pt idx="16">
                  <c:v>12393786.513886584</c:v>
                </c:pt>
                <c:pt idx="17">
                  <c:v>12788034.078547876</c:v>
                </c:pt>
                <c:pt idx="18">
                  <c:v>13182226.594502397</c:v>
                </c:pt>
                <c:pt idx="19">
                  <c:v>13576362.960776007</c:v>
                </c:pt>
                <c:pt idx="20">
                  <c:v>13970442.05437509</c:v>
                </c:pt>
                <c:pt idx="21">
                  <c:v>14364462.729846152</c:v>
                </c:pt>
                <c:pt idx="22">
                  <c:v>14758423.818826634</c:v>
                </c:pt>
                <c:pt idx="23">
                  <c:v>15152324.12958673</c:v>
                </c:pt>
                <c:pt idx="24">
                  <c:v>15546162.446562029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28657472"/>
        <c:axId val="1628668352"/>
      </c:barChart>
      <c:catAx>
        <c:axId val="162865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668352"/>
        <c:crosses val="autoZero"/>
        <c:auto val="1"/>
        <c:lblAlgn val="ctr"/>
        <c:lblOffset val="100"/>
        <c:noMultiLvlLbl val="0"/>
      </c:catAx>
      <c:valAx>
        <c:axId val="162866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65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NPV &amp; IRR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'NPV+IRR'!$A$19</c:f>
              <c:strCache>
                <c:ptCount val="1"/>
                <c:pt idx="0">
                  <c:v>NPV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'NPV+IRR'!$B$18:$AA$18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'NPV+IRR'!$B$19:$AA$19</c:f>
              <c:numCache>
                <c:formatCode>"$"#,##0.00_);[Red]\("$"#,##0.00\)</c:formatCode>
                <c:ptCount val="26"/>
                <c:pt idx="1">
                  <c:v>-18606958.333333336</c:v>
                </c:pt>
                <c:pt idx="2">
                  <c:v>-14111018.554984778</c:v>
                </c:pt>
                <c:pt idx="3">
                  <c:v>-11484959.126150478</c:v>
                </c:pt>
                <c:pt idx="4">
                  <c:v>-9106127.7743826974</c:v>
                </c:pt>
                <c:pt idx="5">
                  <c:v>-6965078.0022530388</c:v>
                </c:pt>
                <c:pt idx="6">
                  <c:v>-5048642.1832718002</c:v>
                </c:pt>
                <c:pt idx="7">
                  <c:v>-3341434.7181909271</c:v>
                </c:pt>
                <c:pt idx="8">
                  <c:v>-1826957.4473156959</c:v>
                </c:pt>
                <c:pt idx="9">
                  <c:v>-488398.15430178365</c:v>
                </c:pt>
                <c:pt idx="10">
                  <c:v>690806.23440686788</c:v>
                </c:pt>
                <c:pt idx="11">
                  <c:v>1726585.4942414558</c:v>
                </c:pt>
                <c:pt idx="12">
                  <c:v>2633986.949122061</c:v>
                </c:pt>
                <c:pt idx="13">
                  <c:v>3644917.222927345</c:v>
                </c:pt>
                <c:pt idx="14">
                  <c:v>4518082.0325056603</c:v>
                </c:pt>
                <c:pt idx="15">
                  <c:v>5271318.501906557</c:v>
                </c:pt>
                <c:pt idx="16">
                  <c:v>5920345.3607435413</c:v>
                </c:pt>
                <c:pt idx="17">
                  <c:v>6478973.5257352609</c:v>
                </c:pt>
                <c:pt idx="18">
                  <c:v>6959305.3438299289</c:v>
                </c:pt>
                <c:pt idx="19">
                  <c:v>7371920.4252269324</c:v>
                </c:pt>
                <c:pt idx="20">
                  <c:v>7726047.0003782585</c:v>
                </c:pt>
                <c:pt idx="21">
                  <c:v>8029718.4630740844</c:v>
                </c:pt>
                <c:pt idx="22">
                  <c:v>8289915.2766415058</c:v>
                </c:pt>
                <c:pt idx="23">
                  <c:v>8512692.7729273792</c:v>
                </c:pt>
                <c:pt idx="24">
                  <c:v>8703295.6038902216</c:v>
                </c:pt>
                <c:pt idx="25">
                  <c:v>8866259.7443295214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667264"/>
        <c:axId val="1628658560"/>
      </c:scatterChart>
      <c:scatterChart>
        <c:scatterStyle val="lineMarker"/>
        <c:varyColors val="0"/>
        <c:ser>
          <c:idx val="1"/>
          <c:order val="1"/>
          <c:tx>
            <c:strRef>
              <c:f>'NPV+IRR'!$A$20</c:f>
              <c:strCache>
                <c:ptCount val="1"/>
                <c:pt idx="0">
                  <c:v>IRR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'NPV+IRR'!$B$18:$AA$18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'NPV+IRR'!$B$20:$AA$20</c:f>
              <c:numCache>
                <c:formatCode>0%</c:formatCode>
                <c:ptCount val="26"/>
                <c:pt idx="2">
                  <c:v>-0.71004784138452148</c:v>
                </c:pt>
                <c:pt idx="3">
                  <c:v>-0.38147364827823105</c:v>
                </c:pt>
                <c:pt idx="4">
                  <c:v>-0.15754219936343516</c:v>
                </c:pt>
                <c:pt idx="5">
                  <c:v>-1.964544353572395E-2</c:v>
                </c:pt>
                <c:pt idx="6">
                  <c:v>6.7569649617779559E-2</c:v>
                </c:pt>
                <c:pt idx="7">
                  <c:v>0.12492558229013184</c:v>
                </c:pt>
                <c:pt idx="8">
                  <c:v>0.16399235885697028</c:v>
                </c:pt>
                <c:pt idx="9">
                  <c:v>0.1913900905497401</c:v>
                </c:pt>
                <c:pt idx="10">
                  <c:v>0.21106868359731146</c:v>
                </c:pt>
                <c:pt idx="11">
                  <c:v>0.22548174940270549</c:v>
                </c:pt>
                <c:pt idx="12">
                  <c:v>0.23620892271225902</c:v>
                </c:pt>
                <c:pt idx="13">
                  <c:v>0.24637928004299359</c:v>
                </c:pt>
                <c:pt idx="14">
                  <c:v>0.2538767293563966</c:v>
                </c:pt>
                <c:pt idx="15">
                  <c:v>0.25949246237007184</c:v>
                </c:pt>
                <c:pt idx="16">
                  <c:v>0.26375062409373728</c:v>
                </c:pt>
                <c:pt idx="17">
                  <c:v>0.26701077499630377</c:v>
                </c:pt>
                <c:pt idx="18">
                  <c:v>0.26952625231757077</c:v>
                </c:pt>
                <c:pt idx="19">
                  <c:v>0.27147937860497029</c:v>
                </c:pt>
                <c:pt idx="20">
                  <c:v>0.27300365185884989</c:v>
                </c:pt>
                <c:pt idx="21">
                  <c:v>0.27419822413802653</c:v>
                </c:pt>
                <c:pt idx="22">
                  <c:v>0.2751376203253979</c:v>
                </c:pt>
                <c:pt idx="23">
                  <c:v>0.27587841878007979</c:v>
                </c:pt>
                <c:pt idx="24">
                  <c:v>0.27646393769745314</c:v>
                </c:pt>
                <c:pt idx="25">
                  <c:v>0.27692758067042789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664000"/>
        <c:axId val="1628661280"/>
      </c:scatterChart>
      <c:valAx>
        <c:axId val="162866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658560"/>
        <c:crosses val="autoZero"/>
        <c:crossBetween val="midCat"/>
      </c:valAx>
      <c:valAx>
        <c:axId val="1628658560"/>
        <c:scaling>
          <c:orientation val="minMax"/>
          <c:max val="60000000"/>
          <c:min val="-80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667264"/>
        <c:crosses val="autoZero"/>
        <c:crossBetween val="midCat"/>
      </c:valAx>
      <c:valAx>
        <c:axId val="162866128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664000"/>
        <c:crosses val="max"/>
        <c:crossBetween val="midCat"/>
      </c:valAx>
      <c:valAx>
        <c:axId val="162866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661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ln w="15875">
                <a:solidFill>
                  <a:schemeClr val="accent1"/>
                </a:solidFill>
              </a:ln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0</xdr:row>
      <xdr:rowOff>0</xdr:rowOff>
    </xdr:from>
    <xdr:to>
      <xdr:col>22</xdr:col>
      <xdr:colOff>314325</xdr:colOff>
      <xdr:row>24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24</xdr:row>
      <xdr:rowOff>123824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25</xdr:row>
      <xdr:rowOff>47625</xdr:rowOff>
    </xdr:from>
    <xdr:to>
      <xdr:col>11</xdr:col>
      <xdr:colOff>477371</xdr:colOff>
      <xdr:row>44</xdr:row>
      <xdr:rowOff>68917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24" workbookViewId="0">
      <selection activeCell="A34" sqref="A34"/>
    </sheetView>
  </sheetViews>
  <sheetFormatPr defaultRowHeight="15" x14ac:dyDescent="0.25"/>
  <cols>
    <col min="1" max="1" width="22.7109375" bestFit="1" customWidth="1"/>
    <col min="2" max="2" width="9.7109375" customWidth="1"/>
    <col min="4" max="4" width="16" bestFit="1" customWidth="1"/>
    <col min="5" max="5" width="11.7109375" bestFit="1" customWidth="1"/>
    <col min="6" max="6" width="16.85546875" customWidth="1"/>
    <col min="7" max="7" width="14.7109375" bestFit="1" customWidth="1"/>
    <col min="8" max="8" width="38.140625" bestFit="1" customWidth="1"/>
  </cols>
  <sheetData>
    <row r="1" spans="1:8" x14ac:dyDescent="0.25">
      <c r="A1" s="86" t="s">
        <v>98</v>
      </c>
      <c r="B1" s="87"/>
      <c r="C1" s="87"/>
      <c r="D1" s="87"/>
      <c r="E1" s="87"/>
      <c r="F1" s="87"/>
    </row>
    <row r="2" spans="1:8" ht="15.75" thickBot="1" x14ac:dyDescent="0.3"/>
    <row r="3" spans="1:8" x14ac:dyDescent="0.25">
      <c r="A3" s="97" t="s">
        <v>0</v>
      </c>
      <c r="B3" s="98" t="s">
        <v>1</v>
      </c>
      <c r="C3" s="98" t="s">
        <v>2</v>
      </c>
      <c r="D3" s="98" t="s">
        <v>3</v>
      </c>
      <c r="E3" s="98" t="s">
        <v>4</v>
      </c>
      <c r="F3" s="99" t="s">
        <v>11</v>
      </c>
    </row>
    <row r="4" spans="1:8" x14ac:dyDescent="0.25">
      <c r="A4" s="100" t="s">
        <v>5</v>
      </c>
      <c r="B4" s="5">
        <v>480</v>
      </c>
      <c r="C4" s="5">
        <v>5500</v>
      </c>
      <c r="D4" s="5">
        <f t="shared" ref="D4:D11" si="0">B4*C4</f>
        <v>2640000</v>
      </c>
      <c r="E4" s="5">
        <v>25</v>
      </c>
      <c r="F4" s="11">
        <v>0.04</v>
      </c>
      <c r="G4" s="88" t="s">
        <v>102</v>
      </c>
      <c r="H4" s="89"/>
    </row>
    <row r="5" spans="1:8" x14ac:dyDescent="0.25">
      <c r="A5" s="100" t="s">
        <v>6</v>
      </c>
      <c r="B5" s="5">
        <v>25</v>
      </c>
      <c r="C5" s="5">
        <v>13600</v>
      </c>
      <c r="D5" s="5">
        <f t="shared" si="0"/>
        <v>340000</v>
      </c>
      <c r="E5" s="5">
        <v>25</v>
      </c>
      <c r="F5" s="11">
        <v>0.04</v>
      </c>
    </row>
    <row r="6" spans="1:8" x14ac:dyDescent="0.25">
      <c r="A6" s="100" t="s">
        <v>74</v>
      </c>
      <c r="B6" s="5">
        <v>1</v>
      </c>
      <c r="C6" s="5">
        <v>100000</v>
      </c>
      <c r="D6" s="5">
        <f t="shared" si="0"/>
        <v>100000</v>
      </c>
      <c r="E6" s="5">
        <v>25</v>
      </c>
      <c r="F6" s="11">
        <v>0.04</v>
      </c>
    </row>
    <row r="7" spans="1:8" x14ac:dyDescent="0.25">
      <c r="A7" s="100" t="s">
        <v>26</v>
      </c>
      <c r="B7" s="5">
        <v>0</v>
      </c>
      <c r="C7" s="5">
        <v>50000</v>
      </c>
      <c r="D7" s="5">
        <f t="shared" si="0"/>
        <v>0</v>
      </c>
      <c r="E7" s="5">
        <v>25</v>
      </c>
      <c r="F7" s="11">
        <v>0.03</v>
      </c>
    </row>
    <row r="8" spans="1:8" x14ac:dyDescent="0.25">
      <c r="A8" s="100" t="s">
        <v>7</v>
      </c>
      <c r="B8" s="5">
        <v>1</v>
      </c>
      <c r="C8" s="5">
        <v>10000000</v>
      </c>
      <c r="D8" s="5">
        <f t="shared" si="0"/>
        <v>10000000</v>
      </c>
      <c r="E8" s="5">
        <v>25</v>
      </c>
      <c r="F8" s="11">
        <v>7.0000000000000007E-2</v>
      </c>
    </row>
    <row r="9" spans="1:8" x14ac:dyDescent="0.25">
      <c r="A9" s="100" t="s">
        <v>100</v>
      </c>
      <c r="B9" s="10">
        <v>1</v>
      </c>
      <c r="C9" s="10">
        <v>3740000</v>
      </c>
      <c r="D9" s="10">
        <f t="shared" si="0"/>
        <v>3740000</v>
      </c>
      <c r="E9" s="5">
        <v>25</v>
      </c>
      <c r="F9" s="11">
        <v>0.08</v>
      </c>
      <c r="G9" s="88" t="s">
        <v>103</v>
      </c>
      <c r="H9" s="89"/>
    </row>
    <row r="10" spans="1:8" x14ac:dyDescent="0.25">
      <c r="A10" s="100" t="s">
        <v>9</v>
      </c>
      <c r="B10" s="10">
        <v>1</v>
      </c>
      <c r="C10" s="10">
        <f>110*95*18</f>
        <v>188100</v>
      </c>
      <c r="D10" s="10">
        <f t="shared" si="0"/>
        <v>188100</v>
      </c>
      <c r="E10" s="10">
        <v>25</v>
      </c>
      <c r="F10" s="11">
        <v>7.0000000000000007E-2</v>
      </c>
      <c r="G10" s="88" t="s">
        <v>101</v>
      </c>
      <c r="H10" s="89"/>
    </row>
    <row r="11" spans="1:8" ht="15.75" thickBot="1" x14ac:dyDescent="0.3">
      <c r="A11" s="101" t="s">
        <v>10</v>
      </c>
      <c r="B11" s="8">
        <v>1</v>
      </c>
      <c r="C11" s="8">
        <v>50000</v>
      </c>
      <c r="D11" s="8">
        <f t="shared" si="0"/>
        <v>50000</v>
      </c>
      <c r="E11" s="8">
        <v>25</v>
      </c>
      <c r="F11" s="51">
        <v>0.04</v>
      </c>
    </row>
    <row r="14" spans="1:8" ht="15.75" thickBot="1" x14ac:dyDescent="0.3"/>
    <row r="15" spans="1:8" x14ac:dyDescent="0.25">
      <c r="A15" s="12" t="s">
        <v>12</v>
      </c>
      <c r="B15" s="13"/>
      <c r="C15" s="13"/>
      <c r="D15" s="13" t="s">
        <v>14</v>
      </c>
      <c r="E15" s="21">
        <v>400</v>
      </c>
    </row>
    <row r="16" spans="1:8" x14ac:dyDescent="0.25">
      <c r="A16" s="14"/>
      <c r="B16" s="5"/>
      <c r="C16" s="5"/>
      <c r="D16" s="23" t="s">
        <v>13</v>
      </c>
      <c r="E16" s="27">
        <v>1000</v>
      </c>
    </row>
    <row r="17" spans="1:11" ht="15.75" thickBot="1" x14ac:dyDescent="0.3">
      <c r="A17" s="15" t="s">
        <v>39</v>
      </c>
      <c r="B17" s="20">
        <v>0.05</v>
      </c>
      <c r="C17" s="8"/>
      <c r="D17" s="8"/>
      <c r="E17" s="9"/>
    </row>
    <row r="19" spans="1:11" ht="15.75" thickBot="1" x14ac:dyDescent="0.3"/>
    <row r="20" spans="1:11" x14ac:dyDescent="0.25">
      <c r="A20" s="12" t="s">
        <v>15</v>
      </c>
      <c r="B20" s="2"/>
      <c r="C20" s="2"/>
      <c r="D20" s="13" t="s">
        <v>16</v>
      </c>
      <c r="E20" s="3">
        <v>2000</v>
      </c>
    </row>
    <row r="21" spans="1:11" ht="15.75" thickBot="1" x14ac:dyDescent="0.3">
      <c r="A21" s="4"/>
      <c r="B21" s="5"/>
      <c r="C21" s="5"/>
      <c r="D21" s="23" t="s">
        <v>17</v>
      </c>
      <c r="E21" s="6">
        <v>1000</v>
      </c>
    </row>
    <row r="22" spans="1:11" ht="15.75" thickBot="1" x14ac:dyDescent="0.3">
      <c r="A22" s="15" t="s">
        <v>35</v>
      </c>
      <c r="B22" s="25">
        <v>0.05</v>
      </c>
      <c r="C22" s="8"/>
      <c r="D22" s="24" t="s">
        <v>27</v>
      </c>
      <c r="E22" s="9">
        <v>40</v>
      </c>
      <c r="F22" s="18" t="s">
        <v>49</v>
      </c>
      <c r="G22" s="33"/>
      <c r="H22" s="34">
        <v>0.05</v>
      </c>
    </row>
    <row r="23" spans="1:11" ht="15.75" thickBot="1" x14ac:dyDescent="0.3"/>
    <row r="24" spans="1:11" ht="15.75" thickBot="1" x14ac:dyDescent="0.3">
      <c r="A24" s="18" t="s">
        <v>41</v>
      </c>
      <c r="B24" s="19">
        <v>2</v>
      </c>
    </row>
    <row r="25" spans="1:11" x14ac:dyDescent="0.25">
      <c r="A25" s="12" t="s">
        <v>19</v>
      </c>
      <c r="B25" s="2"/>
      <c r="C25" s="2"/>
      <c r="D25" s="2"/>
      <c r="E25" s="2"/>
      <c r="F25" s="13" t="s">
        <v>38</v>
      </c>
      <c r="G25" s="21" t="s">
        <v>22</v>
      </c>
    </row>
    <row r="26" spans="1:11" x14ac:dyDescent="0.25">
      <c r="A26" s="4"/>
      <c r="B26" s="5"/>
      <c r="C26" s="5"/>
      <c r="D26" s="23" t="s">
        <v>20</v>
      </c>
      <c r="E26" s="5">
        <v>1</v>
      </c>
      <c r="F26" s="5">
        <v>12000</v>
      </c>
      <c r="G26" s="29">
        <v>0.5</v>
      </c>
    </row>
    <row r="27" spans="1:11" ht="15.75" thickBot="1" x14ac:dyDescent="0.3">
      <c r="A27" s="4"/>
      <c r="B27" s="5"/>
      <c r="C27" s="5"/>
      <c r="D27" s="23" t="s">
        <v>23</v>
      </c>
      <c r="E27" s="5">
        <v>2</v>
      </c>
      <c r="F27" s="5">
        <v>8000</v>
      </c>
      <c r="G27" s="29">
        <v>0.5</v>
      </c>
    </row>
    <row r="28" spans="1:11" ht="15.75" thickBot="1" x14ac:dyDescent="0.3">
      <c r="A28" s="7"/>
      <c r="B28" s="8"/>
      <c r="C28" s="8"/>
      <c r="D28" s="24" t="s">
        <v>21</v>
      </c>
      <c r="E28" s="8">
        <v>2</v>
      </c>
      <c r="F28" s="8">
        <v>8000</v>
      </c>
      <c r="G28" s="52">
        <v>0.5</v>
      </c>
      <c r="H28" s="16" t="s">
        <v>40</v>
      </c>
      <c r="I28" s="31"/>
      <c r="J28" s="31"/>
      <c r="K28" s="17">
        <v>150</v>
      </c>
    </row>
    <row r="30" spans="1:11" ht="15.75" thickBot="1" x14ac:dyDescent="0.3"/>
    <row r="31" spans="1:11" x14ac:dyDescent="0.25">
      <c r="A31" s="12" t="s">
        <v>24</v>
      </c>
      <c r="B31" s="2"/>
      <c r="C31" s="2"/>
      <c r="D31" s="2"/>
      <c r="E31" s="2"/>
      <c r="F31" s="2">
        <v>5000000</v>
      </c>
      <c r="G31" s="3"/>
    </row>
    <row r="32" spans="1:11" x14ac:dyDescent="0.25">
      <c r="A32" s="4"/>
      <c r="B32" s="5"/>
      <c r="C32" s="5"/>
      <c r="D32" s="5"/>
      <c r="E32" s="5"/>
      <c r="F32" s="5"/>
      <c r="G32" s="6"/>
    </row>
    <row r="33" spans="1:7" ht="15.75" thickBot="1" x14ac:dyDescent="0.3">
      <c r="A33" s="15" t="s">
        <v>51</v>
      </c>
      <c r="B33" s="8"/>
      <c r="C33" s="8"/>
      <c r="D33" s="25">
        <v>0.02</v>
      </c>
      <c r="E33" s="8"/>
      <c r="F33" s="8"/>
      <c r="G33" s="9"/>
    </row>
    <row r="34" spans="1:7" ht="15.75" thickBot="1" x14ac:dyDescent="0.3"/>
    <row r="35" spans="1:7" x14ac:dyDescent="0.25">
      <c r="A35" s="12"/>
      <c r="B35" s="13"/>
      <c r="C35" s="21"/>
    </row>
    <row r="36" spans="1:7" x14ac:dyDescent="0.25">
      <c r="A36" s="4"/>
      <c r="B36" s="26"/>
      <c r="C36" s="27"/>
    </row>
    <row r="37" spans="1:7" ht="15.75" thickBot="1" x14ac:dyDescent="0.3">
      <c r="A37" s="15" t="s">
        <v>25</v>
      </c>
      <c r="B37" s="35">
        <v>0.5</v>
      </c>
      <c r="C37" s="28"/>
    </row>
    <row r="38" spans="1:7" ht="15.75" thickBot="1" x14ac:dyDescent="0.3"/>
    <row r="39" spans="1:7" x14ac:dyDescent="0.25">
      <c r="A39" s="12"/>
      <c r="B39" s="13"/>
      <c r="C39" s="21"/>
    </row>
    <row r="40" spans="1:7" x14ac:dyDescent="0.25">
      <c r="A40" s="14" t="s">
        <v>28</v>
      </c>
      <c r="B40" s="26">
        <v>0.2</v>
      </c>
      <c r="C40" s="27"/>
    </row>
    <row r="41" spans="1:7" ht="15.75" thickBot="1" x14ac:dyDescent="0.3">
      <c r="A41" s="15"/>
      <c r="B41" s="24"/>
      <c r="C41" s="28"/>
    </row>
    <row r="43" spans="1:7" x14ac:dyDescent="0.25">
      <c r="A43" s="23"/>
      <c r="B43" s="23"/>
      <c r="C43" s="23"/>
    </row>
    <row r="44" spans="1:7" x14ac:dyDescent="0.25">
      <c r="A44" s="23"/>
      <c r="B44" s="23"/>
      <c r="C44" s="23"/>
    </row>
    <row r="45" spans="1:7" x14ac:dyDescent="0.25">
      <c r="A45" s="23"/>
      <c r="B45" s="23"/>
      <c r="C45" s="23"/>
    </row>
    <row r="46" spans="1:7" x14ac:dyDescent="0.25">
      <c r="A46" s="5"/>
      <c r="B46" s="5"/>
      <c r="C46" s="5"/>
    </row>
  </sheetData>
  <mergeCells count="4">
    <mergeCell ref="A1:F1"/>
    <mergeCell ref="G9:H9"/>
    <mergeCell ref="G10:H10"/>
    <mergeCell ref="G4:H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topLeftCell="A27" zoomScale="60" zoomScaleNormal="60" workbookViewId="0">
      <selection activeCell="U38" sqref="U38"/>
    </sheetView>
  </sheetViews>
  <sheetFormatPr defaultRowHeight="15" x14ac:dyDescent="0.25"/>
  <cols>
    <col min="1" max="1" width="28.7109375" bestFit="1" customWidth="1"/>
    <col min="2" max="2" width="30.5703125" bestFit="1" customWidth="1"/>
    <col min="3" max="3" width="18.7109375" bestFit="1" customWidth="1"/>
    <col min="4" max="4" width="10.85546875" bestFit="1" customWidth="1"/>
    <col min="5" max="5" width="13.42578125" bestFit="1" customWidth="1"/>
    <col min="6" max="6" width="13" bestFit="1" customWidth="1"/>
    <col min="7" max="7" width="15.140625" bestFit="1" customWidth="1"/>
    <col min="8" max="29" width="14.7109375" bestFit="1" customWidth="1"/>
  </cols>
  <sheetData>
    <row r="1" spans="1:29" ht="15.75" thickBot="1" x14ac:dyDescent="0.3">
      <c r="C1" s="44" t="s">
        <v>30</v>
      </c>
      <c r="D1" s="44">
        <v>0</v>
      </c>
      <c r="E1" s="44">
        <v>1</v>
      </c>
      <c r="F1" s="44">
        <v>2</v>
      </c>
      <c r="G1" s="44">
        <v>3</v>
      </c>
      <c r="H1" s="44">
        <v>4</v>
      </c>
      <c r="I1" s="44">
        <v>5</v>
      </c>
      <c r="J1" s="44">
        <v>6</v>
      </c>
      <c r="K1" s="44">
        <v>7</v>
      </c>
      <c r="L1" s="44">
        <v>8</v>
      </c>
      <c r="M1" s="44">
        <v>9</v>
      </c>
      <c r="N1" s="44">
        <v>10</v>
      </c>
      <c r="O1" s="44">
        <v>11</v>
      </c>
      <c r="P1" s="44">
        <v>12</v>
      </c>
      <c r="Q1" s="44">
        <v>13</v>
      </c>
      <c r="R1" s="44">
        <v>14</v>
      </c>
      <c r="S1" s="44">
        <v>15</v>
      </c>
      <c r="T1" s="44">
        <v>16</v>
      </c>
      <c r="U1" s="44">
        <v>17</v>
      </c>
      <c r="V1" s="44">
        <v>18</v>
      </c>
      <c r="W1" s="44">
        <v>19</v>
      </c>
      <c r="X1" s="44">
        <v>20</v>
      </c>
      <c r="Y1" s="44">
        <v>21</v>
      </c>
      <c r="Z1" s="44">
        <v>22</v>
      </c>
      <c r="AA1" s="44">
        <v>23</v>
      </c>
      <c r="AB1" s="44">
        <v>24</v>
      </c>
      <c r="AC1" s="44">
        <v>25</v>
      </c>
    </row>
    <row r="2" spans="1:29" x14ac:dyDescent="0.25">
      <c r="A2" s="45" t="s">
        <v>5</v>
      </c>
      <c r="B2" s="2"/>
      <c r="C2" s="60" t="s">
        <v>32</v>
      </c>
      <c r="D2" s="2">
        <f>Data!$B$4</f>
        <v>480</v>
      </c>
      <c r="E2" s="2">
        <f>Data!$B$4</f>
        <v>480</v>
      </c>
      <c r="F2" s="2">
        <f>Data!$B$4</f>
        <v>480</v>
      </c>
      <c r="G2" s="2">
        <f>Data!$B$4</f>
        <v>480</v>
      </c>
      <c r="H2" s="2">
        <f>Data!$B$4</f>
        <v>480</v>
      </c>
      <c r="I2" s="2">
        <f>Data!$B$4</f>
        <v>480</v>
      </c>
      <c r="J2" s="2">
        <f>Data!$B$4</f>
        <v>480</v>
      </c>
      <c r="K2" s="2">
        <f>Data!$B$4</f>
        <v>480</v>
      </c>
      <c r="L2" s="2">
        <f>Data!$B$4</f>
        <v>480</v>
      </c>
      <c r="M2" s="2">
        <f>Data!$B$4</f>
        <v>480</v>
      </c>
      <c r="N2" s="2">
        <f>Data!$B$4</f>
        <v>480</v>
      </c>
      <c r="O2" s="2">
        <f>Data!$B$4</f>
        <v>480</v>
      </c>
      <c r="P2" s="2">
        <f>Data!$B$4</f>
        <v>480</v>
      </c>
      <c r="Q2" s="2">
        <f>Data!$B$4</f>
        <v>480</v>
      </c>
      <c r="R2" s="2">
        <f>Data!$B$4</f>
        <v>480</v>
      </c>
      <c r="S2" s="2">
        <f>Data!$B$4</f>
        <v>480</v>
      </c>
      <c r="T2" s="2">
        <f>Data!$B$4</f>
        <v>480</v>
      </c>
      <c r="U2" s="2">
        <f>Data!$B$4</f>
        <v>480</v>
      </c>
      <c r="V2" s="2">
        <f>Data!$B$4</f>
        <v>480</v>
      </c>
      <c r="W2" s="2">
        <f>Data!$B$4</f>
        <v>480</v>
      </c>
      <c r="X2" s="2">
        <f>Data!$B$4</f>
        <v>480</v>
      </c>
      <c r="Y2" s="2">
        <f>Data!$B$4</f>
        <v>480</v>
      </c>
      <c r="Z2" s="2">
        <f>Data!$B$4</f>
        <v>480</v>
      </c>
      <c r="AA2" s="2">
        <f>Data!$B$4</f>
        <v>480</v>
      </c>
      <c r="AB2" s="2">
        <f>Data!$B$4</f>
        <v>480</v>
      </c>
      <c r="AC2" s="3">
        <f>Data!$B$4</f>
        <v>480</v>
      </c>
    </row>
    <row r="3" spans="1:29" x14ac:dyDescent="0.25">
      <c r="A3" s="14"/>
      <c r="B3" s="5"/>
      <c r="C3" s="61" t="s">
        <v>29</v>
      </c>
      <c r="D3" s="5">
        <f>Data!$B$4*Data!$C$4*(1-Data!$F$4*Calculations!D1)</f>
        <v>2640000</v>
      </c>
      <c r="E3" s="5">
        <f>Data!$B$4*Data!$C$4*(1-Data!$F$4*Calculations!E1)</f>
        <v>2534400</v>
      </c>
      <c r="F3" s="5">
        <f>Data!$B$4*Data!$C$4*(1-Data!$F$4*Calculations!F1)</f>
        <v>2428800</v>
      </c>
      <c r="G3" s="5">
        <f>Data!$B$4*Data!$C$4*(1-Data!$F$4*Calculations!G1)</f>
        <v>2323200</v>
      </c>
      <c r="H3" s="5">
        <f>Data!$B$4*Data!$C$4*(1-Data!$F$4*Calculations!H1)</f>
        <v>2217600</v>
      </c>
      <c r="I3" s="5">
        <f>Data!$B$4*Data!$C$4*(1-Data!$F$4*Calculations!I1)</f>
        <v>2112000</v>
      </c>
      <c r="J3" s="5">
        <f>Data!$B$4*Data!$C$4*(1-Data!$F$4*Calculations!J1)</f>
        <v>2006400</v>
      </c>
      <c r="K3" s="5">
        <f>Data!$B$4*Data!$C$4*(1-Data!$F$4*Calculations!K1)</f>
        <v>1900800</v>
      </c>
      <c r="L3" s="5">
        <f>Data!$B$4*Data!$C$4*(1-Data!$F$4*Calculations!L1)</f>
        <v>1795199.9999999998</v>
      </c>
      <c r="M3" s="5">
        <f>Data!$B$4*Data!$C$4*(1-Data!$F$4*Calculations!M1)</f>
        <v>1689600</v>
      </c>
      <c r="N3" s="5">
        <f>Data!$B$4*Data!$C$4*(1-Data!$F$4*Calculations!N1)</f>
        <v>1584000</v>
      </c>
      <c r="O3" s="5">
        <f>Data!$B$4*Data!$C$4*(1-Data!$F$4*Calculations!O1)</f>
        <v>1478400.0000000002</v>
      </c>
      <c r="P3" s="5">
        <f>Data!$B$4*Data!$C$4*(1-Data!$F$4*Calculations!P1)</f>
        <v>1372800</v>
      </c>
      <c r="Q3" s="5">
        <f>Data!$B$4*Data!$C$4*(1-Data!$F$4*Calculations!Q1)</f>
        <v>1267200</v>
      </c>
      <c r="R3" s="5">
        <f>Data!$B$4*Data!$C$4*(1-Data!$F$4*Calculations!R1)</f>
        <v>1161599.9999999998</v>
      </c>
      <c r="S3" s="5">
        <f>Data!$B$4*Data!$C$4*(1-Data!$F$4*Calculations!S1)</f>
        <v>1056000</v>
      </c>
      <c r="T3" s="5">
        <f>Data!$B$4*Data!$C$4*(1-Data!$F$4*Calculations!T1)</f>
        <v>950400</v>
      </c>
      <c r="U3" s="5">
        <f>Data!$B$4*Data!$C$4*(1-Data!$F$4*Calculations!U1)</f>
        <v>844799.99999999988</v>
      </c>
      <c r="V3" s="5">
        <f>Data!$B$4*Data!$C$4*(1-Data!$F$4*Calculations!V1)</f>
        <v>739200.00000000012</v>
      </c>
      <c r="W3" s="5">
        <f>Data!$B$4*Data!$C$4*(1-Data!$F$4*Calculations!W1)</f>
        <v>633600</v>
      </c>
      <c r="X3" s="5">
        <f>Data!$B$4*Data!$C$4*(1-Data!$F$4*Calculations!X1)</f>
        <v>527999.99999999988</v>
      </c>
      <c r="Y3" s="5">
        <f>Data!$B$4*Data!$C$4*(1-Data!$F$4*Calculations!Y1)</f>
        <v>422400.00000000006</v>
      </c>
      <c r="Z3" s="5">
        <f>Data!$B$4*Data!$C$4*(1-Data!$F$4*Calculations!Z1)</f>
        <v>316800</v>
      </c>
      <c r="AA3" s="5">
        <f>Data!$B$4*Data!$C$4*(1-Data!$F$4*Calculations!AA1)</f>
        <v>211199.99999999988</v>
      </c>
      <c r="AB3" s="5">
        <f>Data!$B$4*Data!$C$4*(1-Data!$F$4*Calculations!AB1)</f>
        <v>105600.00000000009</v>
      </c>
      <c r="AC3" s="6">
        <f>Data!$B$4*Data!$C$4*(1-Data!$F$4*Calculations!AC1)</f>
        <v>0</v>
      </c>
    </row>
    <row r="4" spans="1:29" x14ac:dyDescent="0.25">
      <c r="A4" s="14"/>
      <c r="B4" s="5"/>
      <c r="C4" s="6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6"/>
    </row>
    <row r="5" spans="1:29" x14ac:dyDescent="0.25">
      <c r="A5" s="14"/>
      <c r="B5" s="5"/>
      <c r="C5" s="61" t="s">
        <v>43</v>
      </c>
      <c r="D5" s="5">
        <v>0</v>
      </c>
      <c r="E5" s="5">
        <f>D3-E3</f>
        <v>105600</v>
      </c>
      <c r="F5" s="5">
        <f>E3-F3</f>
        <v>105600</v>
      </c>
      <c r="G5" s="5">
        <f t="shared" ref="G5:AC5" si="0">F3-G3</f>
        <v>105600</v>
      </c>
      <c r="H5" s="5">
        <f t="shared" si="0"/>
        <v>105600</v>
      </c>
      <c r="I5" s="5">
        <f t="shared" si="0"/>
        <v>105600</v>
      </c>
      <c r="J5" s="5">
        <f t="shared" si="0"/>
        <v>105600</v>
      </c>
      <c r="K5" s="5">
        <f t="shared" si="0"/>
        <v>105600</v>
      </c>
      <c r="L5" s="5">
        <f t="shared" si="0"/>
        <v>105600.00000000023</v>
      </c>
      <c r="M5" s="5">
        <f t="shared" si="0"/>
        <v>105599.99999999977</v>
      </c>
      <c r="N5" s="5">
        <f t="shared" si="0"/>
        <v>105600</v>
      </c>
      <c r="O5" s="5">
        <f t="shared" si="0"/>
        <v>105599.99999999977</v>
      </c>
      <c r="P5" s="5">
        <f t="shared" si="0"/>
        <v>105600.00000000023</v>
      </c>
      <c r="Q5" s="5">
        <f t="shared" si="0"/>
        <v>105600</v>
      </c>
      <c r="R5" s="5">
        <f t="shared" si="0"/>
        <v>105600.00000000023</v>
      </c>
      <c r="S5" s="5">
        <f t="shared" si="0"/>
        <v>105599.99999999977</v>
      </c>
      <c r="T5" s="5">
        <f t="shared" si="0"/>
        <v>105600</v>
      </c>
      <c r="U5" s="5">
        <f t="shared" si="0"/>
        <v>105600.00000000012</v>
      </c>
      <c r="V5" s="5">
        <f t="shared" si="0"/>
        <v>105599.99999999977</v>
      </c>
      <c r="W5" s="5">
        <f t="shared" si="0"/>
        <v>105600.00000000012</v>
      </c>
      <c r="X5" s="5">
        <f t="shared" si="0"/>
        <v>105600.00000000012</v>
      </c>
      <c r="Y5" s="5">
        <f t="shared" si="0"/>
        <v>105599.99999999983</v>
      </c>
      <c r="Z5" s="5">
        <f t="shared" si="0"/>
        <v>105600.00000000006</v>
      </c>
      <c r="AA5" s="5">
        <f t="shared" si="0"/>
        <v>105600.00000000012</v>
      </c>
      <c r="AB5" s="5">
        <f t="shared" si="0"/>
        <v>105599.9999999998</v>
      </c>
      <c r="AC5" s="6">
        <f t="shared" si="0"/>
        <v>105600.00000000009</v>
      </c>
    </row>
    <row r="6" spans="1:29" ht="15.75" thickBot="1" x14ac:dyDescent="0.3">
      <c r="A6" s="7"/>
      <c r="B6" s="8"/>
      <c r="C6" s="62" t="s">
        <v>44</v>
      </c>
      <c r="D6" s="8">
        <v>0</v>
      </c>
      <c r="E6" s="8">
        <f>E5+D6</f>
        <v>105600</v>
      </c>
      <c r="F6" s="8">
        <f>F5+E6</f>
        <v>211200</v>
      </c>
      <c r="G6" s="8">
        <f t="shared" ref="G6:AC6" si="1">G5+F6</f>
        <v>316800</v>
      </c>
      <c r="H6" s="8">
        <f t="shared" si="1"/>
        <v>422400</v>
      </c>
      <c r="I6" s="8">
        <f t="shared" si="1"/>
        <v>528000</v>
      </c>
      <c r="J6" s="8">
        <f t="shared" si="1"/>
        <v>633600</v>
      </c>
      <c r="K6" s="8">
        <f t="shared" si="1"/>
        <v>739200</v>
      </c>
      <c r="L6" s="8">
        <f t="shared" si="1"/>
        <v>844800.00000000023</v>
      </c>
      <c r="M6" s="8">
        <f t="shared" si="1"/>
        <v>950400</v>
      </c>
      <c r="N6" s="8">
        <f t="shared" si="1"/>
        <v>1056000</v>
      </c>
      <c r="O6" s="8">
        <f t="shared" si="1"/>
        <v>1161599.9999999998</v>
      </c>
      <c r="P6" s="8">
        <f t="shared" si="1"/>
        <v>1267200</v>
      </c>
      <c r="Q6" s="8">
        <f t="shared" si="1"/>
        <v>1372800</v>
      </c>
      <c r="R6" s="8">
        <f t="shared" si="1"/>
        <v>1478400.0000000002</v>
      </c>
      <c r="S6" s="8">
        <f t="shared" si="1"/>
        <v>1584000</v>
      </c>
      <c r="T6" s="8">
        <f t="shared" si="1"/>
        <v>1689600</v>
      </c>
      <c r="U6" s="8">
        <f t="shared" si="1"/>
        <v>1795200</v>
      </c>
      <c r="V6" s="8">
        <f t="shared" si="1"/>
        <v>1900799.9999999998</v>
      </c>
      <c r="W6" s="8">
        <f t="shared" si="1"/>
        <v>2006400</v>
      </c>
      <c r="X6" s="8">
        <f t="shared" si="1"/>
        <v>2112000</v>
      </c>
      <c r="Y6" s="8">
        <f t="shared" si="1"/>
        <v>2217600</v>
      </c>
      <c r="Z6" s="8">
        <f t="shared" si="1"/>
        <v>2323200</v>
      </c>
      <c r="AA6" s="8">
        <f t="shared" si="1"/>
        <v>2428800</v>
      </c>
      <c r="AB6" s="8">
        <f t="shared" si="1"/>
        <v>2534400</v>
      </c>
      <c r="AC6" s="9">
        <f t="shared" si="1"/>
        <v>2640000</v>
      </c>
    </row>
    <row r="8" spans="1:29" ht="15.75" thickBot="1" x14ac:dyDescent="0.3">
      <c r="C8" s="44" t="s">
        <v>30</v>
      </c>
      <c r="D8" s="44">
        <v>0</v>
      </c>
      <c r="E8" s="44">
        <v>1</v>
      </c>
      <c r="F8" s="44">
        <v>2</v>
      </c>
      <c r="G8" s="44">
        <v>3</v>
      </c>
      <c r="H8" s="44">
        <v>4</v>
      </c>
      <c r="I8" s="44">
        <v>5</v>
      </c>
      <c r="J8" s="44">
        <v>6</v>
      </c>
      <c r="K8" s="44">
        <v>7</v>
      </c>
      <c r="L8" s="44">
        <v>8</v>
      </c>
      <c r="M8" s="44">
        <v>9</v>
      </c>
      <c r="N8" s="44">
        <v>10</v>
      </c>
      <c r="O8" s="44">
        <v>11</v>
      </c>
      <c r="P8" s="44">
        <v>12</v>
      </c>
      <c r="Q8" s="44">
        <v>13</v>
      </c>
      <c r="R8" s="44">
        <v>14</v>
      </c>
      <c r="S8" s="44">
        <v>15</v>
      </c>
      <c r="T8" s="44">
        <v>16</v>
      </c>
      <c r="U8" s="44">
        <v>17</v>
      </c>
      <c r="V8" s="44">
        <v>18</v>
      </c>
      <c r="W8" s="44">
        <v>19</v>
      </c>
      <c r="X8" s="44">
        <v>20</v>
      </c>
      <c r="Y8" s="44">
        <v>21</v>
      </c>
      <c r="Z8" s="44">
        <v>22</v>
      </c>
      <c r="AA8" s="44">
        <v>23</v>
      </c>
      <c r="AB8" s="44">
        <v>24</v>
      </c>
      <c r="AC8" s="44">
        <v>25</v>
      </c>
    </row>
    <row r="9" spans="1:29" x14ac:dyDescent="0.25">
      <c r="A9" s="45" t="s">
        <v>6</v>
      </c>
      <c r="B9" s="2"/>
      <c r="C9" s="60" t="s">
        <v>32</v>
      </c>
      <c r="D9" s="2">
        <f>Data!$B$5</f>
        <v>25</v>
      </c>
      <c r="E9" s="2">
        <f>Data!$B$5</f>
        <v>25</v>
      </c>
      <c r="F9" s="2">
        <f>Data!$B$5</f>
        <v>25</v>
      </c>
      <c r="G9" s="2">
        <f>Data!$B$5</f>
        <v>25</v>
      </c>
      <c r="H9" s="2">
        <f>Data!$B$5</f>
        <v>25</v>
      </c>
      <c r="I9" s="2">
        <f>Data!$B$5</f>
        <v>25</v>
      </c>
      <c r="J9" s="2">
        <f>Data!$B$5</f>
        <v>25</v>
      </c>
      <c r="K9" s="2">
        <f>Data!$B$5</f>
        <v>25</v>
      </c>
      <c r="L9" s="2">
        <f>Data!$B$5</f>
        <v>25</v>
      </c>
      <c r="M9" s="2">
        <f>Data!$B$5</f>
        <v>25</v>
      </c>
      <c r="N9" s="2">
        <f>Data!$B$5</f>
        <v>25</v>
      </c>
      <c r="O9" s="2">
        <f>Data!$B$5</f>
        <v>25</v>
      </c>
      <c r="P9" s="2">
        <f>Data!$B$5</f>
        <v>25</v>
      </c>
      <c r="Q9" s="2">
        <f>Data!$B$5</f>
        <v>25</v>
      </c>
      <c r="R9" s="2">
        <f>Data!$B$5</f>
        <v>25</v>
      </c>
      <c r="S9" s="2">
        <f>Data!$B$5</f>
        <v>25</v>
      </c>
      <c r="T9" s="2">
        <f>Data!$B$5</f>
        <v>25</v>
      </c>
      <c r="U9" s="2">
        <f>Data!$B$5</f>
        <v>25</v>
      </c>
      <c r="V9" s="2">
        <f>Data!$B$5</f>
        <v>25</v>
      </c>
      <c r="W9" s="2">
        <f>Data!$B$5</f>
        <v>25</v>
      </c>
      <c r="X9" s="2">
        <f>Data!$B$5</f>
        <v>25</v>
      </c>
      <c r="Y9" s="2">
        <f>Data!$B$5</f>
        <v>25</v>
      </c>
      <c r="Z9" s="2">
        <f>Data!$B$5</f>
        <v>25</v>
      </c>
      <c r="AA9" s="2">
        <f>Data!$B$5</f>
        <v>25</v>
      </c>
      <c r="AB9" s="2">
        <f>Data!$B$5</f>
        <v>25</v>
      </c>
      <c r="AC9" s="3">
        <f>Data!$B$5</f>
        <v>25</v>
      </c>
    </row>
    <row r="10" spans="1:29" x14ac:dyDescent="0.25">
      <c r="A10" s="14"/>
      <c r="B10" s="5"/>
      <c r="C10" s="61" t="s">
        <v>29</v>
      </c>
      <c r="D10" s="5">
        <f>D9*Data!$C$5*(1-Data!$F$5*D1)</f>
        <v>340000</v>
      </c>
      <c r="E10" s="5">
        <f>E9*Data!$C$5*(1-Data!$F$5*E1)</f>
        <v>326400</v>
      </c>
      <c r="F10" s="5">
        <f>F9*Data!$C$5*(1-Data!$F$5*F1)</f>
        <v>312800</v>
      </c>
      <c r="G10" s="5">
        <f>G9*Data!$C$5*(1-Data!$F$5*G1)</f>
        <v>299200</v>
      </c>
      <c r="H10" s="5">
        <f>H9*Data!$C$5*(1-Data!$F$5*H1)</f>
        <v>285600</v>
      </c>
      <c r="I10" s="5">
        <f>I9*Data!$C$5*(1-Data!$F$5*I1)</f>
        <v>272000</v>
      </c>
      <c r="J10" s="5">
        <f>J9*Data!$C$5*(1-Data!$F$5*J1)</f>
        <v>258400</v>
      </c>
      <c r="K10" s="5">
        <f>K9*Data!$C$5*(1-Data!$F$5*K1)</f>
        <v>244800</v>
      </c>
      <c r="L10" s="5">
        <f>L9*Data!$C$5*(1-Data!$F$5*L1)</f>
        <v>231199.99999999997</v>
      </c>
      <c r="M10" s="5">
        <f>M9*Data!$C$5*(1-Data!$F$5*M1)</f>
        <v>217600</v>
      </c>
      <c r="N10" s="5">
        <f>N9*Data!$C$5*(1-Data!$F$5*N1)</f>
        <v>204000</v>
      </c>
      <c r="O10" s="5">
        <f>O9*Data!$C$5*(1-Data!$F$5*O1)</f>
        <v>190400.00000000003</v>
      </c>
      <c r="P10" s="5">
        <f>P9*Data!$C$5*(1-Data!$F$5*P1)</f>
        <v>176800</v>
      </c>
      <c r="Q10" s="5">
        <f>Q9*Data!$C$5*(1-Data!$F$5*Q1)</f>
        <v>163200</v>
      </c>
      <c r="R10" s="5">
        <f>R9*Data!$C$5*(1-Data!$F$5*R1)</f>
        <v>149599.99999999997</v>
      </c>
      <c r="S10" s="5">
        <f>S9*Data!$C$5*(1-Data!$F$5*S1)</f>
        <v>136000</v>
      </c>
      <c r="T10" s="5">
        <f>T9*Data!$C$5*(1-Data!$F$5*T1)</f>
        <v>122400</v>
      </c>
      <c r="U10" s="5">
        <f>U9*Data!$C$5*(1-Data!$F$5*U1)</f>
        <v>108799.99999999999</v>
      </c>
      <c r="V10" s="5">
        <f>V9*Data!$C$5*(1-Data!$F$5*V1)</f>
        <v>95200.000000000015</v>
      </c>
      <c r="W10" s="5">
        <f>W9*Data!$C$5*(1-Data!$F$5*W1)</f>
        <v>81600</v>
      </c>
      <c r="X10" s="5">
        <f>X9*Data!$C$5*(1-Data!$F$5*X1)</f>
        <v>67999.999999999985</v>
      </c>
      <c r="Y10" s="5">
        <f>Y9*Data!$C$5*(1-Data!$F$5*Y1)</f>
        <v>54400.000000000007</v>
      </c>
      <c r="Z10" s="5">
        <f>Z9*Data!$C$5*(1-Data!$F$5*Z1)</f>
        <v>40800</v>
      </c>
      <c r="AA10" s="5">
        <f>AA9*Data!$C$5*(1-Data!$F$5*AA1)</f>
        <v>27199.999999999985</v>
      </c>
      <c r="AB10" s="5">
        <f>AB9*Data!$C$5*(1-Data!$F$5*AB1)</f>
        <v>13600.000000000013</v>
      </c>
      <c r="AC10" s="6">
        <f>AC9*Data!$C$5*(1-Data!$F$5*AC1)</f>
        <v>0</v>
      </c>
    </row>
    <row r="11" spans="1:29" x14ac:dyDescent="0.25">
      <c r="A11" s="14"/>
      <c r="B11" s="5"/>
      <c r="C11" s="6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6"/>
    </row>
    <row r="12" spans="1:29" x14ac:dyDescent="0.25">
      <c r="A12" s="4"/>
      <c r="B12" s="5"/>
      <c r="C12" s="61" t="s">
        <v>43</v>
      </c>
      <c r="D12" s="5">
        <v>0</v>
      </c>
      <c r="E12" s="5">
        <f>D10-E10</f>
        <v>13600</v>
      </c>
      <c r="F12" s="5">
        <f t="shared" ref="F12:AC12" si="2">E10-F10</f>
        <v>13600</v>
      </c>
      <c r="G12" s="5">
        <f t="shared" si="2"/>
        <v>13600</v>
      </c>
      <c r="H12" s="5">
        <f t="shared" si="2"/>
        <v>13600</v>
      </c>
      <c r="I12" s="5">
        <f t="shared" si="2"/>
        <v>13600</v>
      </c>
      <c r="J12" s="5">
        <f t="shared" si="2"/>
        <v>13600</v>
      </c>
      <c r="K12" s="5">
        <f t="shared" si="2"/>
        <v>13600</v>
      </c>
      <c r="L12" s="5">
        <f t="shared" si="2"/>
        <v>13600.000000000029</v>
      </c>
      <c r="M12" s="5">
        <f t="shared" si="2"/>
        <v>13599.999999999971</v>
      </c>
      <c r="N12" s="5">
        <f t="shared" si="2"/>
        <v>13600</v>
      </c>
      <c r="O12" s="5">
        <f t="shared" si="2"/>
        <v>13599.999999999971</v>
      </c>
      <c r="P12" s="5">
        <f t="shared" si="2"/>
        <v>13600.000000000029</v>
      </c>
      <c r="Q12" s="5">
        <f t="shared" si="2"/>
        <v>13600</v>
      </c>
      <c r="R12" s="5">
        <f t="shared" si="2"/>
        <v>13600.000000000029</v>
      </c>
      <c r="S12" s="5">
        <f t="shared" si="2"/>
        <v>13599.999999999971</v>
      </c>
      <c r="T12" s="5">
        <f t="shared" si="2"/>
        <v>13600</v>
      </c>
      <c r="U12" s="5">
        <f t="shared" si="2"/>
        <v>13600.000000000015</v>
      </c>
      <c r="V12" s="5">
        <f t="shared" si="2"/>
        <v>13599.999999999971</v>
      </c>
      <c r="W12" s="5">
        <f t="shared" si="2"/>
        <v>13600.000000000015</v>
      </c>
      <c r="X12" s="5">
        <f t="shared" si="2"/>
        <v>13600.000000000015</v>
      </c>
      <c r="Y12" s="5">
        <f t="shared" si="2"/>
        <v>13599.999999999978</v>
      </c>
      <c r="Z12" s="5">
        <f t="shared" si="2"/>
        <v>13600.000000000007</v>
      </c>
      <c r="AA12" s="5">
        <f t="shared" si="2"/>
        <v>13600.000000000015</v>
      </c>
      <c r="AB12" s="5">
        <f t="shared" si="2"/>
        <v>13599.999999999973</v>
      </c>
      <c r="AC12" s="6">
        <f t="shared" si="2"/>
        <v>13600.000000000013</v>
      </c>
    </row>
    <row r="13" spans="1:29" ht="15.75" thickBot="1" x14ac:dyDescent="0.3">
      <c r="A13" s="15"/>
      <c r="B13" s="8"/>
      <c r="C13" s="62" t="s">
        <v>44</v>
      </c>
      <c r="D13" s="8">
        <v>0</v>
      </c>
      <c r="E13" s="8">
        <f>E12+D13</f>
        <v>13600</v>
      </c>
      <c r="F13" s="8">
        <f>F12+E13</f>
        <v>27200</v>
      </c>
      <c r="G13" s="8">
        <f t="shared" ref="G13:AC13" si="3">G12+F13</f>
        <v>40800</v>
      </c>
      <c r="H13" s="8">
        <f t="shared" si="3"/>
        <v>54400</v>
      </c>
      <c r="I13" s="8">
        <f t="shared" si="3"/>
        <v>68000</v>
      </c>
      <c r="J13" s="8">
        <f t="shared" si="3"/>
        <v>81600</v>
      </c>
      <c r="K13" s="8">
        <f t="shared" si="3"/>
        <v>95200</v>
      </c>
      <c r="L13" s="8">
        <f t="shared" si="3"/>
        <v>108800.00000000003</v>
      </c>
      <c r="M13" s="8">
        <f t="shared" si="3"/>
        <v>122400</v>
      </c>
      <c r="N13" s="8">
        <f t="shared" si="3"/>
        <v>136000</v>
      </c>
      <c r="O13" s="8">
        <f t="shared" si="3"/>
        <v>149599.99999999997</v>
      </c>
      <c r="P13" s="8">
        <f t="shared" si="3"/>
        <v>163200</v>
      </c>
      <c r="Q13" s="8">
        <f t="shared" si="3"/>
        <v>176800</v>
      </c>
      <c r="R13" s="8">
        <f t="shared" si="3"/>
        <v>190400.00000000003</v>
      </c>
      <c r="S13" s="8">
        <f t="shared" si="3"/>
        <v>204000</v>
      </c>
      <c r="T13" s="8">
        <f t="shared" si="3"/>
        <v>217600</v>
      </c>
      <c r="U13" s="8">
        <f t="shared" si="3"/>
        <v>231200</v>
      </c>
      <c r="V13" s="8">
        <f t="shared" si="3"/>
        <v>244799.99999999997</v>
      </c>
      <c r="W13" s="8">
        <f t="shared" si="3"/>
        <v>258400</v>
      </c>
      <c r="X13" s="8">
        <f t="shared" si="3"/>
        <v>272000</v>
      </c>
      <c r="Y13" s="8">
        <f t="shared" si="3"/>
        <v>285600</v>
      </c>
      <c r="Z13" s="8">
        <f t="shared" si="3"/>
        <v>299200</v>
      </c>
      <c r="AA13" s="8">
        <f t="shared" si="3"/>
        <v>312800</v>
      </c>
      <c r="AB13" s="8">
        <f t="shared" si="3"/>
        <v>326400</v>
      </c>
      <c r="AC13" s="9">
        <f t="shared" si="3"/>
        <v>340000</v>
      </c>
    </row>
    <row r="15" spans="1:29" ht="15.75" thickBot="1" x14ac:dyDescent="0.3">
      <c r="A15" s="22"/>
      <c r="C15" s="44" t="s">
        <v>30</v>
      </c>
      <c r="D15" s="44">
        <v>0</v>
      </c>
      <c r="E15" s="44">
        <v>1</v>
      </c>
      <c r="F15" s="44">
        <v>2</v>
      </c>
      <c r="G15" s="44">
        <v>3</v>
      </c>
      <c r="H15" s="44">
        <v>4</v>
      </c>
      <c r="I15" s="44">
        <v>5</v>
      </c>
      <c r="J15" s="44">
        <v>6</v>
      </c>
      <c r="K15" s="44">
        <v>7</v>
      </c>
      <c r="L15" s="44">
        <v>8</v>
      </c>
      <c r="M15" s="44">
        <v>9</v>
      </c>
      <c r="N15" s="44">
        <v>10</v>
      </c>
      <c r="O15" s="44">
        <v>11</v>
      </c>
      <c r="P15" s="44">
        <v>12</v>
      </c>
      <c r="Q15" s="44">
        <v>13</v>
      </c>
      <c r="R15" s="44">
        <v>14</v>
      </c>
      <c r="S15" s="44">
        <v>15</v>
      </c>
      <c r="T15" s="44">
        <v>16</v>
      </c>
      <c r="U15" s="44">
        <v>17</v>
      </c>
      <c r="V15" s="44">
        <v>18</v>
      </c>
      <c r="W15" s="44">
        <v>19</v>
      </c>
      <c r="X15" s="44">
        <v>20</v>
      </c>
      <c r="Y15" s="44">
        <v>21</v>
      </c>
      <c r="Z15" s="44">
        <v>22</v>
      </c>
      <c r="AA15" s="44">
        <v>23</v>
      </c>
      <c r="AB15" s="44">
        <v>24</v>
      </c>
      <c r="AC15" s="44">
        <v>25</v>
      </c>
    </row>
    <row r="16" spans="1:29" x14ac:dyDescent="0.25">
      <c r="A16" s="45" t="s">
        <v>74</v>
      </c>
      <c r="B16" s="2"/>
      <c r="C16" s="60" t="s">
        <v>32</v>
      </c>
      <c r="D16" s="2">
        <f>Data!$B$6</f>
        <v>1</v>
      </c>
      <c r="E16" s="2">
        <f>Data!$B$6</f>
        <v>1</v>
      </c>
      <c r="F16" s="2">
        <f>Data!$B$6</f>
        <v>1</v>
      </c>
      <c r="G16" s="2">
        <f>Data!$B$6</f>
        <v>1</v>
      </c>
      <c r="H16" s="2">
        <f>Data!$B$6</f>
        <v>1</v>
      </c>
      <c r="I16" s="2">
        <f>Data!$B$6</f>
        <v>1</v>
      </c>
      <c r="J16" s="2">
        <f>Data!$B$6</f>
        <v>1</v>
      </c>
      <c r="K16" s="2">
        <f>Data!$B$6</f>
        <v>1</v>
      </c>
      <c r="L16" s="2">
        <f>Data!$B$6</f>
        <v>1</v>
      </c>
      <c r="M16" s="2">
        <f>Data!$B$6</f>
        <v>1</v>
      </c>
      <c r="N16" s="2">
        <f>Data!$B$6</f>
        <v>1</v>
      </c>
      <c r="O16" s="2">
        <f>Data!$B$6</f>
        <v>1</v>
      </c>
      <c r="P16" s="2">
        <f>Data!$B$6</f>
        <v>1</v>
      </c>
      <c r="Q16" s="2">
        <f>Data!$B$6</f>
        <v>1</v>
      </c>
      <c r="R16" s="2">
        <f>Data!$B$6</f>
        <v>1</v>
      </c>
      <c r="S16" s="2">
        <f>Data!$B$6</f>
        <v>1</v>
      </c>
      <c r="T16" s="2">
        <f>Data!$B$6</f>
        <v>1</v>
      </c>
      <c r="U16" s="2">
        <f>Data!$B$6</f>
        <v>1</v>
      </c>
      <c r="V16" s="2">
        <f>Data!$B$6</f>
        <v>1</v>
      </c>
      <c r="W16" s="2">
        <f>Data!$B$6</f>
        <v>1</v>
      </c>
      <c r="X16" s="2">
        <f>Data!$B$6</f>
        <v>1</v>
      </c>
      <c r="Y16" s="2">
        <f>Data!$B$6</f>
        <v>1</v>
      </c>
      <c r="Z16" s="2">
        <f>Data!$B$6</f>
        <v>1</v>
      </c>
      <c r="AA16" s="2">
        <f>Data!$B$6</f>
        <v>1</v>
      </c>
      <c r="AB16" s="2">
        <f>Data!$B$6</f>
        <v>1</v>
      </c>
      <c r="AC16" s="3">
        <f>Data!$B$6</f>
        <v>1</v>
      </c>
    </row>
    <row r="17" spans="1:29" x14ac:dyDescent="0.25">
      <c r="A17" s="4"/>
      <c r="B17" s="5"/>
      <c r="C17" s="61" t="s">
        <v>29</v>
      </c>
      <c r="D17" s="5">
        <f>Data!$D$6*(1-Data!$F$6*Calculations!D1)</f>
        <v>100000</v>
      </c>
      <c r="E17" s="5">
        <f>Data!$D$6*(1-Data!$F$6*Calculations!E1)</f>
        <v>96000</v>
      </c>
      <c r="F17" s="5">
        <f>Data!$D$6*(1-Data!$F$6*Calculations!F1)</f>
        <v>92000</v>
      </c>
      <c r="G17" s="5">
        <f>Data!$D$6*(1-Data!$F$6*Calculations!G1)</f>
        <v>88000</v>
      </c>
      <c r="H17" s="5">
        <f>Data!$D$6*(1-Data!$F$6*Calculations!H1)</f>
        <v>84000</v>
      </c>
      <c r="I17" s="5">
        <f>Data!$D$6*(1-Data!$F$6*Calculations!I1)</f>
        <v>80000</v>
      </c>
      <c r="J17" s="5">
        <f>Data!$D$6*(1-Data!$F$6*Calculations!J1)</f>
        <v>76000</v>
      </c>
      <c r="K17" s="5">
        <f>Data!$D$6*(1-Data!$F$6*Calculations!K1)</f>
        <v>72000</v>
      </c>
      <c r="L17" s="5">
        <f>Data!$D$6*(1-Data!$F$6*Calculations!L1)</f>
        <v>68000</v>
      </c>
      <c r="M17" s="5">
        <f>Data!$D$6*(1-Data!$F$6*Calculations!M1)</f>
        <v>64000</v>
      </c>
      <c r="N17" s="5">
        <f>Data!$D$6*(1-Data!$F$6*Calculations!N1)</f>
        <v>60000</v>
      </c>
      <c r="O17" s="5">
        <f>Data!$D$6*(1-Data!$F$6*Calculations!O1)</f>
        <v>56000.000000000007</v>
      </c>
      <c r="P17" s="5">
        <f>Data!$D$6*(1-Data!$F$6*Calculations!P1)</f>
        <v>52000</v>
      </c>
      <c r="Q17" s="5">
        <f>Data!$D$6*(1-Data!$F$6*Calculations!Q1)</f>
        <v>48000</v>
      </c>
      <c r="R17" s="5">
        <f>Data!$D$6*(1-Data!$F$6*Calculations!R1)</f>
        <v>43999.999999999993</v>
      </c>
      <c r="S17" s="5">
        <f>Data!$D$6*(1-Data!$F$6*Calculations!S1)</f>
        <v>40000</v>
      </c>
      <c r="T17" s="5">
        <f>Data!$D$6*(1-Data!$F$6*Calculations!T1)</f>
        <v>36000</v>
      </c>
      <c r="U17" s="5">
        <f>Data!$D$6*(1-Data!$F$6*Calculations!U1)</f>
        <v>31999.999999999996</v>
      </c>
      <c r="V17" s="5">
        <f>Data!$D$6*(1-Data!$F$6*Calculations!V1)</f>
        <v>28000.000000000004</v>
      </c>
      <c r="W17" s="5">
        <f>Data!$D$6*(1-Data!$F$6*Calculations!W1)</f>
        <v>24000</v>
      </c>
      <c r="X17" s="5">
        <f>Data!$D$6*(1-Data!$F$6*Calculations!X1)</f>
        <v>19999.999999999996</v>
      </c>
      <c r="Y17" s="5">
        <f>Data!$D$6*(1-Data!$F$6*Calculations!Y1)</f>
        <v>16000.000000000004</v>
      </c>
      <c r="Z17" s="5">
        <f>Data!$D$6*(1-Data!$F$6*Calculations!Z1)</f>
        <v>12000</v>
      </c>
      <c r="AA17" s="5">
        <f>Data!$D$6*(1-Data!$F$6*Calculations!AA1)</f>
        <v>7999.9999999999964</v>
      </c>
      <c r="AB17" s="5">
        <f>Data!$D$6*(1-Data!$F$6*Calculations!AB1)</f>
        <v>4000.0000000000036</v>
      </c>
      <c r="AC17" s="6">
        <f>Data!$D$6*(1-Data!$F$6*Calculations!AC1)</f>
        <v>0</v>
      </c>
    </row>
    <row r="18" spans="1:29" x14ac:dyDescent="0.25">
      <c r="A18" s="4"/>
      <c r="B18" s="5"/>
      <c r="C18" s="6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6"/>
    </row>
    <row r="19" spans="1:29" x14ac:dyDescent="0.25">
      <c r="A19" s="4"/>
      <c r="B19" s="5"/>
      <c r="C19" s="61" t="s">
        <v>43</v>
      </c>
      <c r="D19" s="5">
        <f>0</f>
        <v>0</v>
      </c>
      <c r="E19" s="5">
        <f>D17-E17</f>
        <v>4000</v>
      </c>
      <c r="F19" s="5">
        <f t="shared" ref="F19:AC19" si="4">E17-F17</f>
        <v>4000</v>
      </c>
      <c r="G19" s="5">
        <f t="shared" si="4"/>
        <v>4000</v>
      </c>
      <c r="H19" s="5">
        <f t="shared" si="4"/>
        <v>4000</v>
      </c>
      <c r="I19" s="5">
        <f t="shared" si="4"/>
        <v>4000</v>
      </c>
      <c r="J19" s="5">
        <f t="shared" si="4"/>
        <v>4000</v>
      </c>
      <c r="K19" s="5">
        <f t="shared" si="4"/>
        <v>4000</v>
      </c>
      <c r="L19" s="5">
        <f t="shared" si="4"/>
        <v>4000</v>
      </c>
      <c r="M19" s="5">
        <f t="shared" si="4"/>
        <v>4000</v>
      </c>
      <c r="N19" s="5">
        <f t="shared" si="4"/>
        <v>4000</v>
      </c>
      <c r="O19" s="5">
        <f t="shared" si="4"/>
        <v>3999.9999999999927</v>
      </c>
      <c r="P19" s="5">
        <f t="shared" si="4"/>
        <v>4000.0000000000073</v>
      </c>
      <c r="Q19" s="5">
        <f t="shared" si="4"/>
        <v>4000</v>
      </c>
      <c r="R19" s="5">
        <f t="shared" si="4"/>
        <v>4000.0000000000073</v>
      </c>
      <c r="S19" s="5">
        <f t="shared" si="4"/>
        <v>3999.9999999999927</v>
      </c>
      <c r="T19" s="5">
        <f t="shared" si="4"/>
        <v>4000</v>
      </c>
      <c r="U19" s="5">
        <f t="shared" si="4"/>
        <v>4000.0000000000036</v>
      </c>
      <c r="V19" s="5">
        <f t="shared" si="4"/>
        <v>3999.9999999999927</v>
      </c>
      <c r="W19" s="5">
        <f t="shared" si="4"/>
        <v>4000.0000000000036</v>
      </c>
      <c r="X19" s="5">
        <f t="shared" si="4"/>
        <v>4000.0000000000036</v>
      </c>
      <c r="Y19" s="5">
        <f t="shared" si="4"/>
        <v>3999.9999999999927</v>
      </c>
      <c r="Z19" s="5">
        <f t="shared" si="4"/>
        <v>4000.0000000000036</v>
      </c>
      <c r="AA19" s="5">
        <f t="shared" si="4"/>
        <v>4000.0000000000036</v>
      </c>
      <c r="AB19" s="5">
        <f t="shared" si="4"/>
        <v>3999.9999999999927</v>
      </c>
      <c r="AC19" s="6">
        <f t="shared" si="4"/>
        <v>4000.0000000000036</v>
      </c>
    </row>
    <row r="20" spans="1:29" ht="15.75" thickBot="1" x14ac:dyDescent="0.3">
      <c r="A20" s="7"/>
      <c r="B20" s="8"/>
      <c r="C20" s="62" t="s">
        <v>44</v>
      </c>
      <c r="D20" s="8">
        <v>0</v>
      </c>
      <c r="E20" s="8">
        <f>E19+D20</f>
        <v>4000</v>
      </c>
      <c r="F20" s="8">
        <f t="shared" ref="F20:AC20" si="5">F19+E20</f>
        <v>8000</v>
      </c>
      <c r="G20" s="8">
        <f t="shared" si="5"/>
        <v>12000</v>
      </c>
      <c r="H20" s="8">
        <f t="shared" si="5"/>
        <v>16000</v>
      </c>
      <c r="I20" s="8">
        <f t="shared" si="5"/>
        <v>20000</v>
      </c>
      <c r="J20" s="8">
        <f t="shared" si="5"/>
        <v>24000</v>
      </c>
      <c r="K20" s="8">
        <f t="shared" si="5"/>
        <v>28000</v>
      </c>
      <c r="L20" s="8">
        <f t="shared" si="5"/>
        <v>32000</v>
      </c>
      <c r="M20" s="8">
        <f t="shared" si="5"/>
        <v>36000</v>
      </c>
      <c r="N20" s="8">
        <f t="shared" si="5"/>
        <v>40000</v>
      </c>
      <c r="O20" s="8">
        <f t="shared" si="5"/>
        <v>43999.999999999993</v>
      </c>
      <c r="P20" s="8">
        <f t="shared" si="5"/>
        <v>48000</v>
      </c>
      <c r="Q20" s="8">
        <f t="shared" si="5"/>
        <v>52000</v>
      </c>
      <c r="R20" s="8">
        <f t="shared" si="5"/>
        <v>56000.000000000007</v>
      </c>
      <c r="S20" s="8">
        <f t="shared" si="5"/>
        <v>60000</v>
      </c>
      <c r="T20" s="8">
        <f t="shared" si="5"/>
        <v>64000</v>
      </c>
      <c r="U20" s="8">
        <f t="shared" si="5"/>
        <v>68000</v>
      </c>
      <c r="V20" s="8">
        <f t="shared" si="5"/>
        <v>72000</v>
      </c>
      <c r="W20" s="8">
        <f t="shared" si="5"/>
        <v>76000</v>
      </c>
      <c r="X20" s="8">
        <f t="shared" si="5"/>
        <v>80000</v>
      </c>
      <c r="Y20" s="8">
        <f t="shared" si="5"/>
        <v>84000</v>
      </c>
      <c r="Z20" s="8">
        <f t="shared" si="5"/>
        <v>88000</v>
      </c>
      <c r="AA20" s="8">
        <f t="shared" si="5"/>
        <v>92000</v>
      </c>
      <c r="AB20" s="8">
        <f t="shared" si="5"/>
        <v>96000</v>
      </c>
      <c r="AC20" s="9">
        <f t="shared" si="5"/>
        <v>100000</v>
      </c>
    </row>
    <row r="22" spans="1:29" ht="15.75" thickBot="1" x14ac:dyDescent="0.3">
      <c r="C22" s="44" t="s">
        <v>30</v>
      </c>
      <c r="D22" s="44">
        <v>0</v>
      </c>
      <c r="E22" s="44">
        <v>1</v>
      </c>
      <c r="F22" s="44">
        <v>2</v>
      </c>
      <c r="G22" s="44">
        <v>3</v>
      </c>
      <c r="H22" s="44">
        <v>4</v>
      </c>
      <c r="I22" s="44">
        <v>5</v>
      </c>
      <c r="J22" s="44">
        <v>6</v>
      </c>
      <c r="K22" s="44">
        <v>7</v>
      </c>
      <c r="L22" s="44">
        <v>8</v>
      </c>
      <c r="M22" s="44">
        <v>9</v>
      </c>
      <c r="N22" s="44">
        <v>10</v>
      </c>
      <c r="O22" s="44">
        <v>11</v>
      </c>
      <c r="P22" s="44">
        <v>12</v>
      </c>
      <c r="Q22" s="44">
        <v>13</v>
      </c>
      <c r="R22" s="44">
        <v>14</v>
      </c>
      <c r="S22" s="44">
        <v>15</v>
      </c>
      <c r="T22" s="44">
        <v>16</v>
      </c>
      <c r="U22" s="44">
        <v>17</v>
      </c>
      <c r="V22" s="44">
        <v>18</v>
      </c>
      <c r="W22" s="44">
        <v>19</v>
      </c>
      <c r="X22" s="44">
        <v>20</v>
      </c>
      <c r="Y22" s="44">
        <v>21</v>
      </c>
      <c r="Z22" s="44">
        <v>22</v>
      </c>
      <c r="AA22" s="44">
        <v>23</v>
      </c>
      <c r="AB22" s="44">
        <v>24</v>
      </c>
      <c r="AC22" s="44">
        <v>25</v>
      </c>
    </row>
    <row r="23" spans="1:29" x14ac:dyDescent="0.25">
      <c r="A23" s="45" t="s">
        <v>26</v>
      </c>
      <c r="B23" s="2"/>
      <c r="C23" s="60" t="s">
        <v>32</v>
      </c>
      <c r="D23" s="2">
        <f>Data!$B$7</f>
        <v>0</v>
      </c>
      <c r="E23" s="2">
        <f>Data!$B$7</f>
        <v>0</v>
      </c>
      <c r="F23" s="2">
        <f>Data!$B$7</f>
        <v>0</v>
      </c>
      <c r="G23" s="2">
        <f>Data!$B$7</f>
        <v>0</v>
      </c>
      <c r="H23" s="2">
        <f>Data!$B$7</f>
        <v>0</v>
      </c>
      <c r="I23" s="2">
        <f>Data!$B$7</f>
        <v>0</v>
      </c>
      <c r="J23" s="2">
        <f>Data!$B$7</f>
        <v>0</v>
      </c>
      <c r="K23" s="2">
        <f>Data!$B$7</f>
        <v>0</v>
      </c>
      <c r="L23" s="2">
        <f>Data!$B$7</f>
        <v>0</v>
      </c>
      <c r="M23" s="2">
        <f>Data!$B$7</f>
        <v>0</v>
      </c>
      <c r="N23" s="2">
        <f>Data!$B$7</f>
        <v>0</v>
      </c>
      <c r="O23" s="2">
        <f>Data!$B$7</f>
        <v>0</v>
      </c>
      <c r="P23" s="2">
        <f>Data!$B$7</f>
        <v>0</v>
      </c>
      <c r="Q23" s="2">
        <f>Data!$B$7</f>
        <v>0</v>
      </c>
      <c r="R23" s="2">
        <f>Data!$B$7</f>
        <v>0</v>
      </c>
      <c r="S23" s="2">
        <f>Data!$B$7</f>
        <v>0</v>
      </c>
      <c r="T23" s="2">
        <f>Data!$B$7</f>
        <v>0</v>
      </c>
      <c r="U23" s="2">
        <f>Data!$B$7</f>
        <v>0</v>
      </c>
      <c r="V23" s="2">
        <f>Data!$B$7</f>
        <v>0</v>
      </c>
      <c r="W23" s="2">
        <f>Data!$B$7</f>
        <v>0</v>
      </c>
      <c r="X23" s="2">
        <f>Data!$B$7</f>
        <v>0</v>
      </c>
      <c r="Y23" s="2">
        <f>Data!$B$7</f>
        <v>0</v>
      </c>
      <c r="Z23" s="2">
        <f>Data!$B$7</f>
        <v>0</v>
      </c>
      <c r="AA23" s="2">
        <f>Data!$B$7</f>
        <v>0</v>
      </c>
      <c r="AB23" s="2">
        <f>Data!$B$7</f>
        <v>0</v>
      </c>
      <c r="AC23" s="3">
        <f>Data!$B$7</f>
        <v>0</v>
      </c>
    </row>
    <row r="24" spans="1:29" x14ac:dyDescent="0.25">
      <c r="A24" s="14"/>
      <c r="B24" s="5"/>
      <c r="C24" s="61" t="s">
        <v>29</v>
      </c>
      <c r="D24" s="5">
        <f>D23*Data!$C$7*(1-Data!$F$7*Calculations!D1)</f>
        <v>0</v>
      </c>
      <c r="E24" s="5">
        <f>E23*Data!$C$7*(1-Data!$F$7*Calculations!E1)</f>
        <v>0</v>
      </c>
      <c r="F24" s="5">
        <f>F23*Data!$C$7*(1-Data!$F$7*Calculations!F1)</f>
        <v>0</v>
      </c>
      <c r="G24" s="5">
        <f>G23*Data!$C$7*(1-Data!$F$7*Calculations!G1)</f>
        <v>0</v>
      </c>
      <c r="H24" s="5">
        <f>H23*Data!$C$7*(1-Data!$F$7*Calculations!H1)</f>
        <v>0</v>
      </c>
      <c r="I24" s="5">
        <f>I23*Data!$C$7*(1-Data!$F$7*Calculations!I1)</f>
        <v>0</v>
      </c>
      <c r="J24" s="5">
        <f>J23*Data!$C$7*(1-Data!$F$7*Calculations!J1)</f>
        <v>0</v>
      </c>
      <c r="K24" s="5">
        <f>K23*Data!$C$7*(1-Data!$F$7*Calculations!K1)</f>
        <v>0</v>
      </c>
      <c r="L24" s="5">
        <f>L23*Data!$C$7*(1-Data!$F$7*Calculations!L1)</f>
        <v>0</v>
      </c>
      <c r="M24" s="5">
        <f>M23*Data!$C$7*(1-Data!$F$7*Calculations!M1)</f>
        <v>0</v>
      </c>
      <c r="N24" s="5">
        <f>N23*Data!$C$7*(1-Data!$F$7*Calculations!N1)</f>
        <v>0</v>
      </c>
      <c r="O24" s="5">
        <f>O23*Data!$C$7*(1-Data!$F$7*Calculations!O1)</f>
        <v>0</v>
      </c>
      <c r="P24" s="5">
        <f>P23*Data!$C$7*(1-Data!$F$7*Calculations!P1)</f>
        <v>0</v>
      </c>
      <c r="Q24" s="5">
        <f>Q23*Data!$C$7*(1-Data!$F$7*Calculations!Q1)</f>
        <v>0</v>
      </c>
      <c r="R24" s="5">
        <f>R23*Data!$C$7*(1-Data!$F$7*Calculations!R1)</f>
        <v>0</v>
      </c>
      <c r="S24" s="5">
        <f>S23*Data!$C$7*(1-Data!$F$7*Calculations!S1)</f>
        <v>0</v>
      </c>
      <c r="T24" s="5">
        <f>T23*Data!$C$7*(1-Data!$F$7*Calculations!T1)</f>
        <v>0</v>
      </c>
      <c r="U24" s="5">
        <f>U23*Data!$C$7*(1-Data!$F$7*Calculations!U1)</f>
        <v>0</v>
      </c>
      <c r="V24" s="5">
        <f>V23*Data!$C$7*(1-Data!$F$7*Calculations!V1)</f>
        <v>0</v>
      </c>
      <c r="W24" s="5">
        <f>W23*Data!$C$7*(1-Data!$F$7*Calculations!W1)</f>
        <v>0</v>
      </c>
      <c r="X24" s="5">
        <f>X23*Data!$C$7*(1-Data!$F$7*Calculations!X1)</f>
        <v>0</v>
      </c>
      <c r="Y24" s="5">
        <f>Y23*Data!$C$7*(1-Data!$F$7*Calculations!Y1)</f>
        <v>0</v>
      </c>
      <c r="Z24" s="5">
        <f>Z23*Data!$C$7*(1-Data!$F$7*Calculations!Z1)</f>
        <v>0</v>
      </c>
      <c r="AA24" s="5">
        <f>AA23*Data!$C$7*(1-Data!$F$7*Calculations!AA1)</f>
        <v>0</v>
      </c>
      <c r="AB24" s="5">
        <f>AB23*Data!$C$7*(1-Data!$F$7*Calculations!AB1)</f>
        <v>0</v>
      </c>
      <c r="AC24" s="6">
        <f>AC23*Data!$C$7*(1-Data!$F$7*Calculations!AC1)</f>
        <v>0</v>
      </c>
    </row>
    <row r="25" spans="1:29" x14ac:dyDescent="0.25">
      <c r="A25" s="14"/>
      <c r="B25" s="5"/>
      <c r="C25" s="6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6"/>
    </row>
    <row r="26" spans="1:29" x14ac:dyDescent="0.25">
      <c r="A26" s="4"/>
      <c r="B26" s="5"/>
      <c r="C26" s="61" t="s">
        <v>43</v>
      </c>
      <c r="D26" s="5">
        <v>0</v>
      </c>
      <c r="E26" s="5">
        <f>D24-E24</f>
        <v>0</v>
      </c>
      <c r="F26" s="5">
        <f t="shared" ref="F26:AC26" si="6">E24-F24</f>
        <v>0</v>
      </c>
      <c r="G26" s="5">
        <f t="shared" si="6"/>
        <v>0</v>
      </c>
      <c r="H26" s="5">
        <f t="shared" si="6"/>
        <v>0</v>
      </c>
      <c r="I26" s="5">
        <f t="shared" si="6"/>
        <v>0</v>
      </c>
      <c r="J26" s="5">
        <f t="shared" si="6"/>
        <v>0</v>
      </c>
      <c r="K26" s="5">
        <f t="shared" si="6"/>
        <v>0</v>
      </c>
      <c r="L26" s="5">
        <f t="shared" si="6"/>
        <v>0</v>
      </c>
      <c r="M26" s="5">
        <f t="shared" si="6"/>
        <v>0</v>
      </c>
      <c r="N26" s="5">
        <f t="shared" si="6"/>
        <v>0</v>
      </c>
      <c r="O26" s="5">
        <f t="shared" si="6"/>
        <v>0</v>
      </c>
      <c r="P26" s="5">
        <f t="shared" si="6"/>
        <v>0</v>
      </c>
      <c r="Q26" s="5">
        <f t="shared" si="6"/>
        <v>0</v>
      </c>
      <c r="R26" s="5">
        <f t="shared" si="6"/>
        <v>0</v>
      </c>
      <c r="S26" s="5">
        <f t="shared" si="6"/>
        <v>0</v>
      </c>
      <c r="T26" s="5">
        <f t="shared" si="6"/>
        <v>0</v>
      </c>
      <c r="U26" s="5">
        <f t="shared" si="6"/>
        <v>0</v>
      </c>
      <c r="V26" s="5">
        <f t="shared" si="6"/>
        <v>0</v>
      </c>
      <c r="W26" s="5">
        <f t="shared" si="6"/>
        <v>0</v>
      </c>
      <c r="X26" s="5">
        <f t="shared" si="6"/>
        <v>0</v>
      </c>
      <c r="Y26" s="5">
        <f t="shared" si="6"/>
        <v>0</v>
      </c>
      <c r="Z26" s="5">
        <f t="shared" si="6"/>
        <v>0</v>
      </c>
      <c r="AA26" s="5">
        <f t="shared" si="6"/>
        <v>0</v>
      </c>
      <c r="AB26" s="5">
        <f t="shared" si="6"/>
        <v>0</v>
      </c>
      <c r="AC26" s="6">
        <f t="shared" si="6"/>
        <v>0</v>
      </c>
    </row>
    <row r="27" spans="1:29" ht="15.75" thickBot="1" x14ac:dyDescent="0.3">
      <c r="A27" s="7"/>
      <c r="B27" s="8"/>
      <c r="C27" s="62" t="s">
        <v>44</v>
      </c>
      <c r="D27" s="8">
        <v>0</v>
      </c>
      <c r="E27" s="8">
        <f>E26+D27</f>
        <v>0</v>
      </c>
      <c r="F27" s="8">
        <f t="shared" ref="F27:AC27" si="7">F26+E27</f>
        <v>0</v>
      </c>
      <c r="G27" s="8">
        <f t="shared" si="7"/>
        <v>0</v>
      </c>
      <c r="H27" s="8">
        <f t="shared" si="7"/>
        <v>0</v>
      </c>
      <c r="I27" s="8">
        <f t="shared" si="7"/>
        <v>0</v>
      </c>
      <c r="J27" s="8">
        <f t="shared" si="7"/>
        <v>0</v>
      </c>
      <c r="K27" s="8">
        <f t="shared" si="7"/>
        <v>0</v>
      </c>
      <c r="L27" s="8">
        <f t="shared" si="7"/>
        <v>0</v>
      </c>
      <c r="M27" s="8">
        <f t="shared" si="7"/>
        <v>0</v>
      </c>
      <c r="N27" s="8">
        <f t="shared" si="7"/>
        <v>0</v>
      </c>
      <c r="O27" s="8">
        <f t="shared" si="7"/>
        <v>0</v>
      </c>
      <c r="P27" s="8">
        <f t="shared" si="7"/>
        <v>0</v>
      </c>
      <c r="Q27" s="8">
        <f t="shared" si="7"/>
        <v>0</v>
      </c>
      <c r="R27" s="8">
        <f t="shared" si="7"/>
        <v>0</v>
      </c>
      <c r="S27" s="8">
        <f t="shared" si="7"/>
        <v>0</v>
      </c>
      <c r="T27" s="8">
        <f t="shared" si="7"/>
        <v>0</v>
      </c>
      <c r="U27" s="8">
        <f t="shared" si="7"/>
        <v>0</v>
      </c>
      <c r="V27" s="8">
        <f t="shared" si="7"/>
        <v>0</v>
      </c>
      <c r="W27" s="8">
        <f t="shared" si="7"/>
        <v>0</v>
      </c>
      <c r="X27" s="8">
        <f t="shared" si="7"/>
        <v>0</v>
      </c>
      <c r="Y27" s="8">
        <f t="shared" si="7"/>
        <v>0</v>
      </c>
      <c r="Z27" s="8">
        <f t="shared" si="7"/>
        <v>0</v>
      </c>
      <c r="AA27" s="8">
        <f t="shared" si="7"/>
        <v>0</v>
      </c>
      <c r="AB27" s="8">
        <f t="shared" si="7"/>
        <v>0</v>
      </c>
      <c r="AC27" s="9">
        <f t="shared" si="7"/>
        <v>0</v>
      </c>
    </row>
    <row r="29" spans="1:29" ht="15.75" thickBot="1" x14ac:dyDescent="0.3">
      <c r="A29" s="5"/>
      <c r="B29" s="5"/>
      <c r="C29" s="44" t="s">
        <v>30</v>
      </c>
      <c r="D29" s="44">
        <v>0</v>
      </c>
      <c r="E29" s="44">
        <v>1</v>
      </c>
      <c r="F29" s="44">
        <v>2</v>
      </c>
      <c r="G29" s="44">
        <v>3</v>
      </c>
      <c r="H29" s="44">
        <v>4</v>
      </c>
      <c r="I29" s="44">
        <v>5</v>
      </c>
      <c r="J29" s="44">
        <v>6</v>
      </c>
      <c r="K29" s="44">
        <v>7</v>
      </c>
      <c r="L29" s="44">
        <v>8</v>
      </c>
      <c r="M29" s="44">
        <v>9</v>
      </c>
      <c r="N29" s="44">
        <v>10</v>
      </c>
      <c r="O29" s="44">
        <v>11</v>
      </c>
      <c r="P29" s="44">
        <v>12</v>
      </c>
      <c r="Q29" s="44">
        <v>13</v>
      </c>
      <c r="R29" s="44">
        <v>14</v>
      </c>
      <c r="S29" s="44">
        <v>15</v>
      </c>
      <c r="T29" s="44">
        <v>16</v>
      </c>
      <c r="U29" s="44">
        <v>17</v>
      </c>
      <c r="V29" s="44">
        <v>18</v>
      </c>
      <c r="W29" s="44">
        <v>19</v>
      </c>
      <c r="X29" s="44">
        <v>20</v>
      </c>
      <c r="Y29" s="44">
        <v>21</v>
      </c>
      <c r="Z29" s="44">
        <v>22</v>
      </c>
      <c r="AA29" s="44">
        <v>23</v>
      </c>
      <c r="AB29" s="44">
        <v>24</v>
      </c>
      <c r="AC29" s="44">
        <v>25</v>
      </c>
    </row>
    <row r="30" spans="1:29" x14ac:dyDescent="0.25">
      <c r="A30" s="45" t="s">
        <v>7</v>
      </c>
      <c r="B30" s="2"/>
      <c r="C30" s="60" t="s">
        <v>32</v>
      </c>
      <c r="D30" s="2">
        <f>Data!$B$8</f>
        <v>1</v>
      </c>
      <c r="E30" s="2">
        <f>Data!$B$8</f>
        <v>1</v>
      </c>
      <c r="F30" s="2">
        <f>Data!$B$8</f>
        <v>1</v>
      </c>
      <c r="G30" s="2">
        <f>Data!$B$8</f>
        <v>1</v>
      </c>
      <c r="H30" s="2">
        <f>Data!$B$8</f>
        <v>1</v>
      </c>
      <c r="I30" s="2">
        <f>Data!$B$8</f>
        <v>1</v>
      </c>
      <c r="J30" s="2">
        <f>Data!$B$8</f>
        <v>1</v>
      </c>
      <c r="K30" s="2">
        <f>Data!$B$8</f>
        <v>1</v>
      </c>
      <c r="L30" s="2">
        <f>Data!$B$8</f>
        <v>1</v>
      </c>
      <c r="M30" s="2">
        <f>Data!$B$8</f>
        <v>1</v>
      </c>
      <c r="N30" s="2">
        <f>Data!$B$8</f>
        <v>1</v>
      </c>
      <c r="O30" s="2">
        <f>Data!$B$8</f>
        <v>1</v>
      </c>
      <c r="P30" s="2">
        <f>Data!$B$8</f>
        <v>1</v>
      </c>
      <c r="Q30" s="2">
        <f>Data!$B$8</f>
        <v>1</v>
      </c>
      <c r="R30" s="2">
        <f>Data!$B$8</f>
        <v>1</v>
      </c>
      <c r="S30" s="2">
        <f>Data!$B$8</f>
        <v>1</v>
      </c>
      <c r="T30" s="2">
        <f>Data!$B$8</f>
        <v>1</v>
      </c>
      <c r="U30" s="2">
        <f>Data!$B$8</f>
        <v>1</v>
      </c>
      <c r="V30" s="2">
        <f>Data!$B$8</f>
        <v>1</v>
      </c>
      <c r="W30" s="2">
        <f>Data!$B$8</f>
        <v>1</v>
      </c>
      <c r="X30" s="2">
        <f>Data!$B$8</f>
        <v>1</v>
      </c>
      <c r="Y30" s="2">
        <f>Data!$B$8</f>
        <v>1</v>
      </c>
      <c r="Z30" s="2">
        <f>Data!$B$8</f>
        <v>1</v>
      </c>
      <c r="AA30" s="2">
        <f>Data!$B$8</f>
        <v>1</v>
      </c>
      <c r="AB30" s="2">
        <f>Data!$B$8</f>
        <v>1</v>
      </c>
      <c r="AC30" s="3">
        <f>Data!$B$8</f>
        <v>1</v>
      </c>
    </row>
    <row r="31" spans="1:29" x14ac:dyDescent="0.25">
      <c r="A31" s="14"/>
      <c r="B31" s="5"/>
      <c r="C31" s="61" t="s">
        <v>29</v>
      </c>
      <c r="D31" s="5">
        <f>D30*Data!$C$8*(1-Data!$F$8*Calculations!D1)</f>
        <v>10000000</v>
      </c>
      <c r="E31" s="5">
        <f>E30*Data!$C$8*(1-Data!$F$8*Calculations!E1)</f>
        <v>9300000</v>
      </c>
      <c r="F31" s="5">
        <f>F30*Data!$C$8*(1-Data!$F$8*Calculations!F1)</f>
        <v>8600000</v>
      </c>
      <c r="G31" s="5">
        <f>G30*Data!$C$8*(1-Data!$F$8*Calculations!G1)</f>
        <v>7900000</v>
      </c>
      <c r="H31" s="5">
        <f>H30*Data!$C$8*(1-Data!$F$8*Calculations!H1)</f>
        <v>7200000</v>
      </c>
      <c r="I31" s="5">
        <f>I30*Data!$C$8*(1-Data!$F$8*Calculations!I1)</f>
        <v>6499999.9999999991</v>
      </c>
      <c r="J31" s="5">
        <f>J30*Data!$C$8*(1-Data!$F$8*Calculations!J1)</f>
        <v>5800000</v>
      </c>
      <c r="K31" s="5">
        <f>K30*Data!$C$8*(1-Data!$F$8*Calculations!K1)</f>
        <v>5100000</v>
      </c>
      <c r="L31" s="5">
        <f>L30*Data!$C$8*(1-Data!$F$8*Calculations!L1)</f>
        <v>4399999.9999999991</v>
      </c>
      <c r="M31" s="5">
        <f>M30*Data!$C$8*(1-Data!$F$8*Calculations!M1)</f>
        <v>3699999.9999999991</v>
      </c>
      <c r="N31" s="5">
        <f>N30*Data!$C$8*(1-Data!$F$8*Calculations!N1)</f>
        <v>2999999.9999999995</v>
      </c>
      <c r="O31" s="5">
        <f>O30*Data!$C$8*(1-Data!$F$8*Calculations!O1)</f>
        <v>2300000</v>
      </c>
      <c r="P31" s="5">
        <f>P30*Data!$C$8*(1-Data!$F$8*Calculations!P1)</f>
        <v>1599999.9999999993</v>
      </c>
      <c r="Q31" s="5">
        <f>Q30*Data!$C$8*(1-Data!$F$8*Calculations!Q1)</f>
        <v>899999.9999999986</v>
      </c>
      <c r="R31" s="5">
        <f>R30*Data!$C$8*(1-Data!$F$8*Calculations!R1)</f>
        <v>199999.99999999907</v>
      </c>
      <c r="S31" s="5">
        <f>S30*Data!$C$8*(1-Data!$F$8*Calculations!S1)</f>
        <v>-500000.00000000047</v>
      </c>
      <c r="T31" s="5">
        <f>T30*Data!$C$8*(1-Data!$F$8*Calculations!T1)</f>
        <v>-1200000.0000000012</v>
      </c>
      <c r="U31" s="5">
        <f>U30*Data!$C$8*(1-Data!$F$8*Calculations!U1)</f>
        <v>-1900000.0000000016</v>
      </c>
      <c r="V31" s="5">
        <f>V30*Data!$C$8*(1-Data!$F$8*Calculations!V1)</f>
        <v>-2600000.0000000023</v>
      </c>
      <c r="W31" s="5">
        <f>W30*Data!$C$8*(1-Data!$F$8*Calculations!W1)</f>
        <v>-3300000.0000000009</v>
      </c>
      <c r="X31" s="5">
        <f>X30*Data!$C$8*(1-Data!$F$8*Calculations!X1)</f>
        <v>-4000000.0000000014</v>
      </c>
      <c r="Y31" s="5">
        <f>Y30*Data!$C$8*(1-Data!$F$8*Calculations!Y1)</f>
        <v>-4700000.0000000019</v>
      </c>
      <c r="Z31" s="5">
        <f>Z30*Data!$C$8*(1-Data!$F$8*Calculations!Z1)</f>
        <v>-5400000</v>
      </c>
      <c r="AA31" s="5">
        <f>AA30*Data!$C$8*(1-Data!$F$8*Calculations!AA1)</f>
        <v>-6100000.0000000009</v>
      </c>
      <c r="AB31" s="5">
        <f>AB30*Data!$C$8*(1-Data!$F$8*Calculations!AB1)</f>
        <v>-6800000.0000000019</v>
      </c>
      <c r="AC31" s="6">
        <f>AC30*Data!$C$8*(1-Data!$F$8*Calculations!AC1)</f>
        <v>-7500000.0000000019</v>
      </c>
    </row>
    <row r="32" spans="1:29" x14ac:dyDescent="0.25">
      <c r="A32" s="14"/>
      <c r="B32" s="5"/>
      <c r="C32" s="6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6"/>
    </row>
    <row r="33" spans="1:29" x14ac:dyDescent="0.25">
      <c r="A33" s="4"/>
      <c r="B33" s="5"/>
      <c r="C33" s="61" t="s">
        <v>43</v>
      </c>
      <c r="D33" s="5">
        <v>0</v>
      </c>
      <c r="E33" s="5">
        <f>D31-E31</f>
        <v>700000</v>
      </c>
      <c r="F33" s="5">
        <f t="shared" ref="F33:AC33" si="8">E31-F31</f>
        <v>700000</v>
      </c>
      <c r="G33" s="5">
        <f t="shared" si="8"/>
        <v>700000</v>
      </c>
      <c r="H33" s="5">
        <f t="shared" si="8"/>
        <v>700000</v>
      </c>
      <c r="I33" s="5">
        <f t="shared" si="8"/>
        <v>700000.00000000093</v>
      </c>
      <c r="J33" s="5">
        <f t="shared" si="8"/>
        <v>699999.99999999907</v>
      </c>
      <c r="K33" s="5">
        <f t="shared" si="8"/>
        <v>700000</v>
      </c>
      <c r="L33" s="5">
        <f t="shared" si="8"/>
        <v>700000.00000000093</v>
      </c>
      <c r="M33" s="5">
        <f t="shared" si="8"/>
        <v>700000</v>
      </c>
      <c r="N33" s="5">
        <f t="shared" si="8"/>
        <v>699999.99999999953</v>
      </c>
      <c r="O33" s="5">
        <f t="shared" si="8"/>
        <v>699999.99999999953</v>
      </c>
      <c r="P33" s="5">
        <f t="shared" si="8"/>
        <v>700000.0000000007</v>
      </c>
      <c r="Q33" s="5">
        <f t="shared" si="8"/>
        <v>700000.0000000007</v>
      </c>
      <c r="R33" s="5">
        <f t="shared" si="8"/>
        <v>699999.99999999953</v>
      </c>
      <c r="S33" s="5">
        <f t="shared" si="8"/>
        <v>699999.99999999953</v>
      </c>
      <c r="T33" s="5">
        <f t="shared" si="8"/>
        <v>700000.0000000007</v>
      </c>
      <c r="U33" s="5">
        <f t="shared" si="8"/>
        <v>700000.00000000047</v>
      </c>
      <c r="V33" s="5">
        <f t="shared" si="8"/>
        <v>700000.0000000007</v>
      </c>
      <c r="W33" s="5">
        <f t="shared" si="8"/>
        <v>699999.9999999986</v>
      </c>
      <c r="X33" s="5">
        <f t="shared" si="8"/>
        <v>700000.00000000047</v>
      </c>
      <c r="Y33" s="5">
        <f t="shared" si="8"/>
        <v>700000.00000000047</v>
      </c>
      <c r="Z33" s="5">
        <f t="shared" si="8"/>
        <v>699999.99999999814</v>
      </c>
      <c r="AA33" s="5">
        <f t="shared" si="8"/>
        <v>700000.00000000093</v>
      </c>
      <c r="AB33" s="5">
        <f t="shared" si="8"/>
        <v>700000.00000000093</v>
      </c>
      <c r="AC33" s="6">
        <f t="shared" si="8"/>
        <v>700000</v>
      </c>
    </row>
    <row r="34" spans="1:29" ht="15.75" thickBot="1" x14ac:dyDescent="0.3">
      <c r="A34" s="7"/>
      <c r="B34" s="8"/>
      <c r="C34" s="62" t="s">
        <v>44</v>
      </c>
      <c r="D34" s="8">
        <v>0</v>
      </c>
      <c r="E34" s="8">
        <f>E33+D34</f>
        <v>700000</v>
      </c>
      <c r="F34" s="8">
        <f t="shared" ref="F34:AC34" si="9">F33+E34</f>
        <v>1400000</v>
      </c>
      <c r="G34" s="8">
        <f t="shared" si="9"/>
        <v>2100000</v>
      </c>
      <c r="H34" s="8">
        <f t="shared" si="9"/>
        <v>2800000</v>
      </c>
      <c r="I34" s="8">
        <f t="shared" si="9"/>
        <v>3500000.0000000009</v>
      </c>
      <c r="J34" s="8">
        <f t="shared" si="9"/>
        <v>4200000</v>
      </c>
      <c r="K34" s="8">
        <f t="shared" si="9"/>
        <v>4900000</v>
      </c>
      <c r="L34" s="8">
        <f t="shared" si="9"/>
        <v>5600000.0000000009</v>
      </c>
      <c r="M34" s="8">
        <f t="shared" si="9"/>
        <v>6300000.0000000009</v>
      </c>
      <c r="N34" s="8">
        <f t="shared" si="9"/>
        <v>7000000</v>
      </c>
      <c r="O34" s="8">
        <f t="shared" si="9"/>
        <v>7700000</v>
      </c>
      <c r="P34" s="8">
        <f t="shared" si="9"/>
        <v>8400000</v>
      </c>
      <c r="Q34" s="8">
        <f t="shared" si="9"/>
        <v>9100000</v>
      </c>
      <c r="R34" s="8">
        <f t="shared" si="9"/>
        <v>9800000</v>
      </c>
      <c r="S34" s="8">
        <f t="shared" si="9"/>
        <v>10500000</v>
      </c>
      <c r="T34" s="8">
        <f t="shared" si="9"/>
        <v>11200000</v>
      </c>
      <c r="U34" s="8">
        <f t="shared" si="9"/>
        <v>11900000</v>
      </c>
      <c r="V34" s="8">
        <f t="shared" si="9"/>
        <v>12600000</v>
      </c>
      <c r="W34" s="8">
        <f t="shared" si="9"/>
        <v>13299999.999999998</v>
      </c>
      <c r="X34" s="8">
        <f t="shared" si="9"/>
        <v>13999999.999999998</v>
      </c>
      <c r="Y34" s="8">
        <f t="shared" si="9"/>
        <v>14699999.999999998</v>
      </c>
      <c r="Z34" s="8">
        <f t="shared" si="9"/>
        <v>15399999.999999996</v>
      </c>
      <c r="AA34" s="8">
        <f t="shared" si="9"/>
        <v>16099999.999999996</v>
      </c>
      <c r="AB34" s="8">
        <f t="shared" si="9"/>
        <v>16799999.999999996</v>
      </c>
      <c r="AC34" s="9">
        <f t="shared" si="9"/>
        <v>17499999.999999996</v>
      </c>
    </row>
    <row r="36" spans="1:29" ht="15.75" thickBot="1" x14ac:dyDescent="0.3">
      <c r="C36" s="44" t="s">
        <v>30</v>
      </c>
      <c r="D36" s="44">
        <v>0</v>
      </c>
      <c r="E36" s="44">
        <v>1</v>
      </c>
      <c r="F36" s="44">
        <v>2</v>
      </c>
      <c r="G36" s="44">
        <v>3</v>
      </c>
      <c r="H36" s="44">
        <v>4</v>
      </c>
      <c r="I36" s="44">
        <v>5</v>
      </c>
      <c r="J36" s="44">
        <v>6</v>
      </c>
      <c r="K36" s="44">
        <v>7</v>
      </c>
      <c r="L36" s="44">
        <v>8</v>
      </c>
      <c r="M36" s="44">
        <v>9</v>
      </c>
      <c r="N36" s="44">
        <v>10</v>
      </c>
      <c r="O36" s="44">
        <v>11</v>
      </c>
      <c r="P36" s="44">
        <v>12</v>
      </c>
      <c r="Q36" s="44">
        <v>13</v>
      </c>
      <c r="R36" s="44">
        <v>14</v>
      </c>
      <c r="S36" s="44">
        <v>15</v>
      </c>
      <c r="T36" s="44">
        <v>16</v>
      </c>
      <c r="U36" s="44">
        <v>17</v>
      </c>
      <c r="V36" s="44">
        <v>18</v>
      </c>
      <c r="W36" s="44">
        <v>19</v>
      </c>
      <c r="X36" s="44">
        <v>20</v>
      </c>
      <c r="Y36" s="44">
        <v>21</v>
      </c>
      <c r="Z36" s="44">
        <v>22</v>
      </c>
      <c r="AA36" s="44">
        <v>23</v>
      </c>
      <c r="AB36" s="44">
        <v>24</v>
      </c>
      <c r="AC36" s="44">
        <v>25</v>
      </c>
    </row>
    <row r="37" spans="1:29" x14ac:dyDescent="0.25">
      <c r="A37" s="45" t="s">
        <v>8</v>
      </c>
      <c r="B37" s="2"/>
      <c r="C37" s="60" t="s">
        <v>32</v>
      </c>
      <c r="D37" s="2">
        <f>Data!$B$9</f>
        <v>1</v>
      </c>
      <c r="E37" s="2">
        <f>Data!$B$9</f>
        <v>1</v>
      </c>
      <c r="F37" s="2">
        <f>Data!$B$9</f>
        <v>1</v>
      </c>
      <c r="G37" s="2">
        <f>Data!$B$9</f>
        <v>1</v>
      </c>
      <c r="H37" s="2">
        <f>Data!$B$9</f>
        <v>1</v>
      </c>
      <c r="I37" s="2">
        <f>Data!$B$9</f>
        <v>1</v>
      </c>
      <c r="J37" s="2">
        <f>Data!$B$9</f>
        <v>1</v>
      </c>
      <c r="K37" s="2">
        <f>Data!$B$9</f>
        <v>1</v>
      </c>
      <c r="L37" s="2">
        <f>Data!$B$9</f>
        <v>1</v>
      </c>
      <c r="M37" s="2">
        <f>Data!$B$9</f>
        <v>1</v>
      </c>
      <c r="N37" s="2">
        <f>Data!$B$9</f>
        <v>1</v>
      </c>
      <c r="O37" s="2">
        <f>Data!$B$9</f>
        <v>1</v>
      </c>
      <c r="P37" s="2">
        <f>Data!$B$9</f>
        <v>1</v>
      </c>
      <c r="Q37" s="2">
        <f>Data!$B$9</f>
        <v>1</v>
      </c>
      <c r="R37" s="2">
        <f>Data!$B$9</f>
        <v>1</v>
      </c>
      <c r="S37" s="2">
        <f>Data!$B$9</f>
        <v>1</v>
      </c>
      <c r="T37" s="2">
        <f>Data!$B$9</f>
        <v>1</v>
      </c>
      <c r="U37" s="2">
        <f>Data!$B$9</f>
        <v>1</v>
      </c>
      <c r="V37" s="2">
        <f>Data!$B$9</f>
        <v>1</v>
      </c>
      <c r="W37" s="2">
        <f>Data!$B$9</f>
        <v>1</v>
      </c>
      <c r="X37" s="2">
        <f>Data!$B$9</f>
        <v>1</v>
      </c>
      <c r="Y37" s="2">
        <f>Data!$B$9</f>
        <v>1</v>
      </c>
      <c r="Z37" s="2">
        <f>Data!$B$9</f>
        <v>1</v>
      </c>
      <c r="AA37" s="2">
        <f>Data!$B$9</f>
        <v>1</v>
      </c>
      <c r="AB37" s="2">
        <f>Data!$B$9</f>
        <v>1</v>
      </c>
      <c r="AC37" s="3">
        <f>Data!$B$9</f>
        <v>1</v>
      </c>
    </row>
    <row r="38" spans="1:29" x14ac:dyDescent="0.25">
      <c r="A38" s="14"/>
      <c r="B38" s="5"/>
      <c r="C38" s="61" t="s">
        <v>29</v>
      </c>
      <c r="D38" s="5">
        <f>Calculations!D37*Data!$C$9*(1-Data!$F$9*Calculations!D1)</f>
        <v>3740000</v>
      </c>
      <c r="E38" s="5">
        <f>Calculations!E37*Data!$C$9*(1-Data!$F$9*Calculations!E1)</f>
        <v>3440800</v>
      </c>
      <c r="F38" s="5">
        <f>Calculations!F37*Data!$C$9*(1-Data!$F$9*Calculations!F1)</f>
        <v>3141600</v>
      </c>
      <c r="G38" s="5">
        <f>Calculations!G37*Data!$C$9*(1-Data!$F$9*Calculations!G1)</f>
        <v>2842400</v>
      </c>
      <c r="H38" s="5">
        <f>Calculations!H37*Data!$C$9*(1-Data!$F$9*Calculations!H1)</f>
        <v>2543200</v>
      </c>
      <c r="I38" s="5">
        <f>Calculations!I37*Data!$C$9*(1-Data!$F$9*Calculations!I1)</f>
        <v>2244000</v>
      </c>
      <c r="J38" s="5">
        <f>Calculations!J37*Data!$C$9*(1-Data!$F$9*Calculations!J1)</f>
        <v>1944800</v>
      </c>
      <c r="K38" s="5">
        <f>Calculations!K37*Data!$C$9*(1-Data!$F$9*Calculations!K1)</f>
        <v>1645599.9999999998</v>
      </c>
      <c r="L38" s="5">
        <f>Calculations!L37*Data!$C$9*(1-Data!$F$9*Calculations!L1)</f>
        <v>1346400</v>
      </c>
      <c r="M38" s="5">
        <f>Calculations!M37*Data!$C$9*(1-Data!$F$9*Calculations!M1)</f>
        <v>1047200.0000000001</v>
      </c>
      <c r="N38" s="5">
        <f>Calculations!N37*Data!$C$9*(1-Data!$F$9*Calculations!N1)</f>
        <v>747999.99999999988</v>
      </c>
      <c r="O38" s="5">
        <f>Calculations!O37*Data!$C$9*(1-Data!$F$9*Calculations!O1)</f>
        <v>448800</v>
      </c>
      <c r="P38" s="5">
        <f>Calculations!P37*Data!$C$9*(1-Data!$F$9*Calculations!P1)</f>
        <v>149600.00000000015</v>
      </c>
      <c r="Q38" s="5">
        <f>Calculations!Q37*Data!$C$9*(1-Data!$F$9*Calculations!Q1)</f>
        <v>-149600.00000000015</v>
      </c>
      <c r="R38" s="5">
        <f>Calculations!R37*Data!$C$9*(1-Data!$F$9*Calculations!R1)</f>
        <v>-448800.00000000041</v>
      </c>
      <c r="S38" s="5">
        <f>Calculations!S37*Data!$C$9*(1-Data!$F$9*Calculations!S1)</f>
        <v>-747999.99999999988</v>
      </c>
      <c r="T38" s="5">
        <f>Calculations!T37*Data!$C$9*(1-Data!$F$9*Calculations!T1)</f>
        <v>-1047200.0000000001</v>
      </c>
      <c r="U38" s="5">
        <f>Calculations!U37*Data!$C$9*(1-Data!$F$9*Calculations!U1)</f>
        <v>-1346400.0000000005</v>
      </c>
      <c r="V38" s="5">
        <f>Calculations!V37*Data!$C$9*(1-Data!$F$9*Calculations!V1)</f>
        <v>-1645599.9999999998</v>
      </c>
      <c r="W38" s="5">
        <f>Calculations!W37*Data!$C$9*(1-Data!$F$9*Calculations!W1)</f>
        <v>-1944800</v>
      </c>
      <c r="X38" s="5">
        <f>Calculations!X37*Data!$C$9*(1-Data!$F$9*Calculations!X1)</f>
        <v>-2244000.0000000005</v>
      </c>
      <c r="Y38" s="5">
        <f>Calculations!Y37*Data!$C$9*(1-Data!$F$9*Calculations!Y1)</f>
        <v>-2543200</v>
      </c>
      <c r="Z38" s="5">
        <f>Calculations!Z37*Data!$C$9*(1-Data!$F$9*Calculations!Z1)</f>
        <v>-2842400</v>
      </c>
      <c r="AA38" s="5">
        <f>Calculations!AA37*Data!$C$9*(1-Data!$F$9*Calculations!AA1)</f>
        <v>-3141600.0000000005</v>
      </c>
      <c r="AB38" s="5">
        <f>Calculations!AB37*Data!$C$9*(1-Data!$F$9*Calculations!AB1)</f>
        <v>-3440799.9999999995</v>
      </c>
      <c r="AC38" s="6">
        <f>Calculations!AC37*Data!$C$9*(1-Data!$F$9*Calculations!AC1)</f>
        <v>-3740000</v>
      </c>
    </row>
    <row r="39" spans="1:29" x14ac:dyDescent="0.25">
      <c r="A39" s="14"/>
      <c r="B39" s="5"/>
      <c r="C39" s="6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29" x14ac:dyDescent="0.25">
      <c r="A40" s="4"/>
      <c r="B40" s="5"/>
      <c r="C40" s="61" t="s">
        <v>43</v>
      </c>
      <c r="D40" s="5">
        <v>0</v>
      </c>
      <c r="E40" s="5">
        <f>D38-E38</f>
        <v>299200</v>
      </c>
      <c r="F40" s="5">
        <f t="shared" ref="F40:AC40" si="10">E38-F38</f>
        <v>299200</v>
      </c>
      <c r="G40" s="5">
        <f t="shared" si="10"/>
        <v>299200</v>
      </c>
      <c r="H40" s="5">
        <f t="shared" si="10"/>
        <v>299200</v>
      </c>
      <c r="I40" s="5">
        <f t="shared" si="10"/>
        <v>299200</v>
      </c>
      <c r="J40" s="5">
        <f t="shared" si="10"/>
        <v>299200</v>
      </c>
      <c r="K40" s="5">
        <f t="shared" si="10"/>
        <v>299200.00000000023</v>
      </c>
      <c r="L40" s="5">
        <f t="shared" si="10"/>
        <v>299199.99999999977</v>
      </c>
      <c r="M40" s="5">
        <f t="shared" si="10"/>
        <v>299199.99999999988</v>
      </c>
      <c r="N40" s="5">
        <f t="shared" si="10"/>
        <v>299200.00000000023</v>
      </c>
      <c r="O40" s="5">
        <f t="shared" si="10"/>
        <v>299199.99999999988</v>
      </c>
      <c r="P40" s="5">
        <f t="shared" si="10"/>
        <v>299199.99999999988</v>
      </c>
      <c r="Q40" s="5">
        <f t="shared" si="10"/>
        <v>299200.00000000029</v>
      </c>
      <c r="R40" s="5">
        <f t="shared" si="10"/>
        <v>299200.00000000023</v>
      </c>
      <c r="S40" s="5">
        <f t="shared" si="10"/>
        <v>299199.99999999948</v>
      </c>
      <c r="T40" s="5">
        <f t="shared" si="10"/>
        <v>299200.00000000023</v>
      </c>
      <c r="U40" s="5">
        <f t="shared" si="10"/>
        <v>299200.00000000035</v>
      </c>
      <c r="V40" s="5">
        <f t="shared" si="10"/>
        <v>299199.9999999993</v>
      </c>
      <c r="W40" s="5">
        <f t="shared" si="10"/>
        <v>299200.00000000023</v>
      </c>
      <c r="X40" s="5">
        <f t="shared" si="10"/>
        <v>299200.00000000047</v>
      </c>
      <c r="Y40" s="5">
        <f t="shared" si="10"/>
        <v>299199.99999999953</v>
      </c>
      <c r="Z40" s="5">
        <f t="shared" si="10"/>
        <v>299200</v>
      </c>
      <c r="AA40" s="5">
        <f t="shared" si="10"/>
        <v>299200.00000000047</v>
      </c>
      <c r="AB40" s="5">
        <f t="shared" si="10"/>
        <v>299199.99999999907</v>
      </c>
      <c r="AC40" s="5">
        <f t="shared" si="10"/>
        <v>299200.00000000047</v>
      </c>
    </row>
    <row r="41" spans="1:29" ht="15.75" thickBot="1" x14ac:dyDescent="0.3">
      <c r="A41" s="7"/>
      <c r="B41" s="8"/>
      <c r="C41" s="62" t="s">
        <v>44</v>
      </c>
      <c r="D41" s="8">
        <v>0</v>
      </c>
      <c r="E41" s="8">
        <f>E40+D41</f>
        <v>299200</v>
      </c>
      <c r="F41" s="8">
        <f t="shared" ref="F41:AC41" si="11">F40+E41</f>
        <v>598400</v>
      </c>
      <c r="G41" s="8">
        <f t="shared" si="11"/>
        <v>897600</v>
      </c>
      <c r="H41" s="8">
        <f t="shared" si="11"/>
        <v>1196800</v>
      </c>
      <c r="I41" s="8">
        <f t="shared" si="11"/>
        <v>1496000</v>
      </c>
      <c r="J41" s="8">
        <f t="shared" si="11"/>
        <v>1795200</v>
      </c>
      <c r="K41" s="8">
        <f t="shared" si="11"/>
        <v>2094400.0000000002</v>
      </c>
      <c r="L41" s="8">
        <f t="shared" si="11"/>
        <v>2393600</v>
      </c>
      <c r="M41" s="8">
        <f t="shared" si="11"/>
        <v>2692800</v>
      </c>
      <c r="N41" s="8">
        <f t="shared" si="11"/>
        <v>2992000</v>
      </c>
      <c r="O41" s="8">
        <f t="shared" si="11"/>
        <v>3291200</v>
      </c>
      <c r="P41" s="8">
        <f t="shared" si="11"/>
        <v>3590400</v>
      </c>
      <c r="Q41" s="8">
        <f t="shared" si="11"/>
        <v>3889600.0000000005</v>
      </c>
      <c r="R41" s="8">
        <f t="shared" si="11"/>
        <v>4188800.0000000009</v>
      </c>
      <c r="S41" s="8">
        <f t="shared" si="11"/>
        <v>4488000</v>
      </c>
      <c r="T41" s="8">
        <f t="shared" si="11"/>
        <v>4787200</v>
      </c>
      <c r="U41" s="8">
        <f t="shared" si="11"/>
        <v>5086400</v>
      </c>
      <c r="V41" s="8">
        <f t="shared" si="11"/>
        <v>5385599.9999999991</v>
      </c>
      <c r="W41" s="8">
        <f t="shared" si="11"/>
        <v>5684799.9999999991</v>
      </c>
      <c r="X41" s="8">
        <f t="shared" si="11"/>
        <v>5984000</v>
      </c>
      <c r="Y41" s="8">
        <f t="shared" si="11"/>
        <v>6283200</v>
      </c>
      <c r="Z41" s="8">
        <f t="shared" si="11"/>
        <v>6582400</v>
      </c>
      <c r="AA41" s="8">
        <f t="shared" si="11"/>
        <v>6881600</v>
      </c>
      <c r="AB41" s="8">
        <f t="shared" si="11"/>
        <v>7180799.9999999991</v>
      </c>
      <c r="AC41" s="8">
        <f t="shared" si="11"/>
        <v>7480000</v>
      </c>
    </row>
    <row r="43" spans="1:29" ht="15.75" thickBot="1" x14ac:dyDescent="0.3">
      <c r="C43" s="44" t="s">
        <v>30</v>
      </c>
      <c r="D43" s="44">
        <v>0</v>
      </c>
      <c r="E43" s="44">
        <v>1</v>
      </c>
      <c r="F43" s="44">
        <v>2</v>
      </c>
      <c r="G43" s="44">
        <v>3</v>
      </c>
      <c r="H43" s="44">
        <v>4</v>
      </c>
      <c r="I43" s="44">
        <v>5</v>
      </c>
      <c r="J43" s="44">
        <v>6</v>
      </c>
      <c r="K43" s="44">
        <v>7</v>
      </c>
      <c r="L43" s="44">
        <v>8</v>
      </c>
      <c r="M43" s="44">
        <v>9</v>
      </c>
      <c r="N43" s="44">
        <v>10</v>
      </c>
      <c r="O43" s="44">
        <v>11</v>
      </c>
      <c r="P43" s="44">
        <v>12</v>
      </c>
      <c r="Q43" s="44">
        <v>13</v>
      </c>
      <c r="R43" s="44">
        <v>14</v>
      </c>
      <c r="S43" s="44">
        <v>15</v>
      </c>
      <c r="T43" s="44">
        <v>16</v>
      </c>
      <c r="U43" s="44">
        <v>17</v>
      </c>
      <c r="V43" s="44">
        <v>18</v>
      </c>
      <c r="W43" s="44">
        <v>19</v>
      </c>
      <c r="X43" s="44">
        <v>20</v>
      </c>
      <c r="Y43" s="44">
        <v>21</v>
      </c>
      <c r="Z43" s="44">
        <v>22</v>
      </c>
      <c r="AA43" s="44">
        <v>23</v>
      </c>
      <c r="AB43" s="44">
        <v>24</v>
      </c>
      <c r="AC43" s="44">
        <v>25</v>
      </c>
    </row>
    <row r="44" spans="1:29" x14ac:dyDescent="0.25">
      <c r="A44" s="45" t="s">
        <v>9</v>
      </c>
      <c r="B44" s="2"/>
      <c r="C44" s="60" t="s">
        <v>32</v>
      </c>
      <c r="D44" s="2">
        <f>Data!$B$10</f>
        <v>1</v>
      </c>
      <c r="E44" s="2">
        <f>Data!$B$10</f>
        <v>1</v>
      </c>
      <c r="F44" s="2">
        <f>Data!$B$10</f>
        <v>1</v>
      </c>
      <c r="G44" s="2">
        <f>Data!$B$10</f>
        <v>1</v>
      </c>
      <c r="H44" s="2">
        <f>Data!$B$10</f>
        <v>1</v>
      </c>
      <c r="I44" s="2">
        <f>Data!$B$10</f>
        <v>1</v>
      </c>
      <c r="J44" s="2">
        <f>Data!$B$10</f>
        <v>1</v>
      </c>
      <c r="K44" s="2">
        <f>Data!$B$10</f>
        <v>1</v>
      </c>
      <c r="L44" s="2">
        <f>Data!$B$10</f>
        <v>1</v>
      </c>
      <c r="M44" s="2">
        <f>Data!$B$10</f>
        <v>1</v>
      </c>
      <c r="N44" s="2">
        <f>Data!$B$10</f>
        <v>1</v>
      </c>
      <c r="O44" s="2">
        <f>Data!$B$10</f>
        <v>1</v>
      </c>
      <c r="P44" s="2">
        <f>Data!$B$10</f>
        <v>1</v>
      </c>
      <c r="Q44" s="2">
        <f>Data!$B$10</f>
        <v>1</v>
      </c>
      <c r="R44" s="2">
        <f>Data!$B$10</f>
        <v>1</v>
      </c>
      <c r="S44" s="2">
        <f>Data!$B$10</f>
        <v>1</v>
      </c>
      <c r="T44" s="2">
        <f>Data!$B$10</f>
        <v>1</v>
      </c>
      <c r="U44" s="2">
        <f>Data!$B$10</f>
        <v>1</v>
      </c>
      <c r="V44" s="2">
        <f>Data!$B$10</f>
        <v>1</v>
      </c>
      <c r="W44" s="2">
        <f>Data!$B$10</f>
        <v>1</v>
      </c>
      <c r="X44" s="2">
        <f>Data!$B$10</f>
        <v>1</v>
      </c>
      <c r="Y44" s="2">
        <f>Data!$B$10</f>
        <v>1</v>
      </c>
      <c r="Z44" s="2">
        <f>Data!$B$10</f>
        <v>1</v>
      </c>
      <c r="AA44" s="2">
        <f>Data!$B$10</f>
        <v>1</v>
      </c>
      <c r="AB44" s="2">
        <f>Data!$B$10</f>
        <v>1</v>
      </c>
      <c r="AC44" s="3">
        <f>Data!$B$10</f>
        <v>1</v>
      </c>
    </row>
    <row r="45" spans="1:29" x14ac:dyDescent="0.25">
      <c r="A45" s="14"/>
      <c r="B45" s="5"/>
      <c r="C45" s="61" t="s">
        <v>29</v>
      </c>
      <c r="D45" s="5">
        <f>D44*Data!$C$10*(1-Data!$F$10*Calculations!D1)</f>
        <v>188100</v>
      </c>
      <c r="E45" s="5">
        <f>E44*Data!$C$10*(1-Data!$F$10*Calculations!E1)</f>
        <v>174933</v>
      </c>
      <c r="F45" s="5">
        <f>F44*Data!$C$10*(1-Data!$F$10*Calculations!F1)</f>
        <v>161766</v>
      </c>
      <c r="G45" s="5">
        <f>G44*Data!$C$10*(1-Data!$F$10*Calculations!G1)</f>
        <v>148599</v>
      </c>
      <c r="H45" s="5">
        <f>H44*Data!$C$10*(1-Data!$F$10*Calculations!H1)</f>
        <v>135432</v>
      </c>
      <c r="I45" s="5">
        <f>I44*Data!$C$10*(1-Data!$F$10*Calculations!I1)</f>
        <v>122264.99999999999</v>
      </c>
      <c r="J45" s="5">
        <f>J44*Data!$C$10*(1-Data!$F$10*Calculations!J1)</f>
        <v>109097.99999999999</v>
      </c>
      <c r="K45" s="5">
        <f>K44*Data!$C$10*(1-Data!$F$10*Calculations!K1)</f>
        <v>95931</v>
      </c>
      <c r="L45" s="5">
        <f>L44*Data!$C$10*(1-Data!$F$10*Calculations!L1)</f>
        <v>82763.999999999985</v>
      </c>
      <c r="M45" s="5">
        <f>M44*Data!$C$10*(1-Data!$F$10*Calculations!M1)</f>
        <v>69596.999999999985</v>
      </c>
      <c r="N45" s="5">
        <f>N44*Data!$C$10*(1-Data!$F$10*Calculations!N1)</f>
        <v>56429.999999999985</v>
      </c>
      <c r="O45" s="5">
        <f>O44*Data!$C$10*(1-Data!$F$10*Calculations!O1)</f>
        <v>43263</v>
      </c>
      <c r="P45" s="5">
        <f>P44*Data!$C$10*(1-Data!$F$10*Calculations!P1)</f>
        <v>30095.999999999985</v>
      </c>
      <c r="Q45" s="5">
        <f>Q44*Data!$C$10*(1-Data!$F$10*Calculations!Q1)</f>
        <v>16928.999999999975</v>
      </c>
      <c r="R45" s="5">
        <f>R44*Data!$C$10*(1-Data!$F$10*Calculations!R1)</f>
        <v>3761.9999999999823</v>
      </c>
      <c r="S45" s="5">
        <f>S44*Data!$C$10*(1-Data!$F$10*Calculations!S1)</f>
        <v>-9405.0000000000091</v>
      </c>
      <c r="T45" s="5">
        <f>T44*Data!$C$10*(1-Data!$F$10*Calculations!T1)</f>
        <v>-22572.000000000022</v>
      </c>
      <c r="U45" s="5">
        <f>U44*Data!$C$10*(1-Data!$F$10*Calculations!U1)</f>
        <v>-35739.000000000029</v>
      </c>
      <c r="V45" s="5">
        <f>V44*Data!$C$10*(1-Data!$F$10*Calculations!V1)</f>
        <v>-48906.000000000044</v>
      </c>
      <c r="W45" s="5">
        <f>W44*Data!$C$10*(1-Data!$F$10*Calculations!W1)</f>
        <v>-62073.000000000015</v>
      </c>
      <c r="X45" s="5">
        <f>X44*Data!$C$10*(1-Data!$F$10*Calculations!X1)</f>
        <v>-75240.000000000029</v>
      </c>
      <c r="Y45" s="5">
        <f>Y44*Data!$C$10*(1-Data!$F$10*Calculations!Y1)</f>
        <v>-88407.000000000044</v>
      </c>
      <c r="Z45" s="5">
        <f>Z44*Data!$C$10*(1-Data!$F$10*Calculations!Z1)</f>
        <v>-101574</v>
      </c>
      <c r="AA45" s="5">
        <f>AA44*Data!$C$10*(1-Data!$F$10*Calculations!AA1)</f>
        <v>-114741.00000000001</v>
      </c>
      <c r="AB45" s="5">
        <f>AB44*Data!$C$10*(1-Data!$F$10*Calculations!AB1)</f>
        <v>-127908.00000000003</v>
      </c>
      <c r="AC45" s="6">
        <f>AC44*Data!$C$10*(1-Data!$F$10*Calculations!AC1)</f>
        <v>-141075.00000000003</v>
      </c>
    </row>
    <row r="46" spans="1:29" x14ac:dyDescent="0.25">
      <c r="A46" s="14"/>
      <c r="B46" s="5"/>
      <c r="C46" s="61" t="s">
        <v>31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6"/>
    </row>
    <row r="47" spans="1:29" x14ac:dyDescent="0.25">
      <c r="A47" s="4"/>
      <c r="B47" s="5"/>
      <c r="C47" s="61" t="s">
        <v>43</v>
      </c>
      <c r="D47" s="5">
        <v>0</v>
      </c>
      <c r="E47" s="5">
        <f>D45-E45</f>
        <v>13167</v>
      </c>
      <c r="F47" s="5">
        <f t="shared" ref="F47:AC47" si="12">E45-F45</f>
        <v>13167</v>
      </c>
      <c r="G47" s="5">
        <f t="shared" si="12"/>
        <v>13167</v>
      </c>
      <c r="H47" s="5">
        <f t="shared" si="12"/>
        <v>13167</v>
      </c>
      <c r="I47" s="5">
        <f t="shared" si="12"/>
        <v>13167.000000000015</v>
      </c>
      <c r="J47" s="5">
        <f t="shared" si="12"/>
        <v>13167</v>
      </c>
      <c r="K47" s="5">
        <f t="shared" si="12"/>
        <v>13166.999999999985</v>
      </c>
      <c r="L47" s="5">
        <f t="shared" si="12"/>
        <v>13167.000000000015</v>
      </c>
      <c r="M47" s="5">
        <f t="shared" si="12"/>
        <v>13167</v>
      </c>
      <c r="N47" s="5">
        <f t="shared" si="12"/>
        <v>13167</v>
      </c>
      <c r="O47" s="5">
        <f t="shared" si="12"/>
        <v>13166.999999999985</v>
      </c>
      <c r="P47" s="5">
        <f t="shared" si="12"/>
        <v>13167.000000000015</v>
      </c>
      <c r="Q47" s="5">
        <f t="shared" si="12"/>
        <v>13167.000000000011</v>
      </c>
      <c r="R47" s="5">
        <f t="shared" si="12"/>
        <v>13166.999999999993</v>
      </c>
      <c r="S47" s="5">
        <f t="shared" si="12"/>
        <v>13166.999999999991</v>
      </c>
      <c r="T47" s="5">
        <f t="shared" si="12"/>
        <v>13167.000000000013</v>
      </c>
      <c r="U47" s="5">
        <f t="shared" si="12"/>
        <v>13167.000000000007</v>
      </c>
      <c r="V47" s="5">
        <f t="shared" si="12"/>
        <v>13167.000000000015</v>
      </c>
      <c r="W47" s="5">
        <f t="shared" si="12"/>
        <v>13166.999999999971</v>
      </c>
      <c r="X47" s="5">
        <f t="shared" si="12"/>
        <v>13167.000000000015</v>
      </c>
      <c r="Y47" s="5">
        <f t="shared" si="12"/>
        <v>13167.000000000015</v>
      </c>
      <c r="Z47" s="5">
        <f t="shared" si="12"/>
        <v>13166.999999999956</v>
      </c>
      <c r="AA47" s="5">
        <f t="shared" si="12"/>
        <v>13167.000000000015</v>
      </c>
      <c r="AB47" s="5">
        <f t="shared" si="12"/>
        <v>13167.000000000015</v>
      </c>
      <c r="AC47" s="6">
        <f t="shared" si="12"/>
        <v>13167</v>
      </c>
    </row>
    <row r="48" spans="1:29" ht="15.75" thickBot="1" x14ac:dyDescent="0.3">
      <c r="A48" s="7"/>
      <c r="B48" s="8"/>
      <c r="C48" s="62" t="s">
        <v>44</v>
      </c>
      <c r="D48" s="8">
        <v>0</v>
      </c>
      <c r="E48" s="8">
        <f>E47+D48</f>
        <v>13167</v>
      </c>
      <c r="F48" s="8">
        <f t="shared" ref="F48:AC48" si="13">F47+E48</f>
        <v>26334</v>
      </c>
      <c r="G48" s="8">
        <f t="shared" si="13"/>
        <v>39501</v>
      </c>
      <c r="H48" s="8">
        <f t="shared" si="13"/>
        <v>52668</v>
      </c>
      <c r="I48" s="8">
        <f t="shared" si="13"/>
        <v>65835.000000000015</v>
      </c>
      <c r="J48" s="8">
        <f t="shared" si="13"/>
        <v>79002.000000000015</v>
      </c>
      <c r="K48" s="8">
        <f t="shared" si="13"/>
        <v>92169</v>
      </c>
      <c r="L48" s="8">
        <f t="shared" si="13"/>
        <v>105336.00000000001</v>
      </c>
      <c r="M48" s="8">
        <f t="shared" si="13"/>
        <v>118503.00000000001</v>
      </c>
      <c r="N48" s="8">
        <f t="shared" si="13"/>
        <v>131670</v>
      </c>
      <c r="O48" s="8">
        <f t="shared" si="13"/>
        <v>144837</v>
      </c>
      <c r="P48" s="8">
        <f t="shared" si="13"/>
        <v>158004</v>
      </c>
      <c r="Q48" s="8">
        <f t="shared" si="13"/>
        <v>171171</v>
      </c>
      <c r="R48" s="8">
        <f t="shared" si="13"/>
        <v>184338</v>
      </c>
      <c r="S48" s="8">
        <f t="shared" si="13"/>
        <v>197505</v>
      </c>
      <c r="T48" s="8">
        <f t="shared" si="13"/>
        <v>210672</v>
      </c>
      <c r="U48" s="8">
        <f t="shared" si="13"/>
        <v>223839</v>
      </c>
      <c r="V48" s="8">
        <f t="shared" si="13"/>
        <v>237006</v>
      </c>
      <c r="W48" s="8">
        <f t="shared" si="13"/>
        <v>250172.99999999997</v>
      </c>
      <c r="X48" s="8">
        <f t="shared" si="13"/>
        <v>263340</v>
      </c>
      <c r="Y48" s="8">
        <f t="shared" si="13"/>
        <v>276507</v>
      </c>
      <c r="Z48" s="8">
        <f t="shared" si="13"/>
        <v>289673.99999999994</v>
      </c>
      <c r="AA48" s="8">
        <f t="shared" si="13"/>
        <v>302840.99999999994</v>
      </c>
      <c r="AB48" s="8">
        <f t="shared" si="13"/>
        <v>316007.99999999994</v>
      </c>
      <c r="AC48" s="9">
        <f t="shared" si="13"/>
        <v>329174.99999999994</v>
      </c>
    </row>
    <row r="50" spans="1:29" ht="15.75" thickBot="1" x14ac:dyDescent="0.3">
      <c r="C50" s="44" t="s">
        <v>30</v>
      </c>
      <c r="D50" s="44">
        <v>0</v>
      </c>
      <c r="E50" s="44">
        <v>1</v>
      </c>
      <c r="F50" s="44">
        <v>2</v>
      </c>
      <c r="G50" s="44">
        <v>3</v>
      </c>
      <c r="H50" s="44">
        <v>4</v>
      </c>
      <c r="I50" s="44">
        <v>5</v>
      </c>
      <c r="J50" s="44">
        <v>6</v>
      </c>
      <c r="K50" s="44">
        <v>7</v>
      </c>
      <c r="L50" s="44">
        <v>8</v>
      </c>
      <c r="M50" s="44">
        <v>9</v>
      </c>
      <c r="N50" s="44">
        <v>10</v>
      </c>
      <c r="O50" s="44">
        <v>11</v>
      </c>
      <c r="P50" s="44">
        <v>12</v>
      </c>
      <c r="Q50" s="44">
        <v>13</v>
      </c>
      <c r="R50" s="44">
        <v>14</v>
      </c>
      <c r="S50" s="44">
        <v>15</v>
      </c>
      <c r="T50" s="44">
        <v>16</v>
      </c>
      <c r="U50" s="44">
        <v>17</v>
      </c>
      <c r="V50" s="44">
        <v>18</v>
      </c>
      <c r="W50" s="44">
        <v>19</v>
      </c>
      <c r="X50" s="44">
        <v>20</v>
      </c>
      <c r="Y50" s="44">
        <v>21</v>
      </c>
      <c r="Z50" s="44">
        <v>22</v>
      </c>
      <c r="AA50" s="44">
        <v>23</v>
      </c>
      <c r="AB50" s="44">
        <v>24</v>
      </c>
      <c r="AC50" s="44">
        <v>25</v>
      </c>
    </row>
    <row r="51" spans="1:29" x14ac:dyDescent="0.25">
      <c r="A51" s="45" t="s">
        <v>34</v>
      </c>
      <c r="B51" s="2"/>
      <c r="C51" s="60" t="s">
        <v>29</v>
      </c>
      <c r="D51" s="2">
        <f>Data!$F$31*(1-Data!$D$33*Calculations!D1)</f>
        <v>5000000</v>
      </c>
      <c r="E51" s="2">
        <f>Data!$F$31*(1-Data!$D$33*Calculations!E1)</f>
        <v>4900000</v>
      </c>
      <c r="F51" s="2">
        <f>Data!$F$31*(1-Data!$D$33*Calculations!F1)</f>
        <v>4800000</v>
      </c>
      <c r="G51" s="2">
        <f>Data!$F$31*(1-Data!$D$33*Calculations!G1)</f>
        <v>4700000</v>
      </c>
      <c r="H51" s="2">
        <f>Data!$F$31*(1-Data!$D$33*Calculations!H1)</f>
        <v>4600000</v>
      </c>
      <c r="I51" s="2">
        <f>Data!$F$31*(1-Data!$D$33*Calculations!I1)</f>
        <v>4500000</v>
      </c>
      <c r="J51" s="2">
        <f>Data!$F$31*(1-Data!$D$33*Calculations!J1)</f>
        <v>4400000</v>
      </c>
      <c r="K51" s="2">
        <f>Data!$F$31*(1-Data!$D$33*Calculations!K1)</f>
        <v>4300000</v>
      </c>
      <c r="L51" s="2">
        <f>Data!$F$31*(1-Data!$D$33*Calculations!L1)</f>
        <v>4200000</v>
      </c>
      <c r="M51" s="2">
        <f>Data!$F$31*(1-Data!$D$33*Calculations!M1)</f>
        <v>4100000.0000000005</v>
      </c>
      <c r="N51" s="2">
        <f>Data!$F$31*(1-Data!$D$33*Calculations!N1)</f>
        <v>4000000</v>
      </c>
      <c r="O51" s="2">
        <f>Data!$F$31*(1-Data!$D$33*Calculations!O1)</f>
        <v>3900000</v>
      </c>
      <c r="P51" s="2">
        <f>Data!$F$31*(1-Data!$D$33*Calculations!P1)</f>
        <v>3800000</v>
      </c>
      <c r="Q51" s="2">
        <f>Data!$F$31*(1-Data!$D$33*Calculations!Q1)</f>
        <v>3700000</v>
      </c>
      <c r="R51" s="2">
        <f>Data!$F$31*(1-Data!$D$33*Calculations!R1)</f>
        <v>3600000</v>
      </c>
      <c r="S51" s="2">
        <f>Data!$F$31*(1-Data!$D$33*Calculations!S1)</f>
        <v>3500000</v>
      </c>
      <c r="T51" s="2">
        <f>Data!$F$31*(1-Data!$D$33*Calculations!T1)</f>
        <v>3399999.9999999995</v>
      </c>
      <c r="U51" s="2">
        <f>Data!$F$31*(1-Data!$D$33*Calculations!U1)</f>
        <v>3299999.9999999995</v>
      </c>
      <c r="V51" s="2">
        <f>Data!$F$31*(1-Data!$D$33*Calculations!V1)</f>
        <v>3200000</v>
      </c>
      <c r="W51" s="2">
        <f>Data!$F$31*(1-Data!$D$33*Calculations!W1)</f>
        <v>3100000</v>
      </c>
      <c r="X51" s="2">
        <f>Data!$F$31*(1-Data!$D$33*Calculations!X1)</f>
        <v>3000000</v>
      </c>
      <c r="Y51" s="2">
        <f>Data!$F$31*(1-Data!$D$33*Calculations!Y1)</f>
        <v>2900000.0000000005</v>
      </c>
      <c r="Z51" s="2">
        <f>Data!$F$31*(1-Data!$D$33*Calculations!Z1)</f>
        <v>2800000.0000000005</v>
      </c>
      <c r="AA51" s="2">
        <f>Data!$F$31*(1-Data!$D$33*Calculations!AA1)</f>
        <v>2700000</v>
      </c>
      <c r="AB51" s="2">
        <f>Data!$F$31*(1-Data!$D$33*Calculations!AB1)</f>
        <v>2600000</v>
      </c>
      <c r="AC51" s="3">
        <f>Data!$F$31*(1-Data!$D$33*Calculations!AC1)</f>
        <v>2500000</v>
      </c>
    </row>
    <row r="52" spans="1:29" x14ac:dyDescent="0.25">
      <c r="A52" s="4"/>
      <c r="B52" s="5"/>
      <c r="C52" s="61" t="s">
        <v>43</v>
      </c>
      <c r="D52" s="5">
        <v>0</v>
      </c>
      <c r="E52" s="5">
        <f>D51-E51</f>
        <v>100000</v>
      </c>
      <c r="F52" s="5">
        <f t="shared" ref="F52:AC52" si="14">E51-F51</f>
        <v>100000</v>
      </c>
      <c r="G52" s="5">
        <f t="shared" si="14"/>
        <v>100000</v>
      </c>
      <c r="H52" s="5">
        <f t="shared" si="14"/>
        <v>100000</v>
      </c>
      <c r="I52" s="5">
        <f t="shared" si="14"/>
        <v>100000</v>
      </c>
      <c r="J52" s="5">
        <f t="shared" si="14"/>
        <v>100000</v>
      </c>
      <c r="K52" s="5">
        <f t="shared" si="14"/>
        <v>100000</v>
      </c>
      <c r="L52" s="5">
        <f t="shared" si="14"/>
        <v>100000</v>
      </c>
      <c r="M52" s="5">
        <f t="shared" si="14"/>
        <v>99999.999999999534</v>
      </c>
      <c r="N52" s="5">
        <f t="shared" si="14"/>
        <v>100000.00000000047</v>
      </c>
      <c r="O52" s="5">
        <f t="shared" si="14"/>
        <v>100000</v>
      </c>
      <c r="P52" s="5">
        <f t="shared" si="14"/>
        <v>100000</v>
      </c>
      <c r="Q52" s="5">
        <f t="shared" si="14"/>
        <v>100000</v>
      </c>
      <c r="R52" s="5">
        <f t="shared" si="14"/>
        <v>100000</v>
      </c>
      <c r="S52" s="5">
        <f t="shared" si="14"/>
        <v>100000</v>
      </c>
      <c r="T52" s="5">
        <f t="shared" si="14"/>
        <v>100000.00000000047</v>
      </c>
      <c r="U52" s="5">
        <f t="shared" si="14"/>
        <v>100000</v>
      </c>
      <c r="V52" s="5">
        <f t="shared" si="14"/>
        <v>99999.999999999534</v>
      </c>
      <c r="W52" s="5">
        <f t="shared" si="14"/>
        <v>100000</v>
      </c>
      <c r="X52" s="5">
        <f t="shared" si="14"/>
        <v>100000</v>
      </c>
      <c r="Y52" s="5">
        <f t="shared" si="14"/>
        <v>99999.999999999534</v>
      </c>
      <c r="Z52" s="5">
        <f t="shared" si="14"/>
        <v>100000</v>
      </c>
      <c r="AA52" s="5">
        <f t="shared" si="14"/>
        <v>100000.00000000047</v>
      </c>
      <c r="AB52" s="5">
        <f t="shared" si="14"/>
        <v>100000</v>
      </c>
      <c r="AC52" s="6">
        <f t="shared" si="14"/>
        <v>100000</v>
      </c>
    </row>
    <row r="53" spans="1:29" ht="15.75" thickBot="1" x14ac:dyDescent="0.3">
      <c r="A53" s="7"/>
      <c r="B53" s="8"/>
      <c r="C53" s="62" t="s">
        <v>44</v>
      </c>
      <c r="D53" s="8">
        <v>0</v>
      </c>
      <c r="E53" s="8">
        <f>E52+D53</f>
        <v>100000</v>
      </c>
      <c r="F53" s="8">
        <f t="shared" ref="F53:AC53" si="15">F52+E53</f>
        <v>200000</v>
      </c>
      <c r="G53" s="8">
        <f t="shared" si="15"/>
        <v>300000</v>
      </c>
      <c r="H53" s="8">
        <f t="shared" si="15"/>
        <v>400000</v>
      </c>
      <c r="I53" s="8">
        <f t="shared" si="15"/>
        <v>500000</v>
      </c>
      <c r="J53" s="8">
        <f t="shared" si="15"/>
        <v>600000</v>
      </c>
      <c r="K53" s="8">
        <f t="shared" si="15"/>
        <v>700000</v>
      </c>
      <c r="L53" s="8">
        <f t="shared" si="15"/>
        <v>800000</v>
      </c>
      <c r="M53" s="8">
        <f t="shared" si="15"/>
        <v>899999.99999999953</v>
      </c>
      <c r="N53" s="8">
        <f t="shared" si="15"/>
        <v>1000000</v>
      </c>
      <c r="O53" s="8">
        <f t="shared" si="15"/>
        <v>1100000</v>
      </c>
      <c r="P53" s="8">
        <f t="shared" si="15"/>
        <v>1200000</v>
      </c>
      <c r="Q53" s="8">
        <f t="shared" si="15"/>
        <v>1300000</v>
      </c>
      <c r="R53" s="8">
        <f t="shared" si="15"/>
        <v>1400000</v>
      </c>
      <c r="S53" s="8">
        <f t="shared" si="15"/>
        <v>1500000</v>
      </c>
      <c r="T53" s="8">
        <f t="shared" si="15"/>
        <v>1600000.0000000005</v>
      </c>
      <c r="U53" s="8">
        <f t="shared" si="15"/>
        <v>1700000.0000000005</v>
      </c>
      <c r="V53" s="8">
        <f t="shared" si="15"/>
        <v>1800000</v>
      </c>
      <c r="W53" s="8">
        <f t="shared" si="15"/>
        <v>1900000</v>
      </c>
      <c r="X53" s="8">
        <f t="shared" si="15"/>
        <v>2000000</v>
      </c>
      <c r="Y53" s="8">
        <f t="shared" si="15"/>
        <v>2099999.9999999995</v>
      </c>
      <c r="Z53" s="8">
        <f t="shared" si="15"/>
        <v>2199999.9999999995</v>
      </c>
      <c r="AA53" s="8">
        <f t="shared" si="15"/>
        <v>2300000</v>
      </c>
      <c r="AB53" s="8">
        <f t="shared" si="15"/>
        <v>2400000</v>
      </c>
      <c r="AC53" s="9">
        <f t="shared" si="15"/>
        <v>2500000</v>
      </c>
    </row>
    <row r="55" spans="1:29" ht="15.75" thickBot="1" x14ac:dyDescent="0.3">
      <c r="C55" s="44" t="s">
        <v>30</v>
      </c>
      <c r="D55" s="44">
        <v>0</v>
      </c>
      <c r="E55" s="44">
        <v>1</v>
      </c>
      <c r="F55" s="44">
        <v>2</v>
      </c>
      <c r="G55" s="44">
        <v>3</v>
      </c>
      <c r="H55" s="44">
        <v>4</v>
      </c>
      <c r="I55" s="44">
        <v>5</v>
      </c>
      <c r="J55" s="44">
        <v>6</v>
      </c>
      <c r="K55" s="44">
        <v>7</v>
      </c>
      <c r="L55" s="44">
        <v>8</v>
      </c>
      <c r="M55" s="44">
        <v>9</v>
      </c>
      <c r="N55" s="44">
        <v>10</v>
      </c>
      <c r="O55" s="44">
        <v>11</v>
      </c>
      <c r="P55" s="44">
        <v>12</v>
      </c>
      <c r="Q55" s="44">
        <v>13</v>
      </c>
      <c r="R55" s="44">
        <v>14</v>
      </c>
      <c r="S55" s="44">
        <v>15</v>
      </c>
      <c r="T55" s="44">
        <v>16</v>
      </c>
      <c r="U55" s="44">
        <v>17</v>
      </c>
      <c r="V55" s="44">
        <v>18</v>
      </c>
      <c r="W55" s="44">
        <v>19</v>
      </c>
      <c r="X55" s="44">
        <v>20</v>
      </c>
      <c r="Y55" s="44">
        <v>21</v>
      </c>
      <c r="Z55" s="44">
        <v>22</v>
      </c>
      <c r="AA55" s="44">
        <v>23</v>
      </c>
      <c r="AB55" s="44">
        <v>24</v>
      </c>
      <c r="AC55" s="44">
        <v>25</v>
      </c>
    </row>
    <row r="56" spans="1:29" x14ac:dyDescent="0.25">
      <c r="A56" s="45" t="s">
        <v>45</v>
      </c>
      <c r="B56" s="2"/>
      <c r="C56" s="60" t="s">
        <v>46</v>
      </c>
      <c r="D56" s="2">
        <f t="shared" ref="D56:AC56" si="16">D3+D10+D24+D31+D38+D45+D51+D17</f>
        <v>22008100</v>
      </c>
      <c r="E56" s="2">
        <f t="shared" si="16"/>
        <v>20772533</v>
      </c>
      <c r="F56" s="2">
        <f t="shared" si="16"/>
        <v>19536966</v>
      </c>
      <c r="G56" s="2">
        <f t="shared" si="16"/>
        <v>18301399</v>
      </c>
      <c r="H56" s="2">
        <f t="shared" si="16"/>
        <v>17065832</v>
      </c>
      <c r="I56" s="2">
        <f t="shared" si="16"/>
        <v>15830265</v>
      </c>
      <c r="J56" s="2">
        <f t="shared" si="16"/>
        <v>14594698</v>
      </c>
      <c r="K56" s="2">
        <f t="shared" si="16"/>
        <v>13359131</v>
      </c>
      <c r="L56" s="2">
        <f t="shared" si="16"/>
        <v>12123564</v>
      </c>
      <c r="M56" s="2">
        <f t="shared" si="16"/>
        <v>10887997</v>
      </c>
      <c r="N56" s="2">
        <f t="shared" si="16"/>
        <v>9652430</v>
      </c>
      <c r="O56" s="2">
        <f t="shared" si="16"/>
        <v>8416863</v>
      </c>
      <c r="P56" s="2">
        <f t="shared" si="16"/>
        <v>7181295.9999999991</v>
      </c>
      <c r="Q56" s="2">
        <f t="shared" si="16"/>
        <v>5945728.9999999981</v>
      </c>
      <c r="R56" s="2">
        <f t="shared" si="16"/>
        <v>4710161.9999999981</v>
      </c>
      <c r="S56" s="2">
        <f t="shared" si="16"/>
        <v>3474594.9999999995</v>
      </c>
      <c r="T56" s="2">
        <f t="shared" si="16"/>
        <v>2239027.9999999981</v>
      </c>
      <c r="U56" s="2">
        <f t="shared" si="16"/>
        <v>1003460.9999999972</v>
      </c>
      <c r="V56" s="2">
        <f t="shared" si="16"/>
        <v>-232106.00000000186</v>
      </c>
      <c r="W56" s="2">
        <f t="shared" si="16"/>
        <v>-1467673.0000000009</v>
      </c>
      <c r="X56" s="2">
        <f t="shared" si="16"/>
        <v>-2703240.0000000019</v>
      </c>
      <c r="Y56" s="2">
        <f t="shared" si="16"/>
        <v>-3938807.0000000014</v>
      </c>
      <c r="Z56" s="2">
        <f t="shared" si="16"/>
        <v>-5174374</v>
      </c>
      <c r="AA56" s="2">
        <f t="shared" si="16"/>
        <v>-6409941.0000000019</v>
      </c>
      <c r="AB56" s="2">
        <f t="shared" si="16"/>
        <v>-7645508.0000000019</v>
      </c>
      <c r="AC56" s="2">
        <f t="shared" si="16"/>
        <v>-8881075.0000000019</v>
      </c>
    </row>
    <row r="57" spans="1:29" x14ac:dyDescent="0.25">
      <c r="A57" s="4"/>
      <c r="B57" s="5"/>
      <c r="C57" s="61" t="s">
        <v>47</v>
      </c>
      <c r="D57" s="5">
        <f>D5+D12+D26+D33+D40+D47+D52</f>
        <v>0</v>
      </c>
      <c r="E57" s="5">
        <f t="shared" ref="E57:AC57" si="17">E5+E12+E26+E33+E40+E47+E52+E19</f>
        <v>1235567</v>
      </c>
      <c r="F57" s="5">
        <f t="shared" si="17"/>
        <v>1235567</v>
      </c>
      <c r="G57" s="5">
        <f t="shared" si="17"/>
        <v>1235567</v>
      </c>
      <c r="H57" s="5">
        <f t="shared" si="17"/>
        <v>1235567</v>
      </c>
      <c r="I57" s="5">
        <f t="shared" si="17"/>
        <v>1235567.0000000009</v>
      </c>
      <c r="J57" s="5">
        <f t="shared" si="17"/>
        <v>1235566.9999999991</v>
      </c>
      <c r="K57" s="5">
        <f t="shared" si="17"/>
        <v>1235567.0000000002</v>
      </c>
      <c r="L57" s="5">
        <f t="shared" si="17"/>
        <v>1235567.0000000009</v>
      </c>
      <c r="M57" s="5">
        <f t="shared" si="17"/>
        <v>1235566.9999999991</v>
      </c>
      <c r="N57" s="5">
        <f t="shared" si="17"/>
        <v>1235567.0000000002</v>
      </c>
      <c r="O57" s="5">
        <f t="shared" si="17"/>
        <v>1235566.9999999991</v>
      </c>
      <c r="P57" s="5">
        <f t="shared" si="17"/>
        <v>1235567.0000000009</v>
      </c>
      <c r="Q57" s="5">
        <f t="shared" si="17"/>
        <v>1235567.0000000009</v>
      </c>
      <c r="R57" s="5">
        <f t="shared" si="17"/>
        <v>1235567</v>
      </c>
      <c r="S57" s="5">
        <f t="shared" si="17"/>
        <v>1235566.9999999988</v>
      </c>
      <c r="T57" s="5">
        <f t="shared" si="17"/>
        <v>1235567.0000000014</v>
      </c>
      <c r="U57" s="5">
        <f t="shared" si="17"/>
        <v>1235567.0000000009</v>
      </c>
      <c r="V57" s="5">
        <f t="shared" si="17"/>
        <v>1235566.9999999993</v>
      </c>
      <c r="W57" s="5">
        <f t="shared" si="17"/>
        <v>1235566.9999999991</v>
      </c>
      <c r="X57" s="5">
        <f t="shared" si="17"/>
        <v>1235567.0000000009</v>
      </c>
      <c r="Y57" s="5">
        <f t="shared" si="17"/>
        <v>1235566.9999999993</v>
      </c>
      <c r="Z57" s="5">
        <f t="shared" si="17"/>
        <v>1235566.9999999981</v>
      </c>
      <c r="AA57" s="5">
        <f t="shared" si="17"/>
        <v>1235567.0000000019</v>
      </c>
      <c r="AB57" s="5">
        <f t="shared" si="17"/>
        <v>1235566.9999999998</v>
      </c>
      <c r="AC57" s="5">
        <f t="shared" si="17"/>
        <v>1235567.0000000005</v>
      </c>
    </row>
    <row r="58" spans="1:29" ht="15.75" thickBot="1" x14ac:dyDescent="0.3">
      <c r="A58" s="7"/>
      <c r="B58" s="8"/>
      <c r="C58" s="62" t="s">
        <v>48</v>
      </c>
      <c r="D58" s="8">
        <f>D6+D13+D27+D34+D41+D48+D53</f>
        <v>0</v>
      </c>
      <c r="E58" s="8">
        <f t="shared" ref="E58:AC58" si="18">E6+E13+E27+E34+E41+E48+E53+E20</f>
        <v>1235567</v>
      </c>
      <c r="F58" s="8">
        <f t="shared" si="18"/>
        <v>2471134</v>
      </c>
      <c r="G58" s="8">
        <f t="shared" si="18"/>
        <v>3706701</v>
      </c>
      <c r="H58" s="8">
        <f t="shared" si="18"/>
        <v>4942268</v>
      </c>
      <c r="I58" s="8">
        <f t="shared" si="18"/>
        <v>6177835.0000000009</v>
      </c>
      <c r="J58" s="8">
        <f t="shared" si="18"/>
        <v>7413402</v>
      </c>
      <c r="K58" s="8">
        <f t="shared" si="18"/>
        <v>8648969</v>
      </c>
      <c r="L58" s="8">
        <f t="shared" si="18"/>
        <v>9884536</v>
      </c>
      <c r="M58" s="8">
        <f t="shared" si="18"/>
        <v>11120103</v>
      </c>
      <c r="N58" s="8">
        <f t="shared" si="18"/>
        <v>12355670</v>
      </c>
      <c r="O58" s="8">
        <f t="shared" si="18"/>
        <v>13591237</v>
      </c>
      <c r="P58" s="8">
        <f t="shared" si="18"/>
        <v>14826804</v>
      </c>
      <c r="Q58" s="8">
        <f t="shared" si="18"/>
        <v>16062371</v>
      </c>
      <c r="R58" s="8">
        <f t="shared" si="18"/>
        <v>17297938</v>
      </c>
      <c r="S58" s="8">
        <f t="shared" si="18"/>
        <v>18533505</v>
      </c>
      <c r="T58" s="8">
        <f t="shared" si="18"/>
        <v>19769072</v>
      </c>
      <c r="U58" s="8">
        <f t="shared" si="18"/>
        <v>21004639</v>
      </c>
      <c r="V58" s="8">
        <f t="shared" si="18"/>
        <v>22240206</v>
      </c>
      <c r="W58" s="8">
        <f t="shared" si="18"/>
        <v>23475772.999999996</v>
      </c>
      <c r="X58" s="8">
        <f t="shared" si="18"/>
        <v>24711340</v>
      </c>
      <c r="Y58" s="8">
        <f t="shared" si="18"/>
        <v>25946907</v>
      </c>
      <c r="Z58" s="8">
        <f t="shared" si="18"/>
        <v>27182473.999999996</v>
      </c>
      <c r="AA58" s="8">
        <f t="shared" si="18"/>
        <v>28418040.999999996</v>
      </c>
      <c r="AB58" s="8">
        <f t="shared" si="18"/>
        <v>29653607.999999996</v>
      </c>
      <c r="AC58" s="8">
        <f t="shared" si="18"/>
        <v>30889174.999999996</v>
      </c>
    </row>
    <row r="60" spans="1:29" ht="15.75" thickBot="1" x14ac:dyDescent="0.3">
      <c r="C60" s="44" t="s">
        <v>30</v>
      </c>
      <c r="D60" s="44">
        <v>0</v>
      </c>
      <c r="E60" s="44">
        <v>1</v>
      </c>
      <c r="F60" s="44">
        <v>2</v>
      </c>
      <c r="G60" s="44">
        <v>3</v>
      </c>
      <c r="H60" s="44">
        <v>4</v>
      </c>
      <c r="I60" s="44">
        <v>5</v>
      </c>
      <c r="J60" s="44">
        <v>6</v>
      </c>
      <c r="K60" s="44">
        <v>7</v>
      </c>
      <c r="L60" s="44">
        <v>8</v>
      </c>
      <c r="M60" s="44">
        <v>9</v>
      </c>
      <c r="N60" s="44">
        <v>10</v>
      </c>
      <c r="O60" s="44">
        <v>11</v>
      </c>
      <c r="P60" s="44">
        <v>12</v>
      </c>
      <c r="Q60" s="44">
        <v>13</v>
      </c>
      <c r="R60" s="44">
        <v>14</v>
      </c>
      <c r="S60" s="44">
        <v>15</v>
      </c>
      <c r="T60" s="44">
        <v>16</v>
      </c>
      <c r="U60" s="44">
        <v>17</v>
      </c>
      <c r="V60" s="44">
        <v>18</v>
      </c>
      <c r="W60" s="44">
        <v>19</v>
      </c>
      <c r="X60" s="44">
        <v>20</v>
      </c>
      <c r="Y60" s="44">
        <v>21</v>
      </c>
      <c r="Z60" s="44">
        <v>22</v>
      </c>
      <c r="AA60" s="44">
        <v>23</v>
      </c>
      <c r="AB60" s="44">
        <v>24</v>
      </c>
      <c r="AC60" s="44">
        <v>25</v>
      </c>
    </row>
    <row r="61" spans="1:29" x14ac:dyDescent="0.25">
      <c r="A61" s="45" t="s">
        <v>18</v>
      </c>
      <c r="B61" s="2"/>
      <c r="C61" s="6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3"/>
    </row>
    <row r="62" spans="1:29" x14ac:dyDescent="0.25">
      <c r="A62" s="4"/>
      <c r="B62" s="5"/>
      <c r="C62" s="61" t="s">
        <v>20</v>
      </c>
      <c r="D62" s="5">
        <v>0</v>
      </c>
      <c r="E62" s="5">
        <f>Data!$B$24*(Data!$F$26*12)+(150/360)*Data!$F$26*12*2</f>
        <v>408000</v>
      </c>
      <c r="F62" s="5">
        <f>Data!$B$24*(Data!$F$26*12)+(150/360)*Data!$F$26*12*2</f>
        <v>408000</v>
      </c>
      <c r="G62" s="5">
        <f>Data!$B$24*(Data!$F$26*12)+(150/360)*Data!$F$26*12*2</f>
        <v>408000</v>
      </c>
      <c r="H62" s="5">
        <f>Data!$B$24*(Data!$F$26*12)+(150/360)*Data!$F$26*12*2</f>
        <v>408000</v>
      </c>
      <c r="I62" s="5">
        <f>Data!$B$24*(Data!$F$26*12)+(150/360)*Data!$F$26*12*2</f>
        <v>408000</v>
      </c>
      <c r="J62" s="5">
        <f>Data!$B$24*(Data!$F$26*12)+(150/360)*Data!$F$26*12*2</f>
        <v>408000</v>
      </c>
      <c r="K62" s="5">
        <f>Data!$B$24*(Data!$F$26*12)+(150/360)*Data!$F$26*12*2</f>
        <v>408000</v>
      </c>
      <c r="L62" s="5">
        <f>Data!$B$24*(Data!$F$26*12)+(150/360)*Data!$F$26*12*2</f>
        <v>408000</v>
      </c>
      <c r="M62" s="5">
        <f>Data!$B$24*(Data!$F$26*12)+(150/360)*Data!$F$26*12*2</f>
        <v>408000</v>
      </c>
      <c r="N62" s="5">
        <f>Data!$B$24*(Data!$F$26*12)+(150/360)*Data!$F$26*12*2</f>
        <v>408000</v>
      </c>
      <c r="O62" s="5">
        <f>Data!$B$24*(Data!$F$26*12)+(150/360)*Data!$F$26*12*2</f>
        <v>408000</v>
      </c>
      <c r="P62" s="5">
        <f>Data!$B$24*(Data!$F$26*12)+(150/360)*Data!$F$26*12*2</f>
        <v>408000</v>
      </c>
      <c r="Q62" s="5">
        <f>Data!$B$24*(Data!$F$26*12)+(150/360)*Data!$F$26*12*2</f>
        <v>408000</v>
      </c>
      <c r="R62" s="5">
        <f>Data!$B$24*(Data!$F$26*12)+(150/360)*Data!$F$26*12*2</f>
        <v>408000</v>
      </c>
      <c r="S62" s="5">
        <f>Data!$B$24*(Data!$F$26*12)+(150/360)*Data!$F$26*12*2</f>
        <v>408000</v>
      </c>
      <c r="T62" s="5">
        <f>Data!$B$24*(Data!$F$26*12)+(150/360)*Data!$F$26*12*2</f>
        <v>408000</v>
      </c>
      <c r="U62" s="5">
        <f>Data!$B$24*(Data!$F$26*12)+(150/360)*Data!$F$26*12*2</f>
        <v>408000</v>
      </c>
      <c r="V62" s="5">
        <f>Data!$B$24*(Data!$F$26*12)+(150/360)*Data!$F$26*12*2</f>
        <v>408000</v>
      </c>
      <c r="W62" s="5">
        <f>Data!$B$24*(Data!$F$26*12)+(150/360)*Data!$F$26*12*2</f>
        <v>408000</v>
      </c>
      <c r="X62" s="5">
        <f>Data!$B$24*(Data!$F$26*12)+(150/360)*Data!$F$26*12*2</f>
        <v>408000</v>
      </c>
      <c r="Y62" s="5">
        <f>Data!$B$24*(Data!$F$26*12)+(150/360)*Data!$F$26*12*2</f>
        <v>408000</v>
      </c>
      <c r="Z62" s="5">
        <f>Data!$B$24*(Data!$F$26*12)+(150/360)*Data!$F$26*12*2</f>
        <v>408000</v>
      </c>
      <c r="AA62" s="5">
        <f>Data!$B$24*(Data!$F$26*12)+(150/360)*Data!$F$26*12*2</f>
        <v>408000</v>
      </c>
      <c r="AB62" s="5">
        <f>Data!$B$24*(Data!$F$26*12)+(150/360)*Data!$F$26*12*2</f>
        <v>408000</v>
      </c>
      <c r="AC62" s="6">
        <f>Data!$B$24*(Data!$F$26*12)+(150/360)*Data!$F$26*12*2</f>
        <v>408000</v>
      </c>
    </row>
    <row r="63" spans="1:29" x14ac:dyDescent="0.25">
      <c r="A63" s="4"/>
      <c r="B63" s="5"/>
      <c r="C63" s="61" t="s">
        <v>23</v>
      </c>
      <c r="D63" s="5">
        <v>0</v>
      </c>
      <c r="E63" s="5">
        <f>(Data!$B$24*Data!$E$27*12*Data!$F$27)+(150/365)*(Data!$B$24*Data!$E$27*12*Data!$F$27)</f>
        <v>541808.21917808219</v>
      </c>
      <c r="F63" s="5">
        <f>(Data!$B$24*Data!$E$27*12*Data!$F$27)+(150/365)*(Data!$B$24*Data!$E$27*12*Data!$F$27)</f>
        <v>541808.21917808219</v>
      </c>
      <c r="G63" s="5">
        <f>(Data!$B$24*Data!$E$27*12*Data!$F$27)+(150/365)*(Data!$B$24*Data!$E$27*12*Data!$F$27)</f>
        <v>541808.21917808219</v>
      </c>
      <c r="H63" s="5">
        <f>(Data!$B$24*Data!$E$27*12*Data!$F$27)+(150/365)*(Data!$B$24*Data!$E$27*12*Data!$F$27)</f>
        <v>541808.21917808219</v>
      </c>
      <c r="I63" s="5">
        <f>(Data!$B$24*Data!$E$27*12*Data!$F$27)+(150/365)*(Data!$B$24*Data!$E$27*12*Data!$F$27)</f>
        <v>541808.21917808219</v>
      </c>
      <c r="J63" s="5">
        <f>(Data!$B$24*Data!$E$27*12*Data!$F$27)+(150/365)*(Data!$B$24*Data!$E$27*12*Data!$F$27)</f>
        <v>541808.21917808219</v>
      </c>
      <c r="K63" s="5">
        <f>(Data!$B$24*Data!$E$27*12*Data!$F$27)+(150/365)*(Data!$B$24*Data!$E$27*12*Data!$F$27)</f>
        <v>541808.21917808219</v>
      </c>
      <c r="L63" s="5">
        <f>(Data!$B$24*Data!$E$27*12*Data!$F$27)+(150/365)*(Data!$B$24*Data!$E$27*12*Data!$F$27)</f>
        <v>541808.21917808219</v>
      </c>
      <c r="M63" s="5">
        <f>(Data!$B$24*Data!$E$27*12*Data!$F$27)+(150/365)*(Data!$B$24*Data!$E$27*12*Data!$F$27)</f>
        <v>541808.21917808219</v>
      </c>
      <c r="N63" s="5">
        <f>(Data!$B$24*Data!$E$27*12*Data!$F$27)+(150/365)*(Data!$B$24*Data!$E$27*12*Data!$F$27)</f>
        <v>541808.21917808219</v>
      </c>
      <c r="O63" s="5">
        <f>(Data!$B$24*Data!$E$27*12*Data!$F$27)+(150/365)*(Data!$B$24*Data!$E$27*12*Data!$F$27)</f>
        <v>541808.21917808219</v>
      </c>
      <c r="P63" s="5">
        <f>(Data!$B$24*Data!$E$27*12*Data!$F$27)+(150/365)*(Data!$B$24*Data!$E$27*12*Data!$F$27)</f>
        <v>541808.21917808219</v>
      </c>
      <c r="Q63" s="5">
        <f>(Data!$B$24*Data!$E$27*12*Data!$F$27)+(150/365)*(Data!$B$24*Data!$E$27*12*Data!$F$27)</f>
        <v>541808.21917808219</v>
      </c>
      <c r="R63" s="5">
        <f>(Data!$B$24*Data!$E$27*12*Data!$F$27)+(150/365)*(Data!$B$24*Data!$E$27*12*Data!$F$27)</f>
        <v>541808.21917808219</v>
      </c>
      <c r="S63" s="5">
        <f>(Data!$B$24*Data!$E$27*12*Data!$F$27)+(150/365)*(Data!$B$24*Data!$E$27*12*Data!$F$27)</f>
        <v>541808.21917808219</v>
      </c>
      <c r="T63" s="5">
        <f>(Data!$B$24*Data!$E$27*12*Data!$F$27)+(150/365)*(Data!$B$24*Data!$E$27*12*Data!$F$27)</f>
        <v>541808.21917808219</v>
      </c>
      <c r="U63" s="5">
        <f>(Data!$B$24*Data!$E$27*12*Data!$F$27)+(150/365)*(Data!$B$24*Data!$E$27*12*Data!$F$27)</f>
        <v>541808.21917808219</v>
      </c>
      <c r="V63" s="5">
        <f>(Data!$B$24*Data!$E$27*12*Data!$F$27)+(150/365)*(Data!$B$24*Data!$E$27*12*Data!$F$27)</f>
        <v>541808.21917808219</v>
      </c>
      <c r="W63" s="5">
        <f>(Data!$B$24*Data!$E$27*12*Data!$F$27)+(150/365)*(Data!$B$24*Data!$E$27*12*Data!$F$27)</f>
        <v>541808.21917808219</v>
      </c>
      <c r="X63" s="5">
        <f>(Data!$B$24*Data!$E$27*12*Data!$F$27)+(150/365)*(Data!$B$24*Data!$E$27*12*Data!$F$27)</f>
        <v>541808.21917808219</v>
      </c>
      <c r="Y63" s="5">
        <f>(Data!$B$24*Data!$E$27*12*Data!$F$27)+(150/365)*(Data!$B$24*Data!$E$27*12*Data!$F$27)</f>
        <v>541808.21917808219</v>
      </c>
      <c r="Z63" s="5">
        <f>(Data!$B$24*Data!$E$27*12*Data!$F$27)+(150/365)*(Data!$B$24*Data!$E$27*12*Data!$F$27)</f>
        <v>541808.21917808219</v>
      </c>
      <c r="AA63" s="5">
        <f>(Data!$B$24*Data!$E$27*12*Data!$F$27)+(150/365)*(Data!$B$24*Data!$E$27*12*Data!$F$27)</f>
        <v>541808.21917808219</v>
      </c>
      <c r="AB63" s="5">
        <f>(Data!$B$24*Data!$E$27*12*Data!$F$27)+(150/365)*(Data!$B$24*Data!$E$27*12*Data!$F$27)</f>
        <v>541808.21917808219</v>
      </c>
      <c r="AC63" s="6">
        <f>(Data!$B$24*Data!$E$27*12*Data!$F$27)+(150/365)*(Data!$B$24*Data!$E$27*12*Data!$F$27)</f>
        <v>541808.21917808219</v>
      </c>
    </row>
    <row r="64" spans="1:29" x14ac:dyDescent="0.25">
      <c r="A64" s="4"/>
      <c r="B64" s="5"/>
      <c r="C64" s="61" t="s">
        <v>21</v>
      </c>
      <c r="D64" s="5">
        <v>0</v>
      </c>
      <c r="E64" s="5">
        <f>(Data!$B$24*Data!$E$28*Data!$F$28*12)+(150/365)*(Data!$B$24*Data!$E$28*Data!$F$28*12)</f>
        <v>541808.21917808219</v>
      </c>
      <c r="F64" s="5">
        <f>(Data!$B$24*Data!$E$28*Data!$F$28*12)+(150/365)*(Data!$B$24*Data!$E$28*Data!$F$28*12)</f>
        <v>541808.21917808219</v>
      </c>
      <c r="G64" s="5">
        <f>(Data!$B$24*Data!$E$28*Data!$F$28*12)+(150/365)*(Data!$B$24*Data!$E$28*Data!$F$28*12)</f>
        <v>541808.21917808219</v>
      </c>
      <c r="H64" s="5">
        <f>(Data!$B$24*Data!$E$28*Data!$F$28*12)+(150/365)*(Data!$B$24*Data!$E$28*Data!$F$28*12)</f>
        <v>541808.21917808219</v>
      </c>
      <c r="I64" s="5">
        <f>(Data!$B$24*Data!$E$28*Data!$F$28*12)+(150/365)*(Data!$B$24*Data!$E$28*Data!$F$28*12)</f>
        <v>541808.21917808219</v>
      </c>
      <c r="J64" s="5">
        <f>(Data!$B$24*Data!$E$28*Data!$F$28*12)+(150/365)*(Data!$B$24*Data!$E$28*Data!$F$28*12)</f>
        <v>541808.21917808219</v>
      </c>
      <c r="K64" s="5">
        <f>(Data!$B$24*Data!$E$28*Data!$F$28*12)+(150/365)*(Data!$B$24*Data!$E$28*Data!$F$28*12)</f>
        <v>541808.21917808219</v>
      </c>
      <c r="L64" s="5">
        <f>(Data!$B$24*Data!$E$28*Data!$F$28*12)+(150/365)*(Data!$B$24*Data!$E$28*Data!$F$28*12)</f>
        <v>541808.21917808219</v>
      </c>
      <c r="M64" s="5">
        <f>(Data!$B$24*Data!$E$28*Data!$F$28*12)+(150/365)*(Data!$B$24*Data!$E$28*Data!$F$28*12)</f>
        <v>541808.21917808219</v>
      </c>
      <c r="N64" s="5">
        <f>(Data!$B$24*Data!$E$28*Data!$F$28*12)+(150/365)*(Data!$B$24*Data!$E$28*Data!$F$28*12)</f>
        <v>541808.21917808219</v>
      </c>
      <c r="O64" s="5">
        <f>(Data!$B$24*Data!$E$28*Data!$F$28*12)+(150/365)*(Data!$B$24*Data!$E$28*Data!$F$28*12)</f>
        <v>541808.21917808219</v>
      </c>
      <c r="P64" s="5">
        <f>(Data!$B$24*Data!$E$28*Data!$F$28*12)+(150/365)*(Data!$B$24*Data!$E$28*Data!$F$28*12)</f>
        <v>541808.21917808219</v>
      </c>
      <c r="Q64" s="5">
        <f>(Data!$B$24*Data!$E$28*Data!$F$28*12)+(150/365)*(Data!$B$24*Data!$E$28*Data!$F$28*12)</f>
        <v>541808.21917808219</v>
      </c>
      <c r="R64" s="5">
        <f>(Data!$B$24*Data!$E$28*Data!$F$28*12)+(150/365)*(Data!$B$24*Data!$E$28*Data!$F$28*12)</f>
        <v>541808.21917808219</v>
      </c>
      <c r="S64" s="5">
        <f>(Data!$B$24*Data!$E$28*Data!$F$28*12)+(150/365)*(Data!$B$24*Data!$E$28*Data!$F$28*12)</f>
        <v>541808.21917808219</v>
      </c>
      <c r="T64" s="5">
        <f>(Data!$B$24*Data!$E$28*Data!$F$28*12)+(150/365)*(Data!$B$24*Data!$E$28*Data!$F$28*12)</f>
        <v>541808.21917808219</v>
      </c>
      <c r="U64" s="5">
        <f>(Data!$B$24*Data!$E$28*Data!$F$28*12)+(150/365)*(Data!$B$24*Data!$E$28*Data!$F$28*12)</f>
        <v>541808.21917808219</v>
      </c>
      <c r="V64" s="5">
        <f>(Data!$B$24*Data!$E$28*Data!$F$28*12)+(150/365)*(Data!$B$24*Data!$E$28*Data!$F$28*12)</f>
        <v>541808.21917808219</v>
      </c>
      <c r="W64" s="5">
        <f>(Data!$B$24*Data!$E$28*Data!$F$28*12)+(150/365)*(Data!$B$24*Data!$E$28*Data!$F$28*12)</f>
        <v>541808.21917808219</v>
      </c>
      <c r="X64" s="5">
        <f>(Data!$B$24*Data!$E$28*Data!$F$28*12)+(150/365)*(Data!$B$24*Data!$E$28*Data!$F$28*12)</f>
        <v>541808.21917808219</v>
      </c>
      <c r="Y64" s="5">
        <f>(Data!$B$24*Data!$E$28*Data!$F$28*12)+(150/365)*(Data!$B$24*Data!$E$28*Data!$F$28*12)</f>
        <v>541808.21917808219</v>
      </c>
      <c r="Z64" s="5">
        <f>(Data!$B$24*Data!$E$28*Data!$F$28*12)+(150/365)*(Data!$B$24*Data!$E$28*Data!$F$28*12)</f>
        <v>541808.21917808219</v>
      </c>
      <c r="AA64" s="5">
        <f>(Data!$B$24*Data!$E$28*Data!$F$28*12)+(150/365)*(Data!$B$24*Data!$E$28*Data!$F$28*12)</f>
        <v>541808.21917808219</v>
      </c>
      <c r="AB64" s="5">
        <f>(Data!$B$24*Data!$E$28*Data!$F$28*12)+(150/365)*(Data!$B$24*Data!$E$28*Data!$F$28*12)</f>
        <v>541808.21917808219</v>
      </c>
      <c r="AC64" s="6">
        <f>(Data!$B$24*Data!$E$28*Data!$F$28*12)+(150/365)*(Data!$B$24*Data!$E$28*Data!$F$28*12)</f>
        <v>541808.21917808219</v>
      </c>
    </row>
    <row r="65" spans="1:29" x14ac:dyDescent="0.25">
      <c r="A65" s="4"/>
      <c r="B65" s="5"/>
      <c r="C65" s="6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6"/>
    </row>
    <row r="66" spans="1:29" ht="15.75" thickBot="1" x14ac:dyDescent="0.3">
      <c r="A66" s="7"/>
      <c r="B66" s="8"/>
      <c r="C66" s="62" t="s">
        <v>42</v>
      </c>
      <c r="D66" s="8">
        <f>SUM(D62:D64)</f>
        <v>0</v>
      </c>
      <c r="E66" s="8">
        <f t="shared" ref="E66:AC66" si="19">SUM(E62:E64)</f>
        <v>1491616.4383561644</v>
      </c>
      <c r="F66" s="8">
        <f t="shared" si="19"/>
        <v>1491616.4383561644</v>
      </c>
      <c r="G66" s="8">
        <f t="shared" si="19"/>
        <v>1491616.4383561644</v>
      </c>
      <c r="H66" s="8">
        <f t="shared" si="19"/>
        <v>1491616.4383561644</v>
      </c>
      <c r="I66" s="8">
        <f t="shared" si="19"/>
        <v>1491616.4383561644</v>
      </c>
      <c r="J66" s="8">
        <f t="shared" si="19"/>
        <v>1491616.4383561644</v>
      </c>
      <c r="K66" s="8">
        <f t="shared" si="19"/>
        <v>1491616.4383561644</v>
      </c>
      <c r="L66" s="8">
        <f t="shared" si="19"/>
        <v>1491616.4383561644</v>
      </c>
      <c r="M66" s="8">
        <f t="shared" si="19"/>
        <v>1491616.4383561644</v>
      </c>
      <c r="N66" s="8">
        <f t="shared" si="19"/>
        <v>1491616.4383561644</v>
      </c>
      <c r="O66" s="8">
        <f t="shared" si="19"/>
        <v>1491616.4383561644</v>
      </c>
      <c r="P66" s="8">
        <f t="shared" si="19"/>
        <v>1491616.4383561644</v>
      </c>
      <c r="Q66" s="8">
        <f t="shared" si="19"/>
        <v>1491616.4383561644</v>
      </c>
      <c r="R66" s="8">
        <f t="shared" si="19"/>
        <v>1491616.4383561644</v>
      </c>
      <c r="S66" s="8">
        <f t="shared" si="19"/>
        <v>1491616.4383561644</v>
      </c>
      <c r="T66" s="8">
        <f t="shared" si="19"/>
        <v>1491616.4383561644</v>
      </c>
      <c r="U66" s="8">
        <f t="shared" si="19"/>
        <v>1491616.4383561644</v>
      </c>
      <c r="V66" s="8">
        <f t="shared" si="19"/>
        <v>1491616.4383561644</v>
      </c>
      <c r="W66" s="8">
        <f t="shared" si="19"/>
        <v>1491616.4383561644</v>
      </c>
      <c r="X66" s="8">
        <f t="shared" si="19"/>
        <v>1491616.4383561644</v>
      </c>
      <c r="Y66" s="8">
        <f t="shared" si="19"/>
        <v>1491616.4383561644</v>
      </c>
      <c r="Z66" s="8">
        <f t="shared" si="19"/>
        <v>1491616.4383561644</v>
      </c>
      <c r="AA66" s="8">
        <f t="shared" si="19"/>
        <v>1491616.4383561644</v>
      </c>
      <c r="AB66" s="8">
        <f t="shared" si="19"/>
        <v>1491616.4383561644</v>
      </c>
      <c r="AC66" s="9">
        <f t="shared" si="19"/>
        <v>1491616.4383561644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16" workbookViewId="0">
      <selection activeCell="B41" sqref="B41"/>
    </sheetView>
  </sheetViews>
  <sheetFormatPr defaultRowHeight="15" x14ac:dyDescent="0.25"/>
  <cols>
    <col min="1" max="1" width="22.42578125" bestFit="1" customWidth="1"/>
    <col min="2" max="2" width="22" bestFit="1" customWidth="1"/>
    <col min="3" max="3" width="13.28515625" bestFit="1" customWidth="1"/>
    <col min="4" max="4" width="15.7109375" bestFit="1" customWidth="1"/>
    <col min="5" max="5" width="15.28515625" bestFit="1" customWidth="1"/>
    <col min="6" max="6" width="10.28515625" bestFit="1" customWidth="1"/>
    <col min="7" max="7" width="9.7109375" bestFit="1" customWidth="1"/>
    <col min="8" max="8" width="15.85546875" bestFit="1" customWidth="1"/>
    <col min="9" max="9" width="13.28515625" bestFit="1" customWidth="1"/>
    <col min="11" max="11" width="16.140625" bestFit="1" customWidth="1"/>
    <col min="12" max="12" width="16.42578125" bestFit="1" customWidth="1"/>
  </cols>
  <sheetData>
    <row r="1" spans="1:13" ht="15.75" thickBot="1" x14ac:dyDescent="0.3">
      <c r="A1" s="43" t="s">
        <v>76</v>
      </c>
      <c r="B1" s="2"/>
      <c r="C1" s="2"/>
      <c r="D1" s="2"/>
      <c r="E1" s="2"/>
      <c r="F1" s="2"/>
      <c r="G1" s="3"/>
      <c r="H1" s="90" t="s">
        <v>79</v>
      </c>
      <c r="I1" s="91"/>
      <c r="J1" s="2"/>
      <c r="K1" s="93" t="s">
        <v>81</v>
      </c>
      <c r="L1" s="93"/>
      <c r="M1" s="54">
        <v>0.02</v>
      </c>
    </row>
    <row r="2" spans="1:13" x14ac:dyDescent="0.25">
      <c r="A2" s="4"/>
      <c r="B2" s="78" t="s">
        <v>67</v>
      </c>
      <c r="C2" s="2"/>
      <c r="D2" s="2"/>
      <c r="E2" s="2"/>
      <c r="F2" s="2"/>
      <c r="G2" s="3"/>
      <c r="H2" s="4"/>
      <c r="I2" s="61" t="s">
        <v>64</v>
      </c>
      <c r="J2" s="61" t="s">
        <v>1</v>
      </c>
      <c r="K2" s="61" t="s">
        <v>77</v>
      </c>
      <c r="L2" s="61" t="s">
        <v>78</v>
      </c>
      <c r="M2" s="6"/>
    </row>
    <row r="3" spans="1:13" x14ac:dyDescent="0.25">
      <c r="A3" s="4"/>
      <c r="B3" s="14"/>
      <c r="C3" s="61" t="s">
        <v>64</v>
      </c>
      <c r="D3" s="61" t="s">
        <v>1</v>
      </c>
      <c r="E3" s="61" t="s">
        <v>65</v>
      </c>
      <c r="F3" s="61" t="s">
        <v>63</v>
      </c>
      <c r="G3" s="79" t="s">
        <v>3</v>
      </c>
      <c r="H3" s="4"/>
      <c r="I3" s="61" t="s">
        <v>5</v>
      </c>
      <c r="J3" s="5">
        <f>Data!B4</f>
        <v>480</v>
      </c>
      <c r="K3" s="5">
        <v>3</v>
      </c>
      <c r="L3" s="5">
        <f>J3*K3</f>
        <v>1440</v>
      </c>
      <c r="M3" s="6"/>
    </row>
    <row r="4" spans="1:13" x14ac:dyDescent="0.25">
      <c r="A4" s="4"/>
      <c r="B4" s="14"/>
      <c r="C4" s="61" t="s">
        <v>66</v>
      </c>
      <c r="D4" s="5">
        <v>5</v>
      </c>
      <c r="E4" s="5">
        <v>12050</v>
      </c>
      <c r="F4" s="5"/>
      <c r="G4" s="6">
        <f>E4*D4</f>
        <v>60250</v>
      </c>
      <c r="H4" s="4"/>
      <c r="I4" s="61" t="s">
        <v>6</v>
      </c>
      <c r="J4" s="5">
        <f>Data!B5</f>
        <v>25</v>
      </c>
      <c r="K4" s="5">
        <v>2</v>
      </c>
      <c r="L4" s="5">
        <f t="shared" ref="L4:L11" si="0">J4*K4</f>
        <v>50</v>
      </c>
      <c r="M4" s="6"/>
    </row>
    <row r="5" spans="1:13" x14ac:dyDescent="0.25">
      <c r="A5" s="4"/>
      <c r="B5" s="14"/>
      <c r="C5" s="61" t="s">
        <v>68</v>
      </c>
      <c r="D5" s="5"/>
      <c r="E5" s="5"/>
      <c r="F5" s="5"/>
      <c r="G5" s="6">
        <v>20000</v>
      </c>
      <c r="H5" s="4"/>
      <c r="I5" s="61" t="s">
        <v>74</v>
      </c>
      <c r="J5" s="5">
        <f>Data!B6</f>
        <v>1</v>
      </c>
      <c r="K5" s="5">
        <v>20</v>
      </c>
      <c r="L5" s="5">
        <f t="shared" si="0"/>
        <v>20</v>
      </c>
      <c r="M5" s="6"/>
    </row>
    <row r="6" spans="1:13" x14ac:dyDescent="0.25">
      <c r="A6" s="4"/>
      <c r="B6" s="14"/>
      <c r="C6" s="61" t="s">
        <v>62</v>
      </c>
      <c r="D6" s="5">
        <v>10</v>
      </c>
      <c r="E6" s="5">
        <v>300</v>
      </c>
      <c r="F6" s="5">
        <v>10</v>
      </c>
      <c r="G6" s="6">
        <f>D6*E6*F6</f>
        <v>30000</v>
      </c>
      <c r="H6" s="4"/>
      <c r="I6" s="61" t="s">
        <v>26</v>
      </c>
      <c r="J6" s="5">
        <f>Data!B7</f>
        <v>0</v>
      </c>
      <c r="K6" s="5">
        <v>100</v>
      </c>
      <c r="L6" s="5">
        <f t="shared" si="0"/>
        <v>0</v>
      </c>
      <c r="M6" s="6"/>
    </row>
    <row r="7" spans="1:13" x14ac:dyDescent="0.25">
      <c r="A7" s="4"/>
      <c r="B7" s="14"/>
      <c r="C7" s="61" t="s">
        <v>69</v>
      </c>
      <c r="D7" s="5">
        <v>2</v>
      </c>
      <c r="E7" s="5">
        <v>10000</v>
      </c>
      <c r="F7" s="5"/>
      <c r="G7" s="6">
        <f>E7*D7</f>
        <v>20000</v>
      </c>
      <c r="H7" s="4"/>
      <c r="I7" s="61" t="s">
        <v>7</v>
      </c>
      <c r="J7" s="5">
        <f>Data!B8</f>
        <v>1</v>
      </c>
      <c r="K7" s="5">
        <v>100000</v>
      </c>
      <c r="L7" s="5">
        <f t="shared" si="0"/>
        <v>100000</v>
      </c>
      <c r="M7" s="6"/>
    </row>
    <row r="8" spans="1:13" x14ac:dyDescent="0.25">
      <c r="A8" s="4"/>
      <c r="B8" s="14"/>
      <c r="C8" s="61"/>
      <c r="D8" s="5"/>
      <c r="E8" s="5"/>
      <c r="F8" s="5"/>
      <c r="G8" s="6"/>
      <c r="H8" s="4"/>
      <c r="I8" s="61" t="s">
        <v>8</v>
      </c>
      <c r="J8" s="5">
        <f>Data!B9</f>
        <v>1</v>
      </c>
      <c r="K8" s="5">
        <v>100000</v>
      </c>
      <c r="L8" s="5">
        <f t="shared" si="0"/>
        <v>100000</v>
      </c>
      <c r="M8" s="6"/>
    </row>
    <row r="9" spans="1:13" ht="15.75" thickBot="1" x14ac:dyDescent="0.3">
      <c r="A9" s="4"/>
      <c r="B9" s="15"/>
      <c r="C9" s="42" t="s">
        <v>70</v>
      </c>
      <c r="D9" s="37"/>
      <c r="E9" s="37"/>
      <c r="F9" s="37"/>
      <c r="G9" s="38">
        <f>SUM(G4:G7)</f>
        <v>130250</v>
      </c>
      <c r="H9" s="4"/>
      <c r="I9" s="61" t="s">
        <v>9</v>
      </c>
      <c r="J9" s="5">
        <f>Data!B10</f>
        <v>1</v>
      </c>
      <c r="K9" s="5">
        <v>1000</v>
      </c>
      <c r="L9" s="5">
        <f t="shared" si="0"/>
        <v>1000</v>
      </c>
      <c r="M9" s="6"/>
    </row>
    <row r="10" spans="1:13" ht="15.75" thickBot="1" x14ac:dyDescent="0.3">
      <c r="A10" s="4"/>
      <c r="B10" s="23"/>
      <c r="C10" s="23"/>
      <c r="D10" s="5"/>
      <c r="E10" s="5"/>
      <c r="F10" s="5"/>
      <c r="G10" s="6"/>
      <c r="H10" s="4"/>
      <c r="I10" s="61" t="s">
        <v>33</v>
      </c>
      <c r="J10" s="5">
        <f>Data!B11</f>
        <v>1</v>
      </c>
      <c r="K10" s="5">
        <v>2000</v>
      </c>
      <c r="L10" s="5">
        <f t="shared" si="0"/>
        <v>2000</v>
      </c>
      <c r="M10" s="6"/>
    </row>
    <row r="11" spans="1:13" x14ac:dyDescent="0.25">
      <c r="A11" s="4"/>
      <c r="B11" s="78" t="s">
        <v>71</v>
      </c>
      <c r="C11" s="13"/>
      <c r="D11" s="2"/>
      <c r="E11" s="2"/>
      <c r="F11" s="2"/>
      <c r="G11" s="3"/>
      <c r="H11" s="4"/>
      <c r="I11" s="61" t="s">
        <v>67</v>
      </c>
      <c r="J11" s="5">
        <v>1</v>
      </c>
      <c r="K11" s="5">
        <v>500</v>
      </c>
      <c r="L11" s="5">
        <f t="shared" si="0"/>
        <v>500</v>
      </c>
      <c r="M11" s="6"/>
    </row>
    <row r="12" spans="1:13" x14ac:dyDescent="0.25">
      <c r="A12" s="4"/>
      <c r="B12" s="14"/>
      <c r="C12" s="61" t="s">
        <v>64</v>
      </c>
      <c r="D12" s="61" t="s">
        <v>1</v>
      </c>
      <c r="E12" s="61" t="s">
        <v>65</v>
      </c>
      <c r="F12" s="61" t="s">
        <v>63</v>
      </c>
      <c r="G12" s="79" t="s">
        <v>3</v>
      </c>
      <c r="H12" s="4"/>
      <c r="I12" s="64"/>
      <c r="J12" s="5"/>
      <c r="K12" s="5"/>
      <c r="L12" s="5"/>
      <c r="M12" s="6"/>
    </row>
    <row r="13" spans="1:13" ht="15.75" thickBot="1" x14ac:dyDescent="0.3">
      <c r="A13" s="4"/>
      <c r="B13" s="14"/>
      <c r="C13" s="61" t="s">
        <v>10</v>
      </c>
      <c r="D13" s="5"/>
      <c r="E13" s="5"/>
      <c r="F13" s="5"/>
      <c r="G13" s="6">
        <v>50000</v>
      </c>
      <c r="H13" s="7"/>
      <c r="I13" s="42" t="s">
        <v>80</v>
      </c>
      <c r="J13" s="92">
        <f>SUM(L3:L11)</f>
        <v>205010</v>
      </c>
      <c r="K13" s="92"/>
      <c r="L13" s="92"/>
      <c r="M13" s="38"/>
    </row>
    <row r="14" spans="1:13" x14ac:dyDescent="0.25">
      <c r="A14" s="4"/>
      <c r="B14" s="14"/>
      <c r="C14" s="61" t="s">
        <v>72</v>
      </c>
      <c r="D14" s="5"/>
      <c r="E14" s="5"/>
      <c r="F14" s="5"/>
      <c r="G14" s="6">
        <v>20000</v>
      </c>
    </row>
    <row r="15" spans="1:13" x14ac:dyDescent="0.25">
      <c r="A15" s="4"/>
      <c r="B15" s="14"/>
      <c r="C15" s="61" t="s">
        <v>62</v>
      </c>
      <c r="D15" s="5">
        <v>10</v>
      </c>
      <c r="E15" s="5">
        <v>200</v>
      </c>
      <c r="F15" s="5">
        <v>60</v>
      </c>
      <c r="G15" s="6">
        <f>D15*E15*F15</f>
        <v>120000</v>
      </c>
    </row>
    <row r="16" spans="1:13" x14ac:dyDescent="0.25">
      <c r="A16" s="4"/>
      <c r="B16" s="14"/>
      <c r="C16" s="64"/>
      <c r="D16" s="5"/>
      <c r="E16" s="5"/>
      <c r="F16" s="5"/>
      <c r="G16" s="6"/>
    </row>
    <row r="17" spans="1:7" ht="15.75" thickBot="1" x14ac:dyDescent="0.3">
      <c r="A17" s="4"/>
      <c r="B17" s="15"/>
      <c r="C17" s="42" t="s">
        <v>70</v>
      </c>
      <c r="D17" s="37"/>
      <c r="E17" s="37"/>
      <c r="F17" s="37"/>
      <c r="G17" s="38">
        <f>G13+G14+G15</f>
        <v>190000</v>
      </c>
    </row>
    <row r="18" spans="1:7" ht="15.75" thickBot="1" x14ac:dyDescent="0.3">
      <c r="A18" s="4"/>
      <c r="B18" s="23"/>
      <c r="C18" s="5"/>
      <c r="D18" s="5"/>
      <c r="E18" s="5"/>
      <c r="F18" s="5"/>
      <c r="G18" s="6"/>
    </row>
    <row r="19" spans="1:7" x14ac:dyDescent="0.25">
      <c r="A19" s="4"/>
      <c r="B19" s="78" t="s">
        <v>73</v>
      </c>
      <c r="C19" s="2"/>
      <c r="D19" s="2"/>
      <c r="E19" s="2"/>
      <c r="F19" s="2"/>
      <c r="G19" s="3"/>
    </row>
    <row r="20" spans="1:7" x14ac:dyDescent="0.25">
      <c r="A20" s="4"/>
      <c r="B20" s="4"/>
      <c r="C20" s="61" t="s">
        <v>64</v>
      </c>
      <c r="D20" s="61" t="s">
        <v>1</v>
      </c>
      <c r="E20" s="61" t="s">
        <v>65</v>
      </c>
      <c r="F20" s="61" t="s">
        <v>3</v>
      </c>
      <c r="G20" s="79"/>
    </row>
    <row r="21" spans="1:7" x14ac:dyDescent="0.25">
      <c r="A21" s="4"/>
      <c r="B21" s="4"/>
      <c r="C21" s="61" t="s">
        <v>5</v>
      </c>
      <c r="D21" s="5">
        <f>Data!B4</f>
        <v>480</v>
      </c>
      <c r="E21" s="5">
        <f>Data!C4</f>
        <v>5500</v>
      </c>
      <c r="F21" s="5">
        <f t="shared" ref="F21:F28" si="1">D21*E21</f>
        <v>2640000</v>
      </c>
      <c r="G21" s="6"/>
    </row>
    <row r="22" spans="1:7" x14ac:dyDescent="0.25">
      <c r="A22" s="4"/>
      <c r="B22" s="4"/>
      <c r="C22" s="61" t="s">
        <v>6</v>
      </c>
      <c r="D22" s="5">
        <f>Data!B5</f>
        <v>25</v>
      </c>
      <c r="E22" s="5">
        <f>Data!C5</f>
        <v>13600</v>
      </c>
      <c r="F22" s="5">
        <f t="shared" si="1"/>
        <v>340000</v>
      </c>
      <c r="G22" s="6"/>
    </row>
    <row r="23" spans="1:7" x14ac:dyDescent="0.25">
      <c r="A23" s="4"/>
      <c r="B23" s="4"/>
      <c r="C23" s="61" t="s">
        <v>74</v>
      </c>
      <c r="D23" s="5">
        <f>Data!B6</f>
        <v>1</v>
      </c>
      <c r="E23" s="5">
        <f>Data!C6</f>
        <v>100000</v>
      </c>
      <c r="F23" s="5">
        <f t="shared" si="1"/>
        <v>100000</v>
      </c>
      <c r="G23" s="6"/>
    </row>
    <row r="24" spans="1:7" x14ac:dyDescent="0.25">
      <c r="A24" s="4"/>
      <c r="B24" s="4"/>
      <c r="C24" s="61" t="s">
        <v>26</v>
      </c>
      <c r="D24" s="5">
        <f>Data!B7</f>
        <v>0</v>
      </c>
      <c r="E24" s="5">
        <f>Data!C7</f>
        <v>50000</v>
      </c>
      <c r="F24" s="5">
        <f t="shared" si="1"/>
        <v>0</v>
      </c>
      <c r="G24" s="6"/>
    </row>
    <row r="25" spans="1:7" x14ac:dyDescent="0.25">
      <c r="A25" s="4"/>
      <c r="B25" s="4"/>
      <c r="C25" s="61" t="s">
        <v>7</v>
      </c>
      <c r="D25" s="5">
        <f>Data!B8</f>
        <v>1</v>
      </c>
      <c r="E25" s="5">
        <f>Data!C8</f>
        <v>10000000</v>
      </c>
      <c r="F25" s="5">
        <f t="shared" si="1"/>
        <v>10000000</v>
      </c>
      <c r="G25" s="6"/>
    </row>
    <row r="26" spans="1:7" x14ac:dyDescent="0.25">
      <c r="A26" s="4"/>
      <c r="B26" s="4"/>
      <c r="C26" s="61" t="s">
        <v>8</v>
      </c>
      <c r="D26" s="5">
        <f>Data!B9</f>
        <v>1</v>
      </c>
      <c r="E26" s="5">
        <f>Data!C9</f>
        <v>3740000</v>
      </c>
      <c r="F26" s="5">
        <f t="shared" si="1"/>
        <v>3740000</v>
      </c>
      <c r="G26" s="6"/>
    </row>
    <row r="27" spans="1:7" x14ac:dyDescent="0.25">
      <c r="A27" s="4"/>
      <c r="B27" s="4"/>
      <c r="C27" s="61" t="s">
        <v>9</v>
      </c>
      <c r="D27" s="5">
        <f>Data!B10</f>
        <v>1</v>
      </c>
      <c r="E27" s="5">
        <f>Data!C10</f>
        <v>188100</v>
      </c>
      <c r="F27" s="5">
        <f t="shared" si="1"/>
        <v>188100</v>
      </c>
      <c r="G27" s="6"/>
    </row>
    <row r="28" spans="1:7" x14ac:dyDescent="0.25">
      <c r="A28" s="14"/>
      <c r="B28" s="4"/>
      <c r="C28" s="61" t="s">
        <v>33</v>
      </c>
      <c r="D28" s="5">
        <v>1</v>
      </c>
      <c r="E28" s="5">
        <f>Data!F31</f>
        <v>5000000</v>
      </c>
      <c r="F28" s="5">
        <f t="shared" si="1"/>
        <v>5000000</v>
      </c>
      <c r="G28" s="6"/>
    </row>
    <row r="29" spans="1:7" x14ac:dyDescent="0.25">
      <c r="A29" s="4"/>
      <c r="B29" s="4"/>
      <c r="C29" s="61"/>
      <c r="D29" s="5"/>
      <c r="E29" s="5"/>
      <c r="F29" s="5"/>
      <c r="G29" s="6"/>
    </row>
    <row r="30" spans="1:7" ht="15.75" thickBot="1" x14ac:dyDescent="0.3">
      <c r="A30" s="4"/>
      <c r="B30" s="7"/>
      <c r="C30" s="42" t="s">
        <v>70</v>
      </c>
      <c r="D30" s="37"/>
      <c r="E30" s="37"/>
      <c r="F30" s="37"/>
      <c r="G30" s="38">
        <f>SUM(F21:F28)</f>
        <v>22008100</v>
      </c>
    </row>
    <row r="31" spans="1:7" x14ac:dyDescent="0.25">
      <c r="A31" s="4"/>
      <c r="B31" s="5"/>
      <c r="C31" s="5"/>
      <c r="D31" s="5"/>
      <c r="E31" s="5"/>
      <c r="F31" s="5"/>
      <c r="G31" s="6"/>
    </row>
    <row r="32" spans="1:7" ht="15.75" thickBot="1" x14ac:dyDescent="0.3">
      <c r="A32" s="36" t="s">
        <v>75</v>
      </c>
      <c r="B32" s="37"/>
      <c r="C32" s="37"/>
      <c r="D32" s="37"/>
      <c r="E32" s="37"/>
      <c r="F32" s="37"/>
      <c r="G32" s="39">
        <f>G9+G17+G30</f>
        <v>22328350</v>
      </c>
    </row>
    <row r="33" spans="1:7" ht="15.75" thickBot="1" x14ac:dyDescent="0.3"/>
    <row r="34" spans="1:7" x14ac:dyDescent="0.25">
      <c r="A34" s="90" t="s">
        <v>82</v>
      </c>
      <c r="B34" s="91"/>
      <c r="C34" s="2"/>
      <c r="D34" s="2"/>
      <c r="E34" s="2"/>
      <c r="F34" s="2"/>
      <c r="G34" s="3"/>
    </row>
    <row r="35" spans="1:7" x14ac:dyDescent="0.25">
      <c r="A35" s="80" t="s">
        <v>88</v>
      </c>
      <c r="B35" s="30">
        <v>0.4</v>
      </c>
      <c r="C35" s="5"/>
      <c r="D35" s="53" t="s">
        <v>83</v>
      </c>
      <c r="E35" s="83">
        <f>B35*G32</f>
        <v>8931340</v>
      </c>
      <c r="F35" s="5"/>
      <c r="G35" s="6"/>
    </row>
    <row r="36" spans="1:7" x14ac:dyDescent="0.25">
      <c r="A36" s="80" t="s">
        <v>89</v>
      </c>
      <c r="B36" s="55">
        <f>100%-B35</f>
        <v>0.6</v>
      </c>
      <c r="C36" s="5"/>
      <c r="D36" s="53" t="s">
        <v>84</v>
      </c>
      <c r="E36" s="83">
        <f>B36*G32</f>
        <v>13397010</v>
      </c>
      <c r="F36" s="5"/>
      <c r="G36" s="6"/>
    </row>
    <row r="37" spans="1:7" x14ac:dyDescent="0.25">
      <c r="A37" s="80" t="s">
        <v>86</v>
      </c>
      <c r="B37" s="30">
        <v>0.08</v>
      </c>
      <c r="C37" s="5"/>
      <c r="D37" s="53" t="s">
        <v>95</v>
      </c>
      <c r="E37" s="82">
        <f>PMT(B37,B39-B40,-E36)</f>
        <v>2331277.4877962475</v>
      </c>
      <c r="F37" s="5"/>
      <c r="G37" s="6"/>
    </row>
    <row r="38" spans="1:7" x14ac:dyDescent="0.25">
      <c r="A38" s="80" t="s">
        <v>87</v>
      </c>
      <c r="B38" s="30">
        <v>0.15</v>
      </c>
      <c r="C38" s="5"/>
      <c r="D38" s="5"/>
      <c r="E38" s="5"/>
      <c r="F38" s="5"/>
      <c r="G38" s="6"/>
    </row>
    <row r="39" spans="1:7" x14ac:dyDescent="0.25">
      <c r="A39" s="80" t="s">
        <v>90</v>
      </c>
      <c r="B39" s="57">
        <v>10</v>
      </c>
      <c r="C39" s="5"/>
      <c r="D39" s="5"/>
      <c r="E39" s="5"/>
      <c r="F39" s="5"/>
      <c r="G39" s="6"/>
    </row>
    <row r="40" spans="1:7" ht="15.75" thickBot="1" x14ac:dyDescent="0.3">
      <c r="A40" s="81" t="s">
        <v>93</v>
      </c>
      <c r="B40" s="56">
        <v>2</v>
      </c>
      <c r="C40" s="8"/>
      <c r="D40" s="8"/>
      <c r="E40" s="8"/>
      <c r="F40" s="8"/>
      <c r="G40" s="9"/>
    </row>
  </sheetData>
  <mergeCells count="4">
    <mergeCell ref="H1:I1"/>
    <mergeCell ref="J13:L13"/>
    <mergeCell ref="K1:L1"/>
    <mergeCell ref="A34:B34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zoomScale="85" zoomScaleNormal="85" workbookViewId="0"/>
  </sheetViews>
  <sheetFormatPr defaultRowHeight="15" x14ac:dyDescent="0.25"/>
  <cols>
    <col min="1" max="1" width="15.85546875" bestFit="1" customWidth="1"/>
    <col min="4" max="28" width="14.5703125" bestFit="1" customWidth="1"/>
  </cols>
  <sheetData>
    <row r="1" spans="1:29" x14ac:dyDescent="0.25">
      <c r="A1" s="1"/>
      <c r="B1" s="60" t="s">
        <v>30</v>
      </c>
      <c r="C1" s="60">
        <v>0</v>
      </c>
      <c r="D1" s="60">
        <v>1</v>
      </c>
      <c r="E1" s="60">
        <v>2</v>
      </c>
      <c r="F1" s="60">
        <v>3</v>
      </c>
      <c r="G1" s="60">
        <v>4</v>
      </c>
      <c r="H1" s="60">
        <v>5</v>
      </c>
      <c r="I1" s="60">
        <v>6</v>
      </c>
      <c r="J1" s="60">
        <v>7</v>
      </c>
      <c r="K1" s="60">
        <v>8</v>
      </c>
      <c r="L1" s="60">
        <v>9</v>
      </c>
      <c r="M1" s="60">
        <v>10</v>
      </c>
      <c r="N1" s="60">
        <v>11</v>
      </c>
      <c r="O1" s="60">
        <v>12</v>
      </c>
      <c r="P1" s="60">
        <v>13</v>
      </c>
      <c r="Q1" s="60">
        <v>14</v>
      </c>
      <c r="R1" s="60">
        <v>15</v>
      </c>
      <c r="S1" s="60">
        <v>16</v>
      </c>
      <c r="T1" s="60">
        <v>17</v>
      </c>
      <c r="U1" s="60">
        <v>18</v>
      </c>
      <c r="V1" s="60">
        <v>19</v>
      </c>
      <c r="W1" s="60">
        <v>20</v>
      </c>
      <c r="X1" s="60">
        <v>21</v>
      </c>
      <c r="Y1" s="60">
        <v>22</v>
      </c>
      <c r="Z1" s="60">
        <v>23</v>
      </c>
      <c r="AA1" s="60">
        <v>24</v>
      </c>
      <c r="AB1" s="65">
        <v>25</v>
      </c>
      <c r="AC1" s="5"/>
    </row>
    <row r="2" spans="1:29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  <c r="AC2" s="5"/>
    </row>
    <row r="3" spans="1:29" x14ac:dyDescent="0.25">
      <c r="A3" s="46" t="s">
        <v>92</v>
      </c>
      <c r="B3" s="5"/>
      <c r="C3" s="5">
        <f>C4+C5</f>
        <v>22328350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  <c r="AC3" s="5"/>
    </row>
    <row r="4" spans="1:29" x14ac:dyDescent="0.25">
      <c r="A4" s="4" t="s">
        <v>83</v>
      </c>
      <c r="B4" s="5"/>
      <c r="C4" s="5">
        <f>'Cash Details'!E35</f>
        <v>8931340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6">
        <v>0</v>
      </c>
      <c r="AC4" s="23"/>
    </row>
    <row r="5" spans="1:29" x14ac:dyDescent="0.25">
      <c r="A5" s="4" t="s">
        <v>84</v>
      </c>
      <c r="B5" s="5"/>
      <c r="C5" s="5">
        <f>'Cash Details'!E36</f>
        <v>13397010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6">
        <v>0</v>
      </c>
      <c r="AC5" s="5"/>
    </row>
    <row r="6" spans="1:29" x14ac:dyDescent="0.25">
      <c r="A6" s="14" t="s">
        <v>96</v>
      </c>
      <c r="B6" s="23"/>
      <c r="C6" s="23"/>
      <c r="D6" s="66">
        <v>0</v>
      </c>
      <c r="E6" s="66">
        <v>0</v>
      </c>
      <c r="F6" s="66">
        <f>'Cash Details'!$E$37</f>
        <v>2331277.4877962475</v>
      </c>
      <c r="G6" s="66">
        <f>'Cash Details'!$E$37</f>
        <v>2331277.4877962475</v>
      </c>
      <c r="H6" s="66">
        <f>'Cash Details'!$E$37</f>
        <v>2331277.4877962475</v>
      </c>
      <c r="I6" s="66">
        <f>'Cash Details'!$E$37</f>
        <v>2331277.4877962475</v>
      </c>
      <c r="J6" s="66">
        <f>'Cash Details'!$E$37</f>
        <v>2331277.4877962475</v>
      </c>
      <c r="K6" s="66">
        <f>'Cash Details'!$E$37</f>
        <v>2331277.4877962475</v>
      </c>
      <c r="L6" s="66">
        <f>'Cash Details'!$E$37</f>
        <v>2331277.4877962475</v>
      </c>
      <c r="M6" s="66">
        <f>'Cash Details'!$E$37</f>
        <v>2331277.4877962475</v>
      </c>
      <c r="N6" s="66">
        <f>'Cash Details'!$E$37</f>
        <v>2331277.4877962475</v>
      </c>
      <c r="O6" s="66">
        <f>'Cash Details'!$E$37</f>
        <v>2331277.4877962475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  <c r="AC6" s="5"/>
    </row>
    <row r="7" spans="1:29" x14ac:dyDescent="0.25">
      <c r="A7" s="4" t="s">
        <v>85</v>
      </c>
      <c r="B7" s="5"/>
      <c r="C7" s="5"/>
      <c r="D7" s="5">
        <f>C9*'Cash Details'!$B$37</f>
        <v>1071760.8</v>
      </c>
      <c r="E7" s="5">
        <f>D9*'Cash Details'!$B$37</f>
        <v>1157501.6640000001</v>
      </c>
      <c r="F7" s="5">
        <f>E9*'Cash Details'!$B$37</f>
        <v>1250101.7971200002</v>
      </c>
      <c r="G7" s="5">
        <f>F9*'Cash Details'!$B$37</f>
        <v>1163607.7418659006</v>
      </c>
      <c r="H7" s="5">
        <f>G9*'Cash Details'!$B$37</f>
        <v>1070194.1621914727</v>
      </c>
      <c r="I7" s="5">
        <f>H9*'Cash Details'!$B$37</f>
        <v>969307.49614309089</v>
      </c>
      <c r="J7" s="5">
        <f>I9*'Cash Details'!$B$37</f>
        <v>860349.89681083849</v>
      </c>
      <c r="K7" s="5">
        <f>J9*'Cash Details'!$B$37</f>
        <v>742675.68953200581</v>
      </c>
      <c r="L7" s="5">
        <f>K9*'Cash Details'!$B$37</f>
        <v>615587.5456708665</v>
      </c>
      <c r="M7" s="5">
        <f>L9*'Cash Details'!$B$37</f>
        <v>478332.35030083614</v>
      </c>
      <c r="N7" s="5">
        <f>M9*'Cash Details'!$B$37</f>
        <v>330096.73930120323</v>
      </c>
      <c r="O7" s="5">
        <f>N9*'Cash Details'!$B$37</f>
        <v>170002.27942159967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6"/>
      <c r="AC7" s="5"/>
    </row>
    <row r="8" spans="1:29" x14ac:dyDescent="0.25">
      <c r="A8" s="4"/>
      <c r="B8" s="5"/>
      <c r="C8" s="5"/>
      <c r="D8" s="5"/>
      <c r="E8" s="5"/>
      <c r="F8" s="5"/>
      <c r="G8" s="58"/>
      <c r="H8" s="58"/>
      <c r="I8" s="58"/>
      <c r="J8" s="58"/>
      <c r="K8" s="58"/>
      <c r="L8" s="58"/>
      <c r="M8" s="5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6"/>
      <c r="AC8" s="5"/>
    </row>
    <row r="9" spans="1:29" x14ac:dyDescent="0.25">
      <c r="A9" s="4" t="s">
        <v>94</v>
      </c>
      <c r="B9" s="5"/>
      <c r="C9" s="5">
        <f>C5</f>
        <v>13397010</v>
      </c>
      <c r="D9" s="58">
        <f>C9-D6+D7</f>
        <v>14468770.800000001</v>
      </c>
      <c r="E9" s="58">
        <f t="shared" ref="E9:M9" si="0">D9-E6+E7</f>
        <v>15626272.464000002</v>
      </c>
      <c r="F9" s="58">
        <f t="shared" si="0"/>
        <v>14545096.773323756</v>
      </c>
      <c r="G9" s="58">
        <f t="shared" si="0"/>
        <v>13377427.02739341</v>
      </c>
      <c r="H9" s="58">
        <f t="shared" si="0"/>
        <v>12116343.701788636</v>
      </c>
      <c r="I9" s="58">
        <f t="shared" si="0"/>
        <v>10754373.71013548</v>
      </c>
      <c r="J9" s="58">
        <f t="shared" si="0"/>
        <v>9283446.1191500723</v>
      </c>
      <c r="K9" s="58">
        <f t="shared" si="0"/>
        <v>7694844.3208858315</v>
      </c>
      <c r="L9" s="58">
        <f t="shared" si="0"/>
        <v>5979154.3787604515</v>
      </c>
      <c r="M9" s="58">
        <f t="shared" si="0"/>
        <v>4126209.2412650399</v>
      </c>
      <c r="N9" s="58">
        <f t="shared" ref="N9" si="1">M9-N6+N7</f>
        <v>2125028.4927699957</v>
      </c>
      <c r="O9" s="58">
        <v>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6"/>
      <c r="AC9" s="5"/>
    </row>
    <row r="10" spans="1:29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6"/>
      <c r="AC10" s="5"/>
    </row>
    <row r="11" spans="1:29" x14ac:dyDescent="0.25">
      <c r="A11" s="46" t="s">
        <v>99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6"/>
      <c r="AC11" s="47"/>
    </row>
    <row r="12" spans="1:29" x14ac:dyDescent="0.25">
      <c r="A12" s="4" t="s">
        <v>36</v>
      </c>
      <c r="B12" s="5"/>
      <c r="C12" s="5">
        <v>0</v>
      </c>
      <c r="D12" s="5"/>
      <c r="E12" s="5">
        <f>Data!$E$15*Data!$E$16*(1+Data!$B$17*'Cash Flow'!C1)</f>
        <v>400000</v>
      </c>
      <c r="F12" s="5">
        <f>Data!$E$15*Data!$E$16*(1+Data!$B$17*'Cash Flow'!D1)</f>
        <v>420000</v>
      </c>
      <c r="G12" s="5">
        <f>Data!$E$15*Data!$E$16*(1+Data!$B$17*'Cash Flow'!E1)</f>
        <v>440000.00000000006</v>
      </c>
      <c r="H12" s="5">
        <f>Data!$E$15*Data!$E$16*(1+Data!$B$17*'Cash Flow'!F1)</f>
        <v>459999.99999999994</v>
      </c>
      <c r="I12" s="5">
        <f>Data!$E$15*Data!$E$16*(1+Data!$B$17*'Cash Flow'!G1)</f>
        <v>480000</v>
      </c>
      <c r="J12" s="5">
        <f>Data!$E$15*Data!$E$16*(1+Data!$B$17*'Cash Flow'!H1)</f>
        <v>500000</v>
      </c>
      <c r="K12" s="5">
        <f>Data!$E$15*Data!$E$16*(1+Data!$B$17*'Cash Flow'!I1)</f>
        <v>520000</v>
      </c>
      <c r="L12" s="5">
        <f>Data!$E$15*Data!$E$16*(1+Data!$B$17*'Cash Flow'!J1)</f>
        <v>540000</v>
      </c>
      <c r="M12" s="5">
        <f>Data!$E$15*Data!$E$16*(1+Data!$B$17*'Cash Flow'!K1)</f>
        <v>560000</v>
      </c>
      <c r="N12" s="5">
        <f>Data!$E$15*Data!$E$16*(1+Data!$B$17*'Cash Flow'!L1)</f>
        <v>580000</v>
      </c>
      <c r="O12" s="5">
        <f>Data!$E$15*Data!$E$16*(1+Data!$B$17*'Cash Flow'!M1)</f>
        <v>600000</v>
      </c>
      <c r="P12" s="5">
        <f>Data!$E$15*Data!$E$16*(1+Data!$B$17*'Cash Flow'!N1)</f>
        <v>620000</v>
      </c>
      <c r="Q12" s="5">
        <f>Data!$E$15*Data!$E$16*(1+Data!$B$17*'Cash Flow'!O1)</f>
        <v>640000</v>
      </c>
      <c r="R12" s="5">
        <f>Data!$E$15*Data!$E$16*(1+Data!$B$17*'Cash Flow'!P1)</f>
        <v>660000</v>
      </c>
      <c r="S12" s="5">
        <f>Data!$E$15*Data!$E$16*(1+Data!$B$17*'Cash Flow'!Q1)</f>
        <v>680000.00000000012</v>
      </c>
      <c r="T12" s="5">
        <f>Data!$E$15*Data!$E$16*(1+Data!$B$17*'Cash Flow'!R1)</f>
        <v>700000</v>
      </c>
      <c r="U12" s="5">
        <f>Data!$E$15*Data!$E$16*(1+Data!$B$17*'Cash Flow'!S1)</f>
        <v>720000</v>
      </c>
      <c r="V12" s="5">
        <f>Data!$E$15*Data!$E$16*(1+Data!$B$17*'Cash Flow'!T1)</f>
        <v>740000</v>
      </c>
      <c r="W12" s="5">
        <f>Data!$E$15*Data!$E$16*(1+Data!$B$17*'Cash Flow'!U1)</f>
        <v>760000</v>
      </c>
      <c r="X12" s="5">
        <f>Data!$E$15*Data!$E$16*(1+Data!$B$17*'Cash Flow'!V1)</f>
        <v>780000.00000000012</v>
      </c>
      <c r="Y12" s="5">
        <f>Data!$E$15*Data!$E$16*(1+Data!$B$17*'Cash Flow'!W1)</f>
        <v>800000</v>
      </c>
      <c r="Z12" s="5">
        <f>Data!$E$15*Data!$E$16*(1+Data!$B$17*'Cash Flow'!X1)</f>
        <v>819999.99999999988</v>
      </c>
      <c r="AA12" s="5">
        <f>Data!$E$15*Data!$E$16*(1+Data!$B$17*'Cash Flow'!Y1)</f>
        <v>840000</v>
      </c>
      <c r="AB12" s="6">
        <f>Data!$E$15*Data!$E$16*(1+Data!$B$17*'Cash Flow'!Z1)</f>
        <v>860000.00000000012</v>
      </c>
      <c r="AC12" s="5"/>
    </row>
    <row r="13" spans="1:29" x14ac:dyDescent="0.25">
      <c r="A13" s="14" t="s">
        <v>37</v>
      </c>
      <c r="B13" s="23"/>
      <c r="C13" s="23">
        <v>0</v>
      </c>
      <c r="D13" s="5"/>
      <c r="E13" s="23">
        <f>E12*Data!$E$22</f>
        <v>16000000</v>
      </c>
      <c r="F13" s="23">
        <f>F12*Data!$E$22</f>
        <v>16800000</v>
      </c>
      <c r="G13" s="23">
        <f>G12*Data!$E$22</f>
        <v>17600000.000000004</v>
      </c>
      <c r="H13" s="23">
        <f>H12*Data!$E$22</f>
        <v>18399999.999999996</v>
      </c>
      <c r="I13" s="23">
        <f>I12*Data!$E$22</f>
        <v>19200000</v>
      </c>
      <c r="J13" s="23">
        <f>J12*Data!$E$22</f>
        <v>20000000</v>
      </c>
      <c r="K13" s="23">
        <f>K12*Data!$E$22</f>
        <v>20800000</v>
      </c>
      <c r="L13" s="23">
        <f>L12*Data!$E$22</f>
        <v>21600000</v>
      </c>
      <c r="M13" s="23">
        <f>M12*Data!$E$22</f>
        <v>22400000</v>
      </c>
      <c r="N13" s="23">
        <f>N12*Data!$E$22</f>
        <v>23200000</v>
      </c>
      <c r="O13" s="23">
        <f>O12*Data!$E$22</f>
        <v>24000000</v>
      </c>
      <c r="P13" s="23">
        <f>P12*Data!$E$22</f>
        <v>24800000</v>
      </c>
      <c r="Q13" s="23">
        <f>Q12*Data!$E$22</f>
        <v>25600000</v>
      </c>
      <c r="R13" s="23">
        <f>R12*Data!$E$22</f>
        <v>26400000</v>
      </c>
      <c r="S13" s="23">
        <f>S12*Data!$E$22</f>
        <v>27200000.000000004</v>
      </c>
      <c r="T13" s="23">
        <f>T12*Data!$E$22</f>
        <v>28000000</v>
      </c>
      <c r="U13" s="23">
        <f>U12*Data!$E$22</f>
        <v>28800000</v>
      </c>
      <c r="V13" s="23">
        <f>V12*Data!$E$22</f>
        <v>29600000</v>
      </c>
      <c r="W13" s="23">
        <f>W12*Data!$E$22</f>
        <v>30400000</v>
      </c>
      <c r="X13" s="23">
        <f>X12*Data!$E$22</f>
        <v>31200000.000000004</v>
      </c>
      <c r="Y13" s="23">
        <f>Y12*Data!$E$22</f>
        <v>32000000</v>
      </c>
      <c r="Z13" s="23">
        <f>Z12*Data!$E$22</f>
        <v>32799999.999999996</v>
      </c>
      <c r="AA13" s="23">
        <f>AA12*Data!$E$22</f>
        <v>33600000</v>
      </c>
      <c r="AB13" s="27">
        <f>AB12*Data!$E$22</f>
        <v>34400000.000000007</v>
      </c>
      <c r="AC13" s="5"/>
    </row>
    <row r="14" spans="1:29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/>
      <c r="AC14" s="23"/>
    </row>
    <row r="15" spans="1:29" x14ac:dyDescent="0.25">
      <c r="A15" s="46" t="s">
        <v>53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6"/>
      <c r="AC15" s="5"/>
    </row>
    <row r="16" spans="1:29" x14ac:dyDescent="0.25">
      <c r="A16" s="4" t="s">
        <v>50</v>
      </c>
      <c r="B16" s="5"/>
      <c r="C16" s="5">
        <v>0</v>
      </c>
      <c r="D16" s="5"/>
      <c r="E16" s="5">
        <f>(Data!$E$22*(Data!$E$20+Data!$E$21))*(1+Data!$H$22*C1)</f>
        <v>120000</v>
      </c>
      <c r="F16" s="5">
        <f>(Data!$E$22*(Data!$E$20+Data!$E$21))*(1+Data!$H$22*D1)</f>
        <v>126000</v>
      </c>
      <c r="G16" s="5">
        <f>(Data!$E$22*(Data!$E$20+Data!$E$21))*(1+Data!$H$22*E1)</f>
        <v>132000</v>
      </c>
      <c r="H16" s="5">
        <f>(Data!$E$22*(Data!$E$20+Data!$E$21))*(1+Data!$H$22*F1)</f>
        <v>138000</v>
      </c>
      <c r="I16" s="5">
        <f>(Data!$E$22*(Data!$E$20+Data!$E$21))*(1+Data!$H$22*G1)</f>
        <v>144000</v>
      </c>
      <c r="J16" s="5">
        <f>(Data!$E$22*(Data!$E$20+Data!$E$21))*(1+Data!$H$22*H1)</f>
        <v>150000</v>
      </c>
      <c r="K16" s="5">
        <f>(Data!$E$22*(Data!$E$20+Data!$E$21))*(1+Data!$H$22*I1)</f>
        <v>156000</v>
      </c>
      <c r="L16" s="5">
        <f>(Data!$E$22*(Data!$E$20+Data!$E$21))*(1+Data!$H$22*J1)</f>
        <v>162000</v>
      </c>
      <c r="M16" s="5">
        <f>(Data!$E$22*(Data!$E$20+Data!$E$21))*(1+Data!$H$22*K1)</f>
        <v>168000</v>
      </c>
      <c r="N16" s="5">
        <f>(Data!$E$22*(Data!$E$20+Data!$E$21))*(1+Data!$H$22*L1)</f>
        <v>174000</v>
      </c>
      <c r="O16" s="5">
        <f>(Data!$E$22*(Data!$E$20+Data!$E$21))*(1+Data!$H$22*M1)</f>
        <v>180000</v>
      </c>
      <c r="P16" s="5">
        <f>(Data!$E$22*(Data!$E$20+Data!$E$21))*(1+Data!$H$22*N1)</f>
        <v>186000</v>
      </c>
      <c r="Q16" s="5">
        <f>(Data!$E$22*(Data!$E$20+Data!$E$21))*(1+Data!$H$22*O1)</f>
        <v>192000</v>
      </c>
      <c r="R16" s="5">
        <f>(Data!$E$22*(Data!$E$20+Data!$E$21))*(1+Data!$H$22*P1)</f>
        <v>198000</v>
      </c>
      <c r="S16" s="5">
        <f>(Data!$E$22*(Data!$E$20+Data!$E$21))*(1+Data!$H$22*Q1)</f>
        <v>204000.00000000003</v>
      </c>
      <c r="T16" s="5">
        <f>(Data!$E$22*(Data!$E$20+Data!$E$21))*(1+Data!$H$22*R1)</f>
        <v>210000</v>
      </c>
      <c r="U16" s="5">
        <f>(Data!$E$22*(Data!$E$20+Data!$E$21))*(1+Data!$H$22*S1)</f>
        <v>216000</v>
      </c>
      <c r="V16" s="5">
        <f>(Data!$E$22*(Data!$E$20+Data!$E$21))*(1+Data!$H$22*T1)</f>
        <v>222000</v>
      </c>
      <c r="W16" s="5">
        <f>(Data!$E$22*(Data!$E$20+Data!$E$21))*(1+Data!$H$22*U1)</f>
        <v>228000</v>
      </c>
      <c r="X16" s="5">
        <f>(Data!$E$22*(Data!$E$20+Data!$E$21))*(1+Data!$H$22*V1)</f>
        <v>234000.00000000003</v>
      </c>
      <c r="Y16" s="5">
        <f>(Data!$E$22*(Data!$E$20+Data!$E$21))*(1+Data!$H$22*W1)</f>
        <v>240000</v>
      </c>
      <c r="Z16" s="5">
        <f>(Data!$E$22*(Data!$E$20+Data!$E$21))*(1+Data!$H$22*X1)</f>
        <v>245999.99999999997</v>
      </c>
      <c r="AA16" s="5">
        <f>(Data!$E$22*(Data!$E$20+Data!$E$21))*(1+Data!$H$22*Y1)</f>
        <v>252000</v>
      </c>
      <c r="AB16" s="6">
        <f>(Data!$E$22*(Data!$E$20+Data!$E$21))*(1+Data!$H$22*Z1)</f>
        <v>258000.00000000003</v>
      </c>
      <c r="AC16" s="5"/>
    </row>
    <row r="17" spans="1:29" x14ac:dyDescent="0.25">
      <c r="A17" s="4" t="s">
        <v>52</v>
      </c>
      <c r="B17" s="5"/>
      <c r="C17" s="5">
        <f>Calculations!D66</f>
        <v>0</v>
      </c>
      <c r="D17" s="5"/>
      <c r="E17" s="5">
        <f>Calculations!E66</f>
        <v>1491616.4383561644</v>
      </c>
      <c r="F17" s="5">
        <f>Calculations!F66</f>
        <v>1491616.4383561644</v>
      </c>
      <c r="G17" s="5">
        <f>Calculations!G66</f>
        <v>1491616.4383561644</v>
      </c>
      <c r="H17" s="5">
        <f>Calculations!H66</f>
        <v>1491616.4383561644</v>
      </c>
      <c r="I17" s="5">
        <f>Calculations!I66</f>
        <v>1491616.4383561644</v>
      </c>
      <c r="J17" s="5">
        <f>Calculations!J66</f>
        <v>1491616.4383561644</v>
      </c>
      <c r="K17" s="5">
        <f>Calculations!K66</f>
        <v>1491616.4383561644</v>
      </c>
      <c r="L17" s="5">
        <f>Calculations!L66</f>
        <v>1491616.4383561644</v>
      </c>
      <c r="M17" s="5">
        <f>Calculations!M66</f>
        <v>1491616.4383561644</v>
      </c>
      <c r="N17" s="5">
        <f>Calculations!N66</f>
        <v>1491616.4383561644</v>
      </c>
      <c r="O17" s="5">
        <f>Calculations!O66</f>
        <v>1491616.4383561644</v>
      </c>
      <c r="P17" s="5">
        <f>Calculations!P66</f>
        <v>1491616.4383561644</v>
      </c>
      <c r="Q17" s="5">
        <f>Calculations!Q66</f>
        <v>1491616.4383561644</v>
      </c>
      <c r="R17" s="5">
        <f>Calculations!R66</f>
        <v>1491616.4383561644</v>
      </c>
      <c r="S17" s="5">
        <f>Calculations!S66</f>
        <v>1491616.4383561644</v>
      </c>
      <c r="T17" s="5">
        <f>Calculations!T66</f>
        <v>1491616.4383561644</v>
      </c>
      <c r="U17" s="5">
        <f>Calculations!U66</f>
        <v>1491616.4383561644</v>
      </c>
      <c r="V17" s="5">
        <f>Calculations!V66</f>
        <v>1491616.4383561644</v>
      </c>
      <c r="W17" s="5">
        <f>Calculations!W66</f>
        <v>1491616.4383561644</v>
      </c>
      <c r="X17" s="5">
        <f>Calculations!X66</f>
        <v>1491616.4383561644</v>
      </c>
      <c r="Y17" s="5">
        <f>Calculations!Y66</f>
        <v>1491616.4383561644</v>
      </c>
      <c r="Z17" s="5">
        <f>Calculations!Z66</f>
        <v>1491616.4383561644</v>
      </c>
      <c r="AA17" s="5">
        <f>Calculations!AA66</f>
        <v>1491616.4383561644</v>
      </c>
      <c r="AB17" s="6">
        <f>Calculations!AB66</f>
        <v>1491616.4383561644</v>
      </c>
      <c r="AC17" s="5"/>
    </row>
    <row r="18" spans="1:29" x14ac:dyDescent="0.25">
      <c r="A18" s="4" t="s">
        <v>91</v>
      </c>
      <c r="B18" s="5"/>
      <c r="C18" s="5">
        <v>0</v>
      </c>
      <c r="D18" s="5"/>
      <c r="E18" s="5">
        <f>SUM('Cash Details'!L2:L10)</f>
        <v>204510</v>
      </c>
      <c r="F18" s="5">
        <f>E18*(1+'Cash Details'!$M$1)</f>
        <v>208600.2</v>
      </c>
      <c r="G18" s="5">
        <f>F18*(1+'Cash Details'!$M$1)</f>
        <v>212772.20400000003</v>
      </c>
      <c r="H18" s="5">
        <f>G18*(1+'Cash Details'!$M$1)</f>
        <v>217027.64808000004</v>
      </c>
      <c r="I18" s="5">
        <f>H18*(1+'Cash Details'!$M$1)</f>
        <v>221368.20104160006</v>
      </c>
      <c r="J18" s="5">
        <f>I18*(1+'Cash Details'!$M$1)</f>
        <v>225795.56506243206</v>
      </c>
      <c r="K18" s="5">
        <f>J18*(1+'Cash Details'!$M$1)</f>
        <v>230311.4763636807</v>
      </c>
      <c r="L18" s="5">
        <f>K18*(1+'Cash Details'!$M$1)</f>
        <v>234917.70589095433</v>
      </c>
      <c r="M18" s="5">
        <f>L18*(1+'Cash Details'!$M$1)</f>
        <v>239616.06000877341</v>
      </c>
      <c r="N18" s="5">
        <f>M18*(1+'Cash Details'!$M$1)</f>
        <v>244408.38120894888</v>
      </c>
      <c r="O18" s="5">
        <f>N18*(1+'Cash Details'!$M$1)</f>
        <v>249296.54883312786</v>
      </c>
      <c r="P18" s="5">
        <f>O18*(1+'Cash Details'!$M$1)</f>
        <v>254282.47980979041</v>
      </c>
      <c r="Q18" s="5">
        <f>P18*(1+'Cash Details'!$M$1)</f>
        <v>259368.12940598623</v>
      </c>
      <c r="R18" s="5">
        <f>Q18*(1+'Cash Details'!$M$1)</f>
        <v>264555.49199410598</v>
      </c>
      <c r="S18" s="5">
        <f>R18*(1+'Cash Details'!$M$1)</f>
        <v>269846.6018339881</v>
      </c>
      <c r="T18" s="5">
        <f>S18*(1+'Cash Details'!$M$1)</f>
        <v>275243.53387066786</v>
      </c>
      <c r="U18" s="5">
        <f>T18*(1+'Cash Details'!$M$1)</f>
        <v>280748.40454808122</v>
      </c>
      <c r="V18" s="5">
        <f>U18*(1+'Cash Details'!$M$1)</f>
        <v>286363.37263904285</v>
      </c>
      <c r="W18" s="5">
        <f>V18*(1+'Cash Details'!$M$1)</f>
        <v>292090.64009182371</v>
      </c>
      <c r="X18" s="5">
        <f>W18*(1+'Cash Details'!$M$1)</f>
        <v>297932.45289366017</v>
      </c>
      <c r="Y18" s="5">
        <f>X18*(1+'Cash Details'!$M$1)</f>
        <v>303891.1019515334</v>
      </c>
      <c r="Z18" s="5">
        <f>Y18*(1+'Cash Details'!$M$1)</f>
        <v>309968.92399056407</v>
      </c>
      <c r="AA18" s="5">
        <f>Z18*(1+'Cash Details'!$M$1)</f>
        <v>316168.30247037538</v>
      </c>
      <c r="AB18" s="6">
        <f>AA18*(1+'Cash Details'!$M$1)</f>
        <v>322491.66851978289</v>
      </c>
      <c r="AC18" s="49"/>
    </row>
    <row r="19" spans="1:29" x14ac:dyDescent="0.25">
      <c r="A19" s="14" t="s">
        <v>54</v>
      </c>
      <c r="B19" s="23"/>
      <c r="C19" s="23">
        <f>C16+C17+C18</f>
        <v>0</v>
      </c>
      <c r="D19" s="23"/>
      <c r="E19" s="23">
        <f>E16+E17+E18</f>
        <v>1816126.4383561644</v>
      </c>
      <c r="F19" s="23">
        <f t="shared" ref="F19:K19" si="2">F16+F17+F18</f>
        <v>1826216.6383561643</v>
      </c>
      <c r="G19" s="23">
        <f t="shared" si="2"/>
        <v>1836388.6423561643</v>
      </c>
      <c r="H19" s="23">
        <f t="shared" si="2"/>
        <v>1846644.0864361643</v>
      </c>
      <c r="I19" s="23">
        <f t="shared" si="2"/>
        <v>1856984.6393977643</v>
      </c>
      <c r="J19" s="23">
        <f t="shared" si="2"/>
        <v>1867412.0034185965</v>
      </c>
      <c r="K19" s="23">
        <f t="shared" si="2"/>
        <v>1877927.9147198452</v>
      </c>
      <c r="L19" s="23">
        <f t="shared" ref="L19" si="3">L16+L17+L18</f>
        <v>1888534.1442471186</v>
      </c>
      <c r="M19" s="23">
        <f t="shared" ref="M19" si="4">M16+M17+M18</f>
        <v>1899232.4983649377</v>
      </c>
      <c r="N19" s="23">
        <f t="shared" ref="N19" si="5">N16+N17+N18</f>
        <v>1910024.8195651132</v>
      </c>
      <c r="O19" s="23">
        <f t="shared" ref="O19:Q19" si="6">O16+O17+O18</f>
        <v>1920912.9871892922</v>
      </c>
      <c r="P19" s="23">
        <f t="shared" si="6"/>
        <v>1931898.9181659548</v>
      </c>
      <c r="Q19" s="23">
        <f t="shared" si="6"/>
        <v>1942984.5677621507</v>
      </c>
      <c r="R19" s="23">
        <f t="shared" ref="R19" si="7">R16+R17+R18</f>
        <v>1954171.9303502704</v>
      </c>
      <c r="S19" s="23">
        <f t="shared" ref="S19" si="8">S16+S17+S18</f>
        <v>1965463.0401901524</v>
      </c>
      <c r="T19" s="23">
        <f t="shared" ref="T19" si="9">T16+T17+T18</f>
        <v>1976859.9722268323</v>
      </c>
      <c r="U19" s="23">
        <f t="shared" ref="U19:W19" si="10">U16+U17+U18</f>
        <v>1988364.8429042455</v>
      </c>
      <c r="V19" s="23">
        <f t="shared" si="10"/>
        <v>1999979.8109952072</v>
      </c>
      <c r="W19" s="23">
        <f t="shared" si="10"/>
        <v>2011707.078447988</v>
      </c>
      <c r="X19" s="23">
        <f t="shared" ref="X19" si="11">X16+X17+X18</f>
        <v>2023548.8912498245</v>
      </c>
      <c r="Y19" s="23">
        <f t="shared" ref="Y19" si="12">Y16+Y17+Y18</f>
        <v>2035507.5403076978</v>
      </c>
      <c r="Z19" s="23">
        <f t="shared" ref="Z19" si="13">Z16+Z17+Z18</f>
        <v>2047585.3623467283</v>
      </c>
      <c r="AA19" s="23">
        <f>AA16+AA17+AA18</f>
        <v>2059784.7408265397</v>
      </c>
      <c r="AB19" s="27">
        <f>AB16+AB17+AB18</f>
        <v>2072108.1068759472</v>
      </c>
      <c r="AC19" s="5"/>
    </row>
    <row r="20" spans="1:29" x14ac:dyDescent="0.25">
      <c r="A20" s="14" t="s">
        <v>55</v>
      </c>
      <c r="B20" s="23"/>
      <c r="C20" s="47">
        <f>C13-C19</f>
        <v>0</v>
      </c>
      <c r="D20" s="5"/>
      <c r="E20" s="47">
        <f t="shared" ref="E20:AB20" si="14">E13-E19</f>
        <v>14183873.561643835</v>
      </c>
      <c r="F20" s="47">
        <f t="shared" si="14"/>
        <v>14973783.361643836</v>
      </c>
      <c r="G20" s="47">
        <f t="shared" si="14"/>
        <v>15763611.357643839</v>
      </c>
      <c r="H20" s="47">
        <f t="shared" si="14"/>
        <v>16553355.913563833</v>
      </c>
      <c r="I20" s="47">
        <f t="shared" si="14"/>
        <v>17343015.360602237</v>
      </c>
      <c r="J20" s="47">
        <f t="shared" si="14"/>
        <v>18132587.996581405</v>
      </c>
      <c r="K20" s="47">
        <f t="shared" si="14"/>
        <v>18922072.085280154</v>
      </c>
      <c r="L20" s="47">
        <f t="shared" si="14"/>
        <v>19711465.855752882</v>
      </c>
      <c r="M20" s="47">
        <f t="shared" si="14"/>
        <v>20500767.501635063</v>
      </c>
      <c r="N20" s="47">
        <f t="shared" si="14"/>
        <v>21289975.180434886</v>
      </c>
      <c r="O20" s="47">
        <f t="shared" si="14"/>
        <v>22079087.012810707</v>
      </c>
      <c r="P20" s="47">
        <f t="shared" si="14"/>
        <v>22868101.081834044</v>
      </c>
      <c r="Q20" s="47">
        <f t="shared" si="14"/>
        <v>23657015.432237849</v>
      </c>
      <c r="R20" s="47">
        <f t="shared" si="14"/>
        <v>24445828.06964973</v>
      </c>
      <c r="S20" s="47">
        <f t="shared" si="14"/>
        <v>25234536.959809851</v>
      </c>
      <c r="T20" s="47">
        <f t="shared" si="14"/>
        <v>26023140.027773168</v>
      </c>
      <c r="U20" s="47">
        <f t="shared" si="14"/>
        <v>26811635.157095753</v>
      </c>
      <c r="V20" s="47">
        <f t="shared" si="14"/>
        <v>27600020.189004794</v>
      </c>
      <c r="W20" s="47">
        <f t="shared" si="14"/>
        <v>28388292.921552014</v>
      </c>
      <c r="X20" s="47">
        <f t="shared" si="14"/>
        <v>29176451.108750179</v>
      </c>
      <c r="Y20" s="47">
        <f t="shared" si="14"/>
        <v>29964492.459692303</v>
      </c>
      <c r="Z20" s="47">
        <f t="shared" si="14"/>
        <v>30752414.637653269</v>
      </c>
      <c r="AA20" s="47">
        <f t="shared" si="14"/>
        <v>31540215.25917346</v>
      </c>
      <c r="AB20" s="48">
        <f t="shared" si="14"/>
        <v>32327891.893124059</v>
      </c>
      <c r="AC20" s="5"/>
    </row>
    <row r="21" spans="1:29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/>
      <c r="AC21" s="5"/>
    </row>
    <row r="22" spans="1:29" x14ac:dyDescent="0.25">
      <c r="A22" s="4" t="s">
        <v>56</v>
      </c>
      <c r="B22" s="5"/>
      <c r="C22" s="5">
        <f>Calculations!D57</f>
        <v>0</v>
      </c>
      <c r="D22" s="5"/>
      <c r="E22" s="5">
        <f>Calculations!E57</f>
        <v>1235567</v>
      </c>
      <c r="F22" s="5">
        <f>Calculations!F57</f>
        <v>1235567</v>
      </c>
      <c r="G22" s="5">
        <f>Calculations!G57</f>
        <v>1235567</v>
      </c>
      <c r="H22" s="5">
        <f>Calculations!H57</f>
        <v>1235567</v>
      </c>
      <c r="I22" s="5">
        <f>Calculations!I57</f>
        <v>1235567.0000000009</v>
      </c>
      <c r="J22" s="5">
        <f>Calculations!J57</f>
        <v>1235566.9999999991</v>
      </c>
      <c r="K22" s="5">
        <f>Calculations!K57</f>
        <v>1235567.0000000002</v>
      </c>
      <c r="L22" s="5">
        <f>Calculations!L57</f>
        <v>1235567.0000000009</v>
      </c>
      <c r="M22" s="5">
        <f>Calculations!M57</f>
        <v>1235566.9999999991</v>
      </c>
      <c r="N22" s="5">
        <f>Calculations!N57</f>
        <v>1235567.0000000002</v>
      </c>
      <c r="O22" s="5">
        <f>Calculations!O57</f>
        <v>1235566.9999999991</v>
      </c>
      <c r="P22" s="5">
        <f>Calculations!P57</f>
        <v>1235567.0000000009</v>
      </c>
      <c r="Q22" s="5">
        <f>Calculations!Q57</f>
        <v>1235567.0000000009</v>
      </c>
      <c r="R22" s="5">
        <f>Calculations!R57</f>
        <v>1235567</v>
      </c>
      <c r="S22" s="5">
        <f>Calculations!S57</f>
        <v>1235566.9999999988</v>
      </c>
      <c r="T22" s="5">
        <f>Calculations!T57</f>
        <v>1235567.0000000014</v>
      </c>
      <c r="U22" s="5">
        <f>Calculations!U57</f>
        <v>1235567.0000000009</v>
      </c>
      <c r="V22" s="5">
        <f>Calculations!V57</f>
        <v>1235566.9999999993</v>
      </c>
      <c r="W22" s="5">
        <f>Calculations!W57</f>
        <v>1235566.9999999991</v>
      </c>
      <c r="X22" s="5">
        <f>Calculations!X57</f>
        <v>1235567.0000000009</v>
      </c>
      <c r="Y22" s="5">
        <f>Calculations!Y57</f>
        <v>1235566.9999999993</v>
      </c>
      <c r="Z22" s="5">
        <f>Calculations!Z57</f>
        <v>1235566.9999999981</v>
      </c>
      <c r="AA22" s="5">
        <f>Calculations!AA57</f>
        <v>1235567.0000000019</v>
      </c>
      <c r="AB22" s="6">
        <f>Calculations!AB57</f>
        <v>1235566.9999999998</v>
      </c>
      <c r="AC22" s="5"/>
    </row>
    <row r="23" spans="1:29" x14ac:dyDescent="0.25">
      <c r="A23" s="14" t="s">
        <v>57</v>
      </c>
      <c r="B23" s="23"/>
      <c r="C23" s="23">
        <f>C20-C22</f>
        <v>0</v>
      </c>
      <c r="D23" s="5"/>
      <c r="E23" s="23">
        <f t="shared" ref="E23:AB23" si="15">E20-E22</f>
        <v>12948306.561643835</v>
      </c>
      <c r="F23" s="23">
        <f t="shared" si="15"/>
        <v>13738216.361643836</v>
      </c>
      <c r="G23" s="23">
        <f t="shared" si="15"/>
        <v>14528044.357643839</v>
      </c>
      <c r="H23" s="23">
        <f t="shared" si="15"/>
        <v>15317788.913563833</v>
      </c>
      <c r="I23" s="23">
        <f t="shared" si="15"/>
        <v>16107448.360602237</v>
      </c>
      <c r="J23" s="23">
        <f t="shared" si="15"/>
        <v>16897020.996581405</v>
      </c>
      <c r="K23" s="23">
        <f t="shared" si="15"/>
        <v>17686505.085280154</v>
      </c>
      <c r="L23" s="23">
        <f t="shared" si="15"/>
        <v>18475898.855752882</v>
      </c>
      <c r="M23" s="23">
        <f t="shared" si="15"/>
        <v>19265200.501635063</v>
      </c>
      <c r="N23" s="23">
        <f t="shared" si="15"/>
        <v>20054408.180434886</v>
      </c>
      <c r="O23" s="23">
        <f t="shared" si="15"/>
        <v>20843520.012810707</v>
      </c>
      <c r="P23" s="23">
        <f t="shared" si="15"/>
        <v>21632534.081834044</v>
      </c>
      <c r="Q23" s="23">
        <f t="shared" si="15"/>
        <v>22421448.432237849</v>
      </c>
      <c r="R23" s="23">
        <f t="shared" si="15"/>
        <v>23210261.06964973</v>
      </c>
      <c r="S23" s="23">
        <f t="shared" si="15"/>
        <v>23998969.959809851</v>
      </c>
      <c r="T23" s="23">
        <f t="shared" si="15"/>
        <v>24787573.027773168</v>
      </c>
      <c r="U23" s="23">
        <f t="shared" si="15"/>
        <v>25576068.157095753</v>
      </c>
      <c r="V23" s="23">
        <f t="shared" si="15"/>
        <v>26364453.189004794</v>
      </c>
      <c r="W23" s="23">
        <f t="shared" si="15"/>
        <v>27152725.921552014</v>
      </c>
      <c r="X23" s="23">
        <f t="shared" si="15"/>
        <v>27940884.108750179</v>
      </c>
      <c r="Y23" s="23">
        <f t="shared" si="15"/>
        <v>28728925.459692303</v>
      </c>
      <c r="Z23" s="23">
        <f t="shared" si="15"/>
        <v>29516847.637653269</v>
      </c>
      <c r="AA23" s="23">
        <f t="shared" si="15"/>
        <v>30304648.25917346</v>
      </c>
      <c r="AB23" s="27">
        <f t="shared" si="15"/>
        <v>31092324.893124059</v>
      </c>
      <c r="AC23" s="5"/>
    </row>
    <row r="24" spans="1:29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6"/>
      <c r="AC24" s="5"/>
    </row>
    <row r="25" spans="1:29" x14ac:dyDescent="0.25">
      <c r="A25" s="14" t="s">
        <v>25</v>
      </c>
      <c r="B25" s="23"/>
      <c r="C25" s="23">
        <f>C23*Data!$B$37</f>
        <v>0</v>
      </c>
      <c r="D25" s="23"/>
      <c r="E25" s="23">
        <f>E23*Data!$B$37</f>
        <v>6474153.2808219176</v>
      </c>
      <c r="F25" s="23">
        <f>F23*Data!$B$37</f>
        <v>6869108.180821918</v>
      </c>
      <c r="G25" s="23">
        <f>G23*Data!$B$37</f>
        <v>7264022.1788219195</v>
      </c>
      <c r="H25" s="23">
        <f>H23*Data!$B$37</f>
        <v>7658894.4567819163</v>
      </c>
      <c r="I25" s="23">
        <f>I23*Data!$B$37</f>
        <v>8053724.1803011186</v>
      </c>
      <c r="J25" s="23">
        <f>J23*Data!$B$37</f>
        <v>8448510.4982907027</v>
      </c>
      <c r="K25" s="23">
        <f>K23*Data!$B$37</f>
        <v>8843252.542640077</v>
      </c>
      <c r="L25" s="23">
        <f>L23*Data!$B$37</f>
        <v>9237949.4278764408</v>
      </c>
      <c r="M25" s="23">
        <f>M23*Data!$B$37</f>
        <v>9632600.2508175317</v>
      </c>
      <c r="N25" s="23">
        <f>N23*Data!$B$37</f>
        <v>10027204.090217443</v>
      </c>
      <c r="O25" s="23">
        <f>O23*Data!$B$37</f>
        <v>10421760.006405354</v>
      </c>
      <c r="P25" s="23">
        <f>P23*Data!$B$37</f>
        <v>10816267.040917022</v>
      </c>
      <c r="Q25" s="23">
        <f>Q23*Data!$B$37</f>
        <v>11210724.216118924</v>
      </c>
      <c r="R25" s="23">
        <f>R23*Data!$B$37</f>
        <v>11605130.534824865</v>
      </c>
      <c r="S25" s="23">
        <f>S23*Data!$B$37</f>
        <v>11999484.979904925</v>
      </c>
      <c r="T25" s="23">
        <f>T23*Data!$B$37</f>
        <v>12393786.513886584</v>
      </c>
      <c r="U25" s="23">
        <f>U23*Data!$B$37</f>
        <v>12788034.078547876</v>
      </c>
      <c r="V25" s="23">
        <f>V23*Data!$B$37</f>
        <v>13182226.594502397</v>
      </c>
      <c r="W25" s="23">
        <f>W23*Data!$B$37</f>
        <v>13576362.960776007</v>
      </c>
      <c r="X25" s="23">
        <f>X23*Data!$B$37</f>
        <v>13970442.05437509</v>
      </c>
      <c r="Y25" s="23">
        <f>Y23*Data!$B$37</f>
        <v>14364462.729846152</v>
      </c>
      <c r="Z25" s="23">
        <f>Z23*Data!$B$37</f>
        <v>14758423.818826634</v>
      </c>
      <c r="AA25" s="23">
        <f>AA23*Data!$B$37</f>
        <v>15152324.12958673</v>
      </c>
      <c r="AB25" s="27">
        <f>AB23*Data!$B$37</f>
        <v>15546162.446562029</v>
      </c>
      <c r="AC25" s="5"/>
    </row>
    <row r="26" spans="1:29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6"/>
      <c r="AC26" s="5"/>
    </row>
    <row r="27" spans="1:29" x14ac:dyDescent="0.25">
      <c r="A27" s="46" t="s">
        <v>58</v>
      </c>
      <c r="B27" s="49"/>
      <c r="C27" s="94">
        <f>C23-C25</f>
        <v>0</v>
      </c>
      <c r="D27" s="95"/>
      <c r="E27" s="94">
        <f t="shared" ref="E27:AB27" si="16">E23-E25</f>
        <v>6474153.2808219176</v>
      </c>
      <c r="F27" s="94">
        <f t="shared" si="16"/>
        <v>6869108.180821918</v>
      </c>
      <c r="G27" s="94">
        <f t="shared" si="16"/>
        <v>7264022.1788219195</v>
      </c>
      <c r="H27" s="94">
        <f t="shared" si="16"/>
        <v>7658894.4567819163</v>
      </c>
      <c r="I27" s="94">
        <f t="shared" si="16"/>
        <v>8053724.1803011186</v>
      </c>
      <c r="J27" s="94">
        <f t="shared" si="16"/>
        <v>8448510.4982907027</v>
      </c>
      <c r="K27" s="94">
        <f t="shared" si="16"/>
        <v>8843252.542640077</v>
      </c>
      <c r="L27" s="94">
        <f t="shared" si="16"/>
        <v>9237949.4278764408</v>
      </c>
      <c r="M27" s="94">
        <f t="shared" si="16"/>
        <v>9632600.2508175317</v>
      </c>
      <c r="N27" s="94">
        <f t="shared" si="16"/>
        <v>10027204.090217443</v>
      </c>
      <c r="O27" s="94">
        <f t="shared" si="16"/>
        <v>10421760.006405354</v>
      </c>
      <c r="P27" s="94">
        <f t="shared" si="16"/>
        <v>10816267.040917022</v>
      </c>
      <c r="Q27" s="94">
        <f t="shared" si="16"/>
        <v>11210724.216118924</v>
      </c>
      <c r="R27" s="94">
        <f t="shared" si="16"/>
        <v>11605130.534824865</v>
      </c>
      <c r="S27" s="94">
        <f t="shared" si="16"/>
        <v>11999484.979904925</v>
      </c>
      <c r="T27" s="94">
        <f t="shared" si="16"/>
        <v>12393786.513886584</v>
      </c>
      <c r="U27" s="94">
        <f t="shared" si="16"/>
        <v>12788034.078547876</v>
      </c>
      <c r="V27" s="94">
        <f t="shared" si="16"/>
        <v>13182226.594502397</v>
      </c>
      <c r="W27" s="94">
        <f t="shared" si="16"/>
        <v>13576362.960776007</v>
      </c>
      <c r="X27" s="94">
        <f t="shared" si="16"/>
        <v>13970442.05437509</v>
      </c>
      <c r="Y27" s="94">
        <f t="shared" si="16"/>
        <v>14364462.729846152</v>
      </c>
      <c r="Z27" s="94">
        <f t="shared" si="16"/>
        <v>14758423.818826634</v>
      </c>
      <c r="AA27" s="94">
        <f t="shared" si="16"/>
        <v>15152324.12958673</v>
      </c>
      <c r="AB27" s="96">
        <f t="shared" si="16"/>
        <v>15546162.446562029</v>
      </c>
      <c r="AC27" s="5"/>
    </row>
    <row r="28" spans="1:29" ht="15.75" thickBot="1" x14ac:dyDescent="0.3">
      <c r="A28" s="15" t="s">
        <v>97</v>
      </c>
      <c r="B28" s="8"/>
      <c r="C28" s="8">
        <f>C3</f>
        <v>22328350</v>
      </c>
      <c r="D28" s="59">
        <f t="shared" ref="D28:AB28" si="17">D27-D6</f>
        <v>0</v>
      </c>
      <c r="E28" s="59">
        <f t="shared" si="17"/>
        <v>6474153.2808219176</v>
      </c>
      <c r="F28" s="59">
        <f t="shared" si="17"/>
        <v>4537830.6930256709</v>
      </c>
      <c r="G28" s="59">
        <f t="shared" si="17"/>
        <v>4932744.6910256725</v>
      </c>
      <c r="H28" s="59">
        <f t="shared" si="17"/>
        <v>5327616.9689856693</v>
      </c>
      <c r="I28" s="59">
        <f t="shared" si="17"/>
        <v>5722446.6925048716</v>
      </c>
      <c r="J28" s="59">
        <f t="shared" si="17"/>
        <v>6117233.0104944557</v>
      </c>
      <c r="K28" s="59">
        <f t="shared" si="17"/>
        <v>6511975.0548438299</v>
      </c>
      <c r="L28" s="59">
        <f t="shared" si="17"/>
        <v>6906671.9400801938</v>
      </c>
      <c r="M28" s="59">
        <f t="shared" si="17"/>
        <v>7301322.7630212847</v>
      </c>
      <c r="N28" s="59">
        <f t="shared" si="17"/>
        <v>7695926.6024211962</v>
      </c>
      <c r="O28" s="59">
        <f t="shared" si="17"/>
        <v>8090482.5186091065</v>
      </c>
      <c r="P28" s="59">
        <f t="shared" si="17"/>
        <v>10816267.040917022</v>
      </c>
      <c r="Q28" s="59">
        <f t="shared" si="17"/>
        <v>11210724.216118924</v>
      </c>
      <c r="R28" s="59">
        <f t="shared" si="17"/>
        <v>11605130.534824865</v>
      </c>
      <c r="S28" s="59">
        <f t="shared" si="17"/>
        <v>11999484.979904925</v>
      </c>
      <c r="T28" s="59">
        <f t="shared" si="17"/>
        <v>12393786.513886584</v>
      </c>
      <c r="U28" s="59">
        <f t="shared" si="17"/>
        <v>12788034.078547876</v>
      </c>
      <c r="V28" s="59">
        <f t="shared" si="17"/>
        <v>13182226.594502397</v>
      </c>
      <c r="W28" s="59">
        <f t="shared" si="17"/>
        <v>13576362.960776007</v>
      </c>
      <c r="X28" s="59">
        <f t="shared" si="17"/>
        <v>13970442.05437509</v>
      </c>
      <c r="Y28" s="59">
        <f t="shared" si="17"/>
        <v>14364462.729846152</v>
      </c>
      <c r="Z28" s="59">
        <f t="shared" si="17"/>
        <v>14758423.818826634</v>
      </c>
      <c r="AA28" s="59">
        <f t="shared" si="17"/>
        <v>15152324.12958673</v>
      </c>
      <c r="AB28" s="67">
        <f t="shared" si="17"/>
        <v>15546162.446562029</v>
      </c>
      <c r="AC28" s="5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zoomScale="85" zoomScaleNormal="85" workbookViewId="0">
      <selection activeCell="U14" sqref="U14"/>
    </sheetView>
  </sheetViews>
  <sheetFormatPr defaultRowHeight="15" x14ac:dyDescent="0.25"/>
  <cols>
    <col min="1" max="1" width="13.5703125" bestFit="1" customWidth="1"/>
    <col min="2" max="2" width="15.28515625" bestFit="1" customWidth="1"/>
    <col min="3" max="3" width="15.42578125" bestFit="1" customWidth="1"/>
    <col min="4" max="4" width="16.42578125" bestFit="1" customWidth="1"/>
    <col min="5" max="27" width="15.28515625" bestFit="1" customWidth="1"/>
    <col min="28" max="28" width="3" bestFit="1" customWidth="1"/>
  </cols>
  <sheetData>
    <row r="1" spans="1:28" x14ac:dyDescent="0.25">
      <c r="A1" s="12" t="s">
        <v>30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21">
        <v>25</v>
      </c>
    </row>
    <row r="2" spans="1:28" ht="15.75" thickBot="1" x14ac:dyDescent="0.3">
      <c r="A2" s="15" t="s">
        <v>59</v>
      </c>
      <c r="B2" s="59">
        <f>'Cash Flow'!D28-'Cash Flow'!C28</f>
        <v>-22328350</v>
      </c>
      <c r="C2" s="8">
        <f>'Cash Flow'!E28</f>
        <v>6474153.2808219176</v>
      </c>
      <c r="D2" s="8">
        <f>'Cash Flow'!F28</f>
        <v>4537830.6930256709</v>
      </c>
      <c r="E2" s="8">
        <f>'Cash Flow'!G28</f>
        <v>4932744.6910256725</v>
      </c>
      <c r="F2" s="8">
        <f>'Cash Flow'!H28</f>
        <v>5327616.9689856693</v>
      </c>
      <c r="G2" s="8">
        <f>'Cash Flow'!I28</f>
        <v>5722446.6925048716</v>
      </c>
      <c r="H2" s="8">
        <f>'Cash Flow'!J28</f>
        <v>6117233.0104944557</v>
      </c>
      <c r="I2" s="8">
        <f>'Cash Flow'!K28</f>
        <v>6511975.0548438299</v>
      </c>
      <c r="J2" s="8">
        <f>'Cash Flow'!L28</f>
        <v>6906671.9400801938</v>
      </c>
      <c r="K2" s="8">
        <f>'Cash Flow'!M28</f>
        <v>7301322.7630212847</v>
      </c>
      <c r="L2" s="8">
        <f>'Cash Flow'!N28</f>
        <v>7695926.6024211962</v>
      </c>
      <c r="M2" s="8">
        <f>'Cash Flow'!O28</f>
        <v>8090482.5186091065</v>
      </c>
      <c r="N2" s="8">
        <f>'Cash Flow'!P28</f>
        <v>10816267.040917022</v>
      </c>
      <c r="O2" s="8">
        <f>'Cash Flow'!Q28</f>
        <v>11210724.216118924</v>
      </c>
      <c r="P2" s="8">
        <f>'Cash Flow'!R28</f>
        <v>11605130.534824865</v>
      </c>
      <c r="Q2" s="8">
        <f>'Cash Flow'!S28</f>
        <v>11999484.979904925</v>
      </c>
      <c r="R2" s="8">
        <f>'Cash Flow'!T28</f>
        <v>12393786.513886584</v>
      </c>
      <c r="S2" s="8">
        <f>'Cash Flow'!U28</f>
        <v>12788034.078547876</v>
      </c>
      <c r="T2" s="8">
        <f>'Cash Flow'!V28</f>
        <v>13182226.594502397</v>
      </c>
      <c r="U2" s="8">
        <f>'Cash Flow'!W28</f>
        <v>13576362.960776007</v>
      </c>
      <c r="V2" s="8">
        <f>'Cash Flow'!X28</f>
        <v>13970442.05437509</v>
      </c>
      <c r="W2" s="8">
        <f>'Cash Flow'!Y28</f>
        <v>14364462.729846152</v>
      </c>
      <c r="X2" s="8">
        <f>'Cash Flow'!Z28</f>
        <v>14758423.818826634</v>
      </c>
      <c r="Y2" s="8">
        <f>'Cash Flow'!AA28</f>
        <v>15152324.12958673</v>
      </c>
      <c r="Z2" s="9">
        <f>'Cash Flow'!AB28</f>
        <v>15546162.446562029</v>
      </c>
    </row>
    <row r="3" spans="1:28" x14ac:dyDescent="0.25">
      <c r="B3" s="32"/>
      <c r="C3" s="32"/>
    </row>
    <row r="5" spans="1:28" ht="15.75" thickBot="1" x14ac:dyDescent="0.3"/>
    <row r="6" spans="1:28" x14ac:dyDescent="0.25">
      <c r="A6" s="71" t="s">
        <v>30</v>
      </c>
      <c r="B6" s="60">
        <v>0</v>
      </c>
      <c r="C6" s="60">
        <v>1</v>
      </c>
      <c r="D6" s="60">
        <v>2</v>
      </c>
      <c r="E6" s="60">
        <v>3</v>
      </c>
      <c r="F6" s="60">
        <v>4</v>
      </c>
      <c r="G6" s="60">
        <v>5</v>
      </c>
      <c r="H6" s="60">
        <v>6</v>
      </c>
      <c r="I6" s="60">
        <v>7</v>
      </c>
      <c r="J6" s="60">
        <v>8</v>
      </c>
      <c r="K6" s="60">
        <v>9</v>
      </c>
      <c r="L6" s="60">
        <v>10</v>
      </c>
      <c r="M6" s="60">
        <v>11</v>
      </c>
      <c r="N6" s="60">
        <v>12</v>
      </c>
      <c r="O6" s="60">
        <v>13</v>
      </c>
      <c r="P6" s="60">
        <v>14</v>
      </c>
      <c r="Q6" s="60">
        <v>15</v>
      </c>
      <c r="R6" s="60">
        <v>16</v>
      </c>
      <c r="S6" s="60">
        <v>17</v>
      </c>
      <c r="T6" s="60">
        <v>18</v>
      </c>
      <c r="U6" s="60">
        <v>19</v>
      </c>
      <c r="V6" s="60">
        <v>20</v>
      </c>
      <c r="W6" s="60">
        <v>21</v>
      </c>
      <c r="X6" s="60">
        <v>22</v>
      </c>
      <c r="Y6" s="60">
        <v>23</v>
      </c>
      <c r="Z6" s="60">
        <v>24</v>
      </c>
      <c r="AA6" s="65">
        <v>25</v>
      </c>
    </row>
    <row r="7" spans="1:28" x14ac:dyDescent="0.25">
      <c r="A7" s="14" t="s">
        <v>96</v>
      </c>
      <c r="B7" s="23"/>
      <c r="C7" s="70">
        <f>-'Cash Flow'!D6</f>
        <v>0</v>
      </c>
      <c r="D7" s="70">
        <f>-'Cash Flow'!E6</f>
        <v>0</v>
      </c>
      <c r="E7" s="70">
        <f>-'Cash Flow'!F6</f>
        <v>-2331277.4877962475</v>
      </c>
      <c r="F7" s="70">
        <f>-'Cash Flow'!G6</f>
        <v>-2331277.4877962475</v>
      </c>
      <c r="G7" s="70">
        <f>-'Cash Flow'!H6</f>
        <v>-2331277.4877962475</v>
      </c>
      <c r="H7" s="70">
        <f>-'Cash Flow'!I6</f>
        <v>-2331277.4877962475</v>
      </c>
      <c r="I7" s="70">
        <f>-'Cash Flow'!J6</f>
        <v>-2331277.4877962475</v>
      </c>
      <c r="J7" s="70">
        <f>-'Cash Flow'!K6</f>
        <v>-2331277.4877962475</v>
      </c>
      <c r="K7" s="70">
        <f>-'Cash Flow'!L6</f>
        <v>-2331277.4877962475</v>
      </c>
      <c r="L7" s="70">
        <f>-'Cash Flow'!M6</f>
        <v>-2331277.4877962475</v>
      </c>
      <c r="M7" s="68">
        <f>'Cash Flow'!N6</f>
        <v>2331277.4877962475</v>
      </c>
      <c r="N7" s="68">
        <f>'Cash Flow'!O6</f>
        <v>2331277.4877962475</v>
      </c>
      <c r="O7" s="68">
        <f>'Cash Flow'!P6</f>
        <v>0</v>
      </c>
      <c r="P7" s="68">
        <f>'Cash Flow'!Q6</f>
        <v>0</v>
      </c>
      <c r="Q7" s="68">
        <f>'Cash Flow'!R6</f>
        <v>0</v>
      </c>
      <c r="R7" s="68">
        <f>'Cash Flow'!S6</f>
        <v>0</v>
      </c>
      <c r="S7" s="68">
        <f>'Cash Flow'!T6</f>
        <v>0</v>
      </c>
      <c r="T7" s="68">
        <f>'Cash Flow'!U6</f>
        <v>0</v>
      </c>
      <c r="U7" s="68">
        <f>'Cash Flow'!V6</f>
        <v>0</v>
      </c>
      <c r="V7" s="68">
        <f>'Cash Flow'!W6</f>
        <v>0</v>
      </c>
      <c r="W7" s="68">
        <f>'Cash Flow'!X6</f>
        <v>0</v>
      </c>
      <c r="X7" s="68">
        <f>'Cash Flow'!Y6</f>
        <v>0</v>
      </c>
      <c r="Y7" s="68">
        <f>'Cash Flow'!Z6</f>
        <v>0</v>
      </c>
      <c r="Z7" s="68">
        <f>'Cash Flow'!AA6</f>
        <v>0</v>
      </c>
      <c r="AA7" s="72">
        <f>'Cash Flow'!AB6</f>
        <v>0</v>
      </c>
      <c r="AB7" s="6"/>
    </row>
    <row r="8" spans="1:28" x14ac:dyDescent="0.25">
      <c r="A8" s="14" t="s">
        <v>37</v>
      </c>
      <c r="B8" s="23"/>
      <c r="C8" s="68">
        <f>'Cash Flow'!D13</f>
        <v>0</v>
      </c>
      <c r="D8" s="68">
        <f>'Cash Flow'!E13</f>
        <v>16000000</v>
      </c>
      <c r="E8" s="68">
        <f>'Cash Flow'!F13</f>
        <v>16800000</v>
      </c>
      <c r="F8" s="68">
        <f>'Cash Flow'!G13</f>
        <v>17600000.000000004</v>
      </c>
      <c r="G8" s="68">
        <f>'Cash Flow'!H13</f>
        <v>18399999.999999996</v>
      </c>
      <c r="H8" s="68">
        <f>'Cash Flow'!I13</f>
        <v>19200000</v>
      </c>
      <c r="I8" s="68">
        <f>'Cash Flow'!J13</f>
        <v>20000000</v>
      </c>
      <c r="J8" s="68">
        <f>'Cash Flow'!K13</f>
        <v>20800000</v>
      </c>
      <c r="K8" s="68">
        <f>'Cash Flow'!L13</f>
        <v>21600000</v>
      </c>
      <c r="L8" s="68">
        <f>'Cash Flow'!M13</f>
        <v>22400000</v>
      </c>
      <c r="M8" s="68">
        <f>'Cash Flow'!N13</f>
        <v>23200000</v>
      </c>
      <c r="N8" s="68">
        <f>'Cash Flow'!O13</f>
        <v>24000000</v>
      </c>
      <c r="O8" s="68">
        <f>'Cash Flow'!P13</f>
        <v>24800000</v>
      </c>
      <c r="P8" s="68">
        <f>'Cash Flow'!Q13</f>
        <v>25600000</v>
      </c>
      <c r="Q8" s="68">
        <f>'Cash Flow'!R13</f>
        <v>26400000</v>
      </c>
      <c r="R8" s="68">
        <f>'Cash Flow'!S13</f>
        <v>27200000.000000004</v>
      </c>
      <c r="S8" s="68">
        <f>'Cash Flow'!T13</f>
        <v>28000000</v>
      </c>
      <c r="T8" s="68">
        <f>'Cash Flow'!U13</f>
        <v>28800000</v>
      </c>
      <c r="U8" s="68">
        <f>'Cash Flow'!V13</f>
        <v>29600000</v>
      </c>
      <c r="V8" s="68">
        <f>'Cash Flow'!W13</f>
        <v>30400000</v>
      </c>
      <c r="W8" s="68">
        <f>'Cash Flow'!X13</f>
        <v>31200000.000000004</v>
      </c>
      <c r="X8" s="68">
        <f>'Cash Flow'!Y13</f>
        <v>32000000</v>
      </c>
      <c r="Y8" s="68">
        <f>'Cash Flow'!Z13</f>
        <v>32799999.999999996</v>
      </c>
      <c r="Z8" s="68">
        <f>'Cash Flow'!AA13</f>
        <v>33600000</v>
      </c>
      <c r="AA8" s="72">
        <f>'Cash Flow'!AB13</f>
        <v>34400000.000000007</v>
      </c>
      <c r="AB8" s="27">
        <f>AB7*Data!$E$22</f>
        <v>0</v>
      </c>
    </row>
    <row r="9" spans="1:28" x14ac:dyDescent="0.25">
      <c r="A9" s="4" t="s">
        <v>54</v>
      </c>
      <c r="B9" s="5"/>
      <c r="C9" s="69">
        <f>'Cash Flow'!D19</f>
        <v>0</v>
      </c>
      <c r="D9" s="69">
        <f>'Cash Flow'!E19</f>
        <v>1816126.4383561644</v>
      </c>
      <c r="E9" s="69">
        <f>'Cash Flow'!F19</f>
        <v>1826216.6383561643</v>
      </c>
      <c r="F9" s="69">
        <f>'Cash Flow'!G19</f>
        <v>1836388.6423561643</v>
      </c>
      <c r="G9" s="69">
        <f>'Cash Flow'!H19</f>
        <v>1846644.0864361643</v>
      </c>
      <c r="H9" s="69">
        <f>'Cash Flow'!I19</f>
        <v>1856984.6393977643</v>
      </c>
      <c r="I9" s="69">
        <f>'Cash Flow'!J19</f>
        <v>1867412.0034185965</v>
      </c>
      <c r="J9" s="69">
        <f>'Cash Flow'!K19</f>
        <v>1877927.9147198452</v>
      </c>
      <c r="K9" s="69">
        <f>'Cash Flow'!L19</f>
        <v>1888534.1442471186</v>
      </c>
      <c r="L9" s="69">
        <f>'Cash Flow'!M19</f>
        <v>1899232.4983649377</v>
      </c>
      <c r="M9" s="69">
        <f>'Cash Flow'!N19</f>
        <v>1910024.8195651132</v>
      </c>
      <c r="N9" s="69">
        <f>'Cash Flow'!O19</f>
        <v>1920912.9871892922</v>
      </c>
      <c r="O9" s="69">
        <f>'Cash Flow'!P19</f>
        <v>1931898.9181659548</v>
      </c>
      <c r="P9" s="69">
        <f>'Cash Flow'!Q19</f>
        <v>1942984.5677621507</v>
      </c>
      <c r="Q9" s="69">
        <f>'Cash Flow'!R19</f>
        <v>1954171.9303502704</v>
      </c>
      <c r="R9" s="69">
        <f>'Cash Flow'!S19</f>
        <v>1965463.0401901524</v>
      </c>
      <c r="S9" s="69">
        <f>'Cash Flow'!T19</f>
        <v>1976859.9722268323</v>
      </c>
      <c r="T9" s="69">
        <f>'Cash Flow'!U19</f>
        <v>1988364.8429042455</v>
      </c>
      <c r="U9" s="69">
        <f>'Cash Flow'!V19</f>
        <v>1999979.8109952072</v>
      </c>
      <c r="V9" s="69">
        <f>'Cash Flow'!W19</f>
        <v>2011707.078447988</v>
      </c>
      <c r="W9" s="69">
        <f>'Cash Flow'!X19</f>
        <v>2023548.8912498245</v>
      </c>
      <c r="X9" s="69">
        <f>'Cash Flow'!Y19</f>
        <v>2035507.5403076978</v>
      </c>
      <c r="Y9" s="69">
        <f>'Cash Flow'!Z19</f>
        <v>2047585.3623467283</v>
      </c>
      <c r="Z9" s="69">
        <f>'Cash Flow'!AA19</f>
        <v>2059784.7408265397</v>
      </c>
      <c r="AA9" s="73">
        <f>'Cash Flow'!AB19</f>
        <v>2072108.1068759472</v>
      </c>
      <c r="AB9" s="6">
        <f>AB6+AB7+AB8</f>
        <v>0</v>
      </c>
    </row>
    <row r="10" spans="1:28" x14ac:dyDescent="0.25">
      <c r="A10" s="14" t="s">
        <v>25</v>
      </c>
      <c r="B10" s="23"/>
      <c r="C10" s="68">
        <f>'Cash Flow'!D25</f>
        <v>0</v>
      </c>
      <c r="D10" s="68">
        <f>'Cash Flow'!E25</f>
        <v>6474153.2808219176</v>
      </c>
      <c r="E10" s="68">
        <f>'Cash Flow'!F25</f>
        <v>6869108.180821918</v>
      </c>
      <c r="F10" s="68">
        <f>'Cash Flow'!G25</f>
        <v>7264022.1788219195</v>
      </c>
      <c r="G10" s="68">
        <f>'Cash Flow'!H25</f>
        <v>7658894.4567819163</v>
      </c>
      <c r="H10" s="68">
        <f>'Cash Flow'!I25</f>
        <v>8053724.1803011186</v>
      </c>
      <c r="I10" s="68">
        <f>'Cash Flow'!J25</f>
        <v>8448510.4982907027</v>
      </c>
      <c r="J10" s="68">
        <f>'Cash Flow'!K25</f>
        <v>8843252.542640077</v>
      </c>
      <c r="K10" s="68">
        <f>'Cash Flow'!L25</f>
        <v>9237949.4278764408</v>
      </c>
      <c r="L10" s="68">
        <f>'Cash Flow'!M25</f>
        <v>9632600.2508175317</v>
      </c>
      <c r="M10" s="68">
        <f>'Cash Flow'!N25</f>
        <v>10027204.090217443</v>
      </c>
      <c r="N10" s="68">
        <f>'Cash Flow'!O25</f>
        <v>10421760.006405354</v>
      </c>
      <c r="O10" s="68">
        <f>'Cash Flow'!P25</f>
        <v>10816267.040917022</v>
      </c>
      <c r="P10" s="68">
        <f>'Cash Flow'!Q25</f>
        <v>11210724.216118924</v>
      </c>
      <c r="Q10" s="68">
        <f>'Cash Flow'!R25</f>
        <v>11605130.534824865</v>
      </c>
      <c r="R10" s="68">
        <f>'Cash Flow'!S25</f>
        <v>11999484.979904925</v>
      </c>
      <c r="S10" s="68">
        <f>'Cash Flow'!T25</f>
        <v>12393786.513886584</v>
      </c>
      <c r="T10" s="68">
        <f>'Cash Flow'!U25</f>
        <v>12788034.078547876</v>
      </c>
      <c r="U10" s="68">
        <f>'Cash Flow'!V25</f>
        <v>13182226.594502397</v>
      </c>
      <c r="V10" s="68">
        <f>'Cash Flow'!W25</f>
        <v>13576362.960776007</v>
      </c>
      <c r="W10" s="68">
        <f>'Cash Flow'!X25</f>
        <v>13970442.05437509</v>
      </c>
      <c r="X10" s="68">
        <f>'Cash Flow'!Y25</f>
        <v>14364462.729846152</v>
      </c>
      <c r="Y10" s="68">
        <f>'Cash Flow'!Z25</f>
        <v>14758423.818826634</v>
      </c>
      <c r="Z10" s="68">
        <f>'Cash Flow'!AA25</f>
        <v>15152324.12958673</v>
      </c>
      <c r="AA10" s="72">
        <f>'Cash Flow'!AB25</f>
        <v>15546162.446562029</v>
      </c>
      <c r="AB10" s="27">
        <f>AB8*Data!$B$37</f>
        <v>0</v>
      </c>
    </row>
    <row r="11" spans="1:28" ht="15.75" thickBot="1" x14ac:dyDescent="0.3">
      <c r="A11" s="74" t="s">
        <v>58</v>
      </c>
      <c r="B11" s="75"/>
      <c r="C11" s="76">
        <f>'Cash Flow'!D27</f>
        <v>0</v>
      </c>
      <c r="D11" s="76">
        <f>'Cash Flow'!E27</f>
        <v>6474153.2808219176</v>
      </c>
      <c r="E11" s="76">
        <f>'Cash Flow'!F27</f>
        <v>6869108.180821918</v>
      </c>
      <c r="F11" s="76">
        <f>'Cash Flow'!G27</f>
        <v>7264022.1788219195</v>
      </c>
      <c r="G11" s="76">
        <f>'Cash Flow'!H27</f>
        <v>7658894.4567819163</v>
      </c>
      <c r="H11" s="76">
        <f>'Cash Flow'!I27</f>
        <v>8053724.1803011186</v>
      </c>
      <c r="I11" s="76">
        <f>'Cash Flow'!J27</f>
        <v>8448510.4982907027</v>
      </c>
      <c r="J11" s="76">
        <f>'Cash Flow'!K27</f>
        <v>8843252.542640077</v>
      </c>
      <c r="K11" s="76">
        <f>'Cash Flow'!L27</f>
        <v>9237949.4278764408</v>
      </c>
      <c r="L11" s="76">
        <f>'Cash Flow'!M27</f>
        <v>9632600.2508175317</v>
      </c>
      <c r="M11" s="76">
        <f>'Cash Flow'!N27</f>
        <v>10027204.090217443</v>
      </c>
      <c r="N11" s="76">
        <f>'Cash Flow'!O27</f>
        <v>10421760.006405354</v>
      </c>
      <c r="O11" s="76">
        <f>'Cash Flow'!P27</f>
        <v>10816267.040917022</v>
      </c>
      <c r="P11" s="76">
        <f>'Cash Flow'!Q27</f>
        <v>11210724.216118924</v>
      </c>
      <c r="Q11" s="76">
        <f>'Cash Flow'!R27</f>
        <v>11605130.534824865</v>
      </c>
      <c r="R11" s="76">
        <f>'Cash Flow'!S27</f>
        <v>11999484.979904925</v>
      </c>
      <c r="S11" s="76">
        <f>'Cash Flow'!T27</f>
        <v>12393786.513886584</v>
      </c>
      <c r="T11" s="76">
        <f>'Cash Flow'!U27</f>
        <v>12788034.078547876</v>
      </c>
      <c r="U11" s="76">
        <f>'Cash Flow'!V27</f>
        <v>13182226.594502397</v>
      </c>
      <c r="V11" s="76">
        <f>'Cash Flow'!W27</f>
        <v>13576362.960776007</v>
      </c>
      <c r="W11" s="76">
        <f>'Cash Flow'!X27</f>
        <v>13970442.05437509</v>
      </c>
      <c r="X11" s="76">
        <f>'Cash Flow'!Y27</f>
        <v>14364462.729846152</v>
      </c>
      <c r="Y11" s="76">
        <f>'Cash Flow'!Z27</f>
        <v>14758423.818826634</v>
      </c>
      <c r="Z11" s="76">
        <f>'Cash Flow'!AA27</f>
        <v>15152324.12958673</v>
      </c>
      <c r="AA11" s="77">
        <f>'Cash Flow'!AB27</f>
        <v>15546162.446562029</v>
      </c>
      <c r="AB11" s="50">
        <f>AB7-AB9</f>
        <v>0</v>
      </c>
    </row>
    <row r="15" spans="1:28" x14ac:dyDescent="0.25">
      <c r="C15" s="40" t="s">
        <v>60</v>
      </c>
      <c r="D15" s="40">
        <f>NPV(Data!B40,B2:Z2)</f>
        <v>8866259.7443295214</v>
      </c>
    </row>
    <row r="16" spans="1:28" x14ac:dyDescent="0.25">
      <c r="C16" s="41" t="s">
        <v>61</v>
      </c>
      <c r="D16" s="41">
        <f>IRR(B2:Z2)</f>
        <v>0.27692758067042789</v>
      </c>
    </row>
    <row r="17" spans="1:27" ht="15.75" thickBot="1" x14ac:dyDescent="0.3"/>
    <row r="18" spans="1:27" x14ac:dyDescent="0.25">
      <c r="A18" s="71" t="s">
        <v>30</v>
      </c>
      <c r="B18" s="60">
        <v>0</v>
      </c>
      <c r="C18" s="60">
        <v>1</v>
      </c>
      <c r="D18" s="60">
        <v>2</v>
      </c>
      <c r="E18" s="60">
        <v>3</v>
      </c>
      <c r="F18" s="60">
        <v>4</v>
      </c>
      <c r="G18" s="60">
        <v>5</v>
      </c>
      <c r="H18" s="60">
        <v>6</v>
      </c>
      <c r="I18" s="60">
        <v>7</v>
      </c>
      <c r="J18" s="60">
        <v>8</v>
      </c>
      <c r="K18" s="60">
        <v>9</v>
      </c>
      <c r="L18" s="60">
        <v>10</v>
      </c>
      <c r="M18" s="60">
        <v>11</v>
      </c>
      <c r="N18" s="60">
        <v>12</v>
      </c>
      <c r="O18" s="60">
        <v>13</v>
      </c>
      <c r="P18" s="60">
        <v>14</v>
      </c>
      <c r="Q18" s="60">
        <v>15</v>
      </c>
      <c r="R18" s="60">
        <v>16</v>
      </c>
      <c r="S18" s="60">
        <v>17</v>
      </c>
      <c r="T18" s="60">
        <v>18</v>
      </c>
      <c r="U18" s="60">
        <v>19</v>
      </c>
      <c r="V18" s="60">
        <v>20</v>
      </c>
      <c r="W18" s="60">
        <v>21</v>
      </c>
      <c r="X18" s="60">
        <v>22</v>
      </c>
      <c r="Y18" s="60">
        <v>23</v>
      </c>
      <c r="Z18" s="60">
        <v>24</v>
      </c>
      <c r="AA18" s="65">
        <v>25</v>
      </c>
    </row>
    <row r="19" spans="1:27" x14ac:dyDescent="0.25">
      <c r="A19" s="14" t="s">
        <v>60</v>
      </c>
      <c r="B19" s="23"/>
      <c r="C19" s="66">
        <f>NPV(Data!$B$40,B2)</f>
        <v>-18606958.333333336</v>
      </c>
      <c r="D19" s="66">
        <f>NPV(Data!$B$40,$B$2:C2)</f>
        <v>-14111018.554984778</v>
      </c>
      <c r="E19" s="66">
        <f>NPV(Data!$B$40,$B$2:D2)</f>
        <v>-11484959.126150478</v>
      </c>
      <c r="F19" s="66">
        <f>NPV(Data!$B$40,$B$2:E2)</f>
        <v>-9106127.7743826974</v>
      </c>
      <c r="G19" s="66">
        <f>NPV(Data!$B$40,$B$2:F2)</f>
        <v>-6965078.0022530388</v>
      </c>
      <c r="H19" s="66">
        <f>NPV(Data!$B$40,$B$2:G2)</f>
        <v>-5048642.1832718002</v>
      </c>
      <c r="I19" s="66">
        <f>NPV(Data!$B$40,$B$2:H2)</f>
        <v>-3341434.7181909271</v>
      </c>
      <c r="J19" s="66">
        <f>NPV(Data!$B$40,$B$2:I2)</f>
        <v>-1826957.4473156959</v>
      </c>
      <c r="K19" s="66">
        <f>NPV(Data!$B$40,$B$2:J2)</f>
        <v>-488398.15430178365</v>
      </c>
      <c r="L19" s="66">
        <f>NPV(Data!$B$40,$B$2:K2)</f>
        <v>690806.23440686788</v>
      </c>
      <c r="M19" s="66">
        <f>NPV(Data!$B$40,$B$2:L2)</f>
        <v>1726585.4942414558</v>
      </c>
      <c r="N19" s="66">
        <f>NPV(Data!$B$40,$B$2:M2)</f>
        <v>2633986.949122061</v>
      </c>
      <c r="O19" s="66">
        <f>NPV(Data!$B$40,$B$2:N2)</f>
        <v>3644917.222927345</v>
      </c>
      <c r="P19" s="66">
        <f>NPV(Data!$B$40,$B$2:O2)</f>
        <v>4518082.0325056603</v>
      </c>
      <c r="Q19" s="66">
        <f>NPV(Data!$B$40,$B$2:P2)</f>
        <v>5271318.501906557</v>
      </c>
      <c r="R19" s="66">
        <f>NPV(Data!$B$40,$B$2:Q2)</f>
        <v>5920345.3607435413</v>
      </c>
      <c r="S19" s="66">
        <f>NPV(Data!$B$40,$B$2:R2)</f>
        <v>6478973.5257352609</v>
      </c>
      <c r="T19" s="66">
        <f>NPV(Data!$B$40,$B$2:S2)</f>
        <v>6959305.3438299289</v>
      </c>
      <c r="U19" s="66">
        <f>NPV(Data!$B$40,$B$2:T2)</f>
        <v>7371920.4252269324</v>
      </c>
      <c r="V19" s="66">
        <f>NPV(Data!$B$40,$B$2:U2)</f>
        <v>7726047.0003782585</v>
      </c>
      <c r="W19" s="66">
        <f>NPV(Data!$B$40,$B$2:V2)</f>
        <v>8029718.4630740844</v>
      </c>
      <c r="X19" s="66">
        <f>NPV(Data!$B$40,$B$2:W2)</f>
        <v>8289915.2766415058</v>
      </c>
      <c r="Y19" s="66">
        <f>NPV(Data!$B$40,$B$2:X2)</f>
        <v>8512692.7729273792</v>
      </c>
      <c r="Z19" s="66">
        <f>NPV(Data!$B$40,$B$2:Y2)</f>
        <v>8703295.6038902216</v>
      </c>
      <c r="AA19" s="84">
        <f>NPV(Data!$B$40,$B$2:Z2)</f>
        <v>8866259.7443295214</v>
      </c>
    </row>
    <row r="20" spans="1:27" ht="15.75" thickBot="1" x14ac:dyDescent="0.3">
      <c r="A20" s="15" t="s">
        <v>61</v>
      </c>
      <c r="B20" s="24"/>
      <c r="C20" s="35"/>
      <c r="D20" s="35">
        <f>IRR($B$2:C2)</f>
        <v>-0.71004784138452148</v>
      </c>
      <c r="E20" s="35">
        <f>IRR($B$2:D2)</f>
        <v>-0.38147364827823105</v>
      </c>
      <c r="F20" s="35">
        <f>IRR($B$2:E2)</f>
        <v>-0.15754219936343516</v>
      </c>
      <c r="G20" s="35">
        <f>IRR($B$2:F2)</f>
        <v>-1.964544353572395E-2</v>
      </c>
      <c r="H20" s="35">
        <f>IRR($B$2:G2)</f>
        <v>6.7569649617779559E-2</v>
      </c>
      <c r="I20" s="35">
        <f>IRR($B$2:H2)</f>
        <v>0.12492558229013184</v>
      </c>
      <c r="J20" s="35">
        <f>IRR($B$2:I2)</f>
        <v>0.16399235885697028</v>
      </c>
      <c r="K20" s="35">
        <f>IRR($B$2:J2)</f>
        <v>0.1913900905497401</v>
      </c>
      <c r="L20" s="35">
        <f>IRR($B$2:K2)</f>
        <v>0.21106868359731146</v>
      </c>
      <c r="M20" s="35">
        <f>IRR($B$2:L2)</f>
        <v>0.22548174940270549</v>
      </c>
      <c r="N20" s="35">
        <f>IRR($B$2:M2)</f>
        <v>0.23620892271225902</v>
      </c>
      <c r="O20" s="35">
        <f>IRR($B$2:N2)</f>
        <v>0.24637928004299359</v>
      </c>
      <c r="P20" s="35">
        <f>IRR($B$2:O2)</f>
        <v>0.2538767293563966</v>
      </c>
      <c r="Q20" s="35">
        <f>IRR($B$2:P2)</f>
        <v>0.25949246237007184</v>
      </c>
      <c r="R20" s="35">
        <f>IRR($B$2:Q2)</f>
        <v>0.26375062409373728</v>
      </c>
      <c r="S20" s="35">
        <f>IRR($B$2:R2)</f>
        <v>0.26701077499630377</v>
      </c>
      <c r="T20" s="35">
        <f>IRR($B$2:S2)</f>
        <v>0.26952625231757077</v>
      </c>
      <c r="U20" s="35">
        <f>IRR($B$2:T2)</f>
        <v>0.27147937860497029</v>
      </c>
      <c r="V20" s="35">
        <f>IRR($B$2:U2)</f>
        <v>0.27300365185884989</v>
      </c>
      <c r="W20" s="35">
        <f>IRR($B$2:V2)</f>
        <v>0.27419822413802653</v>
      </c>
      <c r="X20" s="35">
        <f>IRR($B$2:W2)</f>
        <v>0.2751376203253979</v>
      </c>
      <c r="Y20" s="35">
        <f>IRR($B$2:X2)</f>
        <v>0.27587841878007979</v>
      </c>
      <c r="Z20" s="35">
        <f>IRR($B$2:Y2)</f>
        <v>0.27646393769745314</v>
      </c>
      <c r="AA20" s="85">
        <f>IRR($B$2:Z2)</f>
        <v>0.27692758067042789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7" sqref="A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Calculations</vt:lpstr>
      <vt:lpstr>Cash Details</vt:lpstr>
      <vt:lpstr>Cash Flow</vt:lpstr>
      <vt:lpstr>NPV+IRR</vt:lpstr>
      <vt:lpstr>Graphs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2018-03-02T12:53:31Z</dcterms:created>
  <dcterms:modified xsi:type="dcterms:W3CDTF">2018-04-14T23:38:12Z</dcterms:modified>
</cp:coreProperties>
</file>