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CP\leetcode-company-interview-problems\Amazon\"/>
    </mc:Choice>
  </mc:AlternateContent>
  <xr:revisionPtr revIDLastSave="0" documentId="13_ncr:1_{A28870AB-B909-4C4F-AA0C-E69D49EE63F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mazon" sheetId="1" r:id="rId1"/>
    <sheet name="Easy" sheetId="2" r:id="rId2"/>
    <sheet name="Medium" sheetId="3" r:id="rId3"/>
    <sheet name="H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4" l="1"/>
  <c r="F119" i="4"/>
  <c r="E119" i="4"/>
  <c r="D119" i="4"/>
  <c r="C119" i="4"/>
  <c r="B119" i="4"/>
  <c r="A119" i="4"/>
  <c r="G118" i="4"/>
  <c r="F118" i="4"/>
  <c r="E118" i="4"/>
  <c r="D118" i="4"/>
  <c r="C118" i="4"/>
  <c r="B118" i="4"/>
  <c r="A118" i="4"/>
  <c r="G117" i="4"/>
  <c r="F117" i="4"/>
  <c r="E117" i="4"/>
  <c r="D117" i="4"/>
  <c r="C117" i="4"/>
  <c r="B117" i="4"/>
  <c r="A117" i="4"/>
  <c r="G116" i="4"/>
  <c r="F116" i="4"/>
  <c r="E116" i="4"/>
  <c r="D116" i="4"/>
  <c r="C116" i="4"/>
  <c r="B116" i="4"/>
  <c r="A116" i="4"/>
  <c r="G115" i="4"/>
  <c r="F115" i="4"/>
  <c r="E115" i="4"/>
  <c r="D115" i="4"/>
  <c r="C115" i="4"/>
  <c r="B115" i="4"/>
  <c r="A115" i="4"/>
  <c r="G114" i="4"/>
  <c r="F114" i="4"/>
  <c r="E114" i="4"/>
  <c r="D114" i="4"/>
  <c r="C114" i="4"/>
  <c r="B114" i="4"/>
  <c r="A114" i="4"/>
  <c r="G113" i="4"/>
  <c r="F113" i="4"/>
  <c r="E113" i="4"/>
  <c r="D113" i="4"/>
  <c r="C113" i="4"/>
  <c r="B113" i="4"/>
  <c r="A113" i="4"/>
  <c r="G112" i="4"/>
  <c r="F112" i="4"/>
  <c r="E112" i="4"/>
  <c r="D112" i="4"/>
  <c r="C112" i="4"/>
  <c r="B112" i="4"/>
  <c r="A112" i="4"/>
  <c r="G111" i="4"/>
  <c r="F111" i="4"/>
  <c r="E111" i="4"/>
  <c r="D111" i="4"/>
  <c r="C111" i="4"/>
  <c r="B111" i="4"/>
  <c r="A111" i="4"/>
  <c r="G110" i="4"/>
  <c r="F110" i="4"/>
  <c r="E110" i="4"/>
  <c r="D110" i="4"/>
  <c r="C110" i="4"/>
  <c r="B110" i="4"/>
  <c r="A110" i="4"/>
  <c r="G109" i="4"/>
  <c r="F109" i="4"/>
  <c r="E109" i="4"/>
  <c r="D109" i="4"/>
  <c r="C109" i="4"/>
  <c r="B109" i="4"/>
  <c r="A109" i="4"/>
  <c r="G108" i="4"/>
  <c r="F108" i="4"/>
  <c r="E108" i="4"/>
  <c r="D108" i="4"/>
  <c r="C108" i="4"/>
  <c r="B108" i="4"/>
  <c r="A108" i="4"/>
  <c r="G107" i="4"/>
  <c r="F107" i="4"/>
  <c r="E107" i="4"/>
  <c r="D107" i="4"/>
  <c r="C107" i="4"/>
  <c r="B107" i="4"/>
  <c r="A107" i="4"/>
  <c r="G106" i="4"/>
  <c r="F106" i="4"/>
  <c r="E106" i="4"/>
  <c r="D106" i="4"/>
  <c r="C106" i="4"/>
  <c r="B106" i="4"/>
  <c r="A106" i="4"/>
  <c r="G105" i="4"/>
  <c r="F105" i="4"/>
  <c r="E105" i="4"/>
  <c r="D105" i="4"/>
  <c r="C105" i="4"/>
  <c r="B105" i="4"/>
  <c r="A105" i="4"/>
  <c r="G104" i="4"/>
  <c r="F104" i="4"/>
  <c r="E104" i="4"/>
  <c r="D104" i="4"/>
  <c r="C104" i="4"/>
  <c r="B104" i="4"/>
  <c r="A104" i="4"/>
  <c r="G103" i="4"/>
  <c r="F103" i="4"/>
  <c r="E103" i="4"/>
  <c r="D103" i="4"/>
  <c r="C103" i="4"/>
  <c r="B103" i="4"/>
  <c r="A103" i="4"/>
  <c r="G102" i="4"/>
  <c r="F102" i="4"/>
  <c r="E102" i="4"/>
  <c r="D102" i="4"/>
  <c r="C102" i="4"/>
  <c r="B102" i="4"/>
  <c r="A102" i="4"/>
  <c r="G101" i="4"/>
  <c r="F101" i="4"/>
  <c r="E101" i="4"/>
  <c r="D101" i="4"/>
  <c r="C101" i="4"/>
  <c r="B101" i="4"/>
  <c r="A101" i="4"/>
  <c r="G100" i="4"/>
  <c r="F100" i="4"/>
  <c r="E100" i="4"/>
  <c r="D100" i="4"/>
  <c r="C100" i="4"/>
  <c r="B100" i="4"/>
  <c r="A100" i="4"/>
  <c r="G99" i="4"/>
  <c r="F99" i="4"/>
  <c r="E99" i="4"/>
  <c r="D99" i="4"/>
  <c r="C99" i="4"/>
  <c r="B99" i="4"/>
  <c r="A99" i="4"/>
  <c r="G98" i="4"/>
  <c r="F98" i="4"/>
  <c r="E98" i="4"/>
  <c r="D98" i="4"/>
  <c r="C98" i="4"/>
  <c r="B98" i="4"/>
  <c r="A98" i="4"/>
  <c r="G97" i="4"/>
  <c r="F97" i="4"/>
  <c r="E97" i="4"/>
  <c r="D97" i="4"/>
  <c r="C97" i="4"/>
  <c r="B97" i="4"/>
  <c r="A97" i="4"/>
  <c r="G96" i="4"/>
  <c r="F96" i="4"/>
  <c r="E96" i="4"/>
  <c r="D96" i="4"/>
  <c r="C96" i="4"/>
  <c r="B96" i="4"/>
  <c r="A96" i="4"/>
  <c r="G95" i="4"/>
  <c r="F95" i="4"/>
  <c r="E95" i="4"/>
  <c r="D95" i="4"/>
  <c r="C95" i="4"/>
  <c r="B95" i="4"/>
  <c r="A95" i="4"/>
  <c r="G94" i="4"/>
  <c r="F94" i="4"/>
  <c r="E94" i="4"/>
  <c r="D94" i="4"/>
  <c r="C94" i="4"/>
  <c r="B94" i="4"/>
  <c r="A94" i="4"/>
  <c r="G93" i="4"/>
  <c r="F93" i="4"/>
  <c r="E93" i="4"/>
  <c r="D93" i="4"/>
  <c r="C93" i="4"/>
  <c r="B93" i="4"/>
  <c r="A93" i="4"/>
  <c r="G92" i="4"/>
  <c r="F92" i="4"/>
  <c r="E92" i="4"/>
  <c r="D92" i="4"/>
  <c r="C92" i="4"/>
  <c r="B92" i="4"/>
  <c r="A92" i="4"/>
  <c r="G91" i="4"/>
  <c r="F91" i="4"/>
  <c r="E91" i="4"/>
  <c r="D91" i="4"/>
  <c r="C91" i="4"/>
  <c r="B91" i="4"/>
  <c r="A91" i="4"/>
  <c r="G90" i="4"/>
  <c r="F90" i="4"/>
  <c r="E90" i="4"/>
  <c r="D90" i="4"/>
  <c r="C90" i="4"/>
  <c r="B90" i="4"/>
  <c r="A90" i="4"/>
  <c r="G89" i="4"/>
  <c r="F89" i="4"/>
  <c r="E89" i="4"/>
  <c r="D89" i="4"/>
  <c r="C89" i="4"/>
  <c r="B89" i="4"/>
  <c r="A89" i="4"/>
  <c r="G88" i="4"/>
  <c r="F88" i="4"/>
  <c r="E88" i="4"/>
  <c r="D88" i="4"/>
  <c r="C88" i="4"/>
  <c r="B88" i="4"/>
  <c r="A88" i="4"/>
  <c r="G87" i="4"/>
  <c r="F87" i="4"/>
  <c r="E87" i="4"/>
  <c r="D87" i="4"/>
  <c r="C87" i="4"/>
  <c r="B87" i="4"/>
  <c r="A87" i="4"/>
  <c r="G86" i="4"/>
  <c r="F86" i="4"/>
  <c r="E86" i="4"/>
  <c r="D86" i="4"/>
  <c r="C86" i="4"/>
  <c r="B86" i="4"/>
  <c r="A86" i="4"/>
  <c r="G85" i="4"/>
  <c r="F85" i="4"/>
  <c r="E85" i="4"/>
  <c r="D85" i="4"/>
  <c r="C85" i="4"/>
  <c r="B85" i="4"/>
  <c r="A85" i="4"/>
  <c r="G84" i="4"/>
  <c r="F84" i="4"/>
  <c r="E84" i="4"/>
  <c r="D84" i="4"/>
  <c r="C84" i="4"/>
  <c r="B84" i="4"/>
  <c r="A84" i="4"/>
  <c r="G83" i="4"/>
  <c r="F83" i="4"/>
  <c r="E83" i="4"/>
  <c r="D83" i="4"/>
  <c r="C83" i="4"/>
  <c r="B83" i="4"/>
  <c r="A83" i="4"/>
  <c r="G82" i="4"/>
  <c r="F82" i="4"/>
  <c r="E82" i="4"/>
  <c r="D82" i="4"/>
  <c r="C82" i="4"/>
  <c r="B82" i="4"/>
  <c r="A82" i="4"/>
  <c r="G81" i="4"/>
  <c r="F81" i="4"/>
  <c r="E81" i="4"/>
  <c r="D81" i="4"/>
  <c r="C81" i="4"/>
  <c r="B81" i="4"/>
  <c r="A81" i="4"/>
  <c r="G80" i="4"/>
  <c r="F80" i="4"/>
  <c r="E80" i="4"/>
  <c r="D80" i="4"/>
  <c r="C80" i="4"/>
  <c r="B80" i="4"/>
  <c r="A80" i="4"/>
  <c r="G79" i="4"/>
  <c r="F79" i="4"/>
  <c r="E79" i="4"/>
  <c r="D79" i="4"/>
  <c r="C79" i="4"/>
  <c r="B79" i="4"/>
  <c r="A79" i="4"/>
  <c r="G78" i="4"/>
  <c r="F78" i="4"/>
  <c r="E78" i="4"/>
  <c r="D78" i="4"/>
  <c r="C78" i="4"/>
  <c r="B78" i="4"/>
  <c r="A78" i="4"/>
  <c r="G77" i="4"/>
  <c r="F77" i="4"/>
  <c r="E77" i="4"/>
  <c r="D77" i="4"/>
  <c r="C77" i="4"/>
  <c r="B77" i="4"/>
  <c r="A77" i="4"/>
  <c r="G76" i="4"/>
  <c r="F76" i="4"/>
  <c r="E76" i="4"/>
  <c r="D76" i="4"/>
  <c r="C76" i="4"/>
  <c r="B76" i="4"/>
  <c r="A76" i="4"/>
  <c r="G75" i="4"/>
  <c r="F75" i="4"/>
  <c r="E75" i="4"/>
  <c r="D75" i="4"/>
  <c r="C75" i="4"/>
  <c r="B75" i="4"/>
  <c r="A75" i="4"/>
  <c r="G74" i="4"/>
  <c r="F74" i="4"/>
  <c r="E74" i="4"/>
  <c r="D74" i="4"/>
  <c r="C74" i="4"/>
  <c r="B74" i="4"/>
  <c r="A74" i="4"/>
  <c r="G73" i="4"/>
  <c r="F73" i="4"/>
  <c r="E73" i="4"/>
  <c r="D73" i="4"/>
  <c r="C73" i="4"/>
  <c r="B73" i="4"/>
  <c r="A73" i="4"/>
  <c r="G72" i="4"/>
  <c r="F72" i="4"/>
  <c r="E72" i="4"/>
  <c r="D72" i="4"/>
  <c r="C72" i="4"/>
  <c r="B72" i="4"/>
  <c r="A72" i="4"/>
  <c r="G71" i="4"/>
  <c r="F71" i="4"/>
  <c r="E71" i="4"/>
  <c r="D71" i="4"/>
  <c r="C71" i="4"/>
  <c r="B71" i="4"/>
  <c r="A71" i="4"/>
  <c r="G70" i="4"/>
  <c r="F70" i="4"/>
  <c r="E70" i="4"/>
  <c r="D70" i="4"/>
  <c r="C70" i="4"/>
  <c r="B70" i="4"/>
  <c r="A70" i="4"/>
  <c r="G69" i="4"/>
  <c r="F69" i="4"/>
  <c r="E69" i="4"/>
  <c r="D69" i="4"/>
  <c r="C69" i="4"/>
  <c r="B69" i="4"/>
  <c r="A69" i="4"/>
  <c r="G68" i="4"/>
  <c r="F68" i="4"/>
  <c r="E68" i="4"/>
  <c r="D68" i="4"/>
  <c r="C68" i="4"/>
  <c r="B68" i="4"/>
  <c r="A68" i="4"/>
  <c r="G67" i="4"/>
  <c r="F67" i="4"/>
  <c r="E67" i="4"/>
  <c r="D67" i="4"/>
  <c r="C67" i="4"/>
  <c r="B67" i="4"/>
  <c r="A67" i="4"/>
  <c r="G66" i="4"/>
  <c r="F66" i="4"/>
  <c r="E66" i="4"/>
  <c r="D66" i="4"/>
  <c r="C66" i="4"/>
  <c r="B66" i="4"/>
  <c r="A66" i="4"/>
  <c r="G65" i="4"/>
  <c r="F65" i="4"/>
  <c r="E65" i="4"/>
  <c r="D65" i="4"/>
  <c r="C65" i="4"/>
  <c r="B65" i="4"/>
  <c r="A65" i="4"/>
  <c r="G64" i="4"/>
  <c r="F64" i="4"/>
  <c r="E64" i="4"/>
  <c r="D64" i="4"/>
  <c r="C64" i="4"/>
  <c r="B64" i="4"/>
  <c r="A64" i="4"/>
  <c r="G63" i="4"/>
  <c r="F63" i="4"/>
  <c r="E63" i="4"/>
  <c r="D63" i="4"/>
  <c r="C63" i="4"/>
  <c r="B63" i="4"/>
  <c r="A63" i="4"/>
  <c r="G62" i="4"/>
  <c r="F62" i="4"/>
  <c r="E62" i="4"/>
  <c r="D62" i="4"/>
  <c r="C62" i="4"/>
  <c r="B62" i="4"/>
  <c r="A62" i="4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G4" i="4"/>
  <c r="F4" i="4"/>
  <c r="E4" i="4"/>
  <c r="D4" i="4"/>
  <c r="C4" i="4"/>
  <c r="B4" i="4"/>
  <c r="A4" i="4"/>
  <c r="G3" i="4"/>
  <c r="F3" i="4"/>
  <c r="E3" i="4"/>
  <c r="D3" i="4"/>
  <c r="C3" i="4"/>
  <c r="B3" i="4"/>
  <c r="A3" i="4"/>
  <c r="G2" i="4"/>
  <c r="F2" i="4"/>
  <c r="E2" i="4"/>
  <c r="D2" i="4"/>
  <c r="C2" i="4"/>
  <c r="B2" i="4"/>
  <c r="A2" i="4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G385" i="3"/>
  <c r="F385" i="3"/>
  <c r="E385" i="3"/>
  <c r="D385" i="3"/>
  <c r="C385" i="3"/>
  <c r="B385" i="3"/>
  <c r="A385" i="3"/>
  <c r="G384" i="3"/>
  <c r="F384" i="3"/>
  <c r="E384" i="3"/>
  <c r="D384" i="3"/>
  <c r="C384" i="3"/>
  <c r="B384" i="3"/>
  <c r="A384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G381" i="3"/>
  <c r="F381" i="3"/>
  <c r="E381" i="3"/>
  <c r="D381" i="3"/>
  <c r="C381" i="3"/>
  <c r="B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G373" i="3"/>
  <c r="F373" i="3"/>
  <c r="E373" i="3"/>
  <c r="D373" i="3"/>
  <c r="C373" i="3"/>
  <c r="B373" i="3"/>
  <c r="A373" i="3"/>
  <c r="G372" i="3"/>
  <c r="F372" i="3"/>
  <c r="E372" i="3"/>
  <c r="D372" i="3"/>
  <c r="C372" i="3"/>
  <c r="B372" i="3"/>
  <c r="A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B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G361" i="3"/>
  <c r="F361" i="3"/>
  <c r="E361" i="3"/>
  <c r="D361" i="3"/>
  <c r="C361" i="3"/>
  <c r="B361" i="3"/>
  <c r="A361" i="3"/>
  <c r="G360" i="3"/>
  <c r="F360" i="3"/>
  <c r="E360" i="3"/>
  <c r="D360" i="3"/>
  <c r="C360" i="3"/>
  <c r="B360" i="3"/>
  <c r="A360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G349" i="3"/>
  <c r="F349" i="3"/>
  <c r="E349" i="3"/>
  <c r="D349" i="3"/>
  <c r="C349" i="3"/>
  <c r="B349" i="3"/>
  <c r="A349" i="3"/>
  <c r="G348" i="3"/>
  <c r="F348" i="3"/>
  <c r="E348" i="3"/>
  <c r="D348" i="3"/>
  <c r="C348" i="3"/>
  <c r="B348" i="3"/>
  <c r="A348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B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G337" i="3"/>
  <c r="F337" i="3"/>
  <c r="E337" i="3"/>
  <c r="D337" i="3"/>
  <c r="C337" i="3"/>
  <c r="B337" i="3"/>
  <c r="A337" i="3"/>
  <c r="G336" i="3"/>
  <c r="F336" i="3"/>
  <c r="E336" i="3"/>
  <c r="D336" i="3"/>
  <c r="C336" i="3"/>
  <c r="B336" i="3"/>
  <c r="A336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G325" i="3"/>
  <c r="F325" i="3"/>
  <c r="E325" i="3"/>
  <c r="D325" i="3"/>
  <c r="C325" i="3"/>
  <c r="B325" i="3"/>
  <c r="A325" i="3"/>
  <c r="G324" i="3"/>
  <c r="F324" i="3"/>
  <c r="E324" i="3"/>
  <c r="D324" i="3"/>
  <c r="C324" i="3"/>
  <c r="B324" i="3"/>
  <c r="A324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G313" i="3"/>
  <c r="F313" i="3"/>
  <c r="E313" i="3"/>
  <c r="D313" i="3"/>
  <c r="C313" i="3"/>
  <c r="B313" i="3"/>
  <c r="A313" i="3"/>
  <c r="G312" i="3"/>
  <c r="F312" i="3"/>
  <c r="E312" i="3"/>
  <c r="D312" i="3"/>
  <c r="C312" i="3"/>
  <c r="B312" i="3"/>
  <c r="A312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G301" i="3"/>
  <c r="F301" i="3"/>
  <c r="E301" i="3"/>
  <c r="D301" i="3"/>
  <c r="C301" i="3"/>
  <c r="B301" i="3"/>
  <c r="A301" i="3"/>
  <c r="G300" i="3"/>
  <c r="F300" i="3"/>
  <c r="E300" i="3"/>
  <c r="D300" i="3"/>
  <c r="C300" i="3"/>
  <c r="B300" i="3"/>
  <c r="A300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G289" i="3"/>
  <c r="F289" i="3"/>
  <c r="E289" i="3"/>
  <c r="D289" i="3"/>
  <c r="C289" i="3"/>
  <c r="B289" i="3"/>
  <c r="A289" i="3"/>
  <c r="G288" i="3"/>
  <c r="F288" i="3"/>
  <c r="E288" i="3"/>
  <c r="D288" i="3"/>
  <c r="C288" i="3"/>
  <c r="B288" i="3"/>
  <c r="A288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G275" i="3"/>
  <c r="F275" i="3"/>
  <c r="E275" i="3"/>
  <c r="D275" i="3"/>
  <c r="C275" i="3"/>
  <c r="B275" i="3"/>
  <c r="A275" i="3"/>
  <c r="G274" i="3"/>
  <c r="F274" i="3"/>
  <c r="E274" i="3"/>
  <c r="D274" i="3"/>
  <c r="C274" i="3"/>
  <c r="B274" i="3"/>
  <c r="A274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G261" i="3"/>
  <c r="F261" i="3"/>
  <c r="E261" i="3"/>
  <c r="D261" i="3"/>
  <c r="C261" i="3"/>
  <c r="B261" i="3"/>
  <c r="A261" i="3"/>
  <c r="G260" i="3"/>
  <c r="F260" i="3"/>
  <c r="E260" i="3"/>
  <c r="D260" i="3"/>
  <c r="C260" i="3"/>
  <c r="B260" i="3"/>
  <c r="A260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  <c r="A2" i="3"/>
  <c r="G141" i="2"/>
  <c r="F141" i="2"/>
  <c r="E141" i="2"/>
  <c r="D141" i="2"/>
  <c r="C141" i="2"/>
  <c r="B141" i="2"/>
  <c r="A141" i="2"/>
  <c r="G140" i="2"/>
  <c r="F140" i="2"/>
  <c r="E140" i="2"/>
  <c r="D140" i="2"/>
  <c r="C140" i="2"/>
  <c r="B140" i="2"/>
  <c r="A140" i="2"/>
  <c r="G139" i="2"/>
  <c r="F139" i="2"/>
  <c r="E139" i="2"/>
  <c r="D139" i="2"/>
  <c r="C139" i="2"/>
  <c r="B139" i="2"/>
  <c r="A139" i="2"/>
  <c r="G138" i="2"/>
  <c r="F138" i="2"/>
  <c r="E138" i="2"/>
  <c r="D138" i="2"/>
  <c r="C138" i="2"/>
  <c r="B138" i="2"/>
  <c r="A138" i="2"/>
  <c r="G137" i="2"/>
  <c r="F137" i="2"/>
  <c r="E137" i="2"/>
  <c r="D137" i="2"/>
  <c r="C137" i="2"/>
  <c r="B137" i="2"/>
  <c r="A137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<sst xmlns="http://schemas.openxmlformats.org/spreadsheetml/2006/main" count="3254" uniqueCount="1839">
  <si>
    <t>ID</t>
  </si>
  <si>
    <t>Title</t>
  </si>
  <si>
    <t>URL</t>
  </si>
  <si>
    <t>Is Premium</t>
  </si>
  <si>
    <t>Acceptance %</t>
  </si>
  <si>
    <t>Difficulty</t>
  </si>
  <si>
    <t>Frequency %</t>
  </si>
  <si>
    <t>Solution Link</t>
  </si>
  <si>
    <t>Two Sum</t>
  </si>
  <si>
    <t>https://leetcode.comhttps://leetcode.com/problems/two-sum</t>
  </si>
  <si>
    <t>N</t>
  </si>
  <si>
    <t>Easy</t>
  </si>
  <si>
    <t>51.3461%;</t>
  </si>
  <si>
    <t>Add Two Numbers</t>
  </si>
  <si>
    <t>https://leetcode.comhttps://leetcode.com/problems/add-two-numbers</t>
  </si>
  <si>
    <t>Medium</t>
  </si>
  <si>
    <t>29.1345%;</t>
  </si>
  <si>
    <t>Longest Substring Without Repeating Characters</t>
  </si>
  <si>
    <t>https://leetcode.com/problems/longest-substring-without-repeating-characters</t>
  </si>
  <si>
    <t>35.6042%;</t>
  </si>
  <si>
    <t>Median of Two Sorted Arrays</t>
  </si>
  <si>
    <t>https://leetcode.com/problems/median-of-two-sorted-arrays</t>
  </si>
  <si>
    <t>Hard</t>
  </si>
  <si>
    <t>34.9848%;</t>
  </si>
  <si>
    <t>Longest Palindromic Substring</t>
  </si>
  <si>
    <t>https://leetcode.com/problems/longest-palindromic-substring</t>
  </si>
  <si>
    <t>35.2257%;</t>
  </si>
  <si>
    <t>Zigzag Conversion</t>
  </si>
  <si>
    <t>https://leetcode.com/problems/zigzag-conversion</t>
  </si>
  <si>
    <t>9.86584%;</t>
  </si>
  <si>
    <t>Reverse Integer</t>
  </si>
  <si>
    <t>https://leetcode.com/problems/reverse-integer</t>
  </si>
  <si>
    <t>13.4903%;</t>
  </si>
  <si>
    <t>String to Integer (atoi)</t>
  </si>
  <si>
    <t>https://leetcode.com/problems/string-to-integer-atoi</t>
  </si>
  <si>
    <t>12.1446%;</t>
  </si>
  <si>
    <t>Palindrome Number</t>
  </si>
  <si>
    <t>https://leetcode.com/problems/palindrome-number</t>
  </si>
  <si>
    <t>7.96144%;</t>
  </si>
  <si>
    <t>Regular Expression Matching</t>
  </si>
  <si>
    <t>https://leetcode.com/problems/regular-expression-matching</t>
  </si>
  <si>
    <t>10.2189%;</t>
  </si>
  <si>
    <t>Container With Most Water</t>
  </si>
  <si>
    <t>https://leetcode.com/problems/container-with-most-water</t>
  </si>
  <si>
    <t>22.1736%;</t>
  </si>
  <si>
    <t>Integer to Roman</t>
  </si>
  <si>
    <t>https://leetcode.com/problems/integer-to-roman</t>
  </si>
  <si>
    <t>49.3056%;</t>
  </si>
  <si>
    <t>Roman to Integer</t>
  </si>
  <si>
    <t>https://leetcode.com/problems/roman-to-integer</t>
  </si>
  <si>
    <t>34.3407%;</t>
  </si>
  <si>
    <t>Longest Common Prefix</t>
  </si>
  <si>
    <t>https://leetcode.com/problems/longest-common-prefix</t>
  </si>
  <si>
    <t>21.9424%;</t>
  </si>
  <si>
    <t>3Sum</t>
  </si>
  <si>
    <t>https://leetcode.com/problems/3sum</t>
  </si>
  <si>
    <t>23.5381%;</t>
  </si>
  <si>
    <t>3Sum Closest</t>
  </si>
  <si>
    <t>https://leetcode.com/problems/3sum-closest</t>
  </si>
  <si>
    <t>16.3659%;</t>
  </si>
  <si>
    <t>Letter Combinations of a Phone Number</t>
  </si>
  <si>
    <t>https://leetcode.com/problems/letter-combinations-of-a-phone-number</t>
  </si>
  <si>
    <t>49.0148%;</t>
  </si>
  <si>
    <t>4Sum</t>
  </si>
  <si>
    <t>https://leetcode.com/problems/4sum</t>
  </si>
  <si>
    <t>23.8879%;</t>
  </si>
  <si>
    <t>Remove Nth Node From End of List</t>
  </si>
  <si>
    <t>https://leetcode.com/problems/remove-nth-node-from-end-of-list</t>
  </si>
  <si>
    <t>7.89302%;</t>
  </si>
  <si>
    <t>Valid Parentheses</t>
  </si>
  <si>
    <t>https://leetcode.com/problems/valid-parentheses</t>
  </si>
  <si>
    <t>33.3355%;</t>
  </si>
  <si>
    <t>Merge Two Sorted Lists</t>
  </si>
  <si>
    <t>https://leetcode.com/problems/merge-two-sorted-lists</t>
  </si>
  <si>
    <t>15.4432%;</t>
  </si>
  <si>
    <t>Generate Parentheses</t>
  </si>
  <si>
    <t>https://leetcode.com/problems/generate-parentheses</t>
  </si>
  <si>
    <t>32.6884%;</t>
  </si>
  <si>
    <t>Merge k Sorted Lists</t>
  </si>
  <si>
    <t>https://leetcode.com/problems/merge-k-sorted-lists</t>
  </si>
  <si>
    <t>60.4348%;</t>
  </si>
  <si>
    <t>Swap Nodes in Pairs</t>
  </si>
  <si>
    <t>https://leetcode.com/problems/swap-nodes-in-pairs</t>
  </si>
  <si>
    <t>4.58918%;</t>
  </si>
  <si>
    <t>Reverse Nodes in k-Group</t>
  </si>
  <si>
    <t>https://leetcode.com/problems/reverse-nodes-in-k-group</t>
  </si>
  <si>
    <t>33.8612%;</t>
  </si>
  <si>
    <t>Remove Duplicates from Sorted Array</t>
  </si>
  <si>
    <t>https://leetcode.com/problems/remove-duplicates-from-sorted-array</t>
  </si>
  <si>
    <t>3.1666%;</t>
  </si>
  <si>
    <t>Remove Element</t>
  </si>
  <si>
    <t>https://leetcode.com/problems/remove-element</t>
  </si>
  <si>
    <t>0.91574%;</t>
  </si>
  <si>
    <t>Find the Index of the First Occurrence in a String</t>
  </si>
  <si>
    <t>https://leetcode.com/problems/find-the-index-of-the-first-occurrence-in-a-string</t>
  </si>
  <si>
    <t>5.46961%;</t>
  </si>
  <si>
    <t>Divide Two Integers</t>
  </si>
  <si>
    <t>https://leetcode.com/problems/divide-two-integers</t>
  </si>
  <si>
    <t>3.07981%;</t>
  </si>
  <si>
    <t>Substring with Concatenation of All Words</t>
  </si>
  <si>
    <t>https://leetcode.com/problems/substring-with-concatenation-of-all-words</t>
  </si>
  <si>
    <t>3.01616%;</t>
  </si>
  <si>
    <t>Next Permutation</t>
  </si>
  <si>
    <t>https://leetcode.com/problems/next-permutation</t>
  </si>
  <si>
    <t>27.6129%;</t>
  </si>
  <si>
    <t>Longest Valid Parentheses</t>
  </si>
  <si>
    <t>https://leetcode.com/problems/longest-valid-parentheses</t>
  </si>
  <si>
    <t>28.9085%;</t>
  </si>
  <si>
    <t>Search in Rotated Sorted Array</t>
  </si>
  <si>
    <t>https://leetcode.com/problems/search-in-rotated-sorted-array</t>
  </si>
  <si>
    <t>23.6618%;</t>
  </si>
  <si>
    <t>Find First and Last Position of Element in Sorted Array</t>
  </si>
  <si>
    <t>https://leetcode.com/problems/find-first-and-last-position-of-element-in-sorted-array</t>
  </si>
  <si>
    <t>23.5802%;</t>
  </si>
  <si>
    <t>Search Insert Position</t>
  </si>
  <si>
    <t>https://leetcode.com/problems/search-insert-position</t>
  </si>
  <si>
    <t>1.86362%;</t>
  </si>
  <si>
    <t>Valid Sudoku</t>
  </si>
  <si>
    <t>https://leetcode.com/problems/valid-sudoku</t>
  </si>
  <si>
    <t>32.0787%;</t>
  </si>
  <si>
    <t>Sudoku Solver</t>
  </si>
  <si>
    <t>https://leetcode.com/problems/sudoku-solver</t>
  </si>
  <si>
    <t>11.2049%;</t>
  </si>
  <si>
    <t>Count and Say</t>
  </si>
  <si>
    <t>https://leetcode.com/problems/count-and-say</t>
  </si>
  <si>
    <t>16.6455%;</t>
  </si>
  <si>
    <t>Combination Sum</t>
  </si>
  <si>
    <t>https://leetcode.com/problems/combination-sum</t>
  </si>
  <si>
    <t>11.805%;</t>
  </si>
  <si>
    <t>Combination Sum II</t>
  </si>
  <si>
    <t>https://leetcode.com/problems/combination-sum-ii</t>
  </si>
  <si>
    <t>4.62977%;</t>
  </si>
  <si>
    <t>First Missing Positive</t>
  </si>
  <si>
    <t>https://leetcode.com/problems/first-missing-positive</t>
  </si>
  <si>
    <t>25.4772%;</t>
  </si>
  <si>
    <t>Trapping Rain Water</t>
  </si>
  <si>
    <t>https://leetcode.com/problems/trapping-rain-water</t>
  </si>
  <si>
    <t>60.6992%;</t>
  </si>
  <si>
    <t>Multiply Strings</t>
  </si>
  <si>
    <t>https://leetcode.com/problems/multiply-strings</t>
  </si>
  <si>
    <t>1.18442%;</t>
  </si>
  <si>
    <t>Jump Game II</t>
  </si>
  <si>
    <t>https://leetcode.com/problems/jump-game-ii</t>
  </si>
  <si>
    <t>20.6912%;</t>
  </si>
  <si>
    <t>Permutations</t>
  </si>
  <si>
    <t>https://leetcode.com/problems/permutations</t>
  </si>
  <si>
    <t>22.0367%;</t>
  </si>
  <si>
    <t>Permutations II</t>
  </si>
  <si>
    <t>https://leetcode.com/problems/permutations-ii</t>
  </si>
  <si>
    <t>1.8021%;</t>
  </si>
  <si>
    <t>Rotate Image</t>
  </si>
  <si>
    <t>https://leetcode.com/problems/rotate-image</t>
  </si>
  <si>
    <t>21.5744%;</t>
  </si>
  <si>
    <t>Group Anagrams</t>
  </si>
  <si>
    <t>https://leetcode.com/problems/group-anagrams</t>
  </si>
  <si>
    <t>53.9385%;</t>
  </si>
  <si>
    <t>Pow(x, n)</t>
  </si>
  <si>
    <t>https://leetcode.com/problems/powx-n</t>
  </si>
  <si>
    <t>9.84183%;</t>
  </si>
  <si>
    <t>N-Queens</t>
  </si>
  <si>
    <t>https://leetcode.com/problems/n-queens</t>
  </si>
  <si>
    <t>19.3825%;</t>
  </si>
  <si>
    <t>Maximum Subarray</t>
  </si>
  <si>
    <t>https://leetcode.com/problems/maximum-subarray</t>
  </si>
  <si>
    <t>38.7427%;</t>
  </si>
  <si>
    <t>Spiral Matrix</t>
  </si>
  <si>
    <t>https://leetcode.com/problems/spiral-matrix</t>
  </si>
  <si>
    <t>14.6616%;</t>
  </si>
  <si>
    <t>Jump Game</t>
  </si>
  <si>
    <t>https://leetcode.com/problems/jump-game</t>
  </si>
  <si>
    <t>31.4782%;</t>
  </si>
  <si>
    <t>Merge Intervals</t>
  </si>
  <si>
    <t>https://leetcode.com/problems/merge-intervals</t>
  </si>
  <si>
    <t>41.4706%;</t>
  </si>
  <si>
    <t>Insert Interval</t>
  </si>
  <si>
    <t>https://leetcode.com/problems/insert-interval</t>
  </si>
  <si>
    <t>2.36219%;</t>
  </si>
  <si>
    <t>Length of Last Word</t>
  </si>
  <si>
    <t>https://leetcode.com/problems/length-of-last-word</t>
  </si>
  <si>
    <t>1.146%;</t>
  </si>
  <si>
    <t>Spiral Matrix II</t>
  </si>
  <si>
    <t>https://leetcode.com/problems/spiral-matrix-ii</t>
  </si>
  <si>
    <t>18.7633%;</t>
  </si>
  <si>
    <t>Permutation Sequence</t>
  </si>
  <si>
    <t>https://leetcode.com/problems/permutation-sequence</t>
  </si>
  <si>
    <t>12.4362%;</t>
  </si>
  <si>
    <t>Rotate List</t>
  </si>
  <si>
    <t>https://leetcode.com/problems/rotate-list</t>
  </si>
  <si>
    <t>6.77752%;</t>
  </si>
  <si>
    <t>Unique Paths</t>
  </si>
  <si>
    <t>https://leetcode.com/problems/unique-paths</t>
  </si>
  <si>
    <t>24.1998%;</t>
  </si>
  <si>
    <t>Unique Paths II</t>
  </si>
  <si>
    <t>https://leetcode.com/problems/unique-paths-ii</t>
  </si>
  <si>
    <t>28.0022%;</t>
  </si>
  <si>
    <t>Minimum Path Sum</t>
  </si>
  <si>
    <t>https://leetcode.com/problems/minimum-path-sum</t>
  </si>
  <si>
    <t>13.3017%;</t>
  </si>
  <si>
    <t>Valid Number</t>
  </si>
  <si>
    <t>https://leetcode.com/problems/valid-number</t>
  </si>
  <si>
    <t>5.22551%;</t>
  </si>
  <si>
    <t>Plus One</t>
  </si>
  <si>
    <t>https://leetcode.com/problems/plus-one</t>
  </si>
  <si>
    <t>1.48831%;</t>
  </si>
  <si>
    <t>Add Binary</t>
  </si>
  <si>
    <t>https://leetcode.com/problems/add-binary</t>
  </si>
  <si>
    <t>2.95509%;</t>
  </si>
  <si>
    <t>Sqrt(x)</t>
  </si>
  <si>
    <t>https://leetcode.com/problems/sqrtx</t>
  </si>
  <si>
    <t>1.7813%;</t>
  </si>
  <si>
    <t>Climbing Stairs</t>
  </si>
  <si>
    <t>https://leetcode.com/problems/climbing-stairs</t>
  </si>
  <si>
    <t>14.596%;</t>
  </si>
  <si>
    <t>Simplify Path</t>
  </si>
  <si>
    <t>https://leetcode.com/problems/simplify-path</t>
  </si>
  <si>
    <t>13.2314%;</t>
  </si>
  <si>
    <t>Edit Distance</t>
  </si>
  <si>
    <t>https://leetcode.com/problems/edit-distance</t>
  </si>
  <si>
    <t>17.5074%;</t>
  </si>
  <si>
    <t>Set Matrix Zeroes</t>
  </si>
  <si>
    <t>https://leetcode.com/problems/set-matrix-zeroes</t>
  </si>
  <si>
    <t>16.9228%;</t>
  </si>
  <si>
    <t>Search a 2D Matrix</t>
  </si>
  <si>
    <t>https://leetcode.com/problems/search-a-2d-matrix</t>
  </si>
  <si>
    <t>25.0299%;</t>
  </si>
  <si>
    <t>Sort Colors</t>
  </si>
  <si>
    <t>https://leetcode.com/problems/sort-colors</t>
  </si>
  <si>
    <t>15.6985%;</t>
  </si>
  <si>
    <t>Minimum Window Substring</t>
  </si>
  <si>
    <t>https://leetcode.com/problems/minimum-window-substring</t>
  </si>
  <si>
    <t>33.5563%;</t>
  </si>
  <si>
    <t>Subsets</t>
  </si>
  <si>
    <t>https://leetcode.com/problems/subsets</t>
  </si>
  <si>
    <t>15.2496%;</t>
  </si>
  <si>
    <t>Word Search</t>
  </si>
  <si>
    <t>https://leetcode.com/problems/word-search</t>
  </si>
  <si>
    <t>44.6295%;</t>
  </si>
  <si>
    <t>Search in Rotated Sorted Array II</t>
  </si>
  <si>
    <t>https://leetcode.com/problems/search-in-rotated-sorted-array-ii</t>
  </si>
  <si>
    <t>7.44691%;</t>
  </si>
  <si>
    <t>Remove Duplicates from Sorted List II</t>
  </si>
  <si>
    <t>https://leetcode.com/problems/remove-duplicates-from-sorted-list-ii</t>
  </si>
  <si>
    <t>4.08027%;</t>
  </si>
  <si>
    <t>Remove Duplicates from Sorted List</t>
  </si>
  <si>
    <t>https://leetcode.com/problems/remove-duplicates-from-sorted-list</t>
  </si>
  <si>
    <t>1.63519%;</t>
  </si>
  <si>
    <t>Largest Rectangle in Histogram</t>
  </si>
  <si>
    <t>https://leetcode.com/problems/largest-rectangle-in-histogram</t>
  </si>
  <si>
    <t>34.8942%;</t>
  </si>
  <si>
    <t>Maximal Rectangle</t>
  </si>
  <si>
    <t>https://leetcode.com/problems/maximal-rectangle</t>
  </si>
  <si>
    <t>18.9959%;</t>
  </si>
  <si>
    <t>Merge Sorted Array</t>
  </si>
  <si>
    <t>https://leetcode.com/problems/merge-sorted-array</t>
  </si>
  <si>
    <t>7.7498%;</t>
  </si>
  <si>
    <t>Subsets II</t>
  </si>
  <si>
    <t>https://leetcode.com/problems/subsets-ii</t>
  </si>
  <si>
    <t>9.89693%;</t>
  </si>
  <si>
    <t>Decode Ways</t>
  </si>
  <si>
    <t>https://leetcode.com/problems/decode-ways</t>
  </si>
  <si>
    <t>24.4712%;</t>
  </si>
  <si>
    <t>Reverse Linked List II</t>
  </si>
  <si>
    <t>https://leetcode.com/problems/reverse-linked-list-ii</t>
  </si>
  <si>
    <t>24.1387%;</t>
  </si>
  <si>
    <t>Restore IP Addresses</t>
  </si>
  <si>
    <t>https://leetcode.com/problems/restore-ip-addresses</t>
  </si>
  <si>
    <t>18.7251%;</t>
  </si>
  <si>
    <t>Binary Tree Inorder Traversal</t>
  </si>
  <si>
    <t>https://leetcode.com/problems/binary-tree-inorder-traversal</t>
  </si>
  <si>
    <t>6.36691%;</t>
  </si>
  <si>
    <t>Unique Binary Search Trees II</t>
  </si>
  <si>
    <t>https://leetcode.com/problems/unique-binary-search-trees-ii</t>
  </si>
  <si>
    <t>3.92098%;</t>
  </si>
  <si>
    <t>Interleaving String</t>
  </si>
  <si>
    <t>https://leetcode.com/problems/interleaving-string</t>
  </si>
  <si>
    <t>2.73105%;</t>
  </si>
  <si>
    <t>Validate Binary Search Tree</t>
  </si>
  <si>
    <t>https://leetcode.com/problems/validate-binary-search-tree</t>
  </si>
  <si>
    <t>22.7734%;</t>
  </si>
  <si>
    <t>Recover Binary Search Tree</t>
  </si>
  <si>
    <t>https://leetcode.com/problems/recover-binary-search-tree</t>
  </si>
  <si>
    <t>35.4319%;</t>
  </si>
  <si>
    <t>Same Tree</t>
  </si>
  <si>
    <t>https://leetcode.com/problems/same-tree</t>
  </si>
  <si>
    <t>5.60157%;</t>
  </si>
  <si>
    <t>Symmetric Tree</t>
  </si>
  <si>
    <t>https://leetcode.com/problems/symmetric-tree</t>
  </si>
  <si>
    <t>8.25677%;</t>
  </si>
  <si>
    <t>Binary Tree Level Order Traversal</t>
  </si>
  <si>
    <t>https://leetcode.com/problems/binary-tree-level-order-traversal</t>
  </si>
  <si>
    <t>14.2926%;</t>
  </si>
  <si>
    <t>Binary Tree Zigzag Level Order Traversal</t>
  </si>
  <si>
    <t>https://leetcode.com/problems/binary-tree-zigzag-level-order-traversal</t>
  </si>
  <si>
    <t>45.6783%;</t>
  </si>
  <si>
    <t>Maximum Depth of Binary Tree</t>
  </si>
  <si>
    <t>https://leetcode.com/problems/maximum-depth-of-binary-tree</t>
  </si>
  <si>
    <t>3.41217%;</t>
  </si>
  <si>
    <t>Construct Binary Tree from Preorder and Inorder Traversal</t>
  </si>
  <si>
    <t>https://leetcode.com/problems/construct-binary-tree-from-preorder-and-inorder-traversal</t>
  </si>
  <si>
    <t>18.6148%;</t>
  </si>
  <si>
    <t>Construct Binary Tree from Inorder and Postorder Traversal</t>
  </si>
  <si>
    <t>https://leetcode.com/problems/construct-binary-tree-from-inorder-and-postorder-traversal</t>
  </si>
  <si>
    <t>3.28802%;</t>
  </si>
  <si>
    <t>Binary Tree Level Order Traversal II</t>
  </si>
  <si>
    <t>https://leetcode.com/problems/binary-tree-level-order-traversal-ii</t>
  </si>
  <si>
    <t>9.3649%;</t>
  </si>
  <si>
    <t>Convert Sorted Array to Binary Search Tree</t>
  </si>
  <si>
    <t>https://leetcode.com/problems/convert-sorted-array-to-binary-search-tree</t>
  </si>
  <si>
    <t>5.35869%;</t>
  </si>
  <si>
    <t>Minimum Depth of Binary Tree</t>
  </si>
  <si>
    <t>https://leetcode.com/problems/minimum-depth-of-binary-tree</t>
  </si>
  <si>
    <t>2.68755%;</t>
  </si>
  <si>
    <t>Path Sum</t>
  </si>
  <si>
    <t>https://leetcode.com/problems/path-sum</t>
  </si>
  <si>
    <t>7.29483%;</t>
  </si>
  <si>
    <t>Path Sum II</t>
  </si>
  <si>
    <t>https://leetcode.com/problems/path-sum-ii</t>
  </si>
  <si>
    <t>13.4513%;</t>
  </si>
  <si>
    <t>Flatten Binary Tree to Linked List</t>
  </si>
  <si>
    <t>https://leetcode.com/problems/flatten-binary-tree-to-linked-list</t>
  </si>
  <si>
    <t>28.6009%;</t>
  </si>
  <si>
    <t>Populating Next Right Pointers in Each Node</t>
  </si>
  <si>
    <t>https://leetcode.com/problems/populating-next-right-pointers-in-each-node</t>
  </si>
  <si>
    <t>10.5132%;</t>
  </si>
  <si>
    <t>Populating Next Right Pointers in Each Node II</t>
  </si>
  <si>
    <t>https://leetcode.com/problems/populating-next-right-pointers-in-each-node-ii</t>
  </si>
  <si>
    <t>10.136%;</t>
  </si>
  <si>
    <t>Pascal's Triangle</t>
  </si>
  <si>
    <t>https://leetcode.com/problems/pascals-triangle</t>
  </si>
  <si>
    <t>17.5763%;</t>
  </si>
  <si>
    <t>Pascal's Triangle II</t>
  </si>
  <si>
    <t>https://leetcode.com/problems/pascals-triangle-ii</t>
  </si>
  <si>
    <t>3.35164%;</t>
  </si>
  <si>
    <t>Triangle</t>
  </si>
  <si>
    <t>https://leetcode.com/problems/triangle</t>
  </si>
  <si>
    <t>15.9416%;</t>
  </si>
  <si>
    <t>Best Time to Buy and Sell Stock</t>
  </si>
  <si>
    <t>https://leetcode.com/problems/best-time-to-buy-and-sell-stock</t>
  </si>
  <si>
    <t>38.0873%;</t>
  </si>
  <si>
    <t>Best Time to Buy and Sell Stock II</t>
  </si>
  <si>
    <t>https://leetcode.com/problems/best-time-to-buy-and-sell-stock-ii</t>
  </si>
  <si>
    <t>14.9094%;</t>
  </si>
  <si>
    <t>Best Time to Buy and Sell Stock III</t>
  </si>
  <si>
    <t>https://leetcode.com/problems/best-time-to-buy-and-sell-stock-iii</t>
  </si>
  <si>
    <t>21.9623%;</t>
  </si>
  <si>
    <t>Binary Tree Maximum Path Sum</t>
  </si>
  <si>
    <t>https://leetcode.com/problems/binary-tree-maximum-path-sum</t>
  </si>
  <si>
    <t>10.6127%;</t>
  </si>
  <si>
    <t>Valid Palindrome</t>
  </si>
  <si>
    <t>https://leetcode.com/problems/valid-palindrome</t>
  </si>
  <si>
    <t>0.355141%;</t>
  </si>
  <si>
    <t>Word Ladder II</t>
  </si>
  <si>
    <t>https://leetcode.com/problems/word-ladder-ii</t>
  </si>
  <si>
    <t>45.6066%;</t>
  </si>
  <si>
    <t>Word Ladder</t>
  </si>
  <si>
    <t>https://leetcode.com/problems/word-ladder</t>
  </si>
  <si>
    <t>67.7724%;</t>
  </si>
  <si>
    <t>Longest Consecutive Sequence</t>
  </si>
  <si>
    <t>https://leetcode.com/problems/longest-consecutive-sequence</t>
  </si>
  <si>
    <t>23.8238%;</t>
  </si>
  <si>
    <t>Sum Root to Leaf Numbers</t>
  </si>
  <si>
    <t>https://leetcode.com/problems/sum-root-to-leaf-numbers</t>
  </si>
  <si>
    <t>3.09701%;</t>
  </si>
  <si>
    <t>Surrounded Regions</t>
  </si>
  <si>
    <t>https://leetcode.com/problems/surrounded-regions</t>
  </si>
  <si>
    <t>9.20236%;</t>
  </si>
  <si>
    <t>Palindrome Partitioning</t>
  </si>
  <si>
    <t>https://leetcode.com/problems/palindrome-partitioning</t>
  </si>
  <si>
    <t>12.3657%;</t>
  </si>
  <si>
    <t>Palindrome Partitioning II</t>
  </si>
  <si>
    <t>https://leetcode.com/problems/palindrome-partitioning-ii</t>
  </si>
  <si>
    <t>4.75731%;</t>
  </si>
  <si>
    <t>Clone Graph</t>
  </si>
  <si>
    <t>https://leetcode.com/problems/clone-graph</t>
  </si>
  <si>
    <t>7.2969%;</t>
  </si>
  <si>
    <t>Gas Station</t>
  </si>
  <si>
    <t>https://leetcode.com/problems/gas-station</t>
  </si>
  <si>
    <t>24.4174%;</t>
  </si>
  <si>
    <t>Candy</t>
  </si>
  <si>
    <t>https://leetcode.com/problems/candy</t>
  </si>
  <si>
    <t>47.8847%;</t>
  </si>
  <si>
    <t>Single Number</t>
  </si>
  <si>
    <t>https://leetcode.com/problems/single-number</t>
  </si>
  <si>
    <t>10.5866%;</t>
  </si>
  <si>
    <t>Single Number II</t>
  </si>
  <si>
    <t>https://leetcode.com/problems/single-number-ii</t>
  </si>
  <si>
    <t>5.71668%;</t>
  </si>
  <si>
    <t>Copy List with Random Pointer</t>
  </si>
  <si>
    <t>https://leetcode.com/problems/copy-list-with-random-pointer</t>
  </si>
  <si>
    <t>55.2474%;</t>
  </si>
  <si>
    <t>Word Break</t>
  </si>
  <si>
    <t>https://leetcode.com/problems/word-break</t>
  </si>
  <si>
    <t>37.1035%;</t>
  </si>
  <si>
    <t>Word Break II</t>
  </si>
  <si>
    <t>https://leetcode.com/problems/word-break-ii</t>
  </si>
  <si>
    <t>59.804%;</t>
  </si>
  <si>
    <t>Linked List Cycle</t>
  </si>
  <si>
    <t>https://leetcode.com/problems/linked-list-cycle</t>
  </si>
  <si>
    <t>5.56001%;</t>
  </si>
  <si>
    <t>Linked List Cycle II</t>
  </si>
  <si>
    <t>https://leetcode.com/problems/linked-list-cycle-ii</t>
  </si>
  <si>
    <t>6.77774%;</t>
  </si>
  <si>
    <t>Reorder List</t>
  </si>
  <si>
    <t>https://leetcode.com/problems/reorder-list</t>
  </si>
  <si>
    <t>9.42272%;</t>
  </si>
  <si>
    <t>LRU Cache</t>
  </si>
  <si>
    <t>https://leetcode.com/problems/lru-cache</t>
  </si>
  <si>
    <t>83.3923%;</t>
  </si>
  <si>
    <t>Sort List</t>
  </si>
  <si>
    <t>https://leetcode.com/problems/sort-list</t>
  </si>
  <si>
    <t>5.46359%;</t>
  </si>
  <si>
    <t>Max Points on a Line</t>
  </si>
  <si>
    <t>https://leetcode.com/problems/max-points-on-a-line</t>
  </si>
  <si>
    <t>20.8625%;</t>
  </si>
  <si>
    <t>Evaluate Reverse Polish Notation</t>
  </si>
  <si>
    <t>https://leetcode.com/problems/evaluate-reverse-polish-notation</t>
  </si>
  <si>
    <t>29.22%;</t>
  </si>
  <si>
    <t>Reverse Words in a String</t>
  </si>
  <si>
    <t>https://leetcode.com/problems/reverse-words-in-a-string</t>
  </si>
  <si>
    <t>2.17467%;</t>
  </si>
  <si>
    <t>Maximum Product Subarray</t>
  </si>
  <si>
    <t>https://leetcode.com/problems/maximum-product-subarray</t>
  </si>
  <si>
    <t>23.4116%;</t>
  </si>
  <si>
    <t>Find Minimum in Rotated Sorted Array</t>
  </si>
  <si>
    <t>https://leetcode.com/problems/find-minimum-in-rotated-sorted-array</t>
  </si>
  <si>
    <t>9.30869%;</t>
  </si>
  <si>
    <t>Min Stack</t>
  </si>
  <si>
    <t>https://leetcode.com/problems/min-stack</t>
  </si>
  <si>
    <t>23.9141%;</t>
  </si>
  <si>
    <t>Longest Substring with At Most Two Distinct Characters</t>
  </si>
  <si>
    <t>https://leetcode.com/problems/longest-substring-with-at-most-two-distinct-characters</t>
  </si>
  <si>
    <t>Y</t>
  </si>
  <si>
    <t>15.4166%;</t>
  </si>
  <si>
    <t>Intersection of Two Linked Lists</t>
  </si>
  <si>
    <t>https://leetcode.com/problems/intersection-of-two-linked-lists</t>
  </si>
  <si>
    <t>0.858184%;</t>
  </si>
  <si>
    <t>Find Peak Element</t>
  </si>
  <si>
    <t>https://leetcode.com/problems/find-peak-element</t>
  </si>
  <si>
    <t>5.38548%;</t>
  </si>
  <si>
    <t>Compare Version Numbers</t>
  </si>
  <si>
    <t>https://leetcode.com/problems/compare-version-numbers</t>
  </si>
  <si>
    <t>29.347%;</t>
  </si>
  <si>
    <t>Two Sum II - Input Array Is Sorted</t>
  </si>
  <si>
    <t>https://leetcode.com/problems/two-sum-ii-input-array-is-sorted</t>
  </si>
  <si>
    <t>16.114%;</t>
  </si>
  <si>
    <t>Excel Sheet Column Title</t>
  </si>
  <si>
    <t>https://leetcode.com/problems/excel-sheet-column-title</t>
  </si>
  <si>
    <t>2.5692%;</t>
  </si>
  <si>
    <t>Majority Element</t>
  </si>
  <si>
    <t>https://leetcode.com/problems/majority-element</t>
  </si>
  <si>
    <t>9.48009%;</t>
  </si>
  <si>
    <t>Binary Search Tree Iterator</t>
  </si>
  <si>
    <t>https://leetcode.com/problems/binary-search-tree-iterator</t>
  </si>
  <si>
    <t>11.9399%;</t>
  </si>
  <si>
    <t>Combine Two Tables</t>
  </si>
  <si>
    <t>https://leetcode.com/problems/combine-two-tables</t>
  </si>
  <si>
    <t>3.25329%;</t>
  </si>
  <si>
    <t>Second Highest Salary</t>
  </si>
  <si>
    <t>https://leetcode.com/problems/second-highest-salary</t>
  </si>
  <si>
    <t>6.06025%;</t>
  </si>
  <si>
    <t>Nth Highest Salary</t>
  </si>
  <si>
    <t>https://leetcode.com/problems/nth-highest-salary</t>
  </si>
  <si>
    <t>12.9019%;</t>
  </si>
  <si>
    <t>Rank Scores</t>
  </si>
  <si>
    <t>https://leetcode.com/problems/rank-scores</t>
  </si>
  <si>
    <t>2.7637%;</t>
  </si>
  <si>
    <t>Largest Number</t>
  </si>
  <si>
    <t>https://leetcode.com/problems/largest-number</t>
  </si>
  <si>
    <t>11.5127%;</t>
  </si>
  <si>
    <t>Consecutive Numbers</t>
  </si>
  <si>
    <t>https://leetcode.com/problems/consecutive-numbers</t>
  </si>
  <si>
    <t>6.82667%;</t>
  </si>
  <si>
    <t>Employees Earning More Than Their Managers</t>
  </si>
  <si>
    <t>https://leetcode.com/problems/employees-earning-more-than-their-managers</t>
  </si>
  <si>
    <t>1.57702%;</t>
  </si>
  <si>
    <t>Customers Who Never Order</t>
  </si>
  <si>
    <t>https://leetcode.com/problems/customers-who-never-order</t>
  </si>
  <si>
    <t>0.688879%;</t>
  </si>
  <si>
    <t>Department Highest Salary</t>
  </si>
  <si>
    <t>https://leetcode.com/problems/department-highest-salary</t>
  </si>
  <si>
    <t>2.44257%;</t>
  </si>
  <si>
    <t>Department Top Three Salaries</t>
  </si>
  <si>
    <t>https://leetcode.com/problems/department-top-three-salaries</t>
  </si>
  <si>
    <t>16.4829%;</t>
  </si>
  <si>
    <t>Best Time to Buy and Sell Stock IV</t>
  </si>
  <si>
    <t>https://leetcode.com/problems/best-time-to-buy-and-sell-stock-iv</t>
  </si>
  <si>
    <t>23.6439%;</t>
  </si>
  <si>
    <t>Rotate Array</t>
  </si>
  <si>
    <t>https://leetcode.com/problems/rotate-array</t>
  </si>
  <si>
    <t>8.55056%;</t>
  </si>
  <si>
    <t>Reverse Bits</t>
  </si>
  <si>
    <t>https://leetcode.com/problems/reverse-bits</t>
  </si>
  <si>
    <t>7.88937%;</t>
  </si>
  <si>
    <t>Number of 1 Bits</t>
  </si>
  <si>
    <t>https://leetcode.com/problems/number-of-1-bits</t>
  </si>
  <si>
    <t>8.67044%;</t>
  </si>
  <si>
    <t>Valid Phone Numbers</t>
  </si>
  <si>
    <t>https://leetcode.com/problems/valid-phone-numbers</t>
  </si>
  <si>
    <t>9.23742%;</t>
  </si>
  <si>
    <t>Delete Duplicate Emails</t>
  </si>
  <si>
    <t>https://leetcode.com/problems/delete-duplicate-emails</t>
  </si>
  <si>
    <t>4.29197%;</t>
  </si>
  <si>
    <t>Rising Temperature</t>
  </si>
  <si>
    <t>https://leetcode.com/problems/rising-temperature</t>
  </si>
  <si>
    <t>3.93585%;</t>
  </si>
  <si>
    <t>House Robber</t>
  </si>
  <si>
    <t>https://leetcode.com/problems/house-robber</t>
  </si>
  <si>
    <t>33.7973%;</t>
  </si>
  <si>
    <t>Binary Tree Right Side View</t>
  </si>
  <si>
    <t>https://leetcode.com/problems/binary-tree-right-side-view</t>
  </si>
  <si>
    <t>24.1406%;</t>
  </si>
  <si>
    <t>Number of Islands</t>
  </si>
  <si>
    <t>https://leetcode.com/problems/number-of-islands</t>
  </si>
  <si>
    <t>80.2562%;</t>
  </si>
  <si>
    <t>Happy Number</t>
  </si>
  <si>
    <t>https://leetcode.com/problems/happy-number</t>
  </si>
  <si>
    <t>6.49479%;</t>
  </si>
  <si>
    <t>Remove Linked List Elements</t>
  </si>
  <si>
    <t>https://leetcode.com/problems/remove-linked-list-elements</t>
  </si>
  <si>
    <t>0.857125%;</t>
  </si>
  <si>
    <t>Count Primes</t>
  </si>
  <si>
    <t>https://leetcode.com/problems/count-primes</t>
  </si>
  <si>
    <t>4.23389%;</t>
  </si>
  <si>
    <t>Isomorphic Strings</t>
  </si>
  <si>
    <t>https://leetcode.com/problems/isomorphic-strings</t>
  </si>
  <si>
    <t>4.7513%;</t>
  </si>
  <si>
    <t>Reverse Linked List</t>
  </si>
  <si>
    <t>https://leetcode.com/problems/reverse-linked-list</t>
  </si>
  <si>
    <t>7.12827%;</t>
  </si>
  <si>
    <t>Course Schedule</t>
  </si>
  <si>
    <t>https://leetcode.com/problems/course-schedule</t>
  </si>
  <si>
    <t>55.8441%;</t>
  </si>
  <si>
    <t>Implement Trie (Prefix Tree)</t>
  </si>
  <si>
    <t>https://leetcode.com/problems/implement-trie-prefix-tree</t>
  </si>
  <si>
    <t>15.1699%;</t>
  </si>
  <si>
    <t>Minimum Size Subarray Sum</t>
  </si>
  <si>
    <t>https://leetcode.com/problems/minimum-size-subarray-sum</t>
  </si>
  <si>
    <t>1.13415%;</t>
  </si>
  <si>
    <t>Course Schedule II</t>
  </si>
  <si>
    <t>https://leetcode.com/problems/course-schedule-ii</t>
  </si>
  <si>
    <t>47.5932%;</t>
  </si>
  <si>
    <t>Design Add and Search Words Data Structure</t>
  </si>
  <si>
    <t>https://leetcode.com/problems/design-add-and-search-words-data-structure</t>
  </si>
  <si>
    <t>14.8327%;</t>
  </si>
  <si>
    <t>Word Search II</t>
  </si>
  <si>
    <t>https://leetcode.com/problems/word-search-ii</t>
  </si>
  <si>
    <t>42.8948%;</t>
  </si>
  <si>
    <t>House Robber II</t>
  </si>
  <si>
    <t>https://leetcode.com/problems/house-robber-ii</t>
  </si>
  <si>
    <t>2.81862%;</t>
  </si>
  <si>
    <t>Kth Largest Element in an Array</t>
  </si>
  <si>
    <t>https://leetcode.com/problems/kth-largest-element-in-an-array</t>
  </si>
  <si>
    <t>29.2225%;</t>
  </si>
  <si>
    <t>Contains Duplicate</t>
  </si>
  <si>
    <t>https://leetcode.com/problems/contains-duplicate</t>
  </si>
  <si>
    <t>15.6385%;</t>
  </si>
  <si>
    <t>The Skyline Problem</t>
  </si>
  <si>
    <t>https://leetcode.com/problems/the-skyline-problem</t>
  </si>
  <si>
    <t>6.16011%;</t>
  </si>
  <si>
    <t>Contains Duplicate II</t>
  </si>
  <si>
    <t>https://leetcode.com/problems/contains-duplicate-ii</t>
  </si>
  <si>
    <t>11.8172%;</t>
  </si>
  <si>
    <t>Contains Duplicate III</t>
  </si>
  <si>
    <t>https://leetcode.com/problems/contains-duplicate-iii</t>
  </si>
  <si>
    <t>5.74849%;</t>
  </si>
  <si>
    <t>Maximal Square</t>
  </si>
  <si>
    <t>https://leetcode.com/problems/maximal-square</t>
  </si>
  <si>
    <t>15.1382%;</t>
  </si>
  <si>
    <t>Count Complete Tree Nodes</t>
  </si>
  <si>
    <t>https://leetcode.com/problems/count-complete-tree-nodes</t>
  </si>
  <si>
    <t>3.71078%;</t>
  </si>
  <si>
    <t>Basic Calculator</t>
  </si>
  <si>
    <t>https://leetcode.com/problems/basic-calculator</t>
  </si>
  <si>
    <t>32.2893%;</t>
  </si>
  <si>
    <t>Invert Binary Tree</t>
  </si>
  <si>
    <t>https://leetcode.com/problems/invert-binary-tree</t>
  </si>
  <si>
    <t>8.37921%;</t>
  </si>
  <si>
    <t>Basic Calculator II</t>
  </si>
  <si>
    <t>https://leetcode.com/problems/basic-calculator-ii</t>
  </si>
  <si>
    <t>46.3177%;</t>
  </si>
  <si>
    <t>Kth Smallest Element in a BST</t>
  </si>
  <si>
    <t>https://leetcode.com/problems/kth-smallest-element-in-a-bst</t>
  </si>
  <si>
    <t>5.62457%;</t>
  </si>
  <si>
    <t>Power of Two</t>
  </si>
  <si>
    <t>https://leetcode.com/problems/power-of-two</t>
  </si>
  <si>
    <t>2.07361%;</t>
  </si>
  <si>
    <t>Implement Queue using Stacks</t>
  </si>
  <si>
    <t>https://leetcode.com/problems/implement-queue-using-stacks</t>
  </si>
  <si>
    <t>8.74861%;</t>
  </si>
  <si>
    <t>Palindrome Linked List</t>
  </si>
  <si>
    <t>https://leetcode.com/problems/palindrome-linked-list</t>
  </si>
  <si>
    <t>14.3147%;</t>
  </si>
  <si>
    <t>Lowest Common Ancestor of a Binary Search Tree</t>
  </si>
  <si>
    <t>https://leetcode.com/problems/lowest-common-ancestor-of-a-binary-search-tree</t>
  </si>
  <si>
    <t>7.82009%;</t>
  </si>
  <si>
    <t>Lowest Common Ancestor of a Binary Tree</t>
  </si>
  <si>
    <t>https://leetcode.com/problems/lowest-common-ancestor-of-a-binary-tree</t>
  </si>
  <si>
    <t>43.3451%;</t>
  </si>
  <si>
    <t>Delete Node in a Linked List</t>
  </si>
  <si>
    <t>https://leetcode.com/problems/delete-node-in-a-linked-list</t>
  </si>
  <si>
    <t>11.2657%;</t>
  </si>
  <si>
    <t>Product of Array Except Self</t>
  </si>
  <si>
    <t>https://leetcode.com/problems/product-of-array-except-self</t>
  </si>
  <si>
    <t>22.7322%;</t>
  </si>
  <si>
    <t>Sliding Window Maximum</t>
  </si>
  <si>
    <t>https://leetcode.com/problems/sliding-window-maximum</t>
  </si>
  <si>
    <t>55.9204%;</t>
  </si>
  <si>
    <t>Search a 2D Matrix II</t>
  </si>
  <si>
    <t>https://leetcode.com/problems/search-a-2d-matrix-ii</t>
  </si>
  <si>
    <t>13.215%;</t>
  </si>
  <si>
    <t>Valid Anagram</t>
  </si>
  <si>
    <t>https://leetcode.com/problems/valid-anagram</t>
  </si>
  <si>
    <t>22.6983%;</t>
  </si>
  <si>
    <t>Shortest Word Distance</t>
  </si>
  <si>
    <t>https://leetcode.com/problems/shortest-word-distance</t>
  </si>
  <si>
    <t>25.7592%;</t>
  </si>
  <si>
    <t>Shortest Word Distance II</t>
  </si>
  <si>
    <t>https://leetcode.com/problems/shortest-word-distance-ii</t>
  </si>
  <si>
    <t>12.2646%;</t>
  </si>
  <si>
    <t>Group Shifted Strings</t>
  </si>
  <si>
    <t>https://leetcode.com/problems/group-shifted-strings</t>
  </si>
  <si>
    <t>35.1903%;</t>
  </si>
  <si>
    <t>Meeting Rooms</t>
  </si>
  <si>
    <t>https://leetcode.com/problems/meeting-rooms</t>
  </si>
  <si>
    <t>2.93943%;</t>
  </si>
  <si>
    <t>Meeting Rooms II</t>
  </si>
  <si>
    <t>https://leetcode.com/problems/meeting-rooms-ii</t>
  </si>
  <si>
    <t>66.3116%;</t>
  </si>
  <si>
    <t>Paint House</t>
  </si>
  <si>
    <t>https://leetcode.com/problems/paint-house</t>
  </si>
  <si>
    <t>13.3308%;</t>
  </si>
  <si>
    <t>Binary Tree Paths</t>
  </si>
  <si>
    <t>https://leetcode.com/problems/binary-tree-paths</t>
  </si>
  <si>
    <t>4.8577%;</t>
  </si>
  <si>
    <t>Add Digits</t>
  </si>
  <si>
    <t>https://leetcode.com/problems/add-digits</t>
  </si>
  <si>
    <t>3.82938%;</t>
  </si>
  <si>
    <t>Graph Valid Tree</t>
  </si>
  <si>
    <t>https://leetcode.com/problems/graph-valid-tree</t>
  </si>
  <si>
    <t>3.41778%;</t>
  </si>
  <si>
    <t>Trips and Users</t>
  </si>
  <si>
    <t>https://leetcode.com/problems/trips-and-users</t>
  </si>
  <si>
    <t>5.94712%;</t>
  </si>
  <si>
    <t>Paint House II</t>
  </si>
  <si>
    <t>https://leetcode.com/problems/paint-house-ii</t>
  </si>
  <si>
    <t>10.2126%;</t>
  </si>
  <si>
    <t>Missing Number</t>
  </si>
  <si>
    <t>https://leetcode.com/problems/missing-number</t>
  </si>
  <si>
    <t>12.2701%;</t>
  </si>
  <si>
    <t>Alien Dictionary</t>
  </si>
  <si>
    <t>https://leetcode.com/problems/alien-dictionary</t>
  </si>
  <si>
    <t>20.2765%;</t>
  </si>
  <si>
    <t>Encode and Decode Strings</t>
  </si>
  <si>
    <t>https://leetcode.com/problems/encode-and-decode-strings</t>
  </si>
  <si>
    <t>5.70091%;</t>
  </si>
  <si>
    <t>Integer to English Words</t>
  </si>
  <si>
    <t>https://leetcode.com/problems/integer-to-english-words</t>
  </si>
  <si>
    <t>73.0024%;</t>
  </si>
  <si>
    <t>Find the Celebrity</t>
  </si>
  <si>
    <t>https://leetcode.com/problems/find-the-celebrity</t>
  </si>
  <si>
    <t>31.1313%;</t>
  </si>
  <si>
    <t>First Bad Version</t>
  </si>
  <si>
    <t>https://leetcode.com/problems/first-bad-version</t>
  </si>
  <si>
    <t>5.96322%;</t>
  </si>
  <si>
    <t>Perfect Squares</t>
  </si>
  <si>
    <t>https://leetcode.com/problems/perfect-squares</t>
  </si>
  <si>
    <t>16.4719%;</t>
  </si>
  <si>
    <t>Move Zeroes</t>
  </si>
  <si>
    <t>https://leetcode.com/problems/move-zeroes</t>
  </si>
  <si>
    <t>3.58278%;</t>
  </si>
  <si>
    <t>Walls and Gates</t>
  </si>
  <si>
    <t>https://leetcode.com/problems/walls-and-gates</t>
  </si>
  <si>
    <t>27.6211%;</t>
  </si>
  <si>
    <t>Find the Duplicate Number</t>
  </si>
  <si>
    <t>https://leetcode.com/problems/find-the-duplicate-number</t>
  </si>
  <si>
    <t>22.7339%;</t>
  </si>
  <si>
    <t>Game of Life</t>
  </si>
  <si>
    <t>https://leetcode.com/problems/game-of-life</t>
  </si>
  <si>
    <t>27.4639%;</t>
  </si>
  <si>
    <t>Find Median from Data Stream</t>
  </si>
  <si>
    <t>https://leetcode.com/problems/find-median-from-data-stream</t>
  </si>
  <si>
    <t>51.8142%;</t>
  </si>
  <si>
    <t>Serialize and Deserialize Binary Tree</t>
  </si>
  <si>
    <t>https://leetcode.com/problems/serialize-and-deserialize-binary-tree</t>
  </si>
  <si>
    <t>44.9716%;</t>
  </si>
  <si>
    <t>Bulls and Cows</t>
  </si>
  <si>
    <t>https://leetcode.com/problems/bulls-and-cows</t>
  </si>
  <si>
    <t>13.4028%;</t>
  </si>
  <si>
    <t>Longest Increasing Subsequence</t>
  </si>
  <si>
    <t>https://leetcode.com/problems/longest-increasing-subsequence</t>
  </si>
  <si>
    <t>7.8055%;</t>
  </si>
  <si>
    <t>Remove Invalid Parentheses</t>
  </si>
  <si>
    <t>https://leetcode.com/problems/remove-invalid-parentheses</t>
  </si>
  <si>
    <t>8.33243%;</t>
  </si>
  <si>
    <t>Range Sum Query 2D - Immutable</t>
  </si>
  <si>
    <t>https://leetcode.com/problems/range-sum-query-2d-immutable</t>
  </si>
  <si>
    <t>17.6429%;</t>
  </si>
  <si>
    <t>Number of Islands II</t>
  </si>
  <si>
    <t>https://leetcode.com/problems/number-of-islands-ii</t>
  </si>
  <si>
    <t>14.7215%;</t>
  </si>
  <si>
    <t>Range Sum Query - Mutable</t>
  </si>
  <si>
    <t>https://leetcode.com/problems/range-sum-query-mutable</t>
  </si>
  <si>
    <t>6.33026%;</t>
  </si>
  <si>
    <t>Best Time to Buy and Sell Stock with Cooldown</t>
  </si>
  <si>
    <t>https://leetcode.com/problems/best-time-to-buy-and-sell-stock-with-cooldown</t>
  </si>
  <si>
    <t>2.91471%;</t>
  </si>
  <si>
    <t>Minimum Height Trees</t>
  </si>
  <si>
    <t>https://leetcode.com/problems/minimum-height-trees</t>
  </si>
  <si>
    <t>3.63291%;</t>
  </si>
  <si>
    <t>Binary Tree Vertical Order Traversal</t>
  </si>
  <si>
    <t>https://leetcode.com/problems/binary-tree-vertical-order-traversal</t>
  </si>
  <si>
    <t>Count of Smaller Numbers After Self</t>
  </si>
  <si>
    <t>https://leetcode.com/problems/count-of-smaller-numbers-after-self</t>
  </si>
  <si>
    <t>7.87321%;</t>
  </si>
  <si>
    <t>Remove Duplicate Letters</t>
  </si>
  <si>
    <t>https://leetcode.com/problems/remove-duplicate-letters</t>
  </si>
  <si>
    <t>Maximum Product of Word Lengths</t>
  </si>
  <si>
    <t>https://leetcode.com/problems/maximum-product-of-word-lengths</t>
  </si>
  <si>
    <t>16.843%;</t>
  </si>
  <si>
    <t>Coin Change</t>
  </si>
  <si>
    <t>https://leetcode.com/problems/coin-change</t>
  </si>
  <si>
    <t>33.9647%;</t>
  </si>
  <si>
    <t>Number of Connected Components in an Undirected Graph</t>
  </si>
  <si>
    <t>https://leetcode.com/problems/number-of-connected-components-in-an-undirected-graph</t>
  </si>
  <si>
    <t>10.8714%;</t>
  </si>
  <si>
    <t>Wiggle Sort II</t>
  </si>
  <si>
    <t>https://leetcode.com/problems/wiggle-sort-ii</t>
  </si>
  <si>
    <t>13.6992%;</t>
  </si>
  <si>
    <t>Odd Even Linked List</t>
  </si>
  <si>
    <t>https://leetcode.com/problems/odd-even-linked-list</t>
  </si>
  <si>
    <t>9.06481%;</t>
  </si>
  <si>
    <t>Longest Increasing Path in a Matrix</t>
  </si>
  <si>
    <t>https://leetcode.com/problems/longest-increasing-path-in-a-matrix</t>
  </si>
  <si>
    <t>21.0655%;</t>
  </si>
  <si>
    <t>Reconstruct Itinerary</t>
  </si>
  <si>
    <t>https://leetcode.com/problems/reconstruct-itinerary</t>
  </si>
  <si>
    <t>5.10941%;</t>
  </si>
  <si>
    <t>Largest BST Subtree</t>
  </si>
  <si>
    <t>https://leetcode.com/problems/largest-bst-subtree</t>
  </si>
  <si>
    <t>15.0606%;</t>
  </si>
  <si>
    <t>Palindrome Pairs</t>
  </si>
  <si>
    <t>https://leetcode.com/problems/palindrome-pairs</t>
  </si>
  <si>
    <t>11.2349%;</t>
  </si>
  <si>
    <t>House Robber III</t>
  </si>
  <si>
    <t>https://leetcode.com/problems/house-robber-iii</t>
  </si>
  <si>
    <t>30.4706%;</t>
  </si>
  <si>
    <t>Nested List Weight Sum</t>
  </si>
  <si>
    <t>https://leetcode.com/problems/nested-list-weight-sum</t>
  </si>
  <si>
    <t>14.6484%;</t>
  </si>
  <si>
    <t>Longest Substring with At Most K Distinct Characters</t>
  </si>
  <si>
    <t>https://leetcode.com/problems/longest-substring-with-at-most-k-distinct-characters</t>
  </si>
  <si>
    <t>29.4431%;</t>
  </si>
  <si>
    <t>Power of Four</t>
  </si>
  <si>
    <t>https://leetcode.com/problems/power-of-four</t>
  </si>
  <si>
    <t>1.98784%;</t>
  </si>
  <si>
    <t>Reverse String</t>
  </si>
  <si>
    <t>https://leetcode.com/problems/reverse-string</t>
  </si>
  <si>
    <t>2.67007%;</t>
  </si>
  <si>
    <t>Moving Average from Data Stream</t>
  </si>
  <si>
    <t>https://leetcode.com/problems/moving-average-from-data-stream</t>
  </si>
  <si>
    <t>12.5469%;</t>
  </si>
  <si>
    <t>Top K Frequent Elements</t>
  </si>
  <si>
    <t>https://leetcode.com/problems/top-k-frequent-elements</t>
  </si>
  <si>
    <t>36.1359%;</t>
  </si>
  <si>
    <t>Design Tic-Tac-Toe</t>
  </si>
  <si>
    <t>https://leetcode.com/problems/design-tic-tac-toe</t>
  </si>
  <si>
    <t>50.7365%;</t>
  </si>
  <si>
    <t>Intersection of Two Arrays</t>
  </si>
  <si>
    <t>https://leetcode.com/problems/intersection-of-two-arrays</t>
  </si>
  <si>
    <t>6.80981%;</t>
  </si>
  <si>
    <t>Intersection of Two Arrays II</t>
  </si>
  <si>
    <t>https://leetcode.com/problems/intersection-of-two-arrays-ii</t>
  </si>
  <si>
    <t>2.94567%;</t>
  </si>
  <si>
    <t>Design Snake Game</t>
  </si>
  <si>
    <t>https://leetcode.com/problems/design-snake-game</t>
  </si>
  <si>
    <t>11.0501%;</t>
  </si>
  <si>
    <t>Russian Doll Envelopes</t>
  </si>
  <si>
    <t>https://leetcode.com/problems/russian-doll-envelopes</t>
  </si>
  <si>
    <t>14.9743%;</t>
  </si>
  <si>
    <t>Design Hit Counter</t>
  </si>
  <si>
    <t>https://leetcode.com/problems/design-hit-counter</t>
  </si>
  <si>
    <t>22.9524%;</t>
  </si>
  <si>
    <t>Max Sum of Rectangle No Larger Than K</t>
  </si>
  <si>
    <t>https://leetcode.com/problems/max-sum-of-rectangle-no-larger-than-k</t>
  </si>
  <si>
    <t>25.9837%;</t>
  </si>
  <si>
    <t>Find Leaves of Binary Tree</t>
  </si>
  <si>
    <t>https://leetcode.com/problems/find-leaves-of-binary-tree</t>
  </si>
  <si>
    <t>34.7751%;</t>
  </si>
  <si>
    <t>Valid Perfect Square</t>
  </si>
  <si>
    <t>https://leetcode.com/problems/valid-perfect-square</t>
  </si>
  <si>
    <t>11.6922%;</t>
  </si>
  <si>
    <t>Find K Pairs with Smallest Sums</t>
  </si>
  <si>
    <t>https://leetcode.com/problems/find-k-pairs-with-smallest-sums</t>
  </si>
  <si>
    <t>30.6958%;</t>
  </si>
  <si>
    <t>Combination Sum IV</t>
  </si>
  <si>
    <t>https://leetcode.com/problems/combination-sum-iv</t>
  </si>
  <si>
    <t>7.45367%;</t>
  </si>
  <si>
    <t>Kth Smallest Element in a Sorted Matrix</t>
  </si>
  <si>
    <t>https://leetcode.com/problems/kth-smallest-element-in-a-sorted-matrix</t>
  </si>
  <si>
    <t>13.5345%;</t>
  </si>
  <si>
    <t>Insert Delete GetRandom O(1)</t>
  </si>
  <si>
    <t>https://leetcode.com/problems/insert-delete-getrandom-o1</t>
  </si>
  <si>
    <t>33.9317%;</t>
  </si>
  <si>
    <t>Insert Delete GetRandom O(1) - Duplicates allowed</t>
  </si>
  <si>
    <t>https://leetcode.com/problems/insert-delete-getrandom-o1-duplicates-allowed</t>
  </si>
  <si>
    <t>11.8533%;</t>
  </si>
  <si>
    <t>Ransom Note</t>
  </si>
  <si>
    <t>https://leetcode.com/problems/ransom-note</t>
  </si>
  <si>
    <t>19.8147%;</t>
  </si>
  <si>
    <t>First Unique Character in a String</t>
  </si>
  <si>
    <t>https://leetcode.com/problems/first-unique-character-in-a-string</t>
  </si>
  <si>
    <t>20.4803%;</t>
  </si>
  <si>
    <t>Elimination Game</t>
  </si>
  <si>
    <t>https://leetcode.com/problems/elimination-game</t>
  </si>
  <si>
    <t>8.13372%;</t>
  </si>
  <si>
    <t>Is Subsequence</t>
  </si>
  <si>
    <t>https://leetcode.com/problems/is-subsequence</t>
  </si>
  <si>
    <t>4.13721%;</t>
  </si>
  <si>
    <t>Decode String</t>
  </si>
  <si>
    <t>https://leetcode.com/problems/decode-string</t>
  </si>
  <si>
    <t>24.2782%;</t>
  </si>
  <si>
    <t>Longest Substring with At Least K Repeating Characters</t>
  </si>
  <si>
    <t>https://leetcode.com/problems/longest-substring-with-at-least-k-repeating-characters</t>
  </si>
  <si>
    <t>4.36651%;</t>
  </si>
  <si>
    <t>Integer Replacement</t>
  </si>
  <si>
    <t>https://leetcode.com/problems/integer-replacement</t>
  </si>
  <si>
    <t>10.5314%;</t>
  </si>
  <si>
    <t>Evaluate Division</t>
  </si>
  <si>
    <t>https://leetcode.com/problems/evaluate-division</t>
  </si>
  <si>
    <t>50.8975%;</t>
  </si>
  <si>
    <t>Remove K Digits</t>
  </si>
  <si>
    <t>https://leetcode.com/problems/remove-k-digits</t>
  </si>
  <si>
    <t>10.9156%;</t>
  </si>
  <si>
    <t>Frog Jump</t>
  </si>
  <si>
    <t>https://leetcode.com/problems/frog-jump</t>
  </si>
  <si>
    <t>Queue Reconstruction by Height</t>
  </si>
  <si>
    <t>https://leetcode.com/problems/queue-reconstruction-by-height</t>
  </si>
  <si>
    <t>9.76992%;</t>
  </si>
  <si>
    <t>Trapping Rain Water II</t>
  </si>
  <si>
    <t>https://leetcode.com/problems/trapping-rain-water-ii</t>
  </si>
  <si>
    <t>19.8963%;</t>
  </si>
  <si>
    <t>Longest Palindrome</t>
  </si>
  <si>
    <t>https://leetcode.com/problems/longest-palindrome</t>
  </si>
  <si>
    <t>5.31245%;</t>
  </si>
  <si>
    <t>Split Array Largest Sum</t>
  </si>
  <si>
    <t>https://leetcode.com/problems/split-array-largest-sum</t>
  </si>
  <si>
    <t>Fizz Buzz</t>
  </si>
  <si>
    <t>https://leetcode.com/problems/fizz-buzz</t>
  </si>
  <si>
    <t>4.82002%;</t>
  </si>
  <si>
    <t>Third Maximum Number</t>
  </si>
  <si>
    <t>https://leetcode.com/problems/third-maximum-number</t>
  </si>
  <si>
    <t>6.44907%;</t>
  </si>
  <si>
    <t>Add Strings</t>
  </si>
  <si>
    <t>https://leetcode.com/problems/add-strings</t>
  </si>
  <si>
    <t>4.02748%;</t>
  </si>
  <si>
    <t>Partition Equal Subset Sum</t>
  </si>
  <si>
    <t>https://leetcode.com/problems/partition-equal-subset-sum</t>
  </si>
  <si>
    <t>5.05328%;</t>
  </si>
  <si>
    <t>Pacific Atlantic Water Flow</t>
  </si>
  <si>
    <t>https://leetcode.com/problems/pacific-atlantic-water-flow</t>
  </si>
  <si>
    <t>23.3085%;</t>
  </si>
  <si>
    <t>Battleships in a Board</t>
  </si>
  <si>
    <t>https://leetcode.com/problems/battleships-in-a-board</t>
  </si>
  <si>
    <t>6.05172%;</t>
  </si>
  <si>
    <t>Strong Password Checker</t>
  </si>
  <si>
    <t>https://leetcode.com/problems/strong-password-checker</t>
  </si>
  <si>
    <t>31.9628%;</t>
  </si>
  <si>
    <t>Maximum XOR of Two Numbers in an Array</t>
  </si>
  <si>
    <t>https://leetcode.com/problems/maximum-xor-of-two-numbers-in-an-array</t>
  </si>
  <si>
    <t>Longest Repeating Character Replacement</t>
  </si>
  <si>
    <t>https://leetcode.com/problems/longest-repeating-character-replacement</t>
  </si>
  <si>
    <t>All O`one Data Structure</t>
  </si>
  <si>
    <t>https://leetcode.com/problems/all-oone-data-structure</t>
  </si>
  <si>
    <t>22.5746%;</t>
  </si>
  <si>
    <t>Minimum Genetic Mutation</t>
  </si>
  <si>
    <t>https://leetcode.com/problems/minimum-genetic-mutation</t>
  </si>
  <si>
    <t>4.96245%;</t>
  </si>
  <si>
    <t>Non-overlapping Intervals</t>
  </si>
  <si>
    <t>https://leetcode.com/problems/non-overlapping-intervals</t>
  </si>
  <si>
    <t>4.10177%;</t>
  </si>
  <si>
    <t>Path Sum III</t>
  </si>
  <si>
    <t>https://leetcode.com/problems/path-sum-iii</t>
  </si>
  <si>
    <t>12.0432%;</t>
  </si>
  <si>
    <t>Find All Anagrams in a String</t>
  </si>
  <si>
    <t>https://leetcode.com/problems/find-all-anagrams-in-a-string</t>
  </si>
  <si>
    <t>19.3228%;</t>
  </si>
  <si>
    <t>Arranging Coins</t>
  </si>
  <si>
    <t>https://leetcode.com/problems/arranging-coins</t>
  </si>
  <si>
    <t>5.3795%;</t>
  </si>
  <si>
    <t>Find All Duplicates in an Array</t>
  </si>
  <si>
    <t>https://leetcode.com/problems/find-all-duplicates-in-an-array</t>
  </si>
  <si>
    <t>15.4765%;</t>
  </si>
  <si>
    <t>String Compression</t>
  </si>
  <si>
    <t>https://leetcode.com/problems/string-compression</t>
  </si>
  <si>
    <t>Add Two Numbers II</t>
  </si>
  <si>
    <t>https://leetcode.com/problems/add-two-numbers-ii</t>
  </si>
  <si>
    <t>15.6541%;</t>
  </si>
  <si>
    <t>Find All Numbers Disappeared in an Array</t>
  </si>
  <si>
    <t>https://leetcode.com/problems/find-all-numbers-disappeared-in-an-array</t>
  </si>
  <si>
    <t>1.40478%;</t>
  </si>
  <si>
    <t>Serialize and Deserialize BST</t>
  </si>
  <si>
    <t>https://leetcode.com/problems/serialize-and-deserialize-bst</t>
  </si>
  <si>
    <t>23.687%;</t>
  </si>
  <si>
    <t>Delete Node in a BST</t>
  </si>
  <si>
    <t>https://leetcode.com/problems/delete-node-in-a-bst</t>
  </si>
  <si>
    <t>2.95194%;</t>
  </si>
  <si>
    <t>Sort Characters By Frequency</t>
  </si>
  <si>
    <t>https://leetcode.com/problems/sort-characters-by-frequency</t>
  </si>
  <si>
    <t>3.27249%;</t>
  </si>
  <si>
    <t>Minimum Number of Arrows to Burst Balloons</t>
  </si>
  <si>
    <t>https://leetcode.com/problems/minimum-number-of-arrows-to-burst-balloons</t>
  </si>
  <si>
    <t>Minimum Moves to Equal Array Elements</t>
  </si>
  <si>
    <t>https://leetcode.com/problems/minimum-moves-to-equal-array-elements</t>
  </si>
  <si>
    <t>7.76389%;</t>
  </si>
  <si>
    <t>Assign Cookies</t>
  </si>
  <si>
    <t>https://leetcode.com/problems/assign-cookies</t>
  </si>
  <si>
    <t>3.21182%;</t>
  </si>
  <si>
    <t>132 Pattern</t>
  </si>
  <si>
    <t>https://leetcode.com/problems/132-pattern</t>
  </si>
  <si>
    <t>5.79688%;</t>
  </si>
  <si>
    <t>Poor Pigs</t>
  </si>
  <si>
    <t>https://leetcode.com/problems/poor-pigs</t>
  </si>
  <si>
    <t>LFU Cache</t>
  </si>
  <si>
    <t>https://leetcode.com/problems/lfu-cache</t>
  </si>
  <si>
    <t>40.1815%;</t>
  </si>
  <si>
    <t>Minimum Moves to Equal Array Elements II</t>
  </si>
  <si>
    <t>https://leetcode.com/problems/minimum-moves-to-equal-array-elements-ii</t>
  </si>
  <si>
    <t>17.4543%;</t>
  </si>
  <si>
    <t>Island Perimeter</t>
  </si>
  <si>
    <t>https://leetcode.com/problems/island-perimeter</t>
  </si>
  <si>
    <t>2.80847%;</t>
  </si>
  <si>
    <t>Optimal Account Balancing</t>
  </si>
  <si>
    <t>https://leetcode.com/problems/optimal-account-balancing</t>
  </si>
  <si>
    <t>16.6017%;</t>
  </si>
  <si>
    <t>Concatenated Words</t>
  </si>
  <si>
    <t>https://leetcode.com/problems/concatenated-words</t>
  </si>
  <si>
    <t>93.1081%;</t>
  </si>
  <si>
    <t>Ones and Zeroes</t>
  </si>
  <si>
    <t>https://leetcode.com/problems/ones-and-zeroes</t>
  </si>
  <si>
    <t>Heaters</t>
  </si>
  <si>
    <t>https://leetcode.com/problems/heaters</t>
  </si>
  <si>
    <t>11.83%;</t>
  </si>
  <si>
    <t>Sliding Window Median</t>
  </si>
  <si>
    <t>https://leetcode.com/problems/sliding-window-median</t>
  </si>
  <si>
    <t>22.7875%;</t>
  </si>
  <si>
    <t>The Maze</t>
  </si>
  <si>
    <t>https://leetcode.com/problems/the-maze</t>
  </si>
  <si>
    <t>8.23186%;</t>
  </si>
  <si>
    <t>Reverse Pairs</t>
  </si>
  <si>
    <t>https://leetcode.com/problems/reverse-pairs</t>
  </si>
  <si>
    <t>25.6173%;</t>
  </si>
  <si>
    <t>Target Sum</t>
  </si>
  <si>
    <t>https://leetcode.com/problems/target-sum</t>
  </si>
  <si>
    <t>4.668%;</t>
  </si>
  <si>
    <t>Next Greater Element I</t>
  </si>
  <si>
    <t>https://leetcode.com/problems/next-greater-element-i</t>
  </si>
  <si>
    <t>24.3059%;</t>
  </si>
  <si>
    <t>IPO</t>
  </si>
  <si>
    <t>https://leetcode.com/problems/ipo</t>
  </si>
  <si>
    <t>Next Greater Element II</t>
  </si>
  <si>
    <t>https://leetcode.com/problems/next-greater-element-ii</t>
  </si>
  <si>
    <t>28.1721%;</t>
  </si>
  <si>
    <t>Relative Ranks</t>
  </si>
  <si>
    <t>https://leetcode.com/problems/relative-ranks</t>
  </si>
  <si>
    <t>Longest Palindromic Subsequence</t>
  </si>
  <si>
    <t>https://leetcode.com/problems/longest-palindromic-subsequence</t>
  </si>
  <si>
    <t>6.09941%;</t>
  </si>
  <si>
    <t>Coin Change II</t>
  </si>
  <si>
    <t>https://leetcode.com/problems/coin-change-ii</t>
  </si>
  <si>
    <t>21.999%;</t>
  </si>
  <si>
    <t>Continuous Subarray Sum</t>
  </si>
  <si>
    <t>https://leetcode.com/problems/continuous-subarray-sum</t>
  </si>
  <si>
    <t>8.6224%;</t>
  </si>
  <si>
    <t>Contiguous Array</t>
  </si>
  <si>
    <t>https://leetcode.com/problems/contiguous-array</t>
  </si>
  <si>
    <t>6.51018%;</t>
  </si>
  <si>
    <t>Word Abbreviation</t>
  </si>
  <si>
    <t>https://leetcode.com/problems/word-abbreviation</t>
  </si>
  <si>
    <t>46.2616%;</t>
  </si>
  <si>
    <t>Minesweeper</t>
  </si>
  <si>
    <t>https://leetcode.com/problems/minesweeper</t>
  </si>
  <si>
    <t>9.11345%;</t>
  </si>
  <si>
    <t>Minimum Absolute Difference in BST</t>
  </si>
  <si>
    <t>https://leetcode.com/problems/minimum-absolute-difference-in-bst</t>
  </si>
  <si>
    <t>4.53854%;</t>
  </si>
  <si>
    <t>Lonely Pixel I</t>
  </si>
  <si>
    <t>https://leetcode.com/problems/lonely-pixel-i</t>
  </si>
  <si>
    <t>33.0855%;</t>
  </si>
  <si>
    <t>Convert BST to Greater Tree</t>
  </si>
  <si>
    <t>https://leetcode.com/problems/convert-bst-to-greater-tree</t>
  </si>
  <si>
    <t>35.1133%;</t>
  </si>
  <si>
    <t>Minimum Time Difference</t>
  </si>
  <si>
    <t>https://leetcode.com/problems/minimum-time-difference</t>
  </si>
  <si>
    <t>Single Element in a Sorted Array</t>
  </si>
  <si>
    <t>https://leetcode.com/problems/single-element-in-a-sorted-array</t>
  </si>
  <si>
    <t>39.8822%;</t>
  </si>
  <si>
    <t>01 Matrix</t>
  </si>
  <si>
    <t>https://leetcode.com/problems/01-matrix</t>
  </si>
  <si>
    <t>20.5452%;</t>
  </si>
  <si>
    <t>Diameter of Binary Tree</t>
  </si>
  <si>
    <t>https://leetcode.com/problems/diameter-of-binary-tree</t>
  </si>
  <si>
    <t>22.305%;</t>
  </si>
  <si>
    <t>Boundary of Binary Tree</t>
  </si>
  <si>
    <t>https://leetcode.com/problems/boundary-of-binary-tree</t>
  </si>
  <si>
    <t>57.8269%;</t>
  </si>
  <si>
    <t>Number of Provinces</t>
  </si>
  <si>
    <t>https://leetcode.com/problems/number-of-provinces</t>
  </si>
  <si>
    <t>40.2711%;</t>
  </si>
  <si>
    <t>Shortest Path to Get Food</t>
  </si>
  <si>
    <t>https://leetcode.com/problems/shortest-path-to-get-food</t>
  </si>
  <si>
    <t>32.3468%;</t>
  </si>
  <si>
    <t>Next Greater Element III</t>
  </si>
  <si>
    <t>https://leetcode.com/problems/next-greater-element-iii</t>
  </si>
  <si>
    <t>42.6427%;</t>
  </si>
  <si>
    <t>Reverse Words in a String III</t>
  </si>
  <si>
    <t>https://leetcode.com/problems/reverse-words-in-a-string-iii</t>
  </si>
  <si>
    <t>1.39351%;</t>
  </si>
  <si>
    <t>Subarray Sum Equals K</t>
  </si>
  <si>
    <t>https://leetcode.com/problems/subarray-sum-equals-k</t>
  </si>
  <si>
    <t>32.0896%;</t>
  </si>
  <si>
    <t>Permutation in String</t>
  </si>
  <si>
    <t>https://leetcode.com/problems/permutation-in-string</t>
  </si>
  <si>
    <t>8.5413%;</t>
  </si>
  <si>
    <t>Subtree of Another Tree</t>
  </si>
  <si>
    <t>https://leetcode.com/problems/subtree-of-another-tree</t>
  </si>
  <si>
    <t>9.94543%;</t>
  </si>
  <si>
    <t>Out of Boundary Paths</t>
  </si>
  <si>
    <t>https://leetcode.com/problems/out-of-boundary-paths</t>
  </si>
  <si>
    <t>14.3983%;</t>
  </si>
  <si>
    <t>Shortest Unsorted Continuous Subarray</t>
  </si>
  <si>
    <t>https://leetcode.com/problems/shortest-unsorted-continuous-subarray</t>
  </si>
  <si>
    <t>18.6643%;</t>
  </si>
  <si>
    <t>Delete Operation for Two Strings</t>
  </si>
  <si>
    <t>https://leetcode.com/problems/delete-operation-for-two-strings</t>
  </si>
  <si>
    <t>4.4797%;</t>
  </si>
  <si>
    <t>Find Customer Referee</t>
  </si>
  <si>
    <t>https://leetcode.com/problems/find-customer-referee</t>
  </si>
  <si>
    <t>1.6369%;</t>
  </si>
  <si>
    <t>Design In-Memory File System</t>
  </si>
  <si>
    <t>https://leetcode.com/problems/design-in-memory-file-system</t>
  </si>
  <si>
    <t>65.327%;</t>
  </si>
  <si>
    <t>Big Countries</t>
  </si>
  <si>
    <t>https://leetcode.com/problems/big-countries</t>
  </si>
  <si>
    <t>3.40434%;</t>
  </si>
  <si>
    <t>Consecutive Available Seats</t>
  </si>
  <si>
    <t>https://leetcode.com/problems/consecutive-available-seats</t>
  </si>
  <si>
    <t>9.49603%;</t>
  </si>
  <si>
    <t>Construct String from Binary Tree</t>
  </si>
  <si>
    <t>https://leetcode.com/problems/construct-string-from-binary-tree</t>
  </si>
  <si>
    <t>6.2725%;</t>
  </si>
  <si>
    <t>Find Duplicate File in System</t>
  </si>
  <si>
    <t>https://leetcode.com/problems/find-duplicate-file-in-system</t>
  </si>
  <si>
    <t>14.0897%;</t>
  </si>
  <si>
    <t>Students Report By Geography</t>
  </si>
  <si>
    <t>https://leetcode.com/problems/students-report-by-geography</t>
  </si>
  <si>
    <t>26.6516%;</t>
  </si>
  <si>
    <t>Task Scheduler</t>
  </si>
  <si>
    <t>https://leetcode.com/problems/task-scheduler</t>
  </si>
  <si>
    <t>18.1911%;</t>
  </si>
  <si>
    <t>Add One Row to Tree</t>
  </si>
  <si>
    <t>https://leetcode.com/problems/add-one-row-to-tree</t>
  </si>
  <si>
    <t>11.6245%;</t>
  </si>
  <si>
    <t>Maximum Product of Three Numbers</t>
  </si>
  <si>
    <t>https://leetcode.com/problems/maximum-product-of-three-numbers</t>
  </si>
  <si>
    <t>6.24716%;</t>
  </si>
  <si>
    <t>Smallest Range Covering Elements from K Lists</t>
  </si>
  <si>
    <t>https://leetcode.com/problems/smallest-range-covering-elements-from-k-lists</t>
  </si>
  <si>
    <t>43.5016%;</t>
  </si>
  <si>
    <t>Exclusive Time of Functions</t>
  </si>
  <si>
    <t>https://leetcode.com/problems/exclusive-time-of-functions</t>
  </si>
  <si>
    <t>22.4815%;</t>
  </si>
  <si>
    <t>Design Search Autocomplete System</t>
  </si>
  <si>
    <t>https://leetcode.com/problems/design-search-autocomplete-system</t>
  </si>
  <si>
    <t>22.1174%;</t>
  </si>
  <si>
    <t>Set Mismatch</t>
  </si>
  <si>
    <t>https://leetcode.com/problems/set-mismatch</t>
  </si>
  <si>
    <t>Maximum Length of Pair Chain</t>
  </si>
  <si>
    <t>https://leetcode.com/problems/maximum-length-of-pair-chain</t>
  </si>
  <si>
    <t>8.43555%;</t>
  </si>
  <si>
    <t>Palindromic Substrings</t>
  </si>
  <si>
    <t>https://leetcode.com/problems/palindromic-substrings</t>
  </si>
  <si>
    <t>Replace Words</t>
  </si>
  <si>
    <t>https://leetcode.com/problems/replace-words</t>
  </si>
  <si>
    <t>Find Duplicate Subtrees</t>
  </si>
  <si>
    <t>https://leetcode.com/problems/find-duplicate-subtrees</t>
  </si>
  <si>
    <t>7.5915%;</t>
  </si>
  <si>
    <t>Two Sum IV - Input is a BST</t>
  </si>
  <si>
    <t>https://leetcode.com/problems/two-sum-iv-input-is-a-bst</t>
  </si>
  <si>
    <t>21.622%;</t>
  </si>
  <si>
    <t>Robot Return to Origin</t>
  </si>
  <si>
    <t>https://leetcode.com/problems/robot-return-to-origin</t>
  </si>
  <si>
    <t>Find K Closest Elements</t>
  </si>
  <si>
    <t>https://leetcode.com/problems/find-k-closest-elements</t>
  </si>
  <si>
    <t>29.1472%;</t>
  </si>
  <si>
    <t>Maximum Width of Binary Tree</t>
  </si>
  <si>
    <t>https://leetcode.com/problems/maximum-width-of-binary-tree</t>
  </si>
  <si>
    <t>9.8053%;</t>
  </si>
  <si>
    <t>Non-decreasing Array</t>
  </si>
  <si>
    <t>https://leetcode.com/problems/non-decreasing-array</t>
  </si>
  <si>
    <t>16.3908%;</t>
  </si>
  <si>
    <t>Trim a Binary Search Tree</t>
  </si>
  <si>
    <t>https://leetcode.com/problems/trim-a-binary-search-tree</t>
  </si>
  <si>
    <t>6.10543%;</t>
  </si>
  <si>
    <t>Maximum Swap</t>
  </si>
  <si>
    <t>https://leetcode.com/problems/maximum-swap</t>
  </si>
  <si>
    <t>16.6494%;</t>
  </si>
  <si>
    <t>Number of Longest Increasing Subsequence</t>
  </si>
  <si>
    <t>https://leetcode.com/problems/number-of-longest-increasing-subsequence</t>
  </si>
  <si>
    <t>18.9445%;</t>
  </si>
  <si>
    <t>Valid Parenthesis String</t>
  </si>
  <si>
    <t>https://leetcode.com/problems/valid-parenthesis-string</t>
  </si>
  <si>
    <t>4.89212%;</t>
  </si>
  <si>
    <t>Valid Palindrome II</t>
  </si>
  <si>
    <t>https://leetcode.com/problems/valid-palindrome-ii</t>
  </si>
  <si>
    <t>1.99929%;</t>
  </si>
  <si>
    <t>Next Closest Time</t>
  </si>
  <si>
    <t>https://leetcode.com/problems/next-closest-time</t>
  </si>
  <si>
    <t>27.9635%;</t>
  </si>
  <si>
    <t>Redundant Connection</t>
  </si>
  <si>
    <t>https://leetcode.com/problems/redundant-connection</t>
  </si>
  <si>
    <t>Knight Probability in Chessboard</t>
  </si>
  <si>
    <t>https://leetcode.com/problems/knight-probability-in-chessboard</t>
  </si>
  <si>
    <t>36.4372%;</t>
  </si>
  <si>
    <t>Employee Importance</t>
  </si>
  <si>
    <t>https://leetcode.com/problems/employee-importance</t>
  </si>
  <si>
    <t>Top K Frequent Words</t>
  </si>
  <si>
    <t>https://leetcode.com/problems/top-k-frequent-words</t>
  </si>
  <si>
    <t>22.9024%;</t>
  </si>
  <si>
    <t>Number of Distinct Islands</t>
  </si>
  <si>
    <t>https://leetcode.com/problems/number-of-distinct-islands</t>
  </si>
  <si>
    <t>30.1647%;</t>
  </si>
  <si>
    <t>Max Area of Island</t>
  </si>
  <si>
    <t>https://leetcode.com/problems/max-area-of-island</t>
  </si>
  <si>
    <t>25.9623%;</t>
  </si>
  <si>
    <t>Count Binary Substrings</t>
  </si>
  <si>
    <t>https://leetcode.com/problems/count-binary-substrings</t>
  </si>
  <si>
    <t>Partition to K Equal Sum Subsets</t>
  </si>
  <si>
    <t>https://leetcode.com/problems/partition-to-k-equal-sum-subsets</t>
  </si>
  <si>
    <t>17.5652%;</t>
  </si>
  <si>
    <t>Range Module</t>
  </si>
  <si>
    <t>https://leetcode.com/problems/range-module</t>
  </si>
  <si>
    <t>20.7845%;</t>
  </si>
  <si>
    <t>Max Stack</t>
  </si>
  <si>
    <t>https://leetcode.com/problems/max-stack</t>
  </si>
  <si>
    <t>18.8344%;</t>
  </si>
  <si>
    <t>Find K-th Smallest Pair Distance</t>
  </si>
  <si>
    <t>https://leetcode.com/problems/find-k-th-smallest-pair-distance</t>
  </si>
  <si>
    <t>76.9036%;</t>
  </si>
  <si>
    <t>Accounts Merge</t>
  </si>
  <si>
    <t>https://leetcode.com/problems/accounts-merge</t>
  </si>
  <si>
    <t>19.088%;</t>
  </si>
  <si>
    <t>Find Pivot Index</t>
  </si>
  <si>
    <t>https://leetcode.com/problems/find-pivot-index</t>
  </si>
  <si>
    <t>9.07522%;</t>
  </si>
  <si>
    <t>My Calendar I</t>
  </si>
  <si>
    <t>https://leetcode.com/problems/my-calendar-i</t>
  </si>
  <si>
    <t>7.95471%;</t>
  </si>
  <si>
    <t>Flood Fill</t>
  </si>
  <si>
    <t>https://leetcode.com/problems/flood-fill</t>
  </si>
  <si>
    <t>23.3166%;</t>
  </si>
  <si>
    <t>Asteroid Collision</t>
  </si>
  <si>
    <t>https://leetcode.com/problems/asteroid-collision</t>
  </si>
  <si>
    <t>43.967%;</t>
  </si>
  <si>
    <t>Daily Temperatures</t>
  </si>
  <si>
    <t>https://leetcode.com/problems/daily-temperatures</t>
  </si>
  <si>
    <t>20.6549%;</t>
  </si>
  <si>
    <t>Delete and Earn</t>
  </si>
  <si>
    <t>https://leetcode.com/problems/delete-and-earn</t>
  </si>
  <si>
    <t>17.8893%;</t>
  </si>
  <si>
    <t>Network Delay Time</t>
  </si>
  <si>
    <t>https://leetcode.com/problems/network-delay-time</t>
  </si>
  <si>
    <t>2.434%;</t>
  </si>
  <si>
    <t>Min Cost Climbing Stairs</t>
  </si>
  <si>
    <t>https://leetcode.com/problems/min-cost-climbing-stairs</t>
  </si>
  <si>
    <t>4.84135%;</t>
  </si>
  <si>
    <t>Open the Lock</t>
  </si>
  <si>
    <t>https://leetcode.com/problems/open-the-lock</t>
  </si>
  <si>
    <t>17.2711%;</t>
  </si>
  <si>
    <t>N-ary Tree Level Order Traversal</t>
  </si>
  <si>
    <t>https://leetcode.com/problems/n-ary-tree-level-order-traversal</t>
  </si>
  <si>
    <t>21.0493%;</t>
  </si>
  <si>
    <t>Serialize and Deserialize N-ary Tree</t>
  </si>
  <si>
    <t>https://leetcode.com/problems/serialize-and-deserialize-n-ary-tree</t>
  </si>
  <si>
    <t>18.3486%;</t>
  </si>
  <si>
    <t>Flatten a Multilevel Doubly Linked List</t>
  </si>
  <si>
    <t>https://leetcode.com/problems/flatten-a-multilevel-doubly-linked-list</t>
  </si>
  <si>
    <t>8.08023%;</t>
  </si>
  <si>
    <t>Partition Labels</t>
  </si>
  <si>
    <t>https://leetcode.com/problems/partition-labels</t>
  </si>
  <si>
    <t>9.84095%;</t>
  </si>
  <si>
    <t>Reorganize String</t>
  </si>
  <si>
    <t>https://leetcode.com/problems/reorganize-string</t>
  </si>
  <si>
    <t>58.4964%;</t>
  </si>
  <si>
    <t>Basic Calculator III</t>
  </si>
  <si>
    <t>https://leetcode.com/problems/basic-calculator-iii</t>
  </si>
  <si>
    <t>35.9618%;</t>
  </si>
  <si>
    <t>Sliding Puzzle</t>
  </si>
  <si>
    <t>https://leetcode.com/problems/sliding-puzzle</t>
  </si>
  <si>
    <t>Kth Largest Element in a Stream</t>
  </si>
  <si>
    <t>https://leetcode.com/problems/kth-largest-element-in-a-stream</t>
  </si>
  <si>
    <t>8.28183%;</t>
  </si>
  <si>
    <t>Binary Search</t>
  </si>
  <si>
    <t>https://leetcode.com/problems/binary-search</t>
  </si>
  <si>
    <t>1.16165%;</t>
  </si>
  <si>
    <t>Swap Adjacent in LR String</t>
  </si>
  <si>
    <t>https://leetcode.com/problems/swap-adjacent-in-lr-string</t>
  </si>
  <si>
    <t>17.6689%;</t>
  </si>
  <si>
    <t>Swim in Rising Water</t>
  </si>
  <si>
    <t>https://leetcode.com/problems/swim-in-rising-water</t>
  </si>
  <si>
    <t>6.903%;</t>
  </si>
  <si>
    <t>K-th Symbol in Grammar</t>
  </si>
  <si>
    <t>https://leetcode.com/problems/k-th-symbol-in-grammar</t>
  </si>
  <si>
    <t>12.7609%;</t>
  </si>
  <si>
    <t>Rabbits in Forest</t>
  </si>
  <si>
    <t>https://leetcode.com/problems/rabbits-in-forest</t>
  </si>
  <si>
    <t>24.9931%;</t>
  </si>
  <si>
    <t>Letter Case Permutation</t>
  </si>
  <si>
    <t>https://leetcode.com/problems/letter-case-permutation</t>
  </si>
  <si>
    <t>4.56854%;</t>
  </si>
  <si>
    <t>Is Graph Bipartite?</t>
  </si>
  <si>
    <t>https://leetcode.com/problems/is-graph-bipartite</t>
  </si>
  <si>
    <t>Cheapest Flights Within K Stops</t>
  </si>
  <si>
    <t>https://leetcode.com/problems/cheapest-flights-within-k-stops</t>
  </si>
  <si>
    <t>27.5794%;</t>
  </si>
  <si>
    <t>Domino and Tromino Tiling</t>
  </si>
  <si>
    <t>https://leetcode.com/problems/domino-and-tromino-tiling</t>
  </si>
  <si>
    <t>12.7337%;</t>
  </si>
  <si>
    <t>Number of Matching Subsequences</t>
  </si>
  <si>
    <t>https://leetcode.com/problems/number-of-matching-subsequences</t>
  </si>
  <si>
    <t>Rotate String</t>
  </si>
  <si>
    <t>https://leetcode.com/problems/rotate-string</t>
  </si>
  <si>
    <t>Design HashMap</t>
  </si>
  <si>
    <t>https://leetcode.com/problems/design-hashmap</t>
  </si>
  <si>
    <t>Find Eventual Safe States</t>
  </si>
  <si>
    <t>https://leetcode.com/problems/find-eventual-safe-states</t>
  </si>
  <si>
    <t>12.673%;</t>
  </si>
  <si>
    <t>Unique Morse Code Words</t>
  </si>
  <si>
    <t>https://leetcode.com/problems/unique-morse-code-words</t>
  </si>
  <si>
    <t>Binary Tree Pruning</t>
  </si>
  <si>
    <t>https://leetcode.com/problems/binary-tree-pruning</t>
  </si>
  <si>
    <t>6.70077%;</t>
  </si>
  <si>
    <t>Bus Routes</t>
  </si>
  <si>
    <t>https://leetcode.com/problems/bus-routes</t>
  </si>
  <si>
    <t>20.383%;</t>
  </si>
  <si>
    <t>Race Car</t>
  </si>
  <si>
    <t>https://leetcode.com/problems/race-car</t>
  </si>
  <si>
    <t>53.9446%;</t>
  </si>
  <si>
    <t>Most Common Word</t>
  </si>
  <si>
    <t>https://leetcode.com/problems/most-common-word</t>
  </si>
  <si>
    <t>5.34705%;</t>
  </si>
  <si>
    <t>Binary Trees With Factors</t>
  </si>
  <si>
    <t>https://leetcode.com/problems/binary-trees-with-factors</t>
  </si>
  <si>
    <t>30.6869%;</t>
  </si>
  <si>
    <t>Most Profit Assigning Work</t>
  </si>
  <si>
    <t>https://leetcode.com/problems/most-profit-assigning-work</t>
  </si>
  <si>
    <t>13.2126%;</t>
  </si>
  <si>
    <t>Making A Large Island</t>
  </si>
  <si>
    <t>https://leetcode.com/problems/making-a-large-island</t>
  </si>
  <si>
    <t>37.7417%;</t>
  </si>
  <si>
    <t>Count Unique Characters of All Substrings of a Given String</t>
  </si>
  <si>
    <t>https://leetcode.com/problems/count-unique-characters-of-all-substrings-of-a-given-string</t>
  </si>
  <si>
    <t>87.2043%;</t>
  </si>
  <si>
    <t>Design Circular Queue</t>
  </si>
  <si>
    <t>https://leetcode.com/problems/design-circular-queue</t>
  </si>
  <si>
    <t>8.52941%;</t>
  </si>
  <si>
    <t>Robot Room Cleaner</t>
  </si>
  <si>
    <t>https://leetcode.com/problems/robot-room-cleaner</t>
  </si>
  <si>
    <t>38.88%;</t>
  </si>
  <si>
    <t>Rectangle Overlap</t>
  </si>
  <si>
    <t>https://leetcode.com/problems/rectangle-overlap</t>
  </si>
  <si>
    <t>0.590029%;</t>
  </si>
  <si>
    <t>Push Dominoes</t>
  </si>
  <si>
    <t>https://leetcode.com/problems/push-dominoes</t>
  </si>
  <si>
    <t>Keys and Rooms</t>
  </si>
  <si>
    <t>https://leetcode.com/problems/keys-and-rooms</t>
  </si>
  <si>
    <t>16.1532%;</t>
  </si>
  <si>
    <t>Shortest Path Visiting All Nodes</t>
  </si>
  <si>
    <t>https://leetcode.com/problems/shortest-path-visiting-all-nodes</t>
  </si>
  <si>
    <t>Maximize Distance to Closest Person</t>
  </si>
  <si>
    <t>https://leetcode.com/problems/maximize-distance-to-closest-person</t>
  </si>
  <si>
    <t>7.8531%;</t>
  </si>
  <si>
    <t>Peak Index in a Mountain Array</t>
  </si>
  <si>
    <t>https://leetcode.com/problems/peak-index-in-a-mountain-array</t>
  </si>
  <si>
    <t>11.0703%;</t>
  </si>
  <si>
    <t>Minimum Cost to Hire K Workers</t>
  </si>
  <si>
    <t>https://leetcode.com/problems/minimum-cost-to-hire-k-workers</t>
  </si>
  <si>
    <t>Shortest Subarray with Sum at Least K</t>
  </si>
  <si>
    <t>https://leetcode.com/problems/shortest-subarray-with-sum-at-least-k</t>
  </si>
  <si>
    <t>All Nodes Distance K in Binary Tree</t>
  </si>
  <si>
    <t>https://leetcode.com/problems/all-nodes-distance-k-in-binary-tree</t>
  </si>
  <si>
    <t>Transpose Matrix</t>
  </si>
  <si>
    <t>https://leetcode.com/problems/transpose-matrix</t>
  </si>
  <si>
    <t>8.03794%;</t>
  </si>
  <si>
    <t>Minimum Number of Refueling Stops</t>
  </si>
  <si>
    <t>https://leetcode.com/problems/minimum-number-of-refueling-stops</t>
  </si>
  <si>
    <t>38.2393%;</t>
  </si>
  <si>
    <t>Koko Eating Bananas</t>
  </si>
  <si>
    <t>https://leetcode.com/problems/koko-eating-bananas</t>
  </si>
  <si>
    <t>37.5164%;</t>
  </si>
  <si>
    <t>Middle of the Linked List</t>
  </si>
  <si>
    <t>https://leetcode.com/problems/middle-of-the-linked-list</t>
  </si>
  <si>
    <t>1.46864%;</t>
  </si>
  <si>
    <t>Random Pick with Weight</t>
  </si>
  <si>
    <t>https://leetcode.com/problems/random-pick-with-weight</t>
  </si>
  <si>
    <t>4.33911%;</t>
  </si>
  <si>
    <t>Possible Bipartition</t>
  </si>
  <si>
    <t>https://leetcode.com/problems/possible-bipartition</t>
  </si>
  <si>
    <t>Construct Binary Tree from Preorder and Postorder Traversal</t>
  </si>
  <si>
    <t>https://leetcode.com/problems/construct-binary-tree-from-preorder-and-postorder-traversal</t>
  </si>
  <si>
    <t>All Possible Full Binary Trees</t>
  </si>
  <si>
    <t>https://leetcode.com/problems/all-possible-full-binary-trees</t>
  </si>
  <si>
    <t>Maximum Frequency Stack</t>
  </si>
  <si>
    <t>https://leetcode.com/problems/maximum-frequency-stack</t>
  </si>
  <si>
    <t>33.3224%;</t>
  </si>
  <si>
    <t>Online Stock Span</t>
  </si>
  <si>
    <t>https://leetcode.com/problems/online-stock-span</t>
  </si>
  <si>
    <t>16.5506%;</t>
  </si>
  <si>
    <t>Valid Permutations for DI Sequence</t>
  </si>
  <si>
    <t>https://leetcode.com/problems/valid-permutations-for-di-sequence</t>
  </si>
  <si>
    <t>41.6627%;</t>
  </si>
  <si>
    <t>Fruit Into Baskets</t>
  </si>
  <si>
    <t>https://leetcode.com/problems/fruit-into-baskets</t>
  </si>
  <si>
    <t>Sum of Subarray Minimums</t>
  </si>
  <si>
    <t>https://leetcode.com/problems/sum-of-subarray-minimums</t>
  </si>
  <si>
    <t>44.0606%;</t>
  </si>
  <si>
    <t>Snakes and Ladders</t>
  </si>
  <si>
    <t>https://leetcode.com/problems/snakes-and-ladders</t>
  </si>
  <si>
    <t>40.7267%;</t>
  </si>
  <si>
    <t>Sort an Array</t>
  </si>
  <si>
    <t>https://leetcode.com/problems/sort-an-array</t>
  </si>
  <si>
    <t>6.68445%;</t>
  </si>
  <si>
    <t>Minimum Add to Make Parentheses Valid</t>
  </si>
  <si>
    <t>https://leetcode.com/problems/minimum-add-to-make-parentheses-valid</t>
  </si>
  <si>
    <t>4.92703%;</t>
  </si>
  <si>
    <t>Flip String to Monotone Increasing</t>
  </si>
  <si>
    <t>https://leetcode.com/problems/flip-string-to-monotone-increasing</t>
  </si>
  <si>
    <t>18.5275%;</t>
  </si>
  <si>
    <t>Unique Email Addresses</t>
  </si>
  <si>
    <t>https://leetcode.com/problems/unique-email-addresses</t>
  </si>
  <si>
    <t>3.65207%;</t>
  </si>
  <si>
    <t>Minimum Falling Path Sum</t>
  </si>
  <si>
    <t>https://leetcode.com/problems/minimum-falling-path-sum</t>
  </si>
  <si>
    <t>9.19572%;</t>
  </si>
  <si>
    <t>Shortest Bridge</t>
  </si>
  <si>
    <t>https://leetcode.com/problems/shortest-bridge</t>
  </si>
  <si>
    <t>23.5284%;</t>
  </si>
  <si>
    <t>Reorder Data in Log Files</t>
  </si>
  <si>
    <t>https://leetcode.com/problems/reorder-data-in-log-files</t>
  </si>
  <si>
    <t>91.001%;</t>
  </si>
  <si>
    <t>Valid Mountain Array</t>
  </si>
  <si>
    <t>https://leetcode.com/problems/valid-mountain-array</t>
  </si>
  <si>
    <t>3.3037%;</t>
  </si>
  <si>
    <t>Most Stones Removed with Same Row or Column</t>
  </si>
  <si>
    <t>https://leetcode.com/problems/most-stones-removed-with-same-row-or-column</t>
  </si>
  <si>
    <t>1.65598%;</t>
  </si>
  <si>
    <t>Largest Time for Given Digits</t>
  </si>
  <si>
    <t>https://leetcode.com/problems/largest-time-for-given-digits</t>
  </si>
  <si>
    <t>Verifying an Alien Dictionary</t>
  </si>
  <si>
    <t>https://leetcode.com/problems/verifying-an-alien-dictionary</t>
  </si>
  <si>
    <t>8.3894%;</t>
  </si>
  <si>
    <t>Check Completeness of a Binary Tree</t>
  </si>
  <si>
    <t>https://leetcode.com/problems/check-completeness-of-a-binary-tree</t>
  </si>
  <si>
    <t>10.3695%;</t>
  </si>
  <si>
    <t>Maximum Width Ramp</t>
  </si>
  <si>
    <t>https://leetcode.com/problems/maximum-width-ramp</t>
  </si>
  <si>
    <t>Binary Tree Cameras</t>
  </si>
  <si>
    <t>https://leetcode.com/problems/binary-tree-cameras</t>
  </si>
  <si>
    <t>28.0752%;</t>
  </si>
  <si>
    <t>Fibonacci Number</t>
  </si>
  <si>
    <t>https://leetcode.com/problems/fibonacci-number</t>
  </si>
  <si>
    <t>4.1873%;</t>
  </si>
  <si>
    <t>K Closest Points to Origin</t>
  </si>
  <si>
    <t>https://leetcode.com/problems/k-closest-points-to-origin</t>
  </si>
  <si>
    <t>70.9466%;</t>
  </si>
  <si>
    <t>Squares of a Sorted Array</t>
  </si>
  <si>
    <t>https://leetcode.com/problems/squares-of-a-sorted-array</t>
  </si>
  <si>
    <t>7.6821%;</t>
  </si>
  <si>
    <t>Distribute Coins in Binary Tree</t>
  </si>
  <si>
    <t>https://leetcode.com/problems/distribute-coins-in-binary-tree</t>
  </si>
  <si>
    <t>37.183%;</t>
  </si>
  <si>
    <t>Time Based Key-Value Store</t>
  </si>
  <si>
    <t>https://leetcode.com/problems/time-based-key-value-store</t>
  </si>
  <si>
    <t>35.3204%;</t>
  </si>
  <si>
    <t>Minimum Cost For Tickets</t>
  </si>
  <si>
    <t>https://leetcode.com/problems/minimum-cost-for-tickets</t>
  </si>
  <si>
    <t>Vertical Order Traversal of a Binary Tree</t>
  </si>
  <si>
    <t>https://leetcode.com/problems/vertical-order-traversal-of-a-binary-tree</t>
  </si>
  <si>
    <t>30.2917%;</t>
  </si>
  <si>
    <t>Satisfiability of Equality Equations</t>
  </si>
  <si>
    <t>https://leetcode.com/problems/satisfiability-of-equality-equations</t>
  </si>
  <si>
    <t>16.0961%;</t>
  </si>
  <si>
    <t>Subarrays with K Different Integers</t>
  </si>
  <si>
    <t>https://leetcode.com/problems/subarrays-with-k-different-integers</t>
  </si>
  <si>
    <t>12.6529%;</t>
  </si>
  <si>
    <t>Cousins in Binary Tree</t>
  </si>
  <si>
    <t>https://leetcode.com/problems/cousins-in-binary-tree</t>
  </si>
  <si>
    <t>19.2754%;</t>
  </si>
  <si>
    <t>Rotting Oranges</t>
  </si>
  <si>
    <t>https://leetcode.com/problems/rotting-oranges</t>
  </si>
  <si>
    <t>51.8456%;</t>
  </si>
  <si>
    <t>Max Consecutive Ones III</t>
  </si>
  <si>
    <t>https://leetcode.com/problems/max-consecutive-ones-iii</t>
  </si>
  <si>
    <t>Construct Binary Search Tree from Preorder Traversal</t>
  </si>
  <si>
    <t>https://leetcode.com/problems/construct-binary-search-tree-from-preorder-traversal</t>
  </si>
  <si>
    <t>4.45085%;</t>
  </si>
  <si>
    <t>Pairs of Songs With Total Durations Divisible by 60</t>
  </si>
  <si>
    <t>https://leetcode.com/problems/pairs-of-songs-with-total-durations-divisible-by-60</t>
  </si>
  <si>
    <t>Capacity To Ship Packages Within D Days</t>
  </si>
  <si>
    <t>https://leetcode.com/problems/capacity-to-ship-packages-within-d-days</t>
  </si>
  <si>
    <t>26.6263%;</t>
  </si>
  <si>
    <t>Missing Element in Sorted Array</t>
  </si>
  <si>
    <t>https://leetcode.com/problems/missing-element-in-sorted-array</t>
  </si>
  <si>
    <t>Binary String With Substrings Representing 1 To N</t>
  </si>
  <si>
    <t>https://leetcode.com/problems/binary-string-with-substrings-representing-1-to-n</t>
  </si>
  <si>
    <t>20.3296%;</t>
  </si>
  <si>
    <t>Number of Enclaves</t>
  </si>
  <si>
    <t>https://leetcode.com/problems/number-of-enclaves</t>
  </si>
  <si>
    <t>4.15654%;</t>
  </si>
  <si>
    <t>Two Sum Less Than K</t>
  </si>
  <si>
    <t>https://leetcode.com/problems/two-sum-less-than-k</t>
  </si>
  <si>
    <t>1.8452%;</t>
  </si>
  <si>
    <t>Maximum Difference Between Node and Ancestor</t>
  </si>
  <si>
    <t>https://leetcode.com/problems/maximum-difference-between-node-and-ancestor</t>
  </si>
  <si>
    <t>13.8268%;</t>
  </si>
  <si>
    <t>Stream of Characters</t>
  </si>
  <si>
    <t>https://leetcode.com/problems/stream-of-characters</t>
  </si>
  <si>
    <t>Minimum Swaps to Group All 1's Together</t>
  </si>
  <si>
    <t>https://leetcode.com/problems/minimum-swaps-to-group-all-1s-together</t>
  </si>
  <si>
    <t>Analyze User Website Visit Pattern</t>
  </si>
  <si>
    <t>https://leetcode.com/problems/analyze-user-website-visit-pattern</t>
  </si>
  <si>
    <t>95.3566%;</t>
  </si>
  <si>
    <t>Minimum Score Triangulation of Polygon</t>
  </si>
  <si>
    <t>https://leetcode.com/problems/minimum-score-triangulation-of-polygon</t>
  </si>
  <si>
    <t>18.0018%;</t>
  </si>
  <si>
    <t>Binary Search Tree to Greater Sum Tree</t>
  </si>
  <si>
    <t>https://leetcode.com/problems/binary-search-tree-to-greater-sum-tree</t>
  </si>
  <si>
    <t>30.5422%;</t>
  </si>
  <si>
    <t>Robot Bounded In Circle</t>
  </si>
  <si>
    <t>https://leetcode.com/problems/robot-bounded-in-circle</t>
  </si>
  <si>
    <t>34.7992%;</t>
  </si>
  <si>
    <t>Longest Duplicate Substring</t>
  </si>
  <si>
    <t>https://leetcode.com/problems/longest-duplicate-substring</t>
  </si>
  <si>
    <t>52.8976%;</t>
  </si>
  <si>
    <t>Design File System</t>
  </si>
  <si>
    <t>https://leetcode.com/problems/design-file-system</t>
  </si>
  <si>
    <t>16.2761%;</t>
  </si>
  <si>
    <t>Minimum Cost to Connect Sticks</t>
  </si>
  <si>
    <t>https://leetcode.com/problems/minimum-cost-to-connect-sticks</t>
  </si>
  <si>
    <t>49.5636%;</t>
  </si>
  <si>
    <t>Last Stone Weight</t>
  </si>
  <si>
    <t>https://leetcode.com/problems/last-stone-weight</t>
  </si>
  <si>
    <t>3.90623%;</t>
  </si>
  <si>
    <t>Remove All Adjacent Duplicates In String</t>
  </si>
  <si>
    <t>https://leetcode.com/problems/remove-all-adjacent-duplicates-in-string</t>
  </si>
  <si>
    <t>21.1364%;</t>
  </si>
  <si>
    <t>Longest String Chain</t>
  </si>
  <si>
    <t>https://leetcode.com/problems/longest-string-chain</t>
  </si>
  <si>
    <t>Minimum Knight Moves</t>
  </si>
  <si>
    <t>https://leetcode.com/problems/minimum-knight-moves</t>
  </si>
  <si>
    <t>38.1761%;</t>
  </si>
  <si>
    <t>Meeting Scheduler</t>
  </si>
  <si>
    <t>https://leetcode.com/problems/meeting-scheduler</t>
  </si>
  <si>
    <t>13.7947%;</t>
  </si>
  <si>
    <t>Shortest Path in Binary Matrix</t>
  </si>
  <si>
    <t>https://leetcode.com/problems/shortest-path-in-binary-matrix</t>
  </si>
  <si>
    <t>27.009%;</t>
  </si>
  <si>
    <t>Valid Palindrome III</t>
  </si>
  <si>
    <t>https://leetcode.com/problems/valid-palindrome-iii</t>
  </si>
  <si>
    <t>Car Pooling</t>
  </si>
  <si>
    <t>https://leetcode.com/problems/car-pooling</t>
  </si>
  <si>
    <t>17.3884%;</t>
  </si>
  <si>
    <t>Delete Nodes And Return Forest</t>
  </si>
  <si>
    <t>https://leetcode.com/problems/delete-nodes-and-return-forest</t>
  </si>
  <si>
    <t>21.3862%;</t>
  </si>
  <si>
    <t>Sequential Digits</t>
  </si>
  <si>
    <t>https://leetcode.com/problems/sequential-digits</t>
  </si>
  <si>
    <t>44.5652%;</t>
  </si>
  <si>
    <t>Minimum Cost Tree From Leaf Values</t>
  </si>
  <si>
    <t>https://leetcode.com/problems/minimum-cost-tree-from-leaf-values</t>
  </si>
  <si>
    <t>Replace Elements with Greatest Element on Right Side</t>
  </si>
  <si>
    <t>https://leetcode.com/problems/replace-elements-with-greatest-element-on-right-side</t>
  </si>
  <si>
    <t>2.18838%;</t>
  </si>
  <si>
    <t>Snapshot Array</t>
  </si>
  <si>
    <t>https://leetcode.com/problems/snapshot-array</t>
  </si>
  <si>
    <t>16.9293%;</t>
  </si>
  <si>
    <t>Longest Common Subsequence</t>
  </si>
  <si>
    <t>https://leetcode.com/problems/longest-common-subsequence</t>
  </si>
  <si>
    <t>8.98071%;</t>
  </si>
  <si>
    <t>Sort the Matrix Diagonally</t>
  </si>
  <si>
    <t>https://leetcode.com/problems/sort-the-matrix-diagonally</t>
  </si>
  <si>
    <t>Invalid Transactions</t>
  </si>
  <si>
    <t>https://leetcode.com/problems/invalid-transactions</t>
  </si>
  <si>
    <t>5.89617%;</t>
  </si>
  <si>
    <t>Number of Days Between Two Dates</t>
  </si>
  <si>
    <t>https://leetcode.com/problems/number-of-days-between-two-dates</t>
  </si>
  <si>
    <t>K-Concatenation Maximum Sum</t>
  </si>
  <si>
    <t>https://leetcode.com/problems/k-concatenation-maximum-sum</t>
  </si>
  <si>
    <t>28.2766%;</t>
  </si>
  <si>
    <t>Critical Connections in a Network</t>
  </si>
  <si>
    <t>https://leetcode.com/problems/critical-connections-in-a-network</t>
  </si>
  <si>
    <t>Reformat Department Table</t>
  </si>
  <si>
    <t>https://leetcode.com/problems/reformat-department-table</t>
  </si>
  <si>
    <t>Minimum Moves to Reach Target Score</t>
  </si>
  <si>
    <t>https://leetcode.com/problems/minimum-moves-to-reach-target-score</t>
  </si>
  <si>
    <t>Longest Happy String</t>
  </si>
  <si>
    <t>https://leetcode.com/problems/longest-happy-string</t>
  </si>
  <si>
    <t>Number of Visible People in a Queue</t>
  </si>
  <si>
    <t>https://leetcode.com/problems/number-of-visible-people-in-a-queue</t>
  </si>
  <si>
    <t>Smallest String With Swaps</t>
  </si>
  <si>
    <t>https://leetcode.com/problems/smallest-string-with-swaps</t>
  </si>
  <si>
    <t>Sort Items by Groups Respecting Dependencies</t>
  </si>
  <si>
    <t>https://leetcode.com/problems/sort-items-by-groups-respecting-dependencies</t>
  </si>
  <si>
    <t>Unique Number of Occurrences</t>
  </si>
  <si>
    <t>https://leetcode.com/problems/unique-number-of-occurrences</t>
  </si>
  <si>
    <t>24.4299%;</t>
  </si>
  <si>
    <t>Remove All Adjacent Duplicates in String II</t>
  </si>
  <si>
    <t>https://leetcode.com/problems/remove-all-adjacent-duplicates-in-string-ii</t>
  </si>
  <si>
    <t>31.6486%;</t>
  </si>
  <si>
    <t>Where Will the Ball Fall</t>
  </si>
  <si>
    <t>https://leetcode.com/problems/where-will-the-ball-fall</t>
  </si>
  <si>
    <t>Count Vowels Permutation</t>
  </si>
  <si>
    <t>https://leetcode.com/problems/count-vowels-permutation</t>
  </si>
  <si>
    <t>15.7911%;</t>
  </si>
  <si>
    <t>Maximum Profit in Job Scheduling</t>
  </si>
  <si>
    <t>https://leetcode.com/problems/maximum-profit-in-job-scheduling</t>
  </si>
  <si>
    <t>Minimum Number of Moves to Make Palindrome</t>
  </si>
  <si>
    <t>https://leetcode.com/problems/minimum-number-of-moves-to-make-palindrome</t>
  </si>
  <si>
    <t>87.7661%;</t>
  </si>
  <si>
    <t>Tuple with Same Product</t>
  </si>
  <si>
    <t>https://leetcode.com/problems/tuple-with-same-product</t>
  </si>
  <si>
    <t>First Unique Number</t>
  </si>
  <si>
    <t>https://leetcode.com/problems/first-unique-number</t>
  </si>
  <si>
    <t>35.3902%;</t>
  </si>
  <si>
    <t>Minimum Remove to Make Valid Parentheses</t>
  </si>
  <si>
    <t>https://leetcode.com/problems/minimum-remove-to-make-valid-parentheses</t>
  </si>
  <si>
    <t>Leftmost Column with at Least a One</t>
  </si>
  <si>
    <t>https://leetcode.com/problems/leftmost-column-with-at-least-a-one</t>
  </si>
  <si>
    <t>Search Suggestions System</t>
  </si>
  <si>
    <t>https://leetcode.com/problems/search-suggestions-system</t>
  </si>
  <si>
    <t>73.5862%;</t>
  </si>
  <si>
    <t>Find Winner on a Tic Tac Toe Game</t>
  </si>
  <si>
    <t>https://leetcode.com/problems/find-winner-on-a-tic-tac-toe-game</t>
  </si>
  <si>
    <t>Count Square Submatrices with All Ones</t>
  </si>
  <si>
    <t>https://leetcode.com/problems/count-square-submatrices-with-all-ones</t>
  </si>
  <si>
    <t>Shortest Path in a Grid with Obstacles Elimination</t>
  </si>
  <si>
    <t>https://leetcode.com/problems/shortest-path-in-a-grid-with-obstacles-elimination</t>
  </si>
  <si>
    <t>Jump Game III</t>
  </si>
  <si>
    <t>https://leetcode.com/problems/jump-game-iii</t>
  </si>
  <si>
    <t>5.2654%;</t>
  </si>
  <si>
    <t>Angle Between Hands of a Clock</t>
  </si>
  <si>
    <t>https://leetcode.com/problems/angle-between-hands-of-a-clock</t>
  </si>
  <si>
    <t>36.5587%;</t>
  </si>
  <si>
    <t>Jump Game IV</t>
  </si>
  <si>
    <t>https://leetcode.com/problems/jump-game-iv</t>
  </si>
  <si>
    <t>18.588%;</t>
  </si>
  <si>
    <t>Minimum Number of Taps to Open to Water a Garden</t>
  </si>
  <si>
    <t>https://leetcode.com/problems/minimum-number-of-taps-to-open-to-water-a-garden</t>
  </si>
  <si>
    <t>Minimum Difficulty of a Job Schedule</t>
  </si>
  <si>
    <t>https://leetcode.com/problems/minimum-difficulty-of-a-job-schedule</t>
  </si>
  <si>
    <t>Reduce Array Size to The Half</t>
  </si>
  <si>
    <t>https://leetcode.com/problems/reduce-array-size-to-the-half</t>
  </si>
  <si>
    <t>Maximum Product of Splitted Binary Tree</t>
  </si>
  <si>
    <t>https://leetcode.com/problems/maximum-product-of-splitted-binary-tree</t>
  </si>
  <si>
    <t>Jump Game V</t>
  </si>
  <si>
    <t>https://leetcode.com/problems/jump-game-v</t>
  </si>
  <si>
    <t>Longest ZigZag Path in a Binary Tree</t>
  </si>
  <si>
    <t>https://leetcode.com/problems/longest-zigzag-path-in-a-binary-tree</t>
  </si>
  <si>
    <t>28.929%;</t>
  </si>
  <si>
    <t>Maximum Number of Events That Can Be Attended</t>
  </si>
  <si>
    <t>https://leetcode.com/problems/maximum-number-of-events-that-can-be-attended</t>
  </si>
  <si>
    <t>8.87544%;</t>
  </si>
  <si>
    <t>Construct Target Array With Multiple Sums</t>
  </si>
  <si>
    <t>https://leetcode.com/problems/construct-target-array-with-multiple-sums</t>
  </si>
  <si>
    <t>How Many Numbers Are Smaller Than the Current Number</t>
  </si>
  <si>
    <t>https://leetcode.com/problems/how-many-numbers-are-smaller-than-the-current-number</t>
  </si>
  <si>
    <t>Find the Distance Value Between Two Arrays</t>
  </si>
  <si>
    <t>https://leetcode.com/problems/find-the-distance-value-between-two-arrays</t>
  </si>
  <si>
    <t>7.1927%;</t>
  </si>
  <si>
    <t>Maximum Performance of a Team</t>
  </si>
  <si>
    <t>https://leetcode.com/problems/maximum-performance-of-a-team</t>
  </si>
  <si>
    <t>45.6746%;</t>
  </si>
  <si>
    <t>Design Underground System</t>
  </si>
  <si>
    <t>https://leetcode.com/problems/design-underground-system</t>
  </si>
  <si>
    <t>String Matching in an Array</t>
  </si>
  <si>
    <t>https://leetcode.com/problems/string-matching-in-an-array</t>
  </si>
  <si>
    <t>Kids With the Greatest Number of Candies</t>
  </si>
  <si>
    <t>https://leetcode.com/problems/kids-with-the-greatest-number-of-candies</t>
  </si>
  <si>
    <t>2.22344%;</t>
  </si>
  <si>
    <t>Maximum Points You Can Obtain from Cards</t>
  </si>
  <si>
    <t>https://leetcode.com/problems/maximum-points-you-can-obtain-from-cards</t>
  </si>
  <si>
    <t>9.1407%;</t>
  </si>
  <si>
    <t>Count Good Nodes in Binary Tree</t>
  </si>
  <si>
    <t>https://leetcode.com/problems/count-good-nodes-in-binary-tree</t>
  </si>
  <si>
    <t>3.31953%;</t>
  </si>
  <si>
    <t>Destination City</t>
  </si>
  <si>
    <t>https://leetcode.com/problems/destination-city</t>
  </si>
  <si>
    <t>7.67671%;</t>
  </si>
  <si>
    <t>Check If a String Contains All Binary Codes of Size K</t>
  </si>
  <si>
    <t>https://leetcode.com/problems/check-if-a-string-contains-all-binary-codes-of-size-k</t>
  </si>
  <si>
    <t>13.2419%;</t>
  </si>
  <si>
    <t>Maximum Product of Two Elements in an Array</t>
  </si>
  <si>
    <t>https://leetcode.com/problems/maximum-product-of-two-elements-in-an-array</t>
  </si>
  <si>
    <t>Maximum Area of a Piece of Cake After Horizontal and Vertical Cuts</t>
  </si>
  <si>
    <t>https://leetcode.com/problems/maximum-area-of-a-piece-of-cake-after-horizontal-and-vertical-cuts</t>
  </si>
  <si>
    <t>Active Users</t>
  </si>
  <si>
    <t>https://leetcode.com/problems/active-users</t>
  </si>
  <si>
    <t>Shuffle the Array</t>
  </si>
  <si>
    <t>https://leetcode.com/problems/shuffle-the-array</t>
  </si>
  <si>
    <t>1.6062%;</t>
  </si>
  <si>
    <t>Design Browser History</t>
  </si>
  <si>
    <t>https://leetcode.com/problems/design-browser-history</t>
  </si>
  <si>
    <t>16.3493%;</t>
  </si>
  <si>
    <t>The kth Factor of n</t>
  </si>
  <si>
    <t>https://leetcode.com/problems/the-kth-factor-of-n</t>
  </si>
  <si>
    <t>Running Sum of 1d Array</t>
  </si>
  <si>
    <t>https://leetcode.com/problems/running-sum-of-1d-array</t>
  </si>
  <si>
    <t>2.17846%;</t>
  </si>
  <si>
    <t>Minimum Number of Days to Make m Bouquets</t>
  </si>
  <si>
    <t>https://leetcode.com/problems/minimum-number-of-days-to-make-m-bouquets</t>
  </si>
  <si>
    <t>14.9457%;</t>
  </si>
  <si>
    <t>Avoid Flood in The City</t>
  </si>
  <si>
    <t>https://leetcode.com/problems/avoid-flood-in-the-city</t>
  </si>
  <si>
    <t>Check If Array Pairs Are Divisible by k</t>
  </si>
  <si>
    <t>https://leetcode.com/problems/check-if-array-pairs-are-divisible-by-k</t>
  </si>
  <si>
    <t>Count Odd Numbers in an Interval Range</t>
  </si>
  <si>
    <t>https://leetcode.com/problems/count-odd-numbers-in-an-interval-range</t>
  </si>
  <si>
    <t>3.06807%;</t>
  </si>
  <si>
    <t>Number of Good Ways to Split a String</t>
  </si>
  <si>
    <t>https://leetcode.com/problems/number-of-good-ways-to-split-a-string</t>
  </si>
  <si>
    <t>Number of Good Pairs</t>
  </si>
  <si>
    <t>https://leetcode.com/problems/number-of-good-pairs</t>
  </si>
  <si>
    <t>3.20029%;</t>
  </si>
  <si>
    <t>Kth Missing Positive Number</t>
  </si>
  <si>
    <t>https://leetcode.com/problems/kth-missing-positive-number</t>
  </si>
  <si>
    <t>8.67428%;</t>
  </si>
  <si>
    <t>Minimum Cost to Cut a Stick</t>
  </si>
  <si>
    <t>https://leetcode.com/problems/minimum-cost-to-cut-a-stick</t>
  </si>
  <si>
    <t>24.6726%;</t>
  </si>
  <si>
    <t>Stone Game V</t>
  </si>
  <si>
    <t>https://leetcode.com/problems/stone-game-v</t>
  </si>
  <si>
    <t>19.6872%;</t>
  </si>
  <si>
    <t>Maximum Length of Subarray With Positive Product</t>
  </si>
  <si>
    <t>https://leetcode.com/problems/maximum-length-of-subarray-with-positive-product</t>
  </si>
  <si>
    <t>49.8045%;</t>
  </si>
  <si>
    <t>Design Parking System</t>
  </si>
  <si>
    <t>https://leetcode.com/problems/design-parking-system</t>
  </si>
  <si>
    <t>44.6967%;</t>
  </si>
  <si>
    <t>Dot Product of Two Sparse Vectors</t>
  </si>
  <si>
    <t>https://leetcode.com/problems/dot-product-of-two-sparse-vectors</t>
  </si>
  <si>
    <t>8.76113%;</t>
  </si>
  <si>
    <t>Customer Who Visited but Did Not Make Any Transactions</t>
  </si>
  <si>
    <t>https://leetcode.com/problems/customer-who-visited-but-did-not-make-any-transactions</t>
  </si>
  <si>
    <t>3.08323%;</t>
  </si>
  <si>
    <t>Even Odd Tree</t>
  </si>
  <si>
    <t>https://leetcode.com/problems/even-odd-tree</t>
  </si>
  <si>
    <t>12.4945%;</t>
  </si>
  <si>
    <t>Build Binary Expression Tree From Infix Expression</t>
  </si>
  <si>
    <t>https://leetcode.com/problems/build-binary-expression-tree-from-infix-expression</t>
  </si>
  <si>
    <t>64.3988%;</t>
  </si>
  <si>
    <t>Furthest Building You Can Reach</t>
  </si>
  <si>
    <t>https://leetcode.com/problems/furthest-building-you-can-reach</t>
  </si>
  <si>
    <t>37.5061%;</t>
  </si>
  <si>
    <t>Design an Expression Tree With Evaluate Function</t>
  </si>
  <si>
    <t>https://leetcode.com/problems/design-an-expression-tree-with-evaluate-function</t>
  </si>
  <si>
    <t>59.1473%;</t>
  </si>
  <si>
    <t>Lowest Common Ancestor of a Binary Tree III</t>
  </si>
  <si>
    <t>https://leetcode.com/problems/lowest-common-ancestor-of-a-binary-tree-iii</t>
  </si>
  <si>
    <t>22.8595%;</t>
  </si>
  <si>
    <t>Richest Customer Wealth</t>
  </si>
  <si>
    <t>https://leetcode.com/problems/richest-customer-wealth</t>
  </si>
  <si>
    <t>5.56781%;</t>
  </si>
  <si>
    <t>Find the Most Competitive Subsequence</t>
  </si>
  <si>
    <t>https://leetcode.com/problems/find-the-most-competitive-subsequence</t>
  </si>
  <si>
    <t>Concatenation of Consecutive Binary Numbers</t>
  </si>
  <si>
    <t>https://leetcode.com/problems/concatenation-of-consecutive-binary-numbers</t>
  </si>
  <si>
    <t>30.352%;</t>
  </si>
  <si>
    <t>Partitioning Into Minimum Number Of Deci-Binary Numbers</t>
  </si>
  <si>
    <t>https://leetcode.com/problems/partitioning-into-minimum-number-of-deci-binary-numbers</t>
  </si>
  <si>
    <t>4.661%;</t>
  </si>
  <si>
    <t>Jump Game VI</t>
  </si>
  <si>
    <t>https://leetcode.com/problems/jump-game-vi</t>
  </si>
  <si>
    <t>8.99283%;</t>
  </si>
  <si>
    <t>Maximum Number of Eaten Apples</t>
  </si>
  <si>
    <t>https://leetcode.com/problems/maximum-number-of-eaten-apples</t>
  </si>
  <si>
    <t>Find Minimum Time to Finish All Jobs</t>
  </si>
  <si>
    <t>https://leetcode.com/problems/find-minimum-time-to-finish-all-jobs</t>
  </si>
  <si>
    <t>Maximum Units on a Truck</t>
  </si>
  <si>
    <t>https://leetcode.com/problems/maximum-units-on-a-truck</t>
  </si>
  <si>
    <t>49.8519%;</t>
  </si>
  <si>
    <t>Check if Array Is Sorted and Rotated</t>
  </si>
  <si>
    <t>https://leetcode.com/problems/check-if-array-is-sorted-and-rotated</t>
  </si>
  <si>
    <t>Find Distance in a Binary Tree</t>
  </si>
  <si>
    <t>https://leetcode.com/problems/find-distance-in-a-binary-tree</t>
  </si>
  <si>
    <t>16.1855%;</t>
  </si>
  <si>
    <t>Recyclable and Low Fat Products</t>
  </si>
  <si>
    <t>https://leetcode.com/problems/recyclable-and-low-fat-products</t>
  </si>
  <si>
    <t>1.4831%;</t>
  </si>
  <si>
    <t>Buildings With an Ocean View</t>
  </si>
  <si>
    <t>https://leetcode.com/problems/buildings-with-an-ocean-view</t>
  </si>
  <si>
    <t>13.5124%;</t>
  </si>
  <si>
    <t>Single-Threaded CPU</t>
  </si>
  <si>
    <t>https://leetcode.com/problems/single-threaded-cpu</t>
  </si>
  <si>
    <t>Maximum Subarray Min-Product</t>
  </si>
  <si>
    <t>https://leetcode.com/problems/maximum-subarray-min-product</t>
  </si>
  <si>
    <t>Substrings of Size Three with Distinct Characters</t>
  </si>
  <si>
    <t>https://leetcode.com/problems/substrings-of-size-three-with-distinct-characters</t>
  </si>
  <si>
    <t>5.65411%;</t>
  </si>
  <si>
    <t>Sum of All Subset XOR Totals</t>
  </si>
  <si>
    <t>https://leetcode.com/problems/sum-of-all-subset-xor-totals</t>
  </si>
  <si>
    <t>Minimum Number of Swaps to Make the Binary String Alternating</t>
  </si>
  <si>
    <t>https://leetcode.com/problems/minimum-number-of-swaps-to-make-the-binary-string-alternating</t>
  </si>
  <si>
    <t>69.0576%;</t>
  </si>
  <si>
    <t>Process Tasks Using Servers</t>
  </si>
  <si>
    <t>https://leetcode.com/problems/process-tasks-using-servers</t>
  </si>
  <si>
    <t>Nearest Exit from Entrance in Maze</t>
  </si>
  <si>
    <t>https://leetcode.com/problems/nearest-exit-from-entrance-in-maze</t>
  </si>
  <si>
    <t>Remove Stones to Minimize the Total</t>
  </si>
  <si>
    <t>https://leetcode.com/problems/remove-stones-to-minimize-the-total</t>
  </si>
  <si>
    <t>Find Original Array From Doubled Array</t>
  </si>
  <si>
    <t>https://leetcode.com/problems/find-original-array-from-doubled-array</t>
  </si>
  <si>
    <t>First and Last Call On the Same Day</t>
  </si>
  <si>
    <t>https://leetcode.com/problems/first-and-last-call-on-the-same-day</t>
  </si>
  <si>
    <t>Partition Array Into Two Arrays to Minimize Sum Difference</t>
  </si>
  <si>
    <t>https://leetcode.com/problems/partition-array-into-two-arrays-to-minimize-sum-difference</t>
  </si>
  <si>
    <t>Plates Between Candles</t>
  </si>
  <si>
    <t>https://leetcode.com/problems/plates-between-candles</t>
  </si>
  <si>
    <t>80.9185%;</t>
  </si>
  <si>
    <t>Most Beautiful Item for Each Query</t>
  </si>
  <si>
    <t>https://leetcode.com/problems/most-beautiful-item-for-each-query</t>
  </si>
  <si>
    <t>23.4546%;</t>
  </si>
  <si>
    <t>Decode the Slanted Ciphertext</t>
  </si>
  <si>
    <t>https://leetcode.com/problems/decode-the-slanted-ciphertext</t>
  </si>
  <si>
    <t>Find Good Days to Rob the Bank</t>
  </si>
  <si>
    <t>https://leetcode.com/problems/find-good-days-to-rob-the-bank</t>
  </si>
  <si>
    <t>Sequentially Ordinal Rank Tracker</t>
  </si>
  <si>
    <t>https://leetcode.com/problems/sequentially-ordinal-rank-tracker</t>
  </si>
  <si>
    <t>76.442%;</t>
  </si>
  <si>
    <t>Step-By-Step Directions From a Binary Tree Node to Another</t>
  </si>
  <si>
    <t>https://leetcode.com/problems/step-by-step-directions-from-a-binary-tree-node-to-another</t>
  </si>
  <si>
    <t>14.1655%;</t>
  </si>
  <si>
    <t>Find All Possible Recipes from Given Supplies</t>
  </si>
  <si>
    <t>https://leetcode.com/problems/find-all-possible-recipes-from-given-supplies</t>
  </si>
  <si>
    <t>33.4878%;</t>
  </si>
  <si>
    <t>Sum of Subarray Ranges</t>
  </si>
  <si>
    <t>https://leetcode.com/problems/sum-of-subarray-ranges</t>
  </si>
  <si>
    <t>76.7894%;</t>
  </si>
  <si>
    <t>Adding Spaces to a String</t>
  </si>
  <si>
    <t>https://leetcode.com/problems/adding-spaces-to-a-string</t>
  </si>
  <si>
    <t>17.0416%;</t>
  </si>
  <si>
    <t>Number of Smooth Descent Periods of a Stock</t>
  </si>
  <si>
    <t>https://leetcode.com/problems/number-of-smooth-descent-periods-of-a-stock</t>
  </si>
  <si>
    <t>Maximum Twin Sum of a Linked List</t>
  </si>
  <si>
    <t>https://leetcode.com/problems/maximum-twin-sum-of-a-linked-list</t>
  </si>
  <si>
    <t>Minimum Difference in Sums After Removal of Elements</t>
  </si>
  <si>
    <t>https://leetcode.com/problems/minimum-difference-in-sums-after-removal-of-elements</t>
  </si>
  <si>
    <t>40.0067%;</t>
  </si>
  <si>
    <t>Append K Integers With Minimal Sum</t>
  </si>
  <si>
    <t>https://leetcode.com/problems/append-k-integers-with-minimal-sum</t>
  </si>
  <si>
    <t>33.3416%;</t>
  </si>
  <si>
    <t>Find Triangular Sum of an Array</t>
  </si>
  <si>
    <t>https://leetcode.com/problems/find-triangular-sum-of-an-array</t>
  </si>
  <si>
    <t>73.1715%;</t>
  </si>
  <si>
    <t>Number of Ways to Select Buildings</t>
  </si>
  <si>
    <t>https://leetcode.com/problems/number-of-ways-to-select-buildings</t>
  </si>
  <si>
    <t>81.0963%;</t>
  </si>
  <si>
    <t>Maximum Total Beauty of the Gardens</t>
  </si>
  <si>
    <t>https://leetcode.com/problems/maximum-total-beauty-of-the-gardens</t>
  </si>
  <si>
    <t>Total Appeal of A String</t>
  </si>
  <si>
    <t>https://leetcode.com/problems/total-appeal-of-a-string</t>
  </si>
  <si>
    <t>79.1995%;</t>
  </si>
  <si>
    <t>Minimum Average Difference</t>
  </si>
  <si>
    <t>https://leetcode.com/problems/minimum-average-difference</t>
  </si>
  <si>
    <t>31.5922%;</t>
  </si>
  <si>
    <t>Count Nodes Equal to Average of Subtree</t>
  </si>
  <si>
    <t>https://leetcode.com/problems/count-nodes-equal-to-average-of-subtree</t>
  </si>
  <si>
    <t>10.0605%;</t>
  </si>
  <si>
    <t>Minimum Health to Beat Game</t>
  </si>
  <si>
    <t>https://leetcode.com/problems/minimum-health-to-beat-game</t>
  </si>
  <si>
    <t>95.4081%;</t>
  </si>
  <si>
    <t>Substring With Largest Variance</t>
  </si>
  <si>
    <t>https://leetcode.com/problems/substring-with-largest-variance</t>
  </si>
  <si>
    <t>100%;</t>
  </si>
  <si>
    <t>Minimum Rounds to Complete All Tasks</t>
  </si>
  <si>
    <t>https://leetcode.com/problems/minimum-rounds-to-complete-all-tasks</t>
  </si>
  <si>
    <t>32.0317%;</t>
  </si>
  <si>
    <t>Sum of Total Strength of Wizards</t>
  </si>
  <si>
    <t>https://leetcode.com/problems/sum-of-total-strength-of-wizards</t>
  </si>
  <si>
    <t>97.704%;</t>
  </si>
  <si>
    <t>Rearrange Characters to Make Target String</t>
  </si>
  <si>
    <t>https://leetcode.com/problems/rearrange-characters-to-make-target-string</t>
  </si>
  <si>
    <t>Apply Discount to Prices</t>
  </si>
  <si>
    <t>https://leetcode.com/problems/apply-discount-to-prices</t>
  </si>
  <si>
    <t>40.7078%;</t>
  </si>
  <si>
    <t>Steps to Make Array Non-decreasing</t>
  </si>
  <si>
    <t>https://leetcode.com/problems/steps-to-make-array-non-decreasing</t>
  </si>
  <si>
    <t>Add Two Integers</t>
  </si>
  <si>
    <t>https://leetcode.com/problems/add-two-integers</t>
  </si>
  <si>
    <t>9.87686%;</t>
  </si>
  <si>
    <t>Partition Array Such That Maximum Difference Is K</t>
  </si>
  <si>
    <t>https://leetcode.com/problems/partition-array-such-that-maximum-difference-is-k</t>
  </si>
  <si>
    <t>Count Subarrays With Score Less Than K</t>
  </si>
  <si>
    <t>https://leetcode.com/problems/count-subarrays-with-score-less-than-k</t>
  </si>
  <si>
    <t>Longest Binary Subsequence Less Than or Equal to K</t>
  </si>
  <si>
    <t>https://leetcode.com/problems/longest-binary-subsequence-less-than-or-equal-to-k</t>
  </si>
  <si>
    <t>Minimum Number of Keypresses</t>
  </si>
  <si>
    <t>https://leetcode.com/problems/minimum-number-of-keypresses</t>
  </si>
  <si>
    <t>84.9083%;</t>
  </si>
  <si>
    <t>Number of People Aware of a Secret</t>
  </si>
  <si>
    <t>https://leetcode.com/problems/number-of-people-aware-of-a-secret</t>
  </si>
  <si>
    <t>Smallest Number in Infinite Set</t>
  </si>
  <si>
    <t>https://leetcode.com/problems/smallest-number-in-infinite-set</t>
  </si>
  <si>
    <t>Best Poker Hand</t>
  </si>
  <si>
    <t>https://leetcode.com/problems/best-poker-hand</t>
  </si>
  <si>
    <t>Shortest Impossible Sequence of Rolls</t>
  </si>
  <si>
    <t>https://leetcode.com/problems/shortest-impossible-sequence-of-rolls</t>
  </si>
  <si>
    <t>Make Array Zero by Subtracting Equal Amounts</t>
  </si>
  <si>
    <t>https://leetcode.com/problems/make-array-zero-by-subtracting-equal-amounts</t>
  </si>
  <si>
    <t>63.9838%;</t>
  </si>
  <si>
    <t>Maximum Number of Robots Within Budget</t>
  </si>
  <si>
    <t>https://leetcode.com/problems/maximum-number-of-robots-within-budget</t>
  </si>
  <si>
    <t>75.8822%;</t>
  </si>
  <si>
    <t>Count Special Integers</t>
  </si>
  <si>
    <t>https://leetcode.com/problems/count-special-integers</t>
  </si>
  <si>
    <t>Amount of Time for Binary Tree to Be Infected</t>
  </si>
  <si>
    <t>https://leetcode.com/problems/amount-of-time-for-binary-tree-to-be-infected</t>
  </si>
  <si>
    <t>Find the K-Sum of an Array</t>
  </si>
  <si>
    <t>https://leetcode.com/problems/find-the-k-sum-of-an-array</t>
  </si>
  <si>
    <t>62.9952%;</t>
  </si>
  <si>
    <t>Minimum Adjacent Swaps to Make a Valid Array</t>
  </si>
  <si>
    <t>https://leetcode.com/problems/minimum-adjacent-swaps-to-make-a-valid-array</t>
  </si>
  <si>
    <t>79.7405%;</t>
  </si>
  <si>
    <t>Optimal Partition of String</t>
  </si>
  <si>
    <t>https://leetcode.com/problems/optimal-partition-of-string</t>
  </si>
  <si>
    <t>7.34701%;</t>
  </si>
  <si>
    <t>Divide Intervals Into Minimum Number of Groups</t>
  </si>
  <si>
    <t>https://leetcode.com/problems/divide-intervals-into-minimum-number-of-groups</t>
  </si>
  <si>
    <t>Maximum Number of Books You Can Take</t>
  </si>
  <si>
    <t>https://leetcode.com/problems/maximum-number-of-books-you-can-take</t>
  </si>
  <si>
    <t>90.0621%;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</si>
</sst>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sum-root-to-leaf-numbers" TargetMode="External"/><Relationship Id="rId21" Type="http://schemas.openxmlformats.org/officeDocument/2006/relationships/hyperlink" Target="https://leetcode.com/problems/merge-two-sorted-lists" TargetMode="External"/><Relationship Id="rId324" Type="http://schemas.openxmlformats.org/officeDocument/2006/relationships/hyperlink" Target="https://leetcode.com/problems/continuous-subarray-sum" TargetMode="External"/><Relationship Id="rId531" Type="http://schemas.openxmlformats.org/officeDocument/2006/relationships/hyperlink" Target="https://leetcode.com/problems/count-square-submatrices-with-all-ones" TargetMode="External"/><Relationship Id="rId629" Type="http://schemas.openxmlformats.org/officeDocument/2006/relationships/hyperlink" Target="https://leetcode.com/problems/partition-array-such-that-maximum-difference-is-k" TargetMode="External"/><Relationship Id="rId170" Type="http://schemas.openxmlformats.org/officeDocument/2006/relationships/hyperlink" Target="https://leetcode.com/problems/count-primes" TargetMode="External"/><Relationship Id="rId268" Type="http://schemas.openxmlformats.org/officeDocument/2006/relationships/hyperlink" Target="https://leetcode.com/problems/elimination-game" TargetMode="External"/><Relationship Id="rId475" Type="http://schemas.openxmlformats.org/officeDocument/2006/relationships/hyperlink" Target="https://leetcode.com/problems/rotting-oranges" TargetMode="External"/><Relationship Id="rId32" Type="http://schemas.openxmlformats.org/officeDocument/2006/relationships/hyperlink" Target="https://leetcode.com/problems/longest-valid-parentheses" TargetMode="External"/><Relationship Id="rId128" Type="http://schemas.openxmlformats.org/officeDocument/2006/relationships/hyperlink" Target="https://leetcode.com/problems/word-break-ii" TargetMode="External"/><Relationship Id="rId335" Type="http://schemas.openxmlformats.org/officeDocument/2006/relationships/hyperlink" Target="https://leetcode.com/problems/boundary-of-binary-tree" TargetMode="External"/><Relationship Id="rId542" Type="http://schemas.openxmlformats.org/officeDocument/2006/relationships/hyperlink" Target="https://leetcode.com/problems/maximum-number-of-events-that-can-be-attended" TargetMode="External"/><Relationship Id="rId181" Type="http://schemas.openxmlformats.org/officeDocument/2006/relationships/hyperlink" Target="https://leetcode.com/problems/contains-duplicate" TargetMode="External"/><Relationship Id="rId402" Type="http://schemas.openxmlformats.org/officeDocument/2006/relationships/hyperlink" Target="https://leetcode.com/problems/sliding-puzzle" TargetMode="External"/><Relationship Id="rId279" Type="http://schemas.openxmlformats.org/officeDocument/2006/relationships/hyperlink" Target="https://leetcode.com/problems/split-array-largest-sum" TargetMode="External"/><Relationship Id="rId486" Type="http://schemas.openxmlformats.org/officeDocument/2006/relationships/hyperlink" Target="https://leetcode.com/problems/minimum-swaps-to-group-all-1s-together" TargetMode="External"/><Relationship Id="rId43" Type="http://schemas.openxmlformats.org/officeDocument/2006/relationships/hyperlink" Target="https://leetcode.com/problems/multiply-strings" TargetMode="External"/><Relationship Id="rId139" Type="http://schemas.openxmlformats.org/officeDocument/2006/relationships/hyperlink" Target="https://leetcode.com/problems/min-stack" TargetMode="External"/><Relationship Id="rId346" Type="http://schemas.openxmlformats.org/officeDocument/2006/relationships/hyperlink" Target="https://leetcode.com/problems/find-customer-referee" TargetMode="External"/><Relationship Id="rId553" Type="http://schemas.openxmlformats.org/officeDocument/2006/relationships/hyperlink" Target="https://leetcode.com/problems/check-if-a-string-contains-all-binary-codes-of-size-k" TargetMode="External"/><Relationship Id="rId192" Type="http://schemas.openxmlformats.org/officeDocument/2006/relationships/hyperlink" Target="https://leetcode.com/problems/implement-queue-using-stacks" TargetMode="External"/><Relationship Id="rId206" Type="http://schemas.openxmlformats.org/officeDocument/2006/relationships/hyperlink" Target="https://leetcode.com/problems/paint-house" TargetMode="External"/><Relationship Id="rId413" Type="http://schemas.openxmlformats.org/officeDocument/2006/relationships/hyperlink" Target="https://leetcode.com/problems/number-of-matching-subsequences" TargetMode="External"/><Relationship Id="rId497" Type="http://schemas.openxmlformats.org/officeDocument/2006/relationships/hyperlink" Target="https://leetcode.com/problems/minimum-knight-moves" TargetMode="External"/><Relationship Id="rId620" Type="http://schemas.openxmlformats.org/officeDocument/2006/relationships/hyperlink" Target="https://leetcode.com/problems/count-nodes-equal-to-average-of-subtree" TargetMode="External"/><Relationship Id="rId357" Type="http://schemas.openxmlformats.org/officeDocument/2006/relationships/hyperlink" Target="https://leetcode.com/problems/exclusive-time-of-functions" TargetMode="External"/><Relationship Id="rId54" Type="http://schemas.openxmlformats.org/officeDocument/2006/relationships/hyperlink" Target="https://leetcode.com/problems/merge-intervals" TargetMode="External"/><Relationship Id="rId217" Type="http://schemas.openxmlformats.org/officeDocument/2006/relationships/hyperlink" Target="https://leetcode.com/problems/first-bad-version" TargetMode="External"/><Relationship Id="rId564" Type="http://schemas.openxmlformats.org/officeDocument/2006/relationships/hyperlink" Target="https://leetcode.com/problems/count-odd-numbers-in-an-interval-range" TargetMode="External"/><Relationship Id="rId424" Type="http://schemas.openxmlformats.org/officeDocument/2006/relationships/hyperlink" Target="https://leetcode.com/problems/making-a-large-island" TargetMode="External"/><Relationship Id="rId631" Type="http://schemas.openxmlformats.org/officeDocument/2006/relationships/hyperlink" Target="https://leetcode.com/problems/longest-binary-subsequence-less-than-or-equal-to-k" TargetMode="External"/><Relationship Id="rId270" Type="http://schemas.openxmlformats.org/officeDocument/2006/relationships/hyperlink" Target="https://leetcode.com/problems/decode-string" TargetMode="External"/><Relationship Id="rId65" Type="http://schemas.openxmlformats.org/officeDocument/2006/relationships/hyperlink" Target="https://leetcode.com/problems/add-binary" TargetMode="External"/><Relationship Id="rId130" Type="http://schemas.openxmlformats.org/officeDocument/2006/relationships/hyperlink" Target="https://leetcode.com/problems/linked-list-cycle-ii" TargetMode="External"/><Relationship Id="rId368" Type="http://schemas.openxmlformats.org/officeDocument/2006/relationships/hyperlink" Target="https://leetcode.com/problems/non-decreasing-array" TargetMode="External"/><Relationship Id="rId575" Type="http://schemas.openxmlformats.org/officeDocument/2006/relationships/hyperlink" Target="https://leetcode.com/problems/build-binary-expression-tree-from-infix-expression" TargetMode="External"/><Relationship Id="rId228" Type="http://schemas.openxmlformats.org/officeDocument/2006/relationships/hyperlink" Target="https://leetcode.com/problems/range-sum-query-2d-immutable" TargetMode="External"/><Relationship Id="rId435" Type="http://schemas.openxmlformats.org/officeDocument/2006/relationships/hyperlink" Target="https://leetcode.com/problems/shortest-subarray-with-sum-at-least-k" TargetMode="External"/><Relationship Id="rId642" Type="http://schemas.openxmlformats.org/officeDocument/2006/relationships/hyperlink" Target="https://leetcode.com/problems/minimum-adjacent-swaps-to-make-a-valid-array" TargetMode="External"/><Relationship Id="rId281" Type="http://schemas.openxmlformats.org/officeDocument/2006/relationships/hyperlink" Target="https://leetcode.com/problems/third-maximum-number" TargetMode="External"/><Relationship Id="rId502" Type="http://schemas.openxmlformats.org/officeDocument/2006/relationships/hyperlink" Target="https://leetcode.com/problems/delete-nodes-and-return-forest" TargetMode="External"/><Relationship Id="rId76" Type="http://schemas.openxmlformats.org/officeDocument/2006/relationships/hyperlink" Target="https://leetcode.com/problems/search-in-rotated-sorted-array-ii" TargetMode="External"/><Relationship Id="rId141" Type="http://schemas.openxmlformats.org/officeDocument/2006/relationships/hyperlink" Target="https://leetcode.com/problems/intersection-of-two-linked-lists" TargetMode="External"/><Relationship Id="rId379" Type="http://schemas.openxmlformats.org/officeDocument/2006/relationships/hyperlink" Target="https://leetcode.com/problems/number-of-distinct-islands" TargetMode="External"/><Relationship Id="rId586" Type="http://schemas.openxmlformats.org/officeDocument/2006/relationships/hyperlink" Target="https://leetcode.com/problems/maximum-units-on-a-truck" TargetMode="External"/><Relationship Id="rId7" Type="http://schemas.openxmlformats.org/officeDocument/2006/relationships/hyperlink" Target="https://leetcode.com/problems/reverse-integer" TargetMode="External"/><Relationship Id="rId239" Type="http://schemas.openxmlformats.org/officeDocument/2006/relationships/hyperlink" Target="https://leetcode.com/problems/wiggle-sort-ii" TargetMode="External"/><Relationship Id="rId446" Type="http://schemas.openxmlformats.org/officeDocument/2006/relationships/hyperlink" Target="https://leetcode.com/problems/online-stock-span" TargetMode="External"/><Relationship Id="rId292" Type="http://schemas.openxmlformats.org/officeDocument/2006/relationships/hyperlink" Target="https://leetcode.com/problems/path-sum-iii" TargetMode="External"/><Relationship Id="rId306" Type="http://schemas.openxmlformats.org/officeDocument/2006/relationships/hyperlink" Target="https://leetcode.com/problems/poor-pigs" TargetMode="External"/><Relationship Id="rId87" Type="http://schemas.openxmlformats.org/officeDocument/2006/relationships/hyperlink" Target="https://leetcode.com/problems/unique-binary-search-trees-ii" TargetMode="External"/><Relationship Id="rId513" Type="http://schemas.openxmlformats.org/officeDocument/2006/relationships/hyperlink" Target="https://leetcode.com/problems/reformat-department-table" TargetMode="External"/><Relationship Id="rId597" Type="http://schemas.openxmlformats.org/officeDocument/2006/relationships/hyperlink" Target="https://leetcode.com/problems/nearest-exit-from-entrance-in-maze" TargetMode="External"/><Relationship Id="rId152" Type="http://schemas.openxmlformats.org/officeDocument/2006/relationships/hyperlink" Target="https://leetcode.com/problems/largest-number" TargetMode="External"/><Relationship Id="rId457" Type="http://schemas.openxmlformats.org/officeDocument/2006/relationships/hyperlink" Target="https://leetcode.com/problems/reorder-data-in-log-files" TargetMode="External"/><Relationship Id="rId14" Type="http://schemas.openxmlformats.org/officeDocument/2006/relationships/hyperlink" Target="https://leetcode.com/problems/longest-common-prefix" TargetMode="External"/><Relationship Id="rId317" Type="http://schemas.openxmlformats.org/officeDocument/2006/relationships/hyperlink" Target="https://leetcode.com/problems/target-sum" TargetMode="External"/><Relationship Id="rId524" Type="http://schemas.openxmlformats.org/officeDocument/2006/relationships/hyperlink" Target="https://leetcode.com/problems/minimum-number-of-moves-to-make-palindrome" TargetMode="External"/><Relationship Id="rId98" Type="http://schemas.openxmlformats.org/officeDocument/2006/relationships/hyperlink" Target="https://leetcode.com/problems/binary-tree-level-order-traversal-ii" TargetMode="External"/><Relationship Id="rId163" Type="http://schemas.openxmlformats.org/officeDocument/2006/relationships/hyperlink" Target="https://leetcode.com/problems/delete-duplicate-emails" TargetMode="External"/><Relationship Id="rId370" Type="http://schemas.openxmlformats.org/officeDocument/2006/relationships/hyperlink" Target="https://leetcode.com/problems/maximum-swap" TargetMode="External"/><Relationship Id="rId230" Type="http://schemas.openxmlformats.org/officeDocument/2006/relationships/hyperlink" Target="https://leetcode.com/problems/range-sum-query-mutable" TargetMode="External"/><Relationship Id="rId468" Type="http://schemas.openxmlformats.org/officeDocument/2006/relationships/hyperlink" Target="https://leetcode.com/problems/distribute-coins-in-binary-tree" TargetMode="External"/><Relationship Id="rId25" Type="http://schemas.openxmlformats.org/officeDocument/2006/relationships/hyperlink" Target="https://leetcode.com/problems/reverse-nodes-in-k-group" TargetMode="External"/><Relationship Id="rId328" Type="http://schemas.openxmlformats.org/officeDocument/2006/relationships/hyperlink" Target="https://leetcode.com/problems/minimum-absolute-difference-in-bst" TargetMode="External"/><Relationship Id="rId535" Type="http://schemas.openxmlformats.org/officeDocument/2006/relationships/hyperlink" Target="https://leetcode.com/problems/jump-game-iv" TargetMode="External"/><Relationship Id="rId174" Type="http://schemas.openxmlformats.org/officeDocument/2006/relationships/hyperlink" Target="https://leetcode.com/problems/implement-trie-prefix-tree" TargetMode="External"/><Relationship Id="rId381" Type="http://schemas.openxmlformats.org/officeDocument/2006/relationships/hyperlink" Target="https://leetcode.com/problems/count-binary-substrings" TargetMode="External"/><Relationship Id="rId602" Type="http://schemas.openxmlformats.org/officeDocument/2006/relationships/hyperlink" Target="https://leetcode.com/problems/plates-between-candles" TargetMode="External"/><Relationship Id="rId241" Type="http://schemas.openxmlformats.org/officeDocument/2006/relationships/hyperlink" Target="https://leetcode.com/problems/longest-increasing-path-in-a-matrix" TargetMode="External"/><Relationship Id="rId479" Type="http://schemas.openxmlformats.org/officeDocument/2006/relationships/hyperlink" Target="https://leetcode.com/problems/capacity-to-ship-packages-within-d-days" TargetMode="External"/><Relationship Id="rId36" Type="http://schemas.openxmlformats.org/officeDocument/2006/relationships/hyperlink" Target="https://leetcode.com/problems/valid-sudoku" TargetMode="External"/><Relationship Id="rId339" Type="http://schemas.openxmlformats.org/officeDocument/2006/relationships/hyperlink" Target="https://leetcode.com/problems/reverse-words-in-a-string-iii" TargetMode="External"/><Relationship Id="rId546" Type="http://schemas.openxmlformats.org/officeDocument/2006/relationships/hyperlink" Target="https://leetcode.com/problems/maximum-performance-of-a-team" TargetMode="External"/><Relationship Id="rId101" Type="http://schemas.openxmlformats.org/officeDocument/2006/relationships/hyperlink" Target="https://leetcode.com/problems/path-sum" TargetMode="External"/><Relationship Id="rId185" Type="http://schemas.openxmlformats.org/officeDocument/2006/relationships/hyperlink" Target="https://leetcode.com/problems/maximal-square" TargetMode="External"/><Relationship Id="rId406" Type="http://schemas.openxmlformats.org/officeDocument/2006/relationships/hyperlink" Target="https://leetcode.com/problems/swim-in-rising-water" TargetMode="External"/><Relationship Id="rId392" Type="http://schemas.openxmlformats.org/officeDocument/2006/relationships/hyperlink" Target="https://leetcode.com/problems/delete-and-earn" TargetMode="External"/><Relationship Id="rId613" Type="http://schemas.openxmlformats.org/officeDocument/2006/relationships/hyperlink" Target="https://leetcode.com/problems/minimum-difference-in-sums-after-removal-of-elements" TargetMode="External"/><Relationship Id="rId252" Type="http://schemas.openxmlformats.org/officeDocument/2006/relationships/hyperlink" Target="https://leetcode.com/problems/design-tic-tac-toe" TargetMode="External"/><Relationship Id="rId47" Type="http://schemas.openxmlformats.org/officeDocument/2006/relationships/hyperlink" Target="https://leetcode.com/problems/rotate-image" TargetMode="External"/><Relationship Id="rId112" Type="http://schemas.openxmlformats.org/officeDocument/2006/relationships/hyperlink" Target="https://leetcode.com/problems/binary-tree-maximum-path-sum" TargetMode="External"/><Relationship Id="rId557" Type="http://schemas.openxmlformats.org/officeDocument/2006/relationships/hyperlink" Target="https://leetcode.com/problems/shuffle-the-array" TargetMode="External"/><Relationship Id="rId196" Type="http://schemas.openxmlformats.org/officeDocument/2006/relationships/hyperlink" Target="https://leetcode.com/problems/delete-node-in-a-linked-list" TargetMode="External"/><Relationship Id="rId417" Type="http://schemas.openxmlformats.org/officeDocument/2006/relationships/hyperlink" Target="https://leetcode.com/problems/unique-morse-code-words" TargetMode="External"/><Relationship Id="rId459" Type="http://schemas.openxmlformats.org/officeDocument/2006/relationships/hyperlink" Target="https://leetcode.com/problems/most-stones-removed-with-same-row-or-column" TargetMode="External"/><Relationship Id="rId624" Type="http://schemas.openxmlformats.org/officeDocument/2006/relationships/hyperlink" Target="https://leetcode.com/problems/sum-of-total-strength-of-wizards" TargetMode="External"/><Relationship Id="rId16" Type="http://schemas.openxmlformats.org/officeDocument/2006/relationships/hyperlink" Target="https://leetcode.com/problems/3sum-closest" TargetMode="External"/><Relationship Id="rId221" Type="http://schemas.openxmlformats.org/officeDocument/2006/relationships/hyperlink" Target="https://leetcode.com/problems/find-the-duplicate-number" TargetMode="External"/><Relationship Id="rId263" Type="http://schemas.openxmlformats.org/officeDocument/2006/relationships/hyperlink" Target="https://leetcode.com/problems/kth-smallest-element-in-a-sorted-matrix" TargetMode="External"/><Relationship Id="rId319" Type="http://schemas.openxmlformats.org/officeDocument/2006/relationships/hyperlink" Target="https://leetcode.com/problems/ipo" TargetMode="External"/><Relationship Id="rId470" Type="http://schemas.openxmlformats.org/officeDocument/2006/relationships/hyperlink" Target="https://leetcode.com/problems/minimum-cost-for-tickets" TargetMode="External"/><Relationship Id="rId526" Type="http://schemas.openxmlformats.org/officeDocument/2006/relationships/hyperlink" Target="https://leetcode.com/problems/first-unique-number" TargetMode="External"/><Relationship Id="rId58" Type="http://schemas.openxmlformats.org/officeDocument/2006/relationships/hyperlink" Target="https://leetcode.com/problems/permutation-sequence" TargetMode="External"/><Relationship Id="rId123" Type="http://schemas.openxmlformats.org/officeDocument/2006/relationships/hyperlink" Target="https://leetcode.com/problems/candy" TargetMode="External"/><Relationship Id="rId330" Type="http://schemas.openxmlformats.org/officeDocument/2006/relationships/hyperlink" Target="https://leetcode.com/problems/convert-bst-to-greater-tree" TargetMode="External"/><Relationship Id="rId568" Type="http://schemas.openxmlformats.org/officeDocument/2006/relationships/hyperlink" Target="https://leetcode.com/problems/minimum-cost-to-cut-a-stick" TargetMode="External"/><Relationship Id="rId165" Type="http://schemas.openxmlformats.org/officeDocument/2006/relationships/hyperlink" Target="https://leetcode.com/problems/house-robber" TargetMode="External"/><Relationship Id="rId372" Type="http://schemas.openxmlformats.org/officeDocument/2006/relationships/hyperlink" Target="https://leetcode.com/problems/valid-parenthesis-string" TargetMode="External"/><Relationship Id="rId428" Type="http://schemas.openxmlformats.org/officeDocument/2006/relationships/hyperlink" Target="https://leetcode.com/problems/rectangle-overlap" TargetMode="External"/><Relationship Id="rId635" Type="http://schemas.openxmlformats.org/officeDocument/2006/relationships/hyperlink" Target="https://leetcode.com/problems/best-poker-hand" TargetMode="External"/><Relationship Id="rId232" Type="http://schemas.openxmlformats.org/officeDocument/2006/relationships/hyperlink" Target="https://leetcode.com/problems/minimum-height-trees" TargetMode="External"/><Relationship Id="rId274" Type="http://schemas.openxmlformats.org/officeDocument/2006/relationships/hyperlink" Target="https://leetcode.com/problems/remove-k-digits" TargetMode="External"/><Relationship Id="rId481" Type="http://schemas.openxmlformats.org/officeDocument/2006/relationships/hyperlink" Target="https://leetcode.com/problems/binary-string-with-substrings-representing-1-to-n" TargetMode="External"/><Relationship Id="rId27" Type="http://schemas.openxmlformats.org/officeDocument/2006/relationships/hyperlink" Target="https://leetcode.com/problems/remove-element" TargetMode="External"/><Relationship Id="rId69" Type="http://schemas.openxmlformats.org/officeDocument/2006/relationships/hyperlink" Target="https://leetcode.com/problems/edit-distance" TargetMode="External"/><Relationship Id="rId134" Type="http://schemas.openxmlformats.org/officeDocument/2006/relationships/hyperlink" Target="https://leetcode.com/problems/max-points-on-a-line" TargetMode="External"/><Relationship Id="rId537" Type="http://schemas.openxmlformats.org/officeDocument/2006/relationships/hyperlink" Target="https://leetcode.com/problems/minimum-difficulty-of-a-job-schedule" TargetMode="External"/><Relationship Id="rId579" Type="http://schemas.openxmlformats.org/officeDocument/2006/relationships/hyperlink" Target="https://leetcode.com/problems/richest-customer-wealth" TargetMode="External"/><Relationship Id="rId80" Type="http://schemas.openxmlformats.org/officeDocument/2006/relationships/hyperlink" Target="https://leetcode.com/problems/maximal-rectangle" TargetMode="External"/><Relationship Id="rId176" Type="http://schemas.openxmlformats.org/officeDocument/2006/relationships/hyperlink" Target="https://leetcode.com/problems/course-schedule-ii" TargetMode="External"/><Relationship Id="rId341" Type="http://schemas.openxmlformats.org/officeDocument/2006/relationships/hyperlink" Target="https://leetcode.com/problems/permutation-in-string" TargetMode="External"/><Relationship Id="rId383" Type="http://schemas.openxmlformats.org/officeDocument/2006/relationships/hyperlink" Target="https://leetcode.com/problems/range-module" TargetMode="External"/><Relationship Id="rId439" Type="http://schemas.openxmlformats.org/officeDocument/2006/relationships/hyperlink" Target="https://leetcode.com/problems/koko-eating-bananas" TargetMode="External"/><Relationship Id="rId590" Type="http://schemas.openxmlformats.org/officeDocument/2006/relationships/hyperlink" Target="https://leetcode.com/problems/buildings-with-an-ocean-view" TargetMode="External"/><Relationship Id="rId604" Type="http://schemas.openxmlformats.org/officeDocument/2006/relationships/hyperlink" Target="https://leetcode.com/problems/decode-the-slanted-ciphertext" TargetMode="External"/><Relationship Id="rId201" Type="http://schemas.openxmlformats.org/officeDocument/2006/relationships/hyperlink" Target="https://leetcode.com/problems/shortest-word-distance" TargetMode="External"/><Relationship Id="rId243" Type="http://schemas.openxmlformats.org/officeDocument/2006/relationships/hyperlink" Target="https://leetcode.com/problems/largest-bst-subtree" TargetMode="External"/><Relationship Id="rId285" Type="http://schemas.openxmlformats.org/officeDocument/2006/relationships/hyperlink" Target="https://leetcode.com/problems/battleships-in-a-board" TargetMode="External"/><Relationship Id="rId450" Type="http://schemas.openxmlformats.org/officeDocument/2006/relationships/hyperlink" Target="https://leetcode.com/problems/snakes-and-ladders" TargetMode="External"/><Relationship Id="rId506" Type="http://schemas.openxmlformats.org/officeDocument/2006/relationships/hyperlink" Target="https://leetcode.com/problems/snapshot-array" TargetMode="External"/><Relationship Id="rId38" Type="http://schemas.openxmlformats.org/officeDocument/2006/relationships/hyperlink" Target="https://leetcode.com/problems/count-and-say" TargetMode="External"/><Relationship Id="rId103" Type="http://schemas.openxmlformats.org/officeDocument/2006/relationships/hyperlink" Target="https://leetcode.com/problems/flatten-binary-tree-to-linked-list" TargetMode="External"/><Relationship Id="rId310" Type="http://schemas.openxmlformats.org/officeDocument/2006/relationships/hyperlink" Target="https://leetcode.com/problems/optimal-account-balancing" TargetMode="External"/><Relationship Id="rId492" Type="http://schemas.openxmlformats.org/officeDocument/2006/relationships/hyperlink" Target="https://leetcode.com/problems/design-file-system" TargetMode="External"/><Relationship Id="rId548" Type="http://schemas.openxmlformats.org/officeDocument/2006/relationships/hyperlink" Target="https://leetcode.com/problems/string-matching-in-an-array" TargetMode="External"/><Relationship Id="rId91" Type="http://schemas.openxmlformats.org/officeDocument/2006/relationships/hyperlink" Target="https://leetcode.com/problems/same-tree" TargetMode="External"/><Relationship Id="rId145" Type="http://schemas.openxmlformats.org/officeDocument/2006/relationships/hyperlink" Target="https://leetcode.com/problems/excel-sheet-column-title" TargetMode="External"/><Relationship Id="rId187" Type="http://schemas.openxmlformats.org/officeDocument/2006/relationships/hyperlink" Target="https://leetcode.com/problems/basic-calculator" TargetMode="External"/><Relationship Id="rId352" Type="http://schemas.openxmlformats.org/officeDocument/2006/relationships/hyperlink" Target="https://leetcode.com/problems/students-report-by-geography" TargetMode="External"/><Relationship Id="rId394" Type="http://schemas.openxmlformats.org/officeDocument/2006/relationships/hyperlink" Target="https://leetcode.com/problems/min-cost-climbing-stairs" TargetMode="External"/><Relationship Id="rId408" Type="http://schemas.openxmlformats.org/officeDocument/2006/relationships/hyperlink" Target="https://leetcode.com/problems/rabbits-in-forest" TargetMode="External"/><Relationship Id="rId615" Type="http://schemas.openxmlformats.org/officeDocument/2006/relationships/hyperlink" Target="https://leetcode.com/problems/find-triangular-sum-of-an-array" TargetMode="External"/><Relationship Id="rId212" Type="http://schemas.openxmlformats.org/officeDocument/2006/relationships/hyperlink" Target="https://leetcode.com/problems/missing-number" TargetMode="External"/><Relationship Id="rId254" Type="http://schemas.openxmlformats.org/officeDocument/2006/relationships/hyperlink" Target="https://leetcode.com/problems/intersection-of-two-arrays-ii" TargetMode="External"/><Relationship Id="rId49" Type="http://schemas.openxmlformats.org/officeDocument/2006/relationships/hyperlink" Target="https://leetcode.com/problems/powx-n" TargetMode="External"/><Relationship Id="rId114" Type="http://schemas.openxmlformats.org/officeDocument/2006/relationships/hyperlink" Target="https://leetcode.com/problems/word-ladder-ii" TargetMode="External"/><Relationship Id="rId296" Type="http://schemas.openxmlformats.org/officeDocument/2006/relationships/hyperlink" Target="https://leetcode.com/problems/string-compression" TargetMode="External"/><Relationship Id="rId461" Type="http://schemas.openxmlformats.org/officeDocument/2006/relationships/hyperlink" Target="https://leetcode.com/problems/verifying-an-alien-dictionary" TargetMode="External"/><Relationship Id="rId517" Type="http://schemas.openxmlformats.org/officeDocument/2006/relationships/hyperlink" Target="https://leetcode.com/problems/smallest-string-with-swaps" TargetMode="External"/><Relationship Id="rId559" Type="http://schemas.openxmlformats.org/officeDocument/2006/relationships/hyperlink" Target="https://leetcode.com/problems/the-kth-factor-of-n" TargetMode="External"/><Relationship Id="rId60" Type="http://schemas.openxmlformats.org/officeDocument/2006/relationships/hyperlink" Target="https://leetcode.com/problems/unique-paths" TargetMode="External"/><Relationship Id="rId156" Type="http://schemas.openxmlformats.org/officeDocument/2006/relationships/hyperlink" Target="https://leetcode.com/problems/department-highest-salary" TargetMode="External"/><Relationship Id="rId198" Type="http://schemas.openxmlformats.org/officeDocument/2006/relationships/hyperlink" Target="https://leetcode.com/problems/sliding-window-maximum" TargetMode="External"/><Relationship Id="rId321" Type="http://schemas.openxmlformats.org/officeDocument/2006/relationships/hyperlink" Target="https://leetcode.com/problems/relative-ranks" TargetMode="External"/><Relationship Id="rId363" Type="http://schemas.openxmlformats.org/officeDocument/2006/relationships/hyperlink" Target="https://leetcode.com/problems/find-duplicate-subtrees" TargetMode="External"/><Relationship Id="rId419" Type="http://schemas.openxmlformats.org/officeDocument/2006/relationships/hyperlink" Target="https://leetcode.com/problems/bus-routes" TargetMode="External"/><Relationship Id="rId570" Type="http://schemas.openxmlformats.org/officeDocument/2006/relationships/hyperlink" Target="https://leetcode.com/problems/maximum-length-of-subarray-with-positive-product" TargetMode="External"/><Relationship Id="rId626" Type="http://schemas.openxmlformats.org/officeDocument/2006/relationships/hyperlink" Target="https://leetcode.com/problems/apply-discount-to-prices" TargetMode="External"/><Relationship Id="rId223" Type="http://schemas.openxmlformats.org/officeDocument/2006/relationships/hyperlink" Target="https://leetcode.com/problems/find-median-from-data-stream" TargetMode="External"/><Relationship Id="rId430" Type="http://schemas.openxmlformats.org/officeDocument/2006/relationships/hyperlink" Target="https://leetcode.com/problems/keys-and-rooms" TargetMode="External"/><Relationship Id="rId18" Type="http://schemas.openxmlformats.org/officeDocument/2006/relationships/hyperlink" Target="https://leetcode.com/problems/4sum" TargetMode="External"/><Relationship Id="rId265" Type="http://schemas.openxmlformats.org/officeDocument/2006/relationships/hyperlink" Target="https://leetcode.com/problems/insert-delete-getrandom-o1-duplicates-allowed" TargetMode="External"/><Relationship Id="rId472" Type="http://schemas.openxmlformats.org/officeDocument/2006/relationships/hyperlink" Target="https://leetcode.com/problems/satisfiability-of-equality-equations" TargetMode="External"/><Relationship Id="rId528" Type="http://schemas.openxmlformats.org/officeDocument/2006/relationships/hyperlink" Target="https://leetcode.com/problems/leftmost-column-with-at-least-a-one" TargetMode="External"/><Relationship Id="rId125" Type="http://schemas.openxmlformats.org/officeDocument/2006/relationships/hyperlink" Target="https://leetcode.com/problems/single-number-ii" TargetMode="External"/><Relationship Id="rId167" Type="http://schemas.openxmlformats.org/officeDocument/2006/relationships/hyperlink" Target="https://leetcode.com/problems/number-of-islands" TargetMode="External"/><Relationship Id="rId332" Type="http://schemas.openxmlformats.org/officeDocument/2006/relationships/hyperlink" Target="https://leetcode.com/problems/single-element-in-a-sorted-array" TargetMode="External"/><Relationship Id="rId374" Type="http://schemas.openxmlformats.org/officeDocument/2006/relationships/hyperlink" Target="https://leetcode.com/problems/next-closest-time" TargetMode="External"/><Relationship Id="rId581" Type="http://schemas.openxmlformats.org/officeDocument/2006/relationships/hyperlink" Target="https://leetcode.com/problems/concatenation-of-consecutive-binary-numbers" TargetMode="External"/><Relationship Id="rId71" Type="http://schemas.openxmlformats.org/officeDocument/2006/relationships/hyperlink" Target="https://leetcode.com/problems/search-a-2d-matrix" TargetMode="External"/><Relationship Id="rId234" Type="http://schemas.openxmlformats.org/officeDocument/2006/relationships/hyperlink" Target="https://leetcode.com/problems/count-of-smaller-numbers-after-self" TargetMode="External"/><Relationship Id="rId637" Type="http://schemas.openxmlformats.org/officeDocument/2006/relationships/hyperlink" Target="https://leetcode.com/problems/make-array-zero-by-subtracting-equal-amounts" TargetMode="External"/><Relationship Id="rId2" Type="http://schemas.openxmlformats.org/officeDocument/2006/relationships/hyperlink" Target="https://leetcode.com/problems/add-two-numbers" TargetMode="External"/><Relationship Id="rId29" Type="http://schemas.openxmlformats.org/officeDocument/2006/relationships/hyperlink" Target="https://leetcode.com/problems/divide-two-integers" TargetMode="External"/><Relationship Id="rId276" Type="http://schemas.openxmlformats.org/officeDocument/2006/relationships/hyperlink" Target="https://leetcode.com/problems/queue-reconstruction-by-height" TargetMode="External"/><Relationship Id="rId441" Type="http://schemas.openxmlformats.org/officeDocument/2006/relationships/hyperlink" Target="https://leetcode.com/problems/random-pick-with-weight" TargetMode="External"/><Relationship Id="rId483" Type="http://schemas.openxmlformats.org/officeDocument/2006/relationships/hyperlink" Target="https://leetcode.com/problems/two-sum-less-than-k" TargetMode="External"/><Relationship Id="rId539" Type="http://schemas.openxmlformats.org/officeDocument/2006/relationships/hyperlink" Target="https://leetcode.com/problems/maximum-product-of-splitted-binary-tree" TargetMode="External"/><Relationship Id="rId40" Type="http://schemas.openxmlformats.org/officeDocument/2006/relationships/hyperlink" Target="https://leetcode.com/problems/combination-sum-ii" TargetMode="External"/><Relationship Id="rId136" Type="http://schemas.openxmlformats.org/officeDocument/2006/relationships/hyperlink" Target="https://leetcode.com/problems/reverse-words-in-a-string" TargetMode="External"/><Relationship Id="rId178" Type="http://schemas.openxmlformats.org/officeDocument/2006/relationships/hyperlink" Target="https://leetcode.com/problems/word-search-ii" TargetMode="External"/><Relationship Id="rId301" Type="http://schemas.openxmlformats.org/officeDocument/2006/relationships/hyperlink" Target="https://leetcode.com/problems/sort-characters-by-frequency" TargetMode="External"/><Relationship Id="rId343" Type="http://schemas.openxmlformats.org/officeDocument/2006/relationships/hyperlink" Target="https://leetcode.com/problems/out-of-boundary-paths" TargetMode="External"/><Relationship Id="rId550" Type="http://schemas.openxmlformats.org/officeDocument/2006/relationships/hyperlink" Target="https://leetcode.com/problems/maximum-points-you-can-obtain-from-cards" TargetMode="External"/><Relationship Id="rId82" Type="http://schemas.openxmlformats.org/officeDocument/2006/relationships/hyperlink" Target="https://leetcode.com/problems/subsets-ii" TargetMode="External"/><Relationship Id="rId203" Type="http://schemas.openxmlformats.org/officeDocument/2006/relationships/hyperlink" Target="https://leetcode.com/problems/group-shifted-strings" TargetMode="External"/><Relationship Id="rId385" Type="http://schemas.openxmlformats.org/officeDocument/2006/relationships/hyperlink" Target="https://leetcode.com/problems/find-k-th-smallest-pair-distance" TargetMode="External"/><Relationship Id="rId592" Type="http://schemas.openxmlformats.org/officeDocument/2006/relationships/hyperlink" Target="https://leetcode.com/problems/maximum-subarray-min-product" TargetMode="External"/><Relationship Id="rId606" Type="http://schemas.openxmlformats.org/officeDocument/2006/relationships/hyperlink" Target="https://leetcode.com/problems/sequentially-ordinal-rank-tracker" TargetMode="External"/><Relationship Id="rId245" Type="http://schemas.openxmlformats.org/officeDocument/2006/relationships/hyperlink" Target="https://leetcode.com/problems/house-robber-iii" TargetMode="External"/><Relationship Id="rId287" Type="http://schemas.openxmlformats.org/officeDocument/2006/relationships/hyperlink" Target="https://leetcode.com/problems/maximum-xor-of-two-numbers-in-an-array" TargetMode="External"/><Relationship Id="rId410" Type="http://schemas.openxmlformats.org/officeDocument/2006/relationships/hyperlink" Target="https://leetcode.com/problems/is-graph-bipartite" TargetMode="External"/><Relationship Id="rId452" Type="http://schemas.openxmlformats.org/officeDocument/2006/relationships/hyperlink" Target="https://leetcode.com/problems/minimum-add-to-make-parentheses-valid" TargetMode="External"/><Relationship Id="rId494" Type="http://schemas.openxmlformats.org/officeDocument/2006/relationships/hyperlink" Target="https://leetcode.com/problems/last-stone-weight" TargetMode="External"/><Relationship Id="rId508" Type="http://schemas.openxmlformats.org/officeDocument/2006/relationships/hyperlink" Target="https://leetcode.com/problems/sort-the-matrix-diagonally" TargetMode="External"/><Relationship Id="rId105" Type="http://schemas.openxmlformats.org/officeDocument/2006/relationships/hyperlink" Target="https://leetcode.com/problems/populating-next-right-pointers-in-each-node-ii" TargetMode="External"/><Relationship Id="rId147" Type="http://schemas.openxmlformats.org/officeDocument/2006/relationships/hyperlink" Target="https://leetcode.com/problems/binary-search-tree-iterator" TargetMode="External"/><Relationship Id="rId312" Type="http://schemas.openxmlformats.org/officeDocument/2006/relationships/hyperlink" Target="https://leetcode.com/problems/ones-and-zeroes" TargetMode="External"/><Relationship Id="rId354" Type="http://schemas.openxmlformats.org/officeDocument/2006/relationships/hyperlink" Target="https://leetcode.com/problems/add-one-row-to-tree" TargetMode="External"/><Relationship Id="rId51" Type="http://schemas.openxmlformats.org/officeDocument/2006/relationships/hyperlink" Target="https://leetcode.com/problems/maximum-subarray" TargetMode="External"/><Relationship Id="rId93" Type="http://schemas.openxmlformats.org/officeDocument/2006/relationships/hyperlink" Target="https://leetcode.com/problems/binary-tree-level-order-traversal" TargetMode="External"/><Relationship Id="rId189" Type="http://schemas.openxmlformats.org/officeDocument/2006/relationships/hyperlink" Target="https://leetcode.com/problems/basic-calculator-ii" TargetMode="External"/><Relationship Id="rId396" Type="http://schemas.openxmlformats.org/officeDocument/2006/relationships/hyperlink" Target="https://leetcode.com/problems/n-ary-tree-level-order-traversal" TargetMode="External"/><Relationship Id="rId561" Type="http://schemas.openxmlformats.org/officeDocument/2006/relationships/hyperlink" Target="https://leetcode.com/problems/minimum-number-of-days-to-make-m-bouquets" TargetMode="External"/><Relationship Id="rId617" Type="http://schemas.openxmlformats.org/officeDocument/2006/relationships/hyperlink" Target="https://leetcode.com/problems/maximum-total-beauty-of-the-gardens" TargetMode="External"/><Relationship Id="rId214" Type="http://schemas.openxmlformats.org/officeDocument/2006/relationships/hyperlink" Target="https://leetcode.com/problems/encode-and-decode-strings" TargetMode="External"/><Relationship Id="rId256" Type="http://schemas.openxmlformats.org/officeDocument/2006/relationships/hyperlink" Target="https://leetcode.com/problems/russian-doll-envelopes" TargetMode="External"/><Relationship Id="rId298" Type="http://schemas.openxmlformats.org/officeDocument/2006/relationships/hyperlink" Target="https://leetcode.com/problems/find-all-numbers-disappeared-in-an-array" TargetMode="External"/><Relationship Id="rId421" Type="http://schemas.openxmlformats.org/officeDocument/2006/relationships/hyperlink" Target="https://leetcode.com/problems/most-common-word" TargetMode="External"/><Relationship Id="rId463" Type="http://schemas.openxmlformats.org/officeDocument/2006/relationships/hyperlink" Target="https://leetcode.com/problems/maximum-width-ramp" TargetMode="External"/><Relationship Id="rId519" Type="http://schemas.openxmlformats.org/officeDocument/2006/relationships/hyperlink" Target="https://leetcode.com/problems/unique-number-of-occurrences" TargetMode="External"/><Relationship Id="rId116" Type="http://schemas.openxmlformats.org/officeDocument/2006/relationships/hyperlink" Target="https://leetcode.com/problems/longest-consecutive-sequence" TargetMode="External"/><Relationship Id="rId158" Type="http://schemas.openxmlformats.org/officeDocument/2006/relationships/hyperlink" Target="https://leetcode.com/problems/best-time-to-buy-and-sell-stock-iv" TargetMode="External"/><Relationship Id="rId323" Type="http://schemas.openxmlformats.org/officeDocument/2006/relationships/hyperlink" Target="https://leetcode.com/problems/coin-change-ii" TargetMode="External"/><Relationship Id="rId530" Type="http://schemas.openxmlformats.org/officeDocument/2006/relationships/hyperlink" Target="https://leetcode.com/problems/find-winner-on-a-tic-tac-toe-game" TargetMode="External"/><Relationship Id="rId20" Type="http://schemas.openxmlformats.org/officeDocument/2006/relationships/hyperlink" Target="https://leetcode.com/problems/valid-parentheses" TargetMode="External"/><Relationship Id="rId62" Type="http://schemas.openxmlformats.org/officeDocument/2006/relationships/hyperlink" Target="https://leetcode.com/problems/minimum-path-sum" TargetMode="External"/><Relationship Id="rId365" Type="http://schemas.openxmlformats.org/officeDocument/2006/relationships/hyperlink" Target="https://leetcode.com/problems/robot-return-to-origin" TargetMode="External"/><Relationship Id="rId572" Type="http://schemas.openxmlformats.org/officeDocument/2006/relationships/hyperlink" Target="https://leetcode.com/problems/dot-product-of-two-sparse-vectors" TargetMode="External"/><Relationship Id="rId628" Type="http://schemas.openxmlformats.org/officeDocument/2006/relationships/hyperlink" Target="https://leetcode.com/problems/add-two-integers" TargetMode="External"/><Relationship Id="rId225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first-unique-character-in-a-string" TargetMode="External"/><Relationship Id="rId432" Type="http://schemas.openxmlformats.org/officeDocument/2006/relationships/hyperlink" Target="https://leetcode.com/problems/maximize-distance-to-closest-person" TargetMode="External"/><Relationship Id="rId474" Type="http://schemas.openxmlformats.org/officeDocument/2006/relationships/hyperlink" Target="https://leetcode.com/problems/cousins-in-binary-tree" TargetMode="External"/><Relationship Id="rId127" Type="http://schemas.openxmlformats.org/officeDocument/2006/relationships/hyperlink" Target="https://leetcode.com/problems/word-break" TargetMode="External"/><Relationship Id="rId31" Type="http://schemas.openxmlformats.org/officeDocument/2006/relationships/hyperlink" Target="https://leetcode.com/problems/next-permutation" TargetMode="External"/><Relationship Id="rId73" Type="http://schemas.openxmlformats.org/officeDocument/2006/relationships/hyperlink" Target="https://leetcode.com/problems/minimum-window-substring" TargetMode="External"/><Relationship Id="rId169" Type="http://schemas.openxmlformats.org/officeDocument/2006/relationships/hyperlink" Target="https://leetcode.com/problems/remove-linked-list-elements" TargetMode="External"/><Relationship Id="rId334" Type="http://schemas.openxmlformats.org/officeDocument/2006/relationships/hyperlink" Target="https://leetcode.com/problems/diameter-of-binary-tree" TargetMode="External"/><Relationship Id="rId376" Type="http://schemas.openxmlformats.org/officeDocument/2006/relationships/hyperlink" Target="https://leetcode.com/problems/knight-probability-in-chessboard" TargetMode="External"/><Relationship Id="rId541" Type="http://schemas.openxmlformats.org/officeDocument/2006/relationships/hyperlink" Target="https://leetcode.com/problems/longest-zigzag-path-in-a-binary-tree" TargetMode="External"/><Relationship Id="rId583" Type="http://schemas.openxmlformats.org/officeDocument/2006/relationships/hyperlink" Target="https://leetcode.com/problems/jump-game-vi" TargetMode="External"/><Relationship Id="rId639" Type="http://schemas.openxmlformats.org/officeDocument/2006/relationships/hyperlink" Target="https://leetcode.com/problems/count-special-integers" TargetMode="External"/><Relationship Id="rId4" Type="http://schemas.openxmlformats.org/officeDocument/2006/relationships/hyperlink" Target="https://leetcode.com/problems/median-of-two-sorted-arrays" TargetMode="External"/><Relationship Id="rId180" Type="http://schemas.openxmlformats.org/officeDocument/2006/relationships/hyperlink" Target="https://leetcode.com/problems/kth-largest-element-in-an-array" TargetMode="External"/><Relationship Id="rId236" Type="http://schemas.openxmlformats.org/officeDocument/2006/relationships/hyperlink" Target="https://leetcode.com/problems/maximum-product-of-word-lengths" TargetMode="External"/><Relationship Id="rId278" Type="http://schemas.openxmlformats.org/officeDocument/2006/relationships/hyperlink" Target="https://leetcode.com/problems/longest-palindrome" TargetMode="External"/><Relationship Id="rId401" Type="http://schemas.openxmlformats.org/officeDocument/2006/relationships/hyperlink" Target="https://leetcode.com/problems/basic-calculator-iii" TargetMode="External"/><Relationship Id="rId443" Type="http://schemas.openxmlformats.org/officeDocument/2006/relationships/hyperlink" Target="https://leetcode.com/problems/construct-binary-tree-from-preorder-and-postorder-traversal" TargetMode="External"/><Relationship Id="rId303" Type="http://schemas.openxmlformats.org/officeDocument/2006/relationships/hyperlink" Target="https://leetcode.com/problems/minimum-moves-to-equal-array-elements" TargetMode="External"/><Relationship Id="rId485" Type="http://schemas.openxmlformats.org/officeDocument/2006/relationships/hyperlink" Target="https://leetcode.com/problems/stream-of-characters" TargetMode="External"/><Relationship Id="rId42" Type="http://schemas.openxmlformats.org/officeDocument/2006/relationships/hyperlink" Target="https://leetcode.com/problems/trapping-rain-water" TargetMode="External"/><Relationship Id="rId84" Type="http://schemas.openxmlformats.org/officeDocument/2006/relationships/hyperlink" Target="https://leetcode.com/problems/reverse-linked-list-ii" TargetMode="External"/><Relationship Id="rId138" Type="http://schemas.openxmlformats.org/officeDocument/2006/relationships/hyperlink" Target="https://leetcode.com/problems/find-minimum-in-rotated-sorted-array" TargetMode="External"/><Relationship Id="rId345" Type="http://schemas.openxmlformats.org/officeDocument/2006/relationships/hyperlink" Target="https://leetcode.com/problems/delete-operation-for-two-strings" TargetMode="External"/><Relationship Id="rId387" Type="http://schemas.openxmlformats.org/officeDocument/2006/relationships/hyperlink" Target="https://leetcode.com/problems/find-pivot-index" TargetMode="External"/><Relationship Id="rId510" Type="http://schemas.openxmlformats.org/officeDocument/2006/relationships/hyperlink" Target="https://leetcode.com/problems/number-of-days-between-two-dates" TargetMode="External"/><Relationship Id="rId552" Type="http://schemas.openxmlformats.org/officeDocument/2006/relationships/hyperlink" Target="https://leetcode.com/problems/destination-city" TargetMode="External"/><Relationship Id="rId594" Type="http://schemas.openxmlformats.org/officeDocument/2006/relationships/hyperlink" Target="https://leetcode.com/problems/sum-of-all-subset-xor-totals" TargetMode="External"/><Relationship Id="rId608" Type="http://schemas.openxmlformats.org/officeDocument/2006/relationships/hyperlink" Target="https://leetcode.com/problems/find-all-possible-recipes-from-given-supplies" TargetMode="External"/><Relationship Id="rId191" Type="http://schemas.openxmlformats.org/officeDocument/2006/relationships/hyperlink" Target="https://leetcode.com/problems/power-of-two" TargetMode="External"/><Relationship Id="rId205" Type="http://schemas.openxmlformats.org/officeDocument/2006/relationships/hyperlink" Target="https://leetcode.com/problems/meeting-rooms-ii" TargetMode="External"/><Relationship Id="rId247" Type="http://schemas.openxmlformats.org/officeDocument/2006/relationships/hyperlink" Target="https://leetcode.com/problems/longest-substring-with-at-most-k-distinct-characters" TargetMode="External"/><Relationship Id="rId412" Type="http://schemas.openxmlformats.org/officeDocument/2006/relationships/hyperlink" Target="https://leetcode.com/problems/domino-and-tromino-tiling" TargetMode="External"/><Relationship Id="rId107" Type="http://schemas.openxmlformats.org/officeDocument/2006/relationships/hyperlink" Target="https://leetcode.com/problems/pascals-triangle-ii" TargetMode="External"/><Relationship Id="rId289" Type="http://schemas.openxmlformats.org/officeDocument/2006/relationships/hyperlink" Target="https://leetcode.com/problems/all-oone-data-structure" TargetMode="External"/><Relationship Id="rId454" Type="http://schemas.openxmlformats.org/officeDocument/2006/relationships/hyperlink" Target="https://leetcode.com/problems/unique-email-addresses" TargetMode="External"/><Relationship Id="rId496" Type="http://schemas.openxmlformats.org/officeDocument/2006/relationships/hyperlink" Target="https://leetcode.com/problems/longest-string-chain" TargetMode="External"/><Relationship Id="rId11" Type="http://schemas.openxmlformats.org/officeDocument/2006/relationships/hyperlink" Target="https://leetcode.com/problems/container-with-most-water" TargetMode="External"/><Relationship Id="rId53" Type="http://schemas.openxmlformats.org/officeDocument/2006/relationships/hyperlink" Target="https://leetcode.com/problems/jump-game" TargetMode="External"/><Relationship Id="rId149" Type="http://schemas.openxmlformats.org/officeDocument/2006/relationships/hyperlink" Target="https://leetcode.com/problems/second-highest-salary" TargetMode="External"/><Relationship Id="rId314" Type="http://schemas.openxmlformats.org/officeDocument/2006/relationships/hyperlink" Target="https://leetcode.com/problems/sliding-window-median" TargetMode="External"/><Relationship Id="rId356" Type="http://schemas.openxmlformats.org/officeDocument/2006/relationships/hyperlink" Target="https://leetcode.com/problems/smallest-range-covering-elements-from-k-lists" TargetMode="External"/><Relationship Id="rId398" Type="http://schemas.openxmlformats.org/officeDocument/2006/relationships/hyperlink" Target="https://leetcode.com/problems/flatten-a-multilevel-doubly-linked-list" TargetMode="External"/><Relationship Id="rId521" Type="http://schemas.openxmlformats.org/officeDocument/2006/relationships/hyperlink" Target="https://leetcode.com/problems/where-will-the-ball-fall" TargetMode="External"/><Relationship Id="rId563" Type="http://schemas.openxmlformats.org/officeDocument/2006/relationships/hyperlink" Target="https://leetcode.com/problems/check-if-array-pairs-are-divisible-by-k" TargetMode="External"/><Relationship Id="rId619" Type="http://schemas.openxmlformats.org/officeDocument/2006/relationships/hyperlink" Target="https://leetcode.com/problems/minimum-average-difference" TargetMode="External"/><Relationship Id="rId95" Type="http://schemas.openxmlformats.org/officeDocument/2006/relationships/hyperlink" Target="https://leetcode.com/problems/maximum-depth-of-binary-tree" TargetMode="External"/><Relationship Id="rId160" Type="http://schemas.openxmlformats.org/officeDocument/2006/relationships/hyperlink" Target="https://leetcode.com/problems/reverse-bits" TargetMode="External"/><Relationship Id="rId216" Type="http://schemas.openxmlformats.org/officeDocument/2006/relationships/hyperlink" Target="https://leetcode.com/problems/find-the-celebrity" TargetMode="External"/><Relationship Id="rId423" Type="http://schemas.openxmlformats.org/officeDocument/2006/relationships/hyperlink" Target="https://leetcode.com/problems/most-profit-assigning-work" TargetMode="External"/><Relationship Id="rId258" Type="http://schemas.openxmlformats.org/officeDocument/2006/relationships/hyperlink" Target="https://leetcode.com/problems/max-sum-of-rectangle-no-larger-than-k" TargetMode="External"/><Relationship Id="rId465" Type="http://schemas.openxmlformats.org/officeDocument/2006/relationships/hyperlink" Target="https://leetcode.com/problems/fibonacci-number" TargetMode="External"/><Relationship Id="rId630" Type="http://schemas.openxmlformats.org/officeDocument/2006/relationships/hyperlink" Target="https://leetcode.com/problems/count-subarrays-with-score-less-than-k" TargetMode="External"/><Relationship Id="rId22" Type="http://schemas.openxmlformats.org/officeDocument/2006/relationships/hyperlink" Target="https://leetcode.com/problems/generate-parentheses" TargetMode="External"/><Relationship Id="rId64" Type="http://schemas.openxmlformats.org/officeDocument/2006/relationships/hyperlink" Target="https://leetcode.com/problems/plus-one" TargetMode="External"/><Relationship Id="rId118" Type="http://schemas.openxmlformats.org/officeDocument/2006/relationships/hyperlink" Target="https://leetcode.com/problems/surrounded-regions" TargetMode="External"/><Relationship Id="rId325" Type="http://schemas.openxmlformats.org/officeDocument/2006/relationships/hyperlink" Target="https://leetcode.com/problems/contiguous-array" TargetMode="External"/><Relationship Id="rId367" Type="http://schemas.openxmlformats.org/officeDocument/2006/relationships/hyperlink" Target="https://leetcode.com/problems/maximum-width-of-binary-tree" TargetMode="External"/><Relationship Id="rId532" Type="http://schemas.openxmlformats.org/officeDocument/2006/relationships/hyperlink" Target="https://leetcode.com/problems/shortest-path-in-a-grid-with-obstacles-elimination" TargetMode="External"/><Relationship Id="rId574" Type="http://schemas.openxmlformats.org/officeDocument/2006/relationships/hyperlink" Target="https://leetcode.com/problems/even-odd-tree" TargetMode="External"/><Relationship Id="rId171" Type="http://schemas.openxmlformats.org/officeDocument/2006/relationships/hyperlink" Target="https://leetcode.com/problems/isomorphic-strings" TargetMode="External"/><Relationship Id="rId227" Type="http://schemas.openxmlformats.org/officeDocument/2006/relationships/hyperlink" Target="https://leetcode.com/problems/remove-invalid-parentheses" TargetMode="External"/><Relationship Id="rId269" Type="http://schemas.openxmlformats.org/officeDocument/2006/relationships/hyperlink" Target="https://leetcode.com/problems/is-subsequence" TargetMode="External"/><Relationship Id="rId434" Type="http://schemas.openxmlformats.org/officeDocument/2006/relationships/hyperlink" Target="https://leetcode.com/problems/minimum-cost-to-hire-k-workers" TargetMode="External"/><Relationship Id="rId476" Type="http://schemas.openxmlformats.org/officeDocument/2006/relationships/hyperlink" Target="https://leetcode.com/problems/max-consecutive-ones-iii" TargetMode="External"/><Relationship Id="rId641" Type="http://schemas.openxmlformats.org/officeDocument/2006/relationships/hyperlink" Target="https://leetcode.com/problems/find-the-k-sum-of-an-array" TargetMode="External"/><Relationship Id="rId33" Type="http://schemas.openxmlformats.org/officeDocument/2006/relationships/hyperlink" Target="https://leetcode.com/problems/search-in-rotated-sorted-array" TargetMode="External"/><Relationship Id="rId129" Type="http://schemas.openxmlformats.org/officeDocument/2006/relationships/hyperlink" Target="https://leetcode.com/problems/linked-list-cycle" TargetMode="External"/><Relationship Id="rId280" Type="http://schemas.openxmlformats.org/officeDocument/2006/relationships/hyperlink" Target="https://leetcode.com/problems/fizz-buzz" TargetMode="External"/><Relationship Id="rId336" Type="http://schemas.openxmlformats.org/officeDocument/2006/relationships/hyperlink" Target="https://leetcode.com/problems/number-of-provinces" TargetMode="External"/><Relationship Id="rId501" Type="http://schemas.openxmlformats.org/officeDocument/2006/relationships/hyperlink" Target="https://leetcode.com/problems/car-pooling" TargetMode="External"/><Relationship Id="rId543" Type="http://schemas.openxmlformats.org/officeDocument/2006/relationships/hyperlink" Target="https://leetcode.com/problems/construct-target-array-with-multiple-sums" TargetMode="External"/><Relationship Id="rId75" Type="http://schemas.openxmlformats.org/officeDocument/2006/relationships/hyperlink" Target="https://leetcode.com/problems/word-search" TargetMode="External"/><Relationship Id="rId140" Type="http://schemas.openxmlformats.org/officeDocument/2006/relationships/hyperlink" Target="https://leetcode.com/problems/longest-substring-with-at-most-two-distinct-characters" TargetMode="External"/><Relationship Id="rId182" Type="http://schemas.openxmlformats.org/officeDocument/2006/relationships/hyperlink" Target="https://leetcode.com/problems/the-skyline-problem" TargetMode="External"/><Relationship Id="rId378" Type="http://schemas.openxmlformats.org/officeDocument/2006/relationships/hyperlink" Target="https://leetcode.com/problems/top-k-frequent-words" TargetMode="External"/><Relationship Id="rId403" Type="http://schemas.openxmlformats.org/officeDocument/2006/relationships/hyperlink" Target="https://leetcode.com/problems/kth-largest-element-in-a-stream" TargetMode="External"/><Relationship Id="rId585" Type="http://schemas.openxmlformats.org/officeDocument/2006/relationships/hyperlink" Target="https://leetcode.com/problems/find-minimum-time-to-finish-all-jobs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number-of-connected-components-in-an-undirected-graph" TargetMode="External"/><Relationship Id="rId445" Type="http://schemas.openxmlformats.org/officeDocument/2006/relationships/hyperlink" Target="https://leetcode.com/problems/maximum-frequency-stack" TargetMode="External"/><Relationship Id="rId487" Type="http://schemas.openxmlformats.org/officeDocument/2006/relationships/hyperlink" Target="https://leetcode.com/problems/analyze-user-website-visit-pattern" TargetMode="External"/><Relationship Id="rId610" Type="http://schemas.openxmlformats.org/officeDocument/2006/relationships/hyperlink" Target="https://leetcode.com/problems/adding-spaces-to-a-string" TargetMode="External"/><Relationship Id="rId291" Type="http://schemas.openxmlformats.org/officeDocument/2006/relationships/hyperlink" Target="https://leetcode.com/problems/non-overlapping-intervals" TargetMode="External"/><Relationship Id="rId305" Type="http://schemas.openxmlformats.org/officeDocument/2006/relationships/hyperlink" Target="https://leetcode.com/problems/132-pattern" TargetMode="External"/><Relationship Id="rId347" Type="http://schemas.openxmlformats.org/officeDocument/2006/relationships/hyperlink" Target="https://leetcode.com/problems/design-in-memory-file-system" TargetMode="External"/><Relationship Id="rId512" Type="http://schemas.openxmlformats.org/officeDocument/2006/relationships/hyperlink" Target="https://leetcode.com/problems/critical-connections-in-a-network" TargetMode="External"/><Relationship Id="rId44" Type="http://schemas.openxmlformats.org/officeDocument/2006/relationships/hyperlink" Target="https://leetcode.com/problems/jump-game-ii" TargetMode="External"/><Relationship Id="rId86" Type="http://schemas.openxmlformats.org/officeDocument/2006/relationships/hyperlink" Target="https://leetcode.com/problems/binary-tree-inorder-traversal" TargetMode="External"/><Relationship Id="rId151" Type="http://schemas.openxmlformats.org/officeDocument/2006/relationships/hyperlink" Target="https://leetcode.com/problems/rank-scores" TargetMode="External"/><Relationship Id="rId389" Type="http://schemas.openxmlformats.org/officeDocument/2006/relationships/hyperlink" Target="https://leetcode.com/problems/flood-fill" TargetMode="External"/><Relationship Id="rId554" Type="http://schemas.openxmlformats.org/officeDocument/2006/relationships/hyperlink" Target="https://leetcode.com/problems/maximum-product-of-two-elements-in-an-array" TargetMode="External"/><Relationship Id="rId596" Type="http://schemas.openxmlformats.org/officeDocument/2006/relationships/hyperlink" Target="https://leetcode.com/problems/process-tasks-using-servers" TargetMode="External"/><Relationship Id="rId193" Type="http://schemas.openxmlformats.org/officeDocument/2006/relationships/hyperlink" Target="https://leetcode.com/problems/palindrome-linked-list" TargetMode="External"/><Relationship Id="rId207" Type="http://schemas.openxmlformats.org/officeDocument/2006/relationships/hyperlink" Target="https://leetcode.com/problems/binary-tree-paths" TargetMode="External"/><Relationship Id="rId249" Type="http://schemas.openxmlformats.org/officeDocument/2006/relationships/hyperlink" Target="https://leetcode.com/problems/reverse-string" TargetMode="External"/><Relationship Id="rId414" Type="http://schemas.openxmlformats.org/officeDocument/2006/relationships/hyperlink" Target="https://leetcode.com/problems/rotate-string" TargetMode="External"/><Relationship Id="rId456" Type="http://schemas.openxmlformats.org/officeDocument/2006/relationships/hyperlink" Target="https://leetcode.com/problems/shortest-bridge" TargetMode="External"/><Relationship Id="rId498" Type="http://schemas.openxmlformats.org/officeDocument/2006/relationships/hyperlink" Target="https://leetcode.com/problems/meeting-scheduler" TargetMode="External"/><Relationship Id="rId621" Type="http://schemas.openxmlformats.org/officeDocument/2006/relationships/hyperlink" Target="https://leetcode.com/problems/minimum-health-to-beat-game" TargetMode="External"/><Relationship Id="rId13" Type="http://schemas.openxmlformats.org/officeDocument/2006/relationships/hyperlink" Target="https://leetcode.com/problems/roman-to-integer" TargetMode="External"/><Relationship Id="rId109" Type="http://schemas.openxmlformats.org/officeDocument/2006/relationships/hyperlink" Target="https://leetcode.com/problems/best-time-to-buy-and-sell-stock" TargetMode="External"/><Relationship Id="rId260" Type="http://schemas.openxmlformats.org/officeDocument/2006/relationships/hyperlink" Target="https://leetcode.com/problems/valid-perfect-square" TargetMode="External"/><Relationship Id="rId316" Type="http://schemas.openxmlformats.org/officeDocument/2006/relationships/hyperlink" Target="https://leetcode.com/problems/reverse-pairs" TargetMode="External"/><Relationship Id="rId523" Type="http://schemas.openxmlformats.org/officeDocument/2006/relationships/hyperlink" Target="https://leetcode.com/problems/maximum-profit-in-job-scheduling" TargetMode="External"/><Relationship Id="rId55" Type="http://schemas.openxmlformats.org/officeDocument/2006/relationships/hyperlink" Target="https://leetcode.com/problems/insert-interval" TargetMode="External"/><Relationship Id="rId97" Type="http://schemas.openxmlformats.org/officeDocument/2006/relationships/hyperlink" Target="https://leetcode.com/problems/construct-binary-tree-from-inorder-and-postorder-traversal" TargetMode="External"/><Relationship Id="rId120" Type="http://schemas.openxmlformats.org/officeDocument/2006/relationships/hyperlink" Target="https://leetcode.com/problems/palindrome-partitioning-ii" TargetMode="External"/><Relationship Id="rId358" Type="http://schemas.openxmlformats.org/officeDocument/2006/relationships/hyperlink" Target="https://leetcode.com/problems/design-search-autocomplete-system" TargetMode="External"/><Relationship Id="rId565" Type="http://schemas.openxmlformats.org/officeDocument/2006/relationships/hyperlink" Target="https://leetcode.com/problems/number-of-good-ways-to-split-a-string" TargetMode="External"/><Relationship Id="rId162" Type="http://schemas.openxmlformats.org/officeDocument/2006/relationships/hyperlink" Target="https://leetcode.com/problems/valid-phone-numbers" TargetMode="External"/><Relationship Id="rId218" Type="http://schemas.openxmlformats.org/officeDocument/2006/relationships/hyperlink" Target="https://leetcode.com/problems/perfect-squares" TargetMode="External"/><Relationship Id="rId425" Type="http://schemas.openxmlformats.org/officeDocument/2006/relationships/hyperlink" Target="https://leetcode.com/problems/count-unique-characters-of-all-substrings-of-a-given-string" TargetMode="External"/><Relationship Id="rId467" Type="http://schemas.openxmlformats.org/officeDocument/2006/relationships/hyperlink" Target="https://leetcode.com/problems/squares-of-a-sorted-array" TargetMode="External"/><Relationship Id="rId632" Type="http://schemas.openxmlformats.org/officeDocument/2006/relationships/hyperlink" Target="https://leetcode.com/problems/minimum-number-of-keypresses" TargetMode="External"/><Relationship Id="rId271" Type="http://schemas.openxmlformats.org/officeDocument/2006/relationships/hyperlink" Target="https://leetcode.com/problems/longest-substring-with-at-least-k-repeating-characters" TargetMode="External"/><Relationship Id="rId24" Type="http://schemas.openxmlformats.org/officeDocument/2006/relationships/hyperlink" Target="https://leetcode.com/problems/swap-nodes-in-pairs" TargetMode="External"/><Relationship Id="rId66" Type="http://schemas.openxmlformats.org/officeDocument/2006/relationships/hyperlink" Target="https://leetcode.com/problems/sqrtx" TargetMode="External"/><Relationship Id="rId131" Type="http://schemas.openxmlformats.org/officeDocument/2006/relationships/hyperlink" Target="https://leetcode.com/problems/reorder-list" TargetMode="External"/><Relationship Id="rId327" Type="http://schemas.openxmlformats.org/officeDocument/2006/relationships/hyperlink" Target="https://leetcode.com/problems/minesweeper" TargetMode="External"/><Relationship Id="rId369" Type="http://schemas.openxmlformats.org/officeDocument/2006/relationships/hyperlink" Target="https://leetcode.com/problems/trim-a-binary-search-tree" TargetMode="External"/><Relationship Id="rId534" Type="http://schemas.openxmlformats.org/officeDocument/2006/relationships/hyperlink" Target="https://leetcode.com/problems/angle-between-hands-of-a-clock" TargetMode="External"/><Relationship Id="rId576" Type="http://schemas.openxmlformats.org/officeDocument/2006/relationships/hyperlink" Target="https://leetcode.com/problems/furthest-building-you-can-reach" TargetMode="External"/><Relationship Id="rId173" Type="http://schemas.openxmlformats.org/officeDocument/2006/relationships/hyperlink" Target="https://leetcode.com/problems/course-schedule" TargetMode="External"/><Relationship Id="rId229" Type="http://schemas.openxmlformats.org/officeDocument/2006/relationships/hyperlink" Target="https://leetcode.com/problems/number-of-islands-ii" TargetMode="External"/><Relationship Id="rId380" Type="http://schemas.openxmlformats.org/officeDocument/2006/relationships/hyperlink" Target="https://leetcode.com/problems/max-area-of-island" TargetMode="External"/><Relationship Id="rId436" Type="http://schemas.openxmlformats.org/officeDocument/2006/relationships/hyperlink" Target="https://leetcode.com/problems/all-nodes-distance-k-in-binary-tree" TargetMode="External"/><Relationship Id="rId601" Type="http://schemas.openxmlformats.org/officeDocument/2006/relationships/hyperlink" Target="https://leetcode.com/problems/partition-array-into-two-arrays-to-minimize-sum-difference" TargetMode="External"/><Relationship Id="rId643" Type="http://schemas.openxmlformats.org/officeDocument/2006/relationships/hyperlink" Target="https://leetcode.com/problems/optimal-partition-of-string" TargetMode="External"/><Relationship Id="rId240" Type="http://schemas.openxmlformats.org/officeDocument/2006/relationships/hyperlink" Target="https://leetcode.com/problems/odd-even-linked-list" TargetMode="External"/><Relationship Id="rId478" Type="http://schemas.openxmlformats.org/officeDocument/2006/relationships/hyperlink" Target="https://leetcode.com/problems/pairs-of-songs-with-total-durations-divisible-by-60" TargetMode="External"/><Relationship Id="rId35" Type="http://schemas.openxmlformats.org/officeDocument/2006/relationships/hyperlink" Target="https://leetcode.com/problems/search-insert-position" TargetMode="External"/><Relationship Id="rId77" Type="http://schemas.openxmlformats.org/officeDocument/2006/relationships/hyperlink" Target="https://leetcode.com/problems/remove-duplicates-from-sorted-list-ii" TargetMode="External"/><Relationship Id="rId100" Type="http://schemas.openxmlformats.org/officeDocument/2006/relationships/hyperlink" Target="https://leetcode.com/problems/minimum-depth-of-binary-tree" TargetMode="External"/><Relationship Id="rId282" Type="http://schemas.openxmlformats.org/officeDocument/2006/relationships/hyperlink" Target="https://leetcode.com/problems/add-strings" TargetMode="External"/><Relationship Id="rId338" Type="http://schemas.openxmlformats.org/officeDocument/2006/relationships/hyperlink" Target="https://leetcode.com/problems/next-greater-element-iii" TargetMode="External"/><Relationship Id="rId503" Type="http://schemas.openxmlformats.org/officeDocument/2006/relationships/hyperlink" Target="https://leetcode.com/problems/sequential-digits" TargetMode="External"/><Relationship Id="rId545" Type="http://schemas.openxmlformats.org/officeDocument/2006/relationships/hyperlink" Target="https://leetcode.com/problems/find-the-distance-value-between-two-arrays" TargetMode="External"/><Relationship Id="rId587" Type="http://schemas.openxmlformats.org/officeDocument/2006/relationships/hyperlink" Target="https://leetcode.com/problems/check-if-array-is-sorted-and-rotated" TargetMode="External"/><Relationship Id="rId8" Type="http://schemas.openxmlformats.org/officeDocument/2006/relationships/hyperlink" Target="https://leetcode.com/problems/string-to-integer-atoi" TargetMode="External"/><Relationship Id="rId142" Type="http://schemas.openxmlformats.org/officeDocument/2006/relationships/hyperlink" Target="https://leetcode.com/problems/find-peak-element" TargetMode="External"/><Relationship Id="rId184" Type="http://schemas.openxmlformats.org/officeDocument/2006/relationships/hyperlink" Target="https://leetcode.com/problems/contains-duplicate-iii" TargetMode="External"/><Relationship Id="rId391" Type="http://schemas.openxmlformats.org/officeDocument/2006/relationships/hyperlink" Target="https://leetcode.com/problems/daily-temperatures" TargetMode="External"/><Relationship Id="rId405" Type="http://schemas.openxmlformats.org/officeDocument/2006/relationships/hyperlink" Target="https://leetcode.com/problems/swap-adjacent-in-lr-string" TargetMode="External"/><Relationship Id="rId447" Type="http://schemas.openxmlformats.org/officeDocument/2006/relationships/hyperlink" Target="https://leetcode.com/problems/valid-permutations-for-di-sequence" TargetMode="External"/><Relationship Id="rId612" Type="http://schemas.openxmlformats.org/officeDocument/2006/relationships/hyperlink" Target="https://leetcode.com/problems/maximum-twin-sum-of-a-linked-list" TargetMode="External"/><Relationship Id="rId251" Type="http://schemas.openxmlformats.org/officeDocument/2006/relationships/hyperlink" Target="https://leetcode.com/problems/top-k-frequent-elements" TargetMode="External"/><Relationship Id="rId489" Type="http://schemas.openxmlformats.org/officeDocument/2006/relationships/hyperlink" Target="https://leetcode.com/problems/binary-search-tree-to-greater-sum-tree" TargetMode="External"/><Relationship Id="rId46" Type="http://schemas.openxmlformats.org/officeDocument/2006/relationships/hyperlink" Target="https://leetcode.com/problems/permutations-ii" TargetMode="External"/><Relationship Id="rId293" Type="http://schemas.openxmlformats.org/officeDocument/2006/relationships/hyperlink" Target="https://leetcode.com/problems/find-all-anagrams-in-a-string" TargetMode="External"/><Relationship Id="rId307" Type="http://schemas.openxmlformats.org/officeDocument/2006/relationships/hyperlink" Target="https://leetcode.com/problems/lfu-cache" TargetMode="External"/><Relationship Id="rId349" Type="http://schemas.openxmlformats.org/officeDocument/2006/relationships/hyperlink" Target="https://leetcode.com/problems/consecutive-available-seats" TargetMode="External"/><Relationship Id="rId514" Type="http://schemas.openxmlformats.org/officeDocument/2006/relationships/hyperlink" Target="https://leetcode.com/problems/minimum-moves-to-reach-target-score" TargetMode="External"/><Relationship Id="rId556" Type="http://schemas.openxmlformats.org/officeDocument/2006/relationships/hyperlink" Target="https://leetcode.com/problems/active-users" TargetMode="External"/><Relationship Id="rId88" Type="http://schemas.openxmlformats.org/officeDocument/2006/relationships/hyperlink" Target="https://leetcode.com/problems/interleaving-string" TargetMode="External"/><Relationship Id="rId111" Type="http://schemas.openxmlformats.org/officeDocument/2006/relationships/hyperlink" Target="https://leetcode.com/problems/best-time-to-buy-and-sell-stock-iii" TargetMode="External"/><Relationship Id="rId153" Type="http://schemas.openxmlformats.org/officeDocument/2006/relationships/hyperlink" Target="https://leetcode.com/problems/consecutive-numbers" TargetMode="External"/><Relationship Id="rId195" Type="http://schemas.openxmlformats.org/officeDocument/2006/relationships/hyperlink" Target="https://leetcode.com/problems/lowest-common-ancestor-of-a-binary-tree" TargetMode="External"/><Relationship Id="rId209" Type="http://schemas.openxmlformats.org/officeDocument/2006/relationships/hyperlink" Target="https://leetcode.com/problems/graph-valid-tree" TargetMode="External"/><Relationship Id="rId360" Type="http://schemas.openxmlformats.org/officeDocument/2006/relationships/hyperlink" Target="https://leetcode.com/problems/maximum-length-of-pair-chain" TargetMode="External"/><Relationship Id="rId416" Type="http://schemas.openxmlformats.org/officeDocument/2006/relationships/hyperlink" Target="https://leetcode.com/problems/find-eventual-safe-states" TargetMode="External"/><Relationship Id="rId598" Type="http://schemas.openxmlformats.org/officeDocument/2006/relationships/hyperlink" Target="https://leetcode.com/problems/remove-stones-to-minimize-the-total" TargetMode="External"/><Relationship Id="rId220" Type="http://schemas.openxmlformats.org/officeDocument/2006/relationships/hyperlink" Target="https://leetcode.com/problems/walls-and-gates" TargetMode="External"/><Relationship Id="rId458" Type="http://schemas.openxmlformats.org/officeDocument/2006/relationships/hyperlink" Target="https://leetcode.com/problems/valid-mountain-array" TargetMode="External"/><Relationship Id="rId623" Type="http://schemas.openxmlformats.org/officeDocument/2006/relationships/hyperlink" Target="https://leetcode.com/problems/minimum-rounds-to-complete-all-tasks" TargetMode="External"/><Relationship Id="rId15" Type="http://schemas.openxmlformats.org/officeDocument/2006/relationships/hyperlink" Target="https://leetcode.com/problems/3sum" TargetMode="External"/><Relationship Id="rId57" Type="http://schemas.openxmlformats.org/officeDocument/2006/relationships/hyperlink" Target="https://leetcode.com/problems/spiral-matrix-ii" TargetMode="External"/><Relationship Id="rId262" Type="http://schemas.openxmlformats.org/officeDocument/2006/relationships/hyperlink" Target="https://leetcode.com/problems/combination-sum-iv" TargetMode="External"/><Relationship Id="rId318" Type="http://schemas.openxmlformats.org/officeDocument/2006/relationships/hyperlink" Target="https://leetcode.com/problems/next-greater-element-i" TargetMode="External"/><Relationship Id="rId525" Type="http://schemas.openxmlformats.org/officeDocument/2006/relationships/hyperlink" Target="https://leetcode.com/problems/tuple-with-same-product" TargetMode="External"/><Relationship Id="rId567" Type="http://schemas.openxmlformats.org/officeDocument/2006/relationships/hyperlink" Target="https://leetcode.com/problems/kth-missing-positive-number" TargetMode="External"/><Relationship Id="rId99" Type="http://schemas.openxmlformats.org/officeDocument/2006/relationships/hyperlink" Target="https://leetcode.com/problems/convert-sorted-array-to-binary-search-tree" TargetMode="External"/><Relationship Id="rId122" Type="http://schemas.openxmlformats.org/officeDocument/2006/relationships/hyperlink" Target="https://leetcode.com/problems/gas-station" TargetMode="External"/><Relationship Id="rId164" Type="http://schemas.openxmlformats.org/officeDocument/2006/relationships/hyperlink" Target="https://leetcode.com/problems/rising-temperature" TargetMode="External"/><Relationship Id="rId371" Type="http://schemas.openxmlformats.org/officeDocument/2006/relationships/hyperlink" Target="https://leetcode.com/problems/number-of-longest-increasing-subsequence" TargetMode="External"/><Relationship Id="rId427" Type="http://schemas.openxmlformats.org/officeDocument/2006/relationships/hyperlink" Target="https://leetcode.com/problems/robot-room-cleaner" TargetMode="External"/><Relationship Id="rId469" Type="http://schemas.openxmlformats.org/officeDocument/2006/relationships/hyperlink" Target="https://leetcode.com/problems/time-based-key-value-store" TargetMode="External"/><Relationship Id="rId634" Type="http://schemas.openxmlformats.org/officeDocument/2006/relationships/hyperlink" Target="https://leetcode.com/problems/smallest-number-in-infinite-set" TargetMode="External"/><Relationship Id="rId26" Type="http://schemas.openxmlformats.org/officeDocument/2006/relationships/hyperlink" Target="https://leetcode.com/problems/remove-duplicates-from-sorted-array" TargetMode="External"/><Relationship Id="rId231" Type="http://schemas.openxmlformats.org/officeDocument/2006/relationships/hyperlink" Target="https://leetcode.com/problems/best-time-to-buy-and-sell-stock-with-cooldown" TargetMode="External"/><Relationship Id="rId273" Type="http://schemas.openxmlformats.org/officeDocument/2006/relationships/hyperlink" Target="https://leetcode.com/problems/evaluate-division" TargetMode="External"/><Relationship Id="rId329" Type="http://schemas.openxmlformats.org/officeDocument/2006/relationships/hyperlink" Target="https://leetcode.com/problems/lonely-pixel-i" TargetMode="External"/><Relationship Id="rId480" Type="http://schemas.openxmlformats.org/officeDocument/2006/relationships/hyperlink" Target="https://leetcode.com/problems/missing-element-in-sorted-array" TargetMode="External"/><Relationship Id="rId536" Type="http://schemas.openxmlformats.org/officeDocument/2006/relationships/hyperlink" Target="https://leetcode.com/problems/minimum-number-of-taps-to-open-to-water-a-garden" TargetMode="External"/><Relationship Id="rId68" Type="http://schemas.openxmlformats.org/officeDocument/2006/relationships/hyperlink" Target="https://leetcode.com/problems/simplify-path" TargetMode="External"/><Relationship Id="rId133" Type="http://schemas.openxmlformats.org/officeDocument/2006/relationships/hyperlink" Target="https://leetcode.com/problems/sort-list" TargetMode="External"/><Relationship Id="rId175" Type="http://schemas.openxmlformats.org/officeDocument/2006/relationships/hyperlink" Target="https://leetcode.com/problems/minimum-size-subarray-sum" TargetMode="External"/><Relationship Id="rId340" Type="http://schemas.openxmlformats.org/officeDocument/2006/relationships/hyperlink" Target="https://leetcode.com/problems/subarray-sum-equals-k" TargetMode="External"/><Relationship Id="rId578" Type="http://schemas.openxmlformats.org/officeDocument/2006/relationships/hyperlink" Target="https://leetcode.com/problems/lowest-common-ancestor-of-a-binary-tree-iii" TargetMode="External"/><Relationship Id="rId200" Type="http://schemas.openxmlformats.org/officeDocument/2006/relationships/hyperlink" Target="https://leetcode.com/problems/valid-anagram" TargetMode="External"/><Relationship Id="rId382" Type="http://schemas.openxmlformats.org/officeDocument/2006/relationships/hyperlink" Target="https://leetcode.com/problems/partition-to-k-equal-sum-subsets" TargetMode="External"/><Relationship Id="rId438" Type="http://schemas.openxmlformats.org/officeDocument/2006/relationships/hyperlink" Target="https://leetcode.com/problems/minimum-number-of-refueling-stops" TargetMode="External"/><Relationship Id="rId603" Type="http://schemas.openxmlformats.org/officeDocument/2006/relationships/hyperlink" Target="https://leetcode.com/problems/most-beautiful-item-for-each-query" TargetMode="External"/><Relationship Id="rId645" Type="http://schemas.openxmlformats.org/officeDocument/2006/relationships/hyperlink" Target="https://leetcode.com/problems/maximum-number-of-books-you-can-take" TargetMode="External"/><Relationship Id="rId242" Type="http://schemas.openxmlformats.org/officeDocument/2006/relationships/hyperlink" Target="https://leetcode.com/problems/reconstruct-itinerary" TargetMode="External"/><Relationship Id="rId284" Type="http://schemas.openxmlformats.org/officeDocument/2006/relationships/hyperlink" Target="https://leetcode.com/problems/pacific-atlantic-water-flow" TargetMode="External"/><Relationship Id="rId491" Type="http://schemas.openxmlformats.org/officeDocument/2006/relationships/hyperlink" Target="https://leetcode.com/problems/longest-duplicate-substring" TargetMode="External"/><Relationship Id="rId505" Type="http://schemas.openxmlformats.org/officeDocument/2006/relationships/hyperlink" Target="https://leetcode.com/problems/replace-elements-with-greatest-element-on-right-side" TargetMode="External"/><Relationship Id="rId37" Type="http://schemas.openxmlformats.org/officeDocument/2006/relationships/hyperlink" Target="https://leetcode.com/problems/sudoku-solver" TargetMode="External"/><Relationship Id="rId79" Type="http://schemas.openxmlformats.org/officeDocument/2006/relationships/hyperlink" Target="https://leetcode.com/problems/largest-rectangle-in-histogram" TargetMode="External"/><Relationship Id="rId102" Type="http://schemas.openxmlformats.org/officeDocument/2006/relationships/hyperlink" Target="https://leetcode.com/problems/path-sum-ii" TargetMode="External"/><Relationship Id="rId144" Type="http://schemas.openxmlformats.org/officeDocument/2006/relationships/hyperlink" Target="https://leetcode.com/problems/two-sum-ii-input-array-is-sorted" TargetMode="External"/><Relationship Id="rId547" Type="http://schemas.openxmlformats.org/officeDocument/2006/relationships/hyperlink" Target="https://leetcode.com/problems/design-underground-system" TargetMode="External"/><Relationship Id="rId589" Type="http://schemas.openxmlformats.org/officeDocument/2006/relationships/hyperlink" Target="https://leetcode.com/problems/recyclable-and-low-fat-products" TargetMode="External"/><Relationship Id="rId90" Type="http://schemas.openxmlformats.org/officeDocument/2006/relationships/hyperlink" Target="https://leetcode.com/problems/recover-binary-search-tree" TargetMode="External"/><Relationship Id="rId186" Type="http://schemas.openxmlformats.org/officeDocument/2006/relationships/hyperlink" Target="https://leetcode.com/problems/count-complete-tree-nodes" TargetMode="External"/><Relationship Id="rId351" Type="http://schemas.openxmlformats.org/officeDocument/2006/relationships/hyperlink" Target="https://leetcode.com/problems/find-duplicate-file-in-system" TargetMode="External"/><Relationship Id="rId393" Type="http://schemas.openxmlformats.org/officeDocument/2006/relationships/hyperlink" Target="https://leetcode.com/problems/network-delay-time" TargetMode="External"/><Relationship Id="rId407" Type="http://schemas.openxmlformats.org/officeDocument/2006/relationships/hyperlink" Target="https://leetcode.com/problems/k-th-symbol-in-grammar" TargetMode="External"/><Relationship Id="rId449" Type="http://schemas.openxmlformats.org/officeDocument/2006/relationships/hyperlink" Target="https://leetcode.com/problems/sum-of-subarray-minimums" TargetMode="External"/><Relationship Id="rId614" Type="http://schemas.openxmlformats.org/officeDocument/2006/relationships/hyperlink" Target="https://leetcode.com/problems/append-k-integers-with-minimal-sum" TargetMode="External"/><Relationship Id="rId211" Type="http://schemas.openxmlformats.org/officeDocument/2006/relationships/hyperlink" Target="https://leetcode.com/problems/paint-house-ii" TargetMode="External"/><Relationship Id="rId253" Type="http://schemas.openxmlformats.org/officeDocument/2006/relationships/hyperlink" Target="https://leetcode.com/problems/intersection-of-two-arrays" TargetMode="External"/><Relationship Id="rId295" Type="http://schemas.openxmlformats.org/officeDocument/2006/relationships/hyperlink" Target="https://leetcode.com/problems/find-all-duplicates-in-an-array" TargetMode="External"/><Relationship Id="rId309" Type="http://schemas.openxmlformats.org/officeDocument/2006/relationships/hyperlink" Target="https://leetcode.com/problems/island-perimeter" TargetMode="External"/><Relationship Id="rId460" Type="http://schemas.openxmlformats.org/officeDocument/2006/relationships/hyperlink" Target="https://leetcode.com/problems/largest-time-for-given-digits" TargetMode="External"/><Relationship Id="rId516" Type="http://schemas.openxmlformats.org/officeDocument/2006/relationships/hyperlink" Target="https://leetcode.com/problems/number-of-visible-people-in-a-queue" TargetMode="External"/><Relationship Id="rId48" Type="http://schemas.openxmlformats.org/officeDocument/2006/relationships/hyperlink" Target="https://leetcode.com/problems/group-anagrams" TargetMode="External"/><Relationship Id="rId113" Type="http://schemas.openxmlformats.org/officeDocument/2006/relationships/hyperlink" Target="https://leetcode.com/problems/valid-palindrome" TargetMode="External"/><Relationship Id="rId320" Type="http://schemas.openxmlformats.org/officeDocument/2006/relationships/hyperlink" Target="https://leetcode.com/problems/next-greater-element-ii" TargetMode="External"/><Relationship Id="rId558" Type="http://schemas.openxmlformats.org/officeDocument/2006/relationships/hyperlink" Target="https://leetcode.com/problems/design-browser-history" TargetMode="External"/><Relationship Id="rId155" Type="http://schemas.openxmlformats.org/officeDocument/2006/relationships/hyperlink" Target="https://leetcode.com/problems/customers-who-never-order" TargetMode="External"/><Relationship Id="rId197" Type="http://schemas.openxmlformats.org/officeDocument/2006/relationships/hyperlink" Target="https://leetcode.com/problems/product-of-array-except-self" TargetMode="External"/><Relationship Id="rId362" Type="http://schemas.openxmlformats.org/officeDocument/2006/relationships/hyperlink" Target="https://leetcode.com/problems/replace-words" TargetMode="External"/><Relationship Id="rId418" Type="http://schemas.openxmlformats.org/officeDocument/2006/relationships/hyperlink" Target="https://leetcode.com/problems/binary-tree-pruning" TargetMode="External"/><Relationship Id="rId625" Type="http://schemas.openxmlformats.org/officeDocument/2006/relationships/hyperlink" Target="https://leetcode.com/problems/rearrange-characters-to-make-target-string" TargetMode="External"/><Relationship Id="rId222" Type="http://schemas.openxmlformats.org/officeDocument/2006/relationships/hyperlink" Target="https://leetcode.com/problems/game-of-life" TargetMode="External"/><Relationship Id="rId264" Type="http://schemas.openxmlformats.org/officeDocument/2006/relationships/hyperlink" Target="https://leetcode.com/problems/insert-delete-getrandom-o1" TargetMode="External"/><Relationship Id="rId471" Type="http://schemas.openxmlformats.org/officeDocument/2006/relationships/hyperlink" Target="https://leetcode.com/problems/vertical-order-traversal-of-a-binary-tree" TargetMode="External"/><Relationship Id="rId17" Type="http://schemas.openxmlformats.org/officeDocument/2006/relationships/hyperlink" Target="https://leetcode.com/problems/letter-combinations-of-a-phone-number" TargetMode="External"/><Relationship Id="rId59" Type="http://schemas.openxmlformats.org/officeDocument/2006/relationships/hyperlink" Target="https://leetcode.com/problems/rotate-list" TargetMode="External"/><Relationship Id="rId124" Type="http://schemas.openxmlformats.org/officeDocument/2006/relationships/hyperlink" Target="https://leetcode.com/problems/single-number" TargetMode="External"/><Relationship Id="rId527" Type="http://schemas.openxmlformats.org/officeDocument/2006/relationships/hyperlink" Target="https://leetcode.com/problems/minimum-remove-to-make-valid-parentheses" TargetMode="External"/><Relationship Id="rId569" Type="http://schemas.openxmlformats.org/officeDocument/2006/relationships/hyperlink" Target="https://leetcode.com/problems/stone-game-v" TargetMode="External"/><Relationship Id="rId70" Type="http://schemas.openxmlformats.org/officeDocument/2006/relationships/hyperlink" Target="https://leetcode.com/problems/set-matrix-zeroes" TargetMode="External"/><Relationship Id="rId166" Type="http://schemas.openxmlformats.org/officeDocument/2006/relationships/hyperlink" Target="https://leetcode.com/problems/binary-tree-right-side-view" TargetMode="External"/><Relationship Id="rId331" Type="http://schemas.openxmlformats.org/officeDocument/2006/relationships/hyperlink" Target="https://leetcode.com/problems/minimum-time-difference" TargetMode="External"/><Relationship Id="rId373" Type="http://schemas.openxmlformats.org/officeDocument/2006/relationships/hyperlink" Target="https://leetcode.com/problems/valid-palindrome-ii" TargetMode="External"/><Relationship Id="rId429" Type="http://schemas.openxmlformats.org/officeDocument/2006/relationships/hyperlink" Target="https://leetcode.com/problems/push-dominoes" TargetMode="External"/><Relationship Id="rId580" Type="http://schemas.openxmlformats.org/officeDocument/2006/relationships/hyperlink" Target="https://leetcode.com/problems/find-the-most-competitive-subsequence" TargetMode="External"/><Relationship Id="rId636" Type="http://schemas.openxmlformats.org/officeDocument/2006/relationships/hyperlink" Target="https://leetcode.com/problems/shortest-impossible-sequence-of-rolls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problems/binary-tree-vertical-order-traversal" TargetMode="External"/><Relationship Id="rId440" Type="http://schemas.openxmlformats.org/officeDocument/2006/relationships/hyperlink" Target="https://leetcode.com/problems/middle-of-the-linked-list" TargetMode="External"/><Relationship Id="rId28" Type="http://schemas.openxmlformats.org/officeDocument/2006/relationships/hyperlink" Target="https://leetcode.com/problems/find-the-index-of-the-first-occurrence-in-a-string" TargetMode="External"/><Relationship Id="rId275" Type="http://schemas.openxmlformats.org/officeDocument/2006/relationships/hyperlink" Target="https://leetcode.com/problems/frog-jump" TargetMode="External"/><Relationship Id="rId300" Type="http://schemas.openxmlformats.org/officeDocument/2006/relationships/hyperlink" Target="https://leetcode.com/problems/delete-node-in-a-bst" TargetMode="External"/><Relationship Id="rId482" Type="http://schemas.openxmlformats.org/officeDocument/2006/relationships/hyperlink" Target="https://leetcode.com/problems/number-of-enclaves" TargetMode="External"/><Relationship Id="rId538" Type="http://schemas.openxmlformats.org/officeDocument/2006/relationships/hyperlink" Target="https://leetcode.com/problems/reduce-array-size-to-the-half" TargetMode="External"/><Relationship Id="rId81" Type="http://schemas.openxmlformats.org/officeDocument/2006/relationships/hyperlink" Target="https://leetcode.com/problems/merge-sorted-array" TargetMode="External"/><Relationship Id="rId135" Type="http://schemas.openxmlformats.org/officeDocument/2006/relationships/hyperlink" Target="https://leetcode.com/problems/evaluate-reverse-polish-notation" TargetMode="External"/><Relationship Id="rId177" Type="http://schemas.openxmlformats.org/officeDocument/2006/relationships/hyperlink" Target="https://leetcode.com/problems/design-add-and-search-words-data-structure" TargetMode="External"/><Relationship Id="rId342" Type="http://schemas.openxmlformats.org/officeDocument/2006/relationships/hyperlink" Target="https://leetcode.com/problems/subtree-of-another-tree" TargetMode="External"/><Relationship Id="rId384" Type="http://schemas.openxmlformats.org/officeDocument/2006/relationships/hyperlink" Target="https://leetcode.com/problems/max-stack" TargetMode="External"/><Relationship Id="rId591" Type="http://schemas.openxmlformats.org/officeDocument/2006/relationships/hyperlink" Target="https://leetcode.com/problems/single-threaded-cpu" TargetMode="External"/><Relationship Id="rId605" Type="http://schemas.openxmlformats.org/officeDocument/2006/relationships/hyperlink" Target="https://leetcode.com/problems/find-good-days-to-rob-the-bank" TargetMode="External"/><Relationship Id="rId202" Type="http://schemas.openxmlformats.org/officeDocument/2006/relationships/hyperlink" Target="https://leetcode.com/problems/shortest-word-distance-ii" TargetMode="External"/><Relationship Id="rId244" Type="http://schemas.openxmlformats.org/officeDocument/2006/relationships/hyperlink" Target="https://leetcode.com/problems/palindrome-pairs" TargetMode="External"/><Relationship Id="rId39" Type="http://schemas.openxmlformats.org/officeDocument/2006/relationships/hyperlink" Target="https://leetcode.com/problems/combination-sum" TargetMode="External"/><Relationship Id="rId286" Type="http://schemas.openxmlformats.org/officeDocument/2006/relationships/hyperlink" Target="https://leetcode.com/problems/strong-password-checker" TargetMode="External"/><Relationship Id="rId451" Type="http://schemas.openxmlformats.org/officeDocument/2006/relationships/hyperlink" Target="https://leetcode.com/problems/sort-an-array" TargetMode="External"/><Relationship Id="rId493" Type="http://schemas.openxmlformats.org/officeDocument/2006/relationships/hyperlink" Target="https://leetcode.com/problems/minimum-cost-to-connect-sticks" TargetMode="External"/><Relationship Id="rId507" Type="http://schemas.openxmlformats.org/officeDocument/2006/relationships/hyperlink" Target="https://leetcode.com/problems/longest-common-subsequence" TargetMode="External"/><Relationship Id="rId549" Type="http://schemas.openxmlformats.org/officeDocument/2006/relationships/hyperlink" Target="https://leetcode.com/problems/kids-with-the-greatest-number-of-candies" TargetMode="External"/><Relationship Id="rId50" Type="http://schemas.openxmlformats.org/officeDocument/2006/relationships/hyperlink" Target="https://leetcode.com/problems/n-queens" TargetMode="External"/><Relationship Id="rId104" Type="http://schemas.openxmlformats.org/officeDocument/2006/relationships/hyperlink" Target="https://leetcode.com/problems/populating-next-right-pointers-in-each-node" TargetMode="External"/><Relationship Id="rId146" Type="http://schemas.openxmlformats.org/officeDocument/2006/relationships/hyperlink" Target="https://leetcode.com/problems/majority-element" TargetMode="External"/><Relationship Id="rId188" Type="http://schemas.openxmlformats.org/officeDocument/2006/relationships/hyperlink" Target="https://leetcode.com/problems/invert-binary-tree" TargetMode="External"/><Relationship Id="rId311" Type="http://schemas.openxmlformats.org/officeDocument/2006/relationships/hyperlink" Target="https://leetcode.com/problems/concatenated-words" TargetMode="External"/><Relationship Id="rId353" Type="http://schemas.openxmlformats.org/officeDocument/2006/relationships/hyperlink" Target="https://leetcode.com/problems/task-scheduler" TargetMode="External"/><Relationship Id="rId395" Type="http://schemas.openxmlformats.org/officeDocument/2006/relationships/hyperlink" Target="https://leetcode.com/problems/open-the-lock" TargetMode="External"/><Relationship Id="rId409" Type="http://schemas.openxmlformats.org/officeDocument/2006/relationships/hyperlink" Target="https://leetcode.com/problems/letter-case-permutation" TargetMode="External"/><Relationship Id="rId560" Type="http://schemas.openxmlformats.org/officeDocument/2006/relationships/hyperlink" Target="https://leetcode.com/problems/running-sum-of-1d-array" TargetMode="External"/><Relationship Id="rId92" Type="http://schemas.openxmlformats.org/officeDocument/2006/relationships/hyperlink" Target="https://leetcode.com/problems/symmetric-tree" TargetMode="External"/><Relationship Id="rId213" Type="http://schemas.openxmlformats.org/officeDocument/2006/relationships/hyperlink" Target="https://leetcode.com/problems/alien-dictionary" TargetMode="External"/><Relationship Id="rId420" Type="http://schemas.openxmlformats.org/officeDocument/2006/relationships/hyperlink" Target="https://leetcode.com/problems/race-car" TargetMode="External"/><Relationship Id="rId616" Type="http://schemas.openxmlformats.org/officeDocument/2006/relationships/hyperlink" Target="https://leetcode.com/problems/number-of-ways-to-select-buildings" TargetMode="External"/><Relationship Id="rId255" Type="http://schemas.openxmlformats.org/officeDocument/2006/relationships/hyperlink" Target="https://leetcode.com/problems/design-snake-game" TargetMode="External"/><Relationship Id="rId297" Type="http://schemas.openxmlformats.org/officeDocument/2006/relationships/hyperlink" Target="https://leetcode.com/problems/add-two-numbers-ii" TargetMode="External"/><Relationship Id="rId462" Type="http://schemas.openxmlformats.org/officeDocument/2006/relationships/hyperlink" Target="https://leetcode.com/problems/check-completeness-of-a-binary-tree" TargetMode="External"/><Relationship Id="rId518" Type="http://schemas.openxmlformats.org/officeDocument/2006/relationships/hyperlink" Target="https://leetcode.com/problems/sort-items-by-groups-respecting-dependencies" TargetMode="External"/><Relationship Id="rId115" Type="http://schemas.openxmlformats.org/officeDocument/2006/relationships/hyperlink" Target="https://leetcode.com/problems/word-ladder" TargetMode="External"/><Relationship Id="rId157" Type="http://schemas.openxmlformats.org/officeDocument/2006/relationships/hyperlink" Target="https://leetcode.com/problems/department-top-three-salaries" TargetMode="External"/><Relationship Id="rId322" Type="http://schemas.openxmlformats.org/officeDocument/2006/relationships/hyperlink" Target="https://leetcode.com/problems/longest-palindromic-subsequence" TargetMode="External"/><Relationship Id="rId364" Type="http://schemas.openxmlformats.org/officeDocument/2006/relationships/hyperlink" Target="https://leetcode.com/problems/two-sum-iv-input-is-a-bst" TargetMode="External"/><Relationship Id="rId61" Type="http://schemas.openxmlformats.org/officeDocument/2006/relationships/hyperlink" Target="https://leetcode.com/problems/unique-paths-ii" TargetMode="External"/><Relationship Id="rId199" Type="http://schemas.openxmlformats.org/officeDocument/2006/relationships/hyperlink" Target="https://leetcode.com/problems/search-a-2d-matrix-ii" TargetMode="External"/><Relationship Id="rId571" Type="http://schemas.openxmlformats.org/officeDocument/2006/relationships/hyperlink" Target="https://leetcode.com/problems/design-parking-system" TargetMode="External"/><Relationship Id="rId627" Type="http://schemas.openxmlformats.org/officeDocument/2006/relationships/hyperlink" Target="https://leetcode.com/problems/steps-to-make-array-non-decreasing" TargetMode="External"/><Relationship Id="rId19" Type="http://schemas.openxmlformats.org/officeDocument/2006/relationships/hyperlink" Target="https://leetcode.com/problems/remove-nth-node-from-end-of-list" TargetMode="External"/><Relationship Id="rId224" Type="http://schemas.openxmlformats.org/officeDocument/2006/relationships/hyperlink" Target="https://leetcode.com/problems/serialize-and-deserialize-binary-tree" TargetMode="External"/><Relationship Id="rId266" Type="http://schemas.openxmlformats.org/officeDocument/2006/relationships/hyperlink" Target="https://leetcode.com/problems/ransom-note" TargetMode="External"/><Relationship Id="rId431" Type="http://schemas.openxmlformats.org/officeDocument/2006/relationships/hyperlink" Target="https://leetcode.com/problems/shortest-path-visiting-all-nodes" TargetMode="External"/><Relationship Id="rId473" Type="http://schemas.openxmlformats.org/officeDocument/2006/relationships/hyperlink" Target="https://leetcode.com/problems/subarrays-with-k-different-integers" TargetMode="External"/><Relationship Id="rId529" Type="http://schemas.openxmlformats.org/officeDocument/2006/relationships/hyperlink" Target="https://leetcode.com/problems/search-suggestions-system" TargetMode="External"/><Relationship Id="rId30" Type="http://schemas.openxmlformats.org/officeDocument/2006/relationships/hyperlink" Target="https://leetcode.com/problems/substring-with-concatenation-of-all-words" TargetMode="External"/><Relationship Id="rId126" Type="http://schemas.openxmlformats.org/officeDocument/2006/relationships/hyperlink" Target="https://leetcode.com/problems/copy-list-with-random-pointer" TargetMode="External"/><Relationship Id="rId168" Type="http://schemas.openxmlformats.org/officeDocument/2006/relationships/hyperlink" Target="https://leetcode.com/problems/happy-number" TargetMode="External"/><Relationship Id="rId333" Type="http://schemas.openxmlformats.org/officeDocument/2006/relationships/hyperlink" Target="https://leetcode.com/problems/01-matrix" TargetMode="External"/><Relationship Id="rId540" Type="http://schemas.openxmlformats.org/officeDocument/2006/relationships/hyperlink" Target="https://leetcode.com/problems/jump-game-v" TargetMode="External"/><Relationship Id="rId72" Type="http://schemas.openxmlformats.org/officeDocument/2006/relationships/hyperlink" Target="https://leetcode.com/problems/sort-colors" TargetMode="External"/><Relationship Id="rId375" Type="http://schemas.openxmlformats.org/officeDocument/2006/relationships/hyperlink" Target="https://leetcode.com/problems/redundant-connection" TargetMode="External"/><Relationship Id="rId582" Type="http://schemas.openxmlformats.org/officeDocument/2006/relationships/hyperlink" Target="https://leetcode.com/problems/partitioning-into-minimum-number-of-deci-binary-numbers" TargetMode="External"/><Relationship Id="rId638" Type="http://schemas.openxmlformats.org/officeDocument/2006/relationships/hyperlink" Target="https://leetcode.com/problems/maximum-number-of-robots-within-budget" TargetMode="External"/><Relationship Id="rId3" Type="http://schemas.openxmlformats.org/officeDocument/2006/relationships/hyperlink" Target="https://leetcode.com/problems/longest-substring-without-repeating-characters" TargetMode="External"/><Relationship Id="rId235" Type="http://schemas.openxmlformats.org/officeDocument/2006/relationships/hyperlink" Target="https://leetcode.com/problems/remove-duplicate-letters" TargetMode="External"/><Relationship Id="rId277" Type="http://schemas.openxmlformats.org/officeDocument/2006/relationships/hyperlink" Target="https://leetcode.com/problems/trapping-rain-water-ii" TargetMode="External"/><Relationship Id="rId400" Type="http://schemas.openxmlformats.org/officeDocument/2006/relationships/hyperlink" Target="https://leetcode.com/problems/reorganize-string" TargetMode="External"/><Relationship Id="rId442" Type="http://schemas.openxmlformats.org/officeDocument/2006/relationships/hyperlink" Target="https://leetcode.com/problems/possible-bipartition" TargetMode="External"/><Relationship Id="rId484" Type="http://schemas.openxmlformats.org/officeDocument/2006/relationships/hyperlink" Target="https://leetcode.com/problems/maximum-difference-between-node-and-ancestor" TargetMode="External"/><Relationship Id="rId137" Type="http://schemas.openxmlformats.org/officeDocument/2006/relationships/hyperlink" Target="https://leetcode.com/problems/maximum-product-subarray" TargetMode="External"/><Relationship Id="rId302" Type="http://schemas.openxmlformats.org/officeDocument/2006/relationships/hyperlink" Target="https://leetcode.com/problems/minimum-number-of-arrows-to-burst-balloons" TargetMode="External"/><Relationship Id="rId344" Type="http://schemas.openxmlformats.org/officeDocument/2006/relationships/hyperlink" Target="https://leetcode.com/problems/shortest-unsorted-continuous-subarray" TargetMode="External"/><Relationship Id="rId41" Type="http://schemas.openxmlformats.org/officeDocument/2006/relationships/hyperlink" Target="https://leetcode.com/problems/first-missing-positive" TargetMode="External"/><Relationship Id="rId83" Type="http://schemas.openxmlformats.org/officeDocument/2006/relationships/hyperlink" Target="https://leetcode.com/problems/decode-ways" TargetMode="External"/><Relationship Id="rId179" Type="http://schemas.openxmlformats.org/officeDocument/2006/relationships/hyperlink" Target="https://leetcode.com/problems/house-robber-ii" TargetMode="External"/><Relationship Id="rId386" Type="http://schemas.openxmlformats.org/officeDocument/2006/relationships/hyperlink" Target="https://leetcode.com/problems/accounts-merge" TargetMode="External"/><Relationship Id="rId551" Type="http://schemas.openxmlformats.org/officeDocument/2006/relationships/hyperlink" Target="https://leetcode.com/problems/count-good-nodes-in-binary-tree" TargetMode="External"/><Relationship Id="rId593" Type="http://schemas.openxmlformats.org/officeDocument/2006/relationships/hyperlink" Target="https://leetcode.com/problems/substrings-of-size-three-with-distinct-characters" TargetMode="External"/><Relationship Id="rId607" Type="http://schemas.openxmlformats.org/officeDocument/2006/relationships/hyperlink" Target="https://leetcode.com/problems/step-by-step-directions-from-a-binary-tree-node-to-another" TargetMode="External"/><Relationship Id="rId190" Type="http://schemas.openxmlformats.org/officeDocument/2006/relationships/hyperlink" Target="https://leetcode.com/problems/kth-smallest-element-in-a-bst" TargetMode="External"/><Relationship Id="rId204" Type="http://schemas.openxmlformats.org/officeDocument/2006/relationships/hyperlink" Target="https://leetcode.com/problems/meeting-rooms" TargetMode="External"/><Relationship Id="rId246" Type="http://schemas.openxmlformats.org/officeDocument/2006/relationships/hyperlink" Target="https://leetcode.com/problems/nested-list-weight-sum" TargetMode="External"/><Relationship Id="rId288" Type="http://schemas.openxmlformats.org/officeDocument/2006/relationships/hyperlink" Target="https://leetcode.com/problems/longest-repeating-character-replacement" TargetMode="External"/><Relationship Id="rId411" Type="http://schemas.openxmlformats.org/officeDocument/2006/relationships/hyperlink" Target="https://leetcode.com/problems/cheapest-flights-within-k-stops" TargetMode="External"/><Relationship Id="rId453" Type="http://schemas.openxmlformats.org/officeDocument/2006/relationships/hyperlink" Target="https://leetcode.com/problems/flip-string-to-monotone-increasing" TargetMode="External"/><Relationship Id="rId509" Type="http://schemas.openxmlformats.org/officeDocument/2006/relationships/hyperlink" Target="https://leetcode.com/problems/invalid-transactions" TargetMode="External"/><Relationship Id="rId106" Type="http://schemas.openxmlformats.org/officeDocument/2006/relationships/hyperlink" Target="https://leetcode.com/problems/pascals-triangle" TargetMode="External"/><Relationship Id="rId313" Type="http://schemas.openxmlformats.org/officeDocument/2006/relationships/hyperlink" Target="https://leetcode.com/problems/heaters" TargetMode="External"/><Relationship Id="rId495" Type="http://schemas.openxmlformats.org/officeDocument/2006/relationships/hyperlink" Target="https://leetcode.com/problems/remove-all-adjacent-duplicates-in-string" TargetMode="External"/><Relationship Id="rId10" Type="http://schemas.openxmlformats.org/officeDocument/2006/relationships/hyperlink" Target="https://leetcode.com/problems/regular-expression-matching" TargetMode="External"/><Relationship Id="rId52" Type="http://schemas.openxmlformats.org/officeDocument/2006/relationships/hyperlink" Target="https://leetcode.com/problems/spiral-matrix" TargetMode="External"/><Relationship Id="rId94" Type="http://schemas.openxmlformats.org/officeDocument/2006/relationships/hyperlink" Target="https://leetcode.com/problems/binary-tree-zigzag-level-order-traversal" TargetMode="External"/><Relationship Id="rId148" Type="http://schemas.openxmlformats.org/officeDocument/2006/relationships/hyperlink" Target="https://leetcode.com/problems/combine-two-tables" TargetMode="External"/><Relationship Id="rId355" Type="http://schemas.openxmlformats.org/officeDocument/2006/relationships/hyperlink" Target="https://leetcode.com/problems/maximum-product-of-three-numbers" TargetMode="External"/><Relationship Id="rId397" Type="http://schemas.openxmlformats.org/officeDocument/2006/relationships/hyperlink" Target="https://leetcode.com/problems/serialize-and-deserialize-n-ary-tree" TargetMode="External"/><Relationship Id="rId520" Type="http://schemas.openxmlformats.org/officeDocument/2006/relationships/hyperlink" Target="https://leetcode.com/problems/remove-all-adjacent-duplicates-in-string-ii" TargetMode="External"/><Relationship Id="rId562" Type="http://schemas.openxmlformats.org/officeDocument/2006/relationships/hyperlink" Target="https://leetcode.com/problems/avoid-flood-in-the-city" TargetMode="External"/><Relationship Id="rId618" Type="http://schemas.openxmlformats.org/officeDocument/2006/relationships/hyperlink" Target="https://leetcode.com/problems/total-appeal-of-a-string" TargetMode="External"/><Relationship Id="rId215" Type="http://schemas.openxmlformats.org/officeDocument/2006/relationships/hyperlink" Target="https://leetcode.com/problems/integer-to-english-words" TargetMode="External"/><Relationship Id="rId257" Type="http://schemas.openxmlformats.org/officeDocument/2006/relationships/hyperlink" Target="https://leetcode.com/problems/design-hit-counter" TargetMode="External"/><Relationship Id="rId422" Type="http://schemas.openxmlformats.org/officeDocument/2006/relationships/hyperlink" Target="https://leetcode.com/problems/binary-trees-with-factors" TargetMode="External"/><Relationship Id="rId464" Type="http://schemas.openxmlformats.org/officeDocument/2006/relationships/hyperlink" Target="https://leetcode.com/problems/binary-tree-cameras" TargetMode="External"/><Relationship Id="rId299" Type="http://schemas.openxmlformats.org/officeDocument/2006/relationships/hyperlink" Target="https://leetcode.com/problems/serialize-and-deserialize-bst" TargetMode="External"/><Relationship Id="rId63" Type="http://schemas.openxmlformats.org/officeDocument/2006/relationships/hyperlink" Target="https://leetcode.com/problems/valid-number" TargetMode="External"/><Relationship Id="rId159" Type="http://schemas.openxmlformats.org/officeDocument/2006/relationships/hyperlink" Target="https://leetcode.com/problems/rotate-array" TargetMode="External"/><Relationship Id="rId366" Type="http://schemas.openxmlformats.org/officeDocument/2006/relationships/hyperlink" Target="https://leetcode.com/problems/find-k-closest-elements" TargetMode="External"/><Relationship Id="rId573" Type="http://schemas.openxmlformats.org/officeDocument/2006/relationships/hyperlink" Target="https://leetcode.com/problems/customer-who-visited-but-did-not-make-any-transactions" TargetMode="External"/><Relationship Id="rId226" Type="http://schemas.openxmlformats.org/officeDocument/2006/relationships/hyperlink" Target="https://leetcode.com/problems/longest-increasing-subsequence" TargetMode="External"/><Relationship Id="rId433" Type="http://schemas.openxmlformats.org/officeDocument/2006/relationships/hyperlink" Target="https://leetcode.com/problems/peak-index-in-a-mountain-array" TargetMode="External"/><Relationship Id="rId640" Type="http://schemas.openxmlformats.org/officeDocument/2006/relationships/hyperlink" Target="https://leetcode.com/problems/amount-of-time-for-binary-tree-to-be-infected" TargetMode="External"/><Relationship Id="rId74" Type="http://schemas.openxmlformats.org/officeDocument/2006/relationships/hyperlink" Target="https://leetcode.com/problems/subsets" TargetMode="External"/><Relationship Id="rId377" Type="http://schemas.openxmlformats.org/officeDocument/2006/relationships/hyperlink" Target="https://leetcode.com/problems/employee-importance" TargetMode="External"/><Relationship Id="rId500" Type="http://schemas.openxmlformats.org/officeDocument/2006/relationships/hyperlink" Target="https://leetcode.com/problems/valid-palindrome-iii" TargetMode="External"/><Relationship Id="rId584" Type="http://schemas.openxmlformats.org/officeDocument/2006/relationships/hyperlink" Target="https://leetcode.com/problems/maximum-number-of-eaten-apples" TargetMode="External"/><Relationship Id="rId5" Type="http://schemas.openxmlformats.org/officeDocument/2006/relationships/hyperlink" Target="https://leetcode.com/problems/longest-palindromic-substring" TargetMode="External"/><Relationship Id="rId237" Type="http://schemas.openxmlformats.org/officeDocument/2006/relationships/hyperlink" Target="https://leetcode.com/problems/coin-change" TargetMode="External"/><Relationship Id="rId444" Type="http://schemas.openxmlformats.org/officeDocument/2006/relationships/hyperlink" Target="https://leetcode.com/problems/all-possible-full-binary-trees" TargetMode="External"/><Relationship Id="rId290" Type="http://schemas.openxmlformats.org/officeDocument/2006/relationships/hyperlink" Target="https://leetcode.com/problems/minimum-genetic-mutation" TargetMode="External"/><Relationship Id="rId304" Type="http://schemas.openxmlformats.org/officeDocument/2006/relationships/hyperlink" Target="https://leetcode.com/problems/assign-cookies" TargetMode="External"/><Relationship Id="rId388" Type="http://schemas.openxmlformats.org/officeDocument/2006/relationships/hyperlink" Target="https://leetcode.com/problems/my-calendar-i" TargetMode="External"/><Relationship Id="rId511" Type="http://schemas.openxmlformats.org/officeDocument/2006/relationships/hyperlink" Target="https://leetcode.com/problems/k-concatenation-maximum-sum" TargetMode="External"/><Relationship Id="rId609" Type="http://schemas.openxmlformats.org/officeDocument/2006/relationships/hyperlink" Target="https://leetcode.com/problems/sum-of-subarray-ranges" TargetMode="External"/><Relationship Id="rId85" Type="http://schemas.openxmlformats.org/officeDocument/2006/relationships/hyperlink" Target="https://leetcode.com/problems/restore-ip-addresses" TargetMode="External"/><Relationship Id="rId150" Type="http://schemas.openxmlformats.org/officeDocument/2006/relationships/hyperlink" Target="https://leetcode.com/problems/nth-highest-salary" TargetMode="External"/><Relationship Id="rId595" Type="http://schemas.openxmlformats.org/officeDocument/2006/relationships/hyperlink" Target="https://leetcode.com/problems/minimum-number-of-swaps-to-make-the-binary-string-alternating" TargetMode="External"/><Relationship Id="rId248" Type="http://schemas.openxmlformats.org/officeDocument/2006/relationships/hyperlink" Target="https://leetcode.com/problems/power-of-four" TargetMode="External"/><Relationship Id="rId455" Type="http://schemas.openxmlformats.org/officeDocument/2006/relationships/hyperlink" Target="https://leetcode.com/problems/minimum-falling-path-sum" TargetMode="External"/><Relationship Id="rId12" Type="http://schemas.openxmlformats.org/officeDocument/2006/relationships/hyperlink" Target="https://leetcode.com/problems/integer-to-roman" TargetMode="External"/><Relationship Id="rId108" Type="http://schemas.openxmlformats.org/officeDocument/2006/relationships/hyperlink" Target="https://leetcode.com/problems/triangle" TargetMode="External"/><Relationship Id="rId315" Type="http://schemas.openxmlformats.org/officeDocument/2006/relationships/hyperlink" Target="https://leetcode.com/problems/the-maze" TargetMode="External"/><Relationship Id="rId522" Type="http://schemas.openxmlformats.org/officeDocument/2006/relationships/hyperlink" Target="https://leetcode.com/problems/count-vowels-permutation" TargetMode="External"/><Relationship Id="rId96" Type="http://schemas.openxmlformats.org/officeDocument/2006/relationships/hyperlink" Target="https://leetcode.com/problems/construct-binary-tree-from-preorder-and-inorder-traversal" TargetMode="External"/><Relationship Id="rId161" Type="http://schemas.openxmlformats.org/officeDocument/2006/relationships/hyperlink" Target="https://leetcode.com/problems/number-of-1-bits" TargetMode="External"/><Relationship Id="rId399" Type="http://schemas.openxmlformats.org/officeDocument/2006/relationships/hyperlink" Target="https://leetcode.com/problems/partition-labels" TargetMode="External"/><Relationship Id="rId259" Type="http://schemas.openxmlformats.org/officeDocument/2006/relationships/hyperlink" Target="https://leetcode.com/problems/find-leaves-of-binary-tree" TargetMode="External"/><Relationship Id="rId466" Type="http://schemas.openxmlformats.org/officeDocument/2006/relationships/hyperlink" Target="https://leetcode.com/problems/k-closest-points-to-origin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palindrome-partitioning" TargetMode="External"/><Relationship Id="rId326" Type="http://schemas.openxmlformats.org/officeDocument/2006/relationships/hyperlink" Target="https://leetcode.com/problems/word-abbreviation" TargetMode="External"/><Relationship Id="rId533" Type="http://schemas.openxmlformats.org/officeDocument/2006/relationships/hyperlink" Target="https://leetcode.com/problems/jump-game-iii" TargetMode="External"/><Relationship Id="rId172" Type="http://schemas.openxmlformats.org/officeDocument/2006/relationships/hyperlink" Target="https://leetcode.com/problems/reverse-linked-list" TargetMode="External"/><Relationship Id="rId477" Type="http://schemas.openxmlformats.org/officeDocument/2006/relationships/hyperlink" Target="https://leetcode.com/problems/construct-binary-search-tree-from-preorder-traversal" TargetMode="External"/><Relationship Id="rId600" Type="http://schemas.openxmlformats.org/officeDocument/2006/relationships/hyperlink" Target="https://leetcode.com/problems/first-and-last-call-on-the-same-day" TargetMode="External"/><Relationship Id="rId337" Type="http://schemas.openxmlformats.org/officeDocument/2006/relationships/hyperlink" Target="https://leetcode.com/problems/shortest-path-to-get-food" TargetMode="External"/><Relationship Id="rId34" Type="http://schemas.openxmlformats.org/officeDocument/2006/relationships/hyperlink" Target="https://leetcode.com/problems/find-first-and-last-position-of-element-in-sorted-array" TargetMode="External"/><Relationship Id="rId544" Type="http://schemas.openxmlformats.org/officeDocument/2006/relationships/hyperlink" Target="https://leetcode.com/problems/how-many-numbers-are-smaller-than-the-current-number" TargetMode="External"/><Relationship Id="rId183" Type="http://schemas.openxmlformats.org/officeDocument/2006/relationships/hyperlink" Target="https://leetcode.com/problems/contains-duplicate-ii" TargetMode="External"/><Relationship Id="rId390" Type="http://schemas.openxmlformats.org/officeDocument/2006/relationships/hyperlink" Target="https://leetcode.com/problems/asteroid-collision" TargetMode="External"/><Relationship Id="rId404" Type="http://schemas.openxmlformats.org/officeDocument/2006/relationships/hyperlink" Target="https://leetcode.com/problems/binary-search" TargetMode="External"/><Relationship Id="rId611" Type="http://schemas.openxmlformats.org/officeDocument/2006/relationships/hyperlink" Target="https://leetcode.com/problems/number-of-smooth-descent-periods-of-a-stock" TargetMode="External"/><Relationship Id="rId250" Type="http://schemas.openxmlformats.org/officeDocument/2006/relationships/hyperlink" Target="https://leetcode.com/problems/moving-average-from-data-stream" TargetMode="External"/><Relationship Id="rId488" Type="http://schemas.openxmlformats.org/officeDocument/2006/relationships/hyperlink" Target="https://leetcode.com/problems/minimum-score-triangulation-of-polygon" TargetMode="External"/><Relationship Id="rId45" Type="http://schemas.openxmlformats.org/officeDocument/2006/relationships/hyperlink" Target="https://leetcode.com/problems/permutations" TargetMode="External"/><Relationship Id="rId110" Type="http://schemas.openxmlformats.org/officeDocument/2006/relationships/hyperlink" Target="https://leetcode.com/problems/best-time-to-buy-and-sell-stock-ii" TargetMode="External"/><Relationship Id="rId348" Type="http://schemas.openxmlformats.org/officeDocument/2006/relationships/hyperlink" Target="https://leetcode.com/problems/big-countries" TargetMode="External"/><Relationship Id="rId555" Type="http://schemas.openxmlformats.org/officeDocument/2006/relationships/hyperlink" Target="https://leetcode.com/problems/maximum-area-of-a-piece-of-cake-after-horizontal-and-vertical-cuts" TargetMode="External"/><Relationship Id="rId194" Type="http://schemas.openxmlformats.org/officeDocument/2006/relationships/hyperlink" Target="https://leetcode.com/problems/lowest-common-ancestor-of-a-binary-search-tree" TargetMode="External"/><Relationship Id="rId208" Type="http://schemas.openxmlformats.org/officeDocument/2006/relationships/hyperlink" Target="https://leetcode.com/problems/add-digits" TargetMode="External"/><Relationship Id="rId415" Type="http://schemas.openxmlformats.org/officeDocument/2006/relationships/hyperlink" Target="https://leetcode.com/problems/design-hashmap" TargetMode="External"/><Relationship Id="rId622" Type="http://schemas.openxmlformats.org/officeDocument/2006/relationships/hyperlink" Target="https://leetcode.com/problems/substring-with-largest-variance" TargetMode="External"/><Relationship Id="rId261" Type="http://schemas.openxmlformats.org/officeDocument/2006/relationships/hyperlink" Target="https://leetcode.com/problems/find-k-pairs-with-smallest-sums" TargetMode="External"/><Relationship Id="rId499" Type="http://schemas.openxmlformats.org/officeDocument/2006/relationships/hyperlink" Target="https://leetcode.com/problems/shortest-path-in-binary-matrix" TargetMode="External"/><Relationship Id="rId56" Type="http://schemas.openxmlformats.org/officeDocument/2006/relationships/hyperlink" Target="https://leetcode.com/problems/length-of-last-word" TargetMode="External"/><Relationship Id="rId359" Type="http://schemas.openxmlformats.org/officeDocument/2006/relationships/hyperlink" Target="https://leetcode.com/problems/set-mismatch" TargetMode="External"/><Relationship Id="rId566" Type="http://schemas.openxmlformats.org/officeDocument/2006/relationships/hyperlink" Target="https://leetcode.com/problems/number-of-good-pairs" TargetMode="External"/><Relationship Id="rId121" Type="http://schemas.openxmlformats.org/officeDocument/2006/relationships/hyperlink" Target="https://leetcode.com/problems/clone-graph" TargetMode="External"/><Relationship Id="rId219" Type="http://schemas.openxmlformats.org/officeDocument/2006/relationships/hyperlink" Target="https://leetcode.com/problems/move-zeroes" TargetMode="External"/><Relationship Id="rId426" Type="http://schemas.openxmlformats.org/officeDocument/2006/relationships/hyperlink" Target="https://leetcode.com/problems/design-circular-queue" TargetMode="External"/><Relationship Id="rId633" Type="http://schemas.openxmlformats.org/officeDocument/2006/relationships/hyperlink" Target="https://leetcode.com/problems/number-of-people-aware-of-a-secret" TargetMode="External"/><Relationship Id="rId67" Type="http://schemas.openxmlformats.org/officeDocument/2006/relationships/hyperlink" Target="https://leetcode.com/problems/climbing-stairs" TargetMode="External"/><Relationship Id="rId272" Type="http://schemas.openxmlformats.org/officeDocument/2006/relationships/hyperlink" Target="https://leetcode.com/problems/integer-replacement" TargetMode="External"/><Relationship Id="rId577" Type="http://schemas.openxmlformats.org/officeDocument/2006/relationships/hyperlink" Target="https://leetcode.com/problems/design-an-expression-tree-with-evaluate-function" TargetMode="External"/><Relationship Id="rId132" Type="http://schemas.openxmlformats.org/officeDocument/2006/relationships/hyperlink" Target="https://leetcode.com/problems/lru-cache" TargetMode="External"/><Relationship Id="rId437" Type="http://schemas.openxmlformats.org/officeDocument/2006/relationships/hyperlink" Target="https://leetcode.com/problems/transpose-matrix" TargetMode="External"/><Relationship Id="rId644" Type="http://schemas.openxmlformats.org/officeDocument/2006/relationships/hyperlink" Target="https://leetcode.com/problems/divide-intervals-into-minimum-number-of-groups" TargetMode="External"/><Relationship Id="rId283" Type="http://schemas.openxmlformats.org/officeDocument/2006/relationships/hyperlink" Target="https://leetcode.com/problems/partition-equal-subset-sum" TargetMode="External"/><Relationship Id="rId490" Type="http://schemas.openxmlformats.org/officeDocument/2006/relationships/hyperlink" Target="https://leetcode.com/problems/robot-bounded-in-circle" TargetMode="External"/><Relationship Id="rId504" Type="http://schemas.openxmlformats.org/officeDocument/2006/relationships/hyperlink" Target="https://leetcode.com/problems/minimum-cost-tree-from-leaf-values" TargetMode="External"/><Relationship Id="rId78" Type="http://schemas.openxmlformats.org/officeDocument/2006/relationships/hyperlink" Target="https://leetcode.com/problems/remove-duplicates-from-sorted-list" TargetMode="External"/><Relationship Id="rId143" Type="http://schemas.openxmlformats.org/officeDocument/2006/relationships/hyperlink" Target="https://leetcode.com/problems/compare-version-numbers" TargetMode="External"/><Relationship Id="rId350" Type="http://schemas.openxmlformats.org/officeDocument/2006/relationships/hyperlink" Target="https://leetcode.com/problems/construct-string-from-binary-tree" TargetMode="External"/><Relationship Id="rId588" Type="http://schemas.openxmlformats.org/officeDocument/2006/relationships/hyperlink" Target="https://leetcode.com/problems/find-distance-in-a-binary-tree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trips-and-users" TargetMode="External"/><Relationship Id="rId448" Type="http://schemas.openxmlformats.org/officeDocument/2006/relationships/hyperlink" Target="https://leetcode.com/problems/fruit-into-baskets" TargetMode="External"/><Relationship Id="rId294" Type="http://schemas.openxmlformats.org/officeDocument/2006/relationships/hyperlink" Target="https://leetcode.com/problems/arranging-coins" TargetMode="External"/><Relationship Id="rId308" Type="http://schemas.openxmlformats.org/officeDocument/2006/relationships/hyperlink" Target="https://leetcode.com/problems/minimum-moves-to-equal-array-elements-ii" TargetMode="External"/><Relationship Id="rId515" Type="http://schemas.openxmlformats.org/officeDocument/2006/relationships/hyperlink" Target="https://leetcode.com/problems/longest-happy-string" TargetMode="External"/><Relationship Id="rId89" Type="http://schemas.openxmlformats.org/officeDocument/2006/relationships/hyperlink" Target="https://leetcode.com/problems/validate-binary-search-tree" TargetMode="External"/><Relationship Id="rId154" Type="http://schemas.openxmlformats.org/officeDocument/2006/relationships/hyperlink" Target="https://leetcode.com/problems/employees-earning-more-than-their-managers" TargetMode="External"/><Relationship Id="rId361" Type="http://schemas.openxmlformats.org/officeDocument/2006/relationships/hyperlink" Target="https://leetcode.com/problems/palindromic-substrings" TargetMode="External"/><Relationship Id="rId599" Type="http://schemas.openxmlformats.org/officeDocument/2006/relationships/hyperlink" Target="https://leetcode.com/problems/find-original-array-from-doubled-array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winner-on-a-tic-tac-toe-game" TargetMode="External"/><Relationship Id="rId21" Type="http://schemas.openxmlformats.org/officeDocument/2006/relationships/hyperlink" Target="https://leetcode.com/problems/convert-sorted-array-to-binary-search-tree" TargetMode="External"/><Relationship Id="rId42" Type="http://schemas.openxmlformats.org/officeDocument/2006/relationships/hyperlink" Target="https://leetcode.com/problems/remove-linked-list-elements" TargetMode="External"/><Relationship Id="rId63" Type="http://schemas.openxmlformats.org/officeDocument/2006/relationships/hyperlink" Target="https://leetcode.com/problems/intersection-of-two-arrays-ii" TargetMode="External"/><Relationship Id="rId84" Type="http://schemas.openxmlformats.org/officeDocument/2006/relationships/hyperlink" Target="https://leetcode.com/problems/consecutive-available-seats" TargetMode="External"/><Relationship Id="rId138" Type="http://schemas.openxmlformats.org/officeDocument/2006/relationships/hyperlink" Target="https://leetcode.com/problems/add-two-integers" TargetMode="External"/><Relationship Id="rId16" Type="http://schemas.openxmlformats.org/officeDocument/2006/relationships/hyperlink" Target="https://leetcode.com/problems/merge-sorted-array" TargetMode="External"/><Relationship Id="rId107" Type="http://schemas.openxmlformats.org/officeDocument/2006/relationships/hyperlink" Target="https://leetcode.com/problems/fibonacci-number" TargetMode="External"/><Relationship Id="rId11" Type="http://schemas.openxmlformats.org/officeDocument/2006/relationships/hyperlink" Target="https://leetcode.com/problems/plus-one" TargetMode="External"/><Relationship Id="rId32" Type="http://schemas.openxmlformats.org/officeDocument/2006/relationships/hyperlink" Target="https://leetcode.com/problems/majority-element" TargetMode="External"/><Relationship Id="rId37" Type="http://schemas.openxmlformats.org/officeDocument/2006/relationships/hyperlink" Target="https://leetcode.com/problems/number-of-1-bits" TargetMode="External"/><Relationship Id="rId53" Type="http://schemas.openxmlformats.org/officeDocument/2006/relationships/hyperlink" Target="https://leetcode.com/problems/meeting-rooms" TargetMode="External"/><Relationship Id="rId58" Type="http://schemas.openxmlformats.org/officeDocument/2006/relationships/hyperlink" Target="https://leetcode.com/problems/move-zeroes" TargetMode="External"/><Relationship Id="rId74" Type="http://schemas.openxmlformats.org/officeDocument/2006/relationships/hyperlink" Target="https://leetcode.com/problems/assign-cookies" TargetMode="External"/><Relationship Id="rId79" Type="http://schemas.openxmlformats.org/officeDocument/2006/relationships/hyperlink" Target="https://leetcode.com/problems/diameter-of-binary-tree" TargetMode="External"/><Relationship Id="rId102" Type="http://schemas.openxmlformats.org/officeDocument/2006/relationships/hyperlink" Target="https://leetcode.com/problems/transpose-matrix" TargetMode="External"/><Relationship Id="rId123" Type="http://schemas.openxmlformats.org/officeDocument/2006/relationships/hyperlink" Target="https://leetcode.com/problems/maximum-product-of-two-elements-in-an-array" TargetMode="External"/><Relationship Id="rId128" Type="http://schemas.openxmlformats.org/officeDocument/2006/relationships/hyperlink" Target="https://leetcode.com/problems/kth-missing-positive-number" TargetMode="External"/><Relationship Id="rId5" Type="http://schemas.openxmlformats.org/officeDocument/2006/relationships/hyperlink" Target="https://leetcode.com/problems/valid-parentheses" TargetMode="External"/><Relationship Id="rId90" Type="http://schemas.openxmlformats.org/officeDocument/2006/relationships/hyperlink" Target="https://leetcode.com/problems/valid-palindrome-ii" TargetMode="External"/><Relationship Id="rId95" Type="http://schemas.openxmlformats.org/officeDocument/2006/relationships/hyperlink" Target="https://leetcode.com/problems/kth-largest-element-in-a-stream" TargetMode="External"/><Relationship Id="rId22" Type="http://schemas.openxmlformats.org/officeDocument/2006/relationships/hyperlink" Target="https://leetcode.com/problems/minimum-depth-of-binary-tree" TargetMode="External"/><Relationship Id="rId27" Type="http://schemas.openxmlformats.org/officeDocument/2006/relationships/hyperlink" Target="https://leetcode.com/problems/valid-palindrome" TargetMode="External"/><Relationship Id="rId43" Type="http://schemas.openxmlformats.org/officeDocument/2006/relationships/hyperlink" Target="https://leetcode.com/problems/isomorphic-strings" TargetMode="External"/><Relationship Id="rId48" Type="http://schemas.openxmlformats.org/officeDocument/2006/relationships/hyperlink" Target="https://leetcode.com/problems/power-of-two" TargetMode="External"/><Relationship Id="rId64" Type="http://schemas.openxmlformats.org/officeDocument/2006/relationships/hyperlink" Target="https://leetcode.com/problems/valid-perfect-square" TargetMode="External"/><Relationship Id="rId69" Type="http://schemas.openxmlformats.org/officeDocument/2006/relationships/hyperlink" Target="https://leetcode.com/problems/fizz-buzz" TargetMode="External"/><Relationship Id="rId113" Type="http://schemas.openxmlformats.org/officeDocument/2006/relationships/hyperlink" Target="https://leetcode.com/problems/replace-elements-with-greatest-element-on-right-side" TargetMode="External"/><Relationship Id="rId118" Type="http://schemas.openxmlformats.org/officeDocument/2006/relationships/hyperlink" Target="https://leetcode.com/problems/how-many-numbers-are-smaller-than-the-current-number" TargetMode="External"/><Relationship Id="rId134" Type="http://schemas.openxmlformats.org/officeDocument/2006/relationships/hyperlink" Target="https://leetcode.com/problems/recyclable-and-low-fat-products" TargetMode="External"/><Relationship Id="rId139" Type="http://schemas.openxmlformats.org/officeDocument/2006/relationships/hyperlink" Target="https://leetcode.com/problems/best-poker-hand" TargetMode="External"/><Relationship Id="rId80" Type="http://schemas.openxmlformats.org/officeDocument/2006/relationships/hyperlink" Target="https://leetcode.com/problems/reverse-words-in-a-string-iii" TargetMode="External"/><Relationship Id="rId85" Type="http://schemas.openxmlformats.org/officeDocument/2006/relationships/hyperlink" Target="https://leetcode.com/problems/construct-string-from-binary-tree" TargetMode="External"/><Relationship Id="rId12" Type="http://schemas.openxmlformats.org/officeDocument/2006/relationships/hyperlink" Target="https://leetcode.com/problems/add-binary" TargetMode="External"/><Relationship Id="rId17" Type="http://schemas.openxmlformats.org/officeDocument/2006/relationships/hyperlink" Target="https://leetcode.com/problems/binary-tree-inorder-traversal" TargetMode="External"/><Relationship Id="rId33" Type="http://schemas.openxmlformats.org/officeDocument/2006/relationships/hyperlink" Target="https://leetcode.com/problems/combine-two-tables" TargetMode="External"/><Relationship Id="rId38" Type="http://schemas.openxmlformats.org/officeDocument/2006/relationships/hyperlink" Target="https://leetcode.com/problems/valid-phone-numbers" TargetMode="External"/><Relationship Id="rId59" Type="http://schemas.openxmlformats.org/officeDocument/2006/relationships/hyperlink" Target="https://leetcode.com/problems/power-of-four" TargetMode="External"/><Relationship Id="rId103" Type="http://schemas.openxmlformats.org/officeDocument/2006/relationships/hyperlink" Target="https://leetcode.com/problems/middle-of-the-linked-list" TargetMode="External"/><Relationship Id="rId108" Type="http://schemas.openxmlformats.org/officeDocument/2006/relationships/hyperlink" Target="https://leetcode.com/problems/squares-of-a-sorted-array" TargetMode="External"/><Relationship Id="rId124" Type="http://schemas.openxmlformats.org/officeDocument/2006/relationships/hyperlink" Target="https://leetcode.com/problems/shuffle-the-array" TargetMode="External"/><Relationship Id="rId129" Type="http://schemas.openxmlformats.org/officeDocument/2006/relationships/hyperlink" Target="https://leetcode.com/problems/design-parking-system" TargetMode="External"/><Relationship Id="rId54" Type="http://schemas.openxmlformats.org/officeDocument/2006/relationships/hyperlink" Target="https://leetcode.com/problems/binary-tree-paths" TargetMode="External"/><Relationship Id="rId70" Type="http://schemas.openxmlformats.org/officeDocument/2006/relationships/hyperlink" Target="https://leetcode.com/problems/third-maximum-number" TargetMode="External"/><Relationship Id="rId75" Type="http://schemas.openxmlformats.org/officeDocument/2006/relationships/hyperlink" Target="https://leetcode.com/problems/island-perimeter" TargetMode="External"/><Relationship Id="rId91" Type="http://schemas.openxmlformats.org/officeDocument/2006/relationships/hyperlink" Target="https://leetcode.com/problems/count-binary-substrings" TargetMode="External"/><Relationship Id="rId96" Type="http://schemas.openxmlformats.org/officeDocument/2006/relationships/hyperlink" Target="https://leetcode.com/problems/binary-search" TargetMode="External"/><Relationship Id="rId140" Type="http://schemas.openxmlformats.org/officeDocument/2006/relationships/hyperlink" Target="https://leetcode.com/problems/make-array-zero-by-subtracting-equal-amounts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merge-two-sorted-lists" TargetMode="External"/><Relationship Id="rId23" Type="http://schemas.openxmlformats.org/officeDocument/2006/relationships/hyperlink" Target="https://leetcode.com/problems/path-sum" TargetMode="External"/><Relationship Id="rId28" Type="http://schemas.openxmlformats.org/officeDocument/2006/relationships/hyperlink" Target="https://leetcode.com/problems/single-number" TargetMode="External"/><Relationship Id="rId49" Type="http://schemas.openxmlformats.org/officeDocument/2006/relationships/hyperlink" Target="https://leetcode.com/problems/implement-queue-using-stacks" TargetMode="External"/><Relationship Id="rId114" Type="http://schemas.openxmlformats.org/officeDocument/2006/relationships/hyperlink" Target="https://leetcode.com/problems/number-of-days-between-two-dates" TargetMode="External"/><Relationship Id="rId119" Type="http://schemas.openxmlformats.org/officeDocument/2006/relationships/hyperlink" Target="https://leetcode.com/problems/find-the-distance-value-between-two-arrays" TargetMode="External"/><Relationship Id="rId44" Type="http://schemas.openxmlformats.org/officeDocument/2006/relationships/hyperlink" Target="https://leetcode.com/problems/reverse-linked-list" TargetMode="External"/><Relationship Id="rId60" Type="http://schemas.openxmlformats.org/officeDocument/2006/relationships/hyperlink" Target="https://leetcode.com/problems/reverse-string" TargetMode="External"/><Relationship Id="rId65" Type="http://schemas.openxmlformats.org/officeDocument/2006/relationships/hyperlink" Target="https://leetcode.com/problems/ransom-note" TargetMode="External"/><Relationship Id="rId81" Type="http://schemas.openxmlformats.org/officeDocument/2006/relationships/hyperlink" Target="https://leetcode.com/problems/subtree-of-another-tree" TargetMode="External"/><Relationship Id="rId86" Type="http://schemas.openxmlformats.org/officeDocument/2006/relationships/hyperlink" Target="https://leetcode.com/problems/maximum-product-of-three-numbers" TargetMode="External"/><Relationship Id="rId130" Type="http://schemas.openxmlformats.org/officeDocument/2006/relationships/hyperlink" Target="https://leetcode.com/problems/customer-who-visited-but-did-not-make-any-transactions" TargetMode="External"/><Relationship Id="rId135" Type="http://schemas.openxmlformats.org/officeDocument/2006/relationships/hyperlink" Target="https://leetcode.com/problems/substrings-of-size-three-with-distinct-characters" TargetMode="External"/><Relationship Id="rId13" Type="http://schemas.openxmlformats.org/officeDocument/2006/relationships/hyperlink" Target="https://leetcode.com/problems/sqrtx" TargetMode="External"/><Relationship Id="rId18" Type="http://schemas.openxmlformats.org/officeDocument/2006/relationships/hyperlink" Target="https://leetcode.com/problems/same-tree" TargetMode="External"/><Relationship Id="rId39" Type="http://schemas.openxmlformats.org/officeDocument/2006/relationships/hyperlink" Target="https://leetcode.com/problems/delete-duplicate-emails" TargetMode="External"/><Relationship Id="rId109" Type="http://schemas.openxmlformats.org/officeDocument/2006/relationships/hyperlink" Target="https://leetcode.com/problems/cousins-in-binary-tree" TargetMode="External"/><Relationship Id="rId34" Type="http://schemas.openxmlformats.org/officeDocument/2006/relationships/hyperlink" Target="https://leetcode.com/problems/employees-earning-more-than-their-managers" TargetMode="External"/><Relationship Id="rId50" Type="http://schemas.openxmlformats.org/officeDocument/2006/relationships/hyperlink" Target="https://leetcode.com/problems/palindrome-linked-list" TargetMode="External"/><Relationship Id="rId55" Type="http://schemas.openxmlformats.org/officeDocument/2006/relationships/hyperlink" Target="https://leetcode.com/problems/add-digits" TargetMode="External"/><Relationship Id="rId76" Type="http://schemas.openxmlformats.org/officeDocument/2006/relationships/hyperlink" Target="https://leetcode.com/problems/next-greater-element-i" TargetMode="External"/><Relationship Id="rId97" Type="http://schemas.openxmlformats.org/officeDocument/2006/relationships/hyperlink" Target="https://leetcode.com/problems/rotate-string" TargetMode="External"/><Relationship Id="rId104" Type="http://schemas.openxmlformats.org/officeDocument/2006/relationships/hyperlink" Target="https://leetcode.com/problems/unique-email-addresses" TargetMode="External"/><Relationship Id="rId120" Type="http://schemas.openxmlformats.org/officeDocument/2006/relationships/hyperlink" Target="https://leetcode.com/problems/string-matching-in-an-array" TargetMode="External"/><Relationship Id="rId125" Type="http://schemas.openxmlformats.org/officeDocument/2006/relationships/hyperlink" Target="https://leetcode.com/problems/running-sum-of-1d-array" TargetMode="External"/><Relationship Id="rId7" Type="http://schemas.openxmlformats.org/officeDocument/2006/relationships/hyperlink" Target="https://leetcode.com/problems/remove-duplicates-from-sorted-array" TargetMode="External"/><Relationship Id="rId71" Type="http://schemas.openxmlformats.org/officeDocument/2006/relationships/hyperlink" Target="https://leetcode.com/problems/add-strings" TargetMode="External"/><Relationship Id="rId92" Type="http://schemas.openxmlformats.org/officeDocument/2006/relationships/hyperlink" Target="https://leetcode.com/problems/find-pivot-index" TargetMode="External"/><Relationship Id="rId2" Type="http://schemas.openxmlformats.org/officeDocument/2006/relationships/hyperlink" Target="https://leetcode.com/problems/palindrome-number" TargetMode="External"/><Relationship Id="rId29" Type="http://schemas.openxmlformats.org/officeDocument/2006/relationships/hyperlink" Target="https://leetcode.com/problems/linked-list-cycle" TargetMode="External"/><Relationship Id="rId24" Type="http://schemas.openxmlformats.org/officeDocument/2006/relationships/hyperlink" Target="https://leetcode.com/problems/pascals-triangle" TargetMode="External"/><Relationship Id="rId40" Type="http://schemas.openxmlformats.org/officeDocument/2006/relationships/hyperlink" Target="https://leetcode.com/problems/rising-temperature" TargetMode="External"/><Relationship Id="rId45" Type="http://schemas.openxmlformats.org/officeDocument/2006/relationships/hyperlink" Target="https://leetcode.com/problems/contains-duplicate" TargetMode="External"/><Relationship Id="rId66" Type="http://schemas.openxmlformats.org/officeDocument/2006/relationships/hyperlink" Target="https://leetcode.com/problems/first-unique-character-in-a-string" TargetMode="External"/><Relationship Id="rId87" Type="http://schemas.openxmlformats.org/officeDocument/2006/relationships/hyperlink" Target="https://leetcode.com/problems/set-mismatch" TargetMode="External"/><Relationship Id="rId110" Type="http://schemas.openxmlformats.org/officeDocument/2006/relationships/hyperlink" Target="https://leetcode.com/problems/two-sum-less-than-k" TargetMode="External"/><Relationship Id="rId115" Type="http://schemas.openxmlformats.org/officeDocument/2006/relationships/hyperlink" Target="https://leetcode.com/problems/reformat-department-table" TargetMode="External"/><Relationship Id="rId131" Type="http://schemas.openxmlformats.org/officeDocument/2006/relationships/hyperlink" Target="https://leetcode.com/problems/richest-customer-wealth" TargetMode="External"/><Relationship Id="rId136" Type="http://schemas.openxmlformats.org/officeDocument/2006/relationships/hyperlink" Target="https://leetcode.com/problems/sum-of-all-subset-xor-totals" TargetMode="External"/><Relationship Id="rId61" Type="http://schemas.openxmlformats.org/officeDocument/2006/relationships/hyperlink" Target="https://leetcode.com/problems/moving-average-from-data-stream" TargetMode="External"/><Relationship Id="rId82" Type="http://schemas.openxmlformats.org/officeDocument/2006/relationships/hyperlink" Target="https://leetcode.com/problems/find-customer-referee" TargetMode="External"/><Relationship Id="rId19" Type="http://schemas.openxmlformats.org/officeDocument/2006/relationships/hyperlink" Target="https://leetcode.com/problems/symmetric-tree" TargetMode="External"/><Relationship Id="rId14" Type="http://schemas.openxmlformats.org/officeDocument/2006/relationships/hyperlink" Target="https://leetcode.com/problems/climbing-stairs" TargetMode="External"/><Relationship Id="rId30" Type="http://schemas.openxmlformats.org/officeDocument/2006/relationships/hyperlink" Target="https://leetcode.com/problems/intersection-of-two-linked-lists" TargetMode="External"/><Relationship Id="rId35" Type="http://schemas.openxmlformats.org/officeDocument/2006/relationships/hyperlink" Target="https://leetcode.com/problems/customers-who-never-order" TargetMode="External"/><Relationship Id="rId56" Type="http://schemas.openxmlformats.org/officeDocument/2006/relationships/hyperlink" Target="https://leetcode.com/problems/missing-number" TargetMode="External"/><Relationship Id="rId77" Type="http://schemas.openxmlformats.org/officeDocument/2006/relationships/hyperlink" Target="https://leetcode.com/problems/relative-ranks" TargetMode="External"/><Relationship Id="rId100" Type="http://schemas.openxmlformats.org/officeDocument/2006/relationships/hyperlink" Target="https://leetcode.com/problems/most-common-word" TargetMode="External"/><Relationship Id="rId105" Type="http://schemas.openxmlformats.org/officeDocument/2006/relationships/hyperlink" Target="https://leetcode.com/problems/valid-mountain-array" TargetMode="External"/><Relationship Id="rId126" Type="http://schemas.openxmlformats.org/officeDocument/2006/relationships/hyperlink" Target="https://leetcode.com/problems/count-odd-numbers-in-an-interval-range" TargetMode="External"/><Relationship Id="rId8" Type="http://schemas.openxmlformats.org/officeDocument/2006/relationships/hyperlink" Target="https://leetcode.com/problems/remove-element" TargetMode="External"/><Relationship Id="rId51" Type="http://schemas.openxmlformats.org/officeDocument/2006/relationships/hyperlink" Target="https://leetcode.com/problems/valid-anagram" TargetMode="External"/><Relationship Id="rId72" Type="http://schemas.openxmlformats.org/officeDocument/2006/relationships/hyperlink" Target="https://leetcode.com/problems/arranging-coins" TargetMode="External"/><Relationship Id="rId93" Type="http://schemas.openxmlformats.org/officeDocument/2006/relationships/hyperlink" Target="https://leetcode.com/problems/flood-fill" TargetMode="External"/><Relationship Id="rId98" Type="http://schemas.openxmlformats.org/officeDocument/2006/relationships/hyperlink" Target="https://leetcode.com/problems/design-hashmap" TargetMode="External"/><Relationship Id="rId121" Type="http://schemas.openxmlformats.org/officeDocument/2006/relationships/hyperlink" Target="https://leetcode.com/problems/kids-with-the-greatest-number-of-candies" TargetMode="External"/><Relationship Id="rId3" Type="http://schemas.openxmlformats.org/officeDocument/2006/relationships/hyperlink" Target="https://leetcode.com/problems/roman-to-integer" TargetMode="External"/><Relationship Id="rId25" Type="http://schemas.openxmlformats.org/officeDocument/2006/relationships/hyperlink" Target="https://leetcode.com/problems/pascals-triangle-ii" TargetMode="External"/><Relationship Id="rId46" Type="http://schemas.openxmlformats.org/officeDocument/2006/relationships/hyperlink" Target="https://leetcode.com/problems/contains-duplicate-ii" TargetMode="External"/><Relationship Id="rId67" Type="http://schemas.openxmlformats.org/officeDocument/2006/relationships/hyperlink" Target="https://leetcode.com/problems/is-subsequence" TargetMode="External"/><Relationship Id="rId116" Type="http://schemas.openxmlformats.org/officeDocument/2006/relationships/hyperlink" Target="https://leetcode.com/problems/unique-number-of-occurrences" TargetMode="External"/><Relationship Id="rId137" Type="http://schemas.openxmlformats.org/officeDocument/2006/relationships/hyperlink" Target="https://leetcode.com/problems/rearrange-characters-to-make-target-string" TargetMode="External"/><Relationship Id="rId20" Type="http://schemas.openxmlformats.org/officeDocument/2006/relationships/hyperlink" Target="https://leetcode.com/problems/maximum-depth-of-binary-tree" TargetMode="External"/><Relationship Id="rId41" Type="http://schemas.openxmlformats.org/officeDocument/2006/relationships/hyperlink" Target="https://leetcode.com/problems/happy-number" TargetMode="External"/><Relationship Id="rId62" Type="http://schemas.openxmlformats.org/officeDocument/2006/relationships/hyperlink" Target="https://leetcode.com/problems/intersection-of-two-arrays" TargetMode="External"/><Relationship Id="rId83" Type="http://schemas.openxmlformats.org/officeDocument/2006/relationships/hyperlink" Target="https://leetcode.com/problems/big-countries" TargetMode="External"/><Relationship Id="rId88" Type="http://schemas.openxmlformats.org/officeDocument/2006/relationships/hyperlink" Target="https://leetcode.com/problems/two-sum-iv-input-is-a-bst" TargetMode="External"/><Relationship Id="rId111" Type="http://schemas.openxmlformats.org/officeDocument/2006/relationships/hyperlink" Target="https://leetcode.com/problems/last-stone-weight" TargetMode="External"/><Relationship Id="rId132" Type="http://schemas.openxmlformats.org/officeDocument/2006/relationships/hyperlink" Target="https://leetcode.com/problems/maximum-units-on-a-truck" TargetMode="External"/><Relationship Id="rId15" Type="http://schemas.openxmlformats.org/officeDocument/2006/relationships/hyperlink" Target="https://leetcode.com/problems/remove-duplicates-from-sorted-list" TargetMode="External"/><Relationship Id="rId36" Type="http://schemas.openxmlformats.org/officeDocument/2006/relationships/hyperlink" Target="https://leetcode.com/problems/reverse-bits" TargetMode="External"/><Relationship Id="rId57" Type="http://schemas.openxmlformats.org/officeDocument/2006/relationships/hyperlink" Target="https://leetcode.com/problems/first-bad-version" TargetMode="External"/><Relationship Id="rId106" Type="http://schemas.openxmlformats.org/officeDocument/2006/relationships/hyperlink" Target="https://leetcode.com/problems/verifying-an-alien-dictionary" TargetMode="External"/><Relationship Id="rId127" Type="http://schemas.openxmlformats.org/officeDocument/2006/relationships/hyperlink" Target="https://leetcode.com/problems/number-of-good-pairs" TargetMode="External"/><Relationship Id="rId10" Type="http://schemas.openxmlformats.org/officeDocument/2006/relationships/hyperlink" Target="https://leetcode.com/problems/length-of-last-word" TargetMode="External"/><Relationship Id="rId31" Type="http://schemas.openxmlformats.org/officeDocument/2006/relationships/hyperlink" Target="https://leetcode.com/problems/excel-sheet-column-title" TargetMode="External"/><Relationship Id="rId52" Type="http://schemas.openxmlformats.org/officeDocument/2006/relationships/hyperlink" Target="https://leetcode.com/problems/shortest-word-distance" TargetMode="External"/><Relationship Id="rId73" Type="http://schemas.openxmlformats.org/officeDocument/2006/relationships/hyperlink" Target="https://leetcode.com/problems/find-all-numbers-disappeared-in-an-array" TargetMode="External"/><Relationship Id="rId78" Type="http://schemas.openxmlformats.org/officeDocument/2006/relationships/hyperlink" Target="https://leetcode.com/problems/minimum-absolute-difference-in-bst" TargetMode="External"/><Relationship Id="rId94" Type="http://schemas.openxmlformats.org/officeDocument/2006/relationships/hyperlink" Target="https://leetcode.com/problems/min-cost-climbing-stairs" TargetMode="External"/><Relationship Id="rId99" Type="http://schemas.openxmlformats.org/officeDocument/2006/relationships/hyperlink" Target="https://leetcode.com/problems/unique-morse-code-words" TargetMode="External"/><Relationship Id="rId101" Type="http://schemas.openxmlformats.org/officeDocument/2006/relationships/hyperlink" Target="https://leetcode.com/problems/rectangle-overlap" TargetMode="External"/><Relationship Id="rId122" Type="http://schemas.openxmlformats.org/officeDocument/2006/relationships/hyperlink" Target="https://leetcode.com/problems/destination-city" TargetMode="External"/><Relationship Id="rId4" Type="http://schemas.openxmlformats.org/officeDocument/2006/relationships/hyperlink" Target="https://leetcode.com/problems/longest-common-prefix" TargetMode="External"/><Relationship Id="rId9" Type="http://schemas.openxmlformats.org/officeDocument/2006/relationships/hyperlink" Target="https://leetcode.com/problems/search-insert-position" TargetMode="External"/><Relationship Id="rId26" Type="http://schemas.openxmlformats.org/officeDocument/2006/relationships/hyperlink" Target="https://leetcode.com/problems/best-time-to-buy-and-sell-stock" TargetMode="External"/><Relationship Id="rId47" Type="http://schemas.openxmlformats.org/officeDocument/2006/relationships/hyperlink" Target="https://leetcode.com/problems/invert-binary-tree" TargetMode="External"/><Relationship Id="rId68" Type="http://schemas.openxmlformats.org/officeDocument/2006/relationships/hyperlink" Target="https://leetcode.com/problems/longest-palindrome" TargetMode="External"/><Relationship Id="rId89" Type="http://schemas.openxmlformats.org/officeDocument/2006/relationships/hyperlink" Target="https://leetcode.com/problems/robot-return-to-origin" TargetMode="External"/><Relationship Id="rId112" Type="http://schemas.openxmlformats.org/officeDocument/2006/relationships/hyperlink" Target="https://leetcode.com/problems/remove-all-adjacent-duplicates-in-string" TargetMode="External"/><Relationship Id="rId133" Type="http://schemas.openxmlformats.org/officeDocument/2006/relationships/hyperlink" Target="https://leetcode.com/problems/check-if-array-is-sorted-and-rotated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roduct-of-array-except-self" TargetMode="External"/><Relationship Id="rId299" Type="http://schemas.openxmlformats.org/officeDocument/2006/relationships/hyperlink" Target="https://leetcode.com/problems/minimum-knight-moves" TargetMode="External"/><Relationship Id="rId21" Type="http://schemas.openxmlformats.org/officeDocument/2006/relationships/hyperlink" Target="https://leetcode.com/problems/valid-sudoku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nteger-replacement" TargetMode="External"/><Relationship Id="rId324" Type="http://schemas.openxmlformats.org/officeDocument/2006/relationships/hyperlink" Target="https://leetcode.com/problems/reduce-array-size-to-the-half" TargetMode="External"/><Relationship Id="rId366" Type="http://schemas.openxmlformats.org/officeDocument/2006/relationships/hyperlink" Target="https://leetcode.com/problems/sum-of-subarray-ranges" TargetMode="External"/><Relationship Id="rId170" Type="http://schemas.openxmlformats.org/officeDocument/2006/relationships/hyperlink" Target="https://leetcode.com/problems/path-sum-iii" TargetMode="External"/><Relationship Id="rId226" Type="http://schemas.openxmlformats.org/officeDocument/2006/relationships/hyperlink" Target="https://leetcode.com/problems/number-of-distinct-islands" TargetMode="External"/><Relationship Id="rId268" Type="http://schemas.openxmlformats.org/officeDocument/2006/relationships/hyperlink" Target="https://leetcode.com/problems/minimum-add-to-make-parentheses-valid" TargetMode="External"/><Relationship Id="rId32" Type="http://schemas.openxmlformats.org/officeDocument/2006/relationships/hyperlink" Target="https://leetcode.com/problems/maximum-subarray" TargetMode="External"/><Relationship Id="rId74" Type="http://schemas.openxmlformats.org/officeDocument/2006/relationships/hyperlink" Target="https://leetcode.com/problems/gas-station" TargetMode="External"/><Relationship Id="rId128" Type="http://schemas.openxmlformats.org/officeDocument/2006/relationships/hyperlink" Target="https://leetcode.com/problems/find-the-duplicate-number" TargetMode="External"/><Relationship Id="rId335" Type="http://schemas.openxmlformats.org/officeDocument/2006/relationships/hyperlink" Target="https://leetcode.com/problems/the-kth-factor-of-n" TargetMode="External"/><Relationship Id="rId377" Type="http://schemas.openxmlformats.org/officeDocument/2006/relationships/hyperlink" Target="https://leetcode.com/problems/apply-discount-to-prices" TargetMode="External"/><Relationship Id="rId5" Type="http://schemas.openxmlformats.org/officeDocument/2006/relationships/hyperlink" Target="https://leetcode.com/problems/reverse-integer" TargetMode="External"/><Relationship Id="rId181" Type="http://schemas.openxmlformats.org/officeDocument/2006/relationships/hyperlink" Target="https://leetcode.com/problems/minimum-moves-to-equal-array-elements-ii" TargetMode="External"/><Relationship Id="rId237" Type="http://schemas.openxmlformats.org/officeDocument/2006/relationships/hyperlink" Target="https://leetcode.com/problems/flatten-a-multilevel-doubly-linked-list" TargetMode="External"/><Relationship Id="rId279" Type="http://schemas.openxmlformats.org/officeDocument/2006/relationships/hyperlink" Target="https://leetcode.com/problems/time-based-key-value-store" TargetMode="External"/><Relationship Id="rId43" Type="http://schemas.openxmlformats.org/officeDocument/2006/relationships/hyperlink" Target="https://leetcode.com/problems/set-matrix-zeroes" TargetMode="External"/><Relationship Id="rId139" Type="http://schemas.openxmlformats.org/officeDocument/2006/relationships/hyperlink" Target="https://leetcode.com/problems/coin-change" TargetMode="External"/><Relationship Id="rId290" Type="http://schemas.openxmlformats.org/officeDocument/2006/relationships/hyperlink" Target="https://leetcode.com/problems/maximum-difference-between-node-and-ancestor" TargetMode="External"/><Relationship Id="rId304" Type="http://schemas.openxmlformats.org/officeDocument/2006/relationships/hyperlink" Target="https://leetcode.com/problems/sequential-digits" TargetMode="External"/><Relationship Id="rId346" Type="http://schemas.openxmlformats.org/officeDocument/2006/relationships/hyperlink" Target="https://leetcode.com/problems/find-the-most-competitive-subsequence" TargetMode="External"/><Relationship Id="rId85" Type="http://schemas.openxmlformats.org/officeDocument/2006/relationships/hyperlink" Target="https://leetcode.com/problems/find-minimum-in-rotated-sorted-array" TargetMode="External"/><Relationship Id="rId150" Type="http://schemas.openxmlformats.org/officeDocument/2006/relationships/hyperlink" Target="https://leetcode.com/problems/design-hit-counter" TargetMode="External"/><Relationship Id="rId192" Type="http://schemas.openxmlformats.org/officeDocument/2006/relationships/hyperlink" Target="https://leetcode.com/problems/lonely-pixel-i" TargetMode="External"/><Relationship Id="rId206" Type="http://schemas.openxmlformats.org/officeDocument/2006/relationships/hyperlink" Target="https://leetcode.com/problems/find-duplicate-file-in-system" TargetMode="External"/><Relationship Id="rId248" Type="http://schemas.openxmlformats.org/officeDocument/2006/relationships/hyperlink" Target="https://leetcode.com/problems/find-eventual-safe-states" TargetMode="External"/><Relationship Id="rId12" Type="http://schemas.openxmlformats.org/officeDocument/2006/relationships/hyperlink" Target="https://leetcode.com/problems/4sum" TargetMode="External"/><Relationship Id="rId108" Type="http://schemas.openxmlformats.org/officeDocument/2006/relationships/hyperlink" Target="https://leetcode.com/problems/house-robber-ii" TargetMode="External"/><Relationship Id="rId315" Type="http://schemas.openxmlformats.org/officeDocument/2006/relationships/hyperlink" Target="https://leetcode.com/problems/where-will-the-ball-fall" TargetMode="External"/><Relationship Id="rId357" Type="http://schemas.openxmlformats.org/officeDocument/2006/relationships/hyperlink" Target="https://leetcode.com/problems/nearest-exit-from-entrance-in-maze" TargetMode="External"/><Relationship Id="rId54" Type="http://schemas.openxmlformats.org/officeDocument/2006/relationships/hyperlink" Target="https://leetcode.com/problems/unique-binary-search-trees-ii" TargetMode="External"/><Relationship Id="rId96" Type="http://schemas.openxmlformats.org/officeDocument/2006/relationships/hyperlink" Target="https://leetcode.com/problems/consecutive-numbers" TargetMode="External"/><Relationship Id="rId161" Type="http://schemas.openxmlformats.org/officeDocument/2006/relationships/hyperlink" Target="https://leetcode.com/problems/remove-k-digits" TargetMode="External"/><Relationship Id="rId217" Type="http://schemas.openxmlformats.org/officeDocument/2006/relationships/hyperlink" Target="https://leetcode.com/problems/trim-a-binary-search-tree" TargetMode="External"/><Relationship Id="rId259" Type="http://schemas.openxmlformats.org/officeDocument/2006/relationships/hyperlink" Target="https://leetcode.com/problems/random-pick-with-weight" TargetMode="External"/><Relationship Id="rId23" Type="http://schemas.openxmlformats.org/officeDocument/2006/relationships/hyperlink" Target="https://leetcode.com/problems/combination-sum" TargetMode="External"/><Relationship Id="rId119" Type="http://schemas.openxmlformats.org/officeDocument/2006/relationships/hyperlink" Target="https://leetcode.com/problems/shortest-word-distance-ii" TargetMode="External"/><Relationship Id="rId270" Type="http://schemas.openxmlformats.org/officeDocument/2006/relationships/hyperlink" Target="https://leetcode.com/problems/minimum-falling-path-sum" TargetMode="External"/><Relationship Id="rId326" Type="http://schemas.openxmlformats.org/officeDocument/2006/relationships/hyperlink" Target="https://leetcode.com/problems/longest-zigzag-path-in-a-binary-tree" TargetMode="External"/><Relationship Id="rId65" Type="http://schemas.openxmlformats.org/officeDocument/2006/relationships/hyperlink" Target="https://leetcode.com/problems/populating-next-right-pointers-in-each-node" TargetMode="External"/><Relationship Id="rId130" Type="http://schemas.openxmlformats.org/officeDocument/2006/relationships/hyperlink" Target="https://leetcode.com/problems/bulls-and-cows" TargetMode="External"/><Relationship Id="rId368" Type="http://schemas.openxmlformats.org/officeDocument/2006/relationships/hyperlink" Target="https://leetcode.com/problems/number-of-smooth-descent-periods-of-a-stock" TargetMode="External"/><Relationship Id="rId172" Type="http://schemas.openxmlformats.org/officeDocument/2006/relationships/hyperlink" Target="https://leetcode.com/problems/find-all-duplicates-in-an-array" TargetMode="External"/><Relationship Id="rId228" Type="http://schemas.openxmlformats.org/officeDocument/2006/relationships/hyperlink" Target="https://leetcode.com/problems/partition-to-k-equal-sum-subsets" TargetMode="External"/><Relationship Id="rId281" Type="http://schemas.openxmlformats.org/officeDocument/2006/relationships/hyperlink" Target="https://leetcode.com/problems/satisfiability-of-equality-equations" TargetMode="External"/><Relationship Id="rId337" Type="http://schemas.openxmlformats.org/officeDocument/2006/relationships/hyperlink" Target="https://leetcode.com/problems/avoid-flood-in-the-city" TargetMode="External"/><Relationship Id="rId34" Type="http://schemas.openxmlformats.org/officeDocument/2006/relationships/hyperlink" Target="https://leetcode.com/problems/jump-game" TargetMode="External"/><Relationship Id="rId76" Type="http://schemas.openxmlformats.org/officeDocument/2006/relationships/hyperlink" Target="https://leetcode.com/problems/copy-list-with-random-pointer" TargetMode="External"/><Relationship Id="rId141" Type="http://schemas.openxmlformats.org/officeDocument/2006/relationships/hyperlink" Target="https://leetcode.com/problems/wiggle-sort-ii" TargetMode="External"/><Relationship Id="rId379" Type="http://schemas.openxmlformats.org/officeDocument/2006/relationships/hyperlink" Target="https://leetcode.com/problems/partition-array-such-that-maximum-difference-is-k" TargetMode="External"/><Relationship Id="rId7" Type="http://schemas.openxmlformats.org/officeDocument/2006/relationships/hyperlink" Target="https://leetcode.com/problems/container-with-most-water" TargetMode="External"/><Relationship Id="rId183" Type="http://schemas.openxmlformats.org/officeDocument/2006/relationships/hyperlink" Target="https://leetcode.com/problems/heaters" TargetMode="External"/><Relationship Id="rId239" Type="http://schemas.openxmlformats.org/officeDocument/2006/relationships/hyperlink" Target="https://leetcode.com/problems/reorganize-string" TargetMode="External"/><Relationship Id="rId250" Type="http://schemas.openxmlformats.org/officeDocument/2006/relationships/hyperlink" Target="https://leetcode.com/problems/binary-trees-with-factors" TargetMode="External"/><Relationship Id="rId292" Type="http://schemas.openxmlformats.org/officeDocument/2006/relationships/hyperlink" Target="https://leetcode.com/problems/analyze-user-website-visit-pattern" TargetMode="External"/><Relationship Id="rId306" Type="http://schemas.openxmlformats.org/officeDocument/2006/relationships/hyperlink" Target="https://leetcode.com/problems/snapshot-array" TargetMode="External"/><Relationship Id="rId45" Type="http://schemas.openxmlformats.org/officeDocument/2006/relationships/hyperlink" Target="https://leetcode.com/problems/sort-colors" TargetMode="External"/><Relationship Id="rId87" Type="http://schemas.openxmlformats.org/officeDocument/2006/relationships/hyperlink" Target="https://leetcode.com/problems/longest-substring-with-at-most-two-distinct-characters" TargetMode="External"/><Relationship Id="rId110" Type="http://schemas.openxmlformats.org/officeDocument/2006/relationships/hyperlink" Target="https://leetcode.com/problems/maximal-square" TargetMode="External"/><Relationship Id="rId348" Type="http://schemas.openxmlformats.org/officeDocument/2006/relationships/hyperlink" Target="https://leetcode.com/problems/partitioning-into-minimum-number-of-deci-binary-numbers" TargetMode="External"/><Relationship Id="rId152" Type="http://schemas.openxmlformats.org/officeDocument/2006/relationships/hyperlink" Target="https://leetcode.com/problems/find-k-pairs-with-smallest-sums" TargetMode="External"/><Relationship Id="rId194" Type="http://schemas.openxmlformats.org/officeDocument/2006/relationships/hyperlink" Target="https://leetcode.com/problems/minimum-time-difference" TargetMode="External"/><Relationship Id="rId208" Type="http://schemas.openxmlformats.org/officeDocument/2006/relationships/hyperlink" Target="https://leetcode.com/problems/add-one-row-to-tree" TargetMode="External"/><Relationship Id="rId261" Type="http://schemas.openxmlformats.org/officeDocument/2006/relationships/hyperlink" Target="https://leetcode.com/problems/construct-binary-tree-from-preorder-and-postorder-traversal" TargetMode="External"/><Relationship Id="rId14" Type="http://schemas.openxmlformats.org/officeDocument/2006/relationships/hyperlink" Target="https://leetcode.com/problems/generate-parentheses" TargetMode="External"/><Relationship Id="rId56" Type="http://schemas.openxmlformats.org/officeDocument/2006/relationships/hyperlink" Target="https://leetcode.com/problems/validate-binary-search-tree" TargetMode="External"/><Relationship Id="rId317" Type="http://schemas.openxmlformats.org/officeDocument/2006/relationships/hyperlink" Target="https://leetcode.com/problems/first-unique-number" TargetMode="External"/><Relationship Id="rId359" Type="http://schemas.openxmlformats.org/officeDocument/2006/relationships/hyperlink" Target="https://leetcode.com/problems/find-original-array-from-doubled-array" TargetMode="External"/><Relationship Id="rId98" Type="http://schemas.openxmlformats.org/officeDocument/2006/relationships/hyperlink" Target="https://leetcode.com/problems/rotate-array" TargetMode="External"/><Relationship Id="rId121" Type="http://schemas.openxmlformats.org/officeDocument/2006/relationships/hyperlink" Target="https://leetcode.com/problems/meeting-rooms-ii" TargetMode="External"/><Relationship Id="rId163" Type="http://schemas.openxmlformats.org/officeDocument/2006/relationships/hyperlink" Target="https://leetcode.com/problems/partition-equal-subset-sum" TargetMode="External"/><Relationship Id="rId219" Type="http://schemas.openxmlformats.org/officeDocument/2006/relationships/hyperlink" Target="https://leetcode.com/problems/number-of-longest-increasing-subsequence" TargetMode="External"/><Relationship Id="rId370" Type="http://schemas.openxmlformats.org/officeDocument/2006/relationships/hyperlink" Target="https://leetcode.com/problems/append-k-integers-with-minimal-sum" TargetMode="External"/><Relationship Id="rId230" Type="http://schemas.openxmlformats.org/officeDocument/2006/relationships/hyperlink" Target="https://leetcode.com/problems/my-calendar-i" TargetMode="External"/><Relationship Id="rId25" Type="http://schemas.openxmlformats.org/officeDocument/2006/relationships/hyperlink" Target="https://leetcode.com/problems/multiply-strings" TargetMode="External"/><Relationship Id="rId67" Type="http://schemas.openxmlformats.org/officeDocument/2006/relationships/hyperlink" Target="https://leetcode.com/problems/triangle" TargetMode="External"/><Relationship Id="rId272" Type="http://schemas.openxmlformats.org/officeDocument/2006/relationships/hyperlink" Target="https://leetcode.com/problems/reorder-data-in-log-files" TargetMode="External"/><Relationship Id="rId328" Type="http://schemas.openxmlformats.org/officeDocument/2006/relationships/hyperlink" Target="https://leetcode.com/problems/design-underground-system" TargetMode="External"/><Relationship Id="rId132" Type="http://schemas.openxmlformats.org/officeDocument/2006/relationships/hyperlink" Target="https://leetcode.com/problems/range-sum-query-2d-immutable" TargetMode="External"/><Relationship Id="rId174" Type="http://schemas.openxmlformats.org/officeDocument/2006/relationships/hyperlink" Target="https://leetcode.com/problems/add-two-numbers-ii" TargetMode="External"/><Relationship Id="rId381" Type="http://schemas.openxmlformats.org/officeDocument/2006/relationships/hyperlink" Target="https://leetcode.com/problems/minimum-number-of-keypresses" TargetMode="External"/><Relationship Id="rId241" Type="http://schemas.openxmlformats.org/officeDocument/2006/relationships/hyperlink" Target="https://leetcode.com/problems/k-th-symbol-in-grammar" TargetMode="External"/><Relationship Id="rId36" Type="http://schemas.openxmlformats.org/officeDocument/2006/relationships/hyperlink" Target="https://leetcode.com/problems/insert-interval" TargetMode="External"/><Relationship Id="rId283" Type="http://schemas.openxmlformats.org/officeDocument/2006/relationships/hyperlink" Target="https://leetcode.com/problems/max-consecutive-ones-iii" TargetMode="External"/><Relationship Id="rId339" Type="http://schemas.openxmlformats.org/officeDocument/2006/relationships/hyperlink" Target="https://leetcode.com/problems/number-of-good-ways-to-split-a-string" TargetMode="External"/><Relationship Id="rId78" Type="http://schemas.openxmlformats.org/officeDocument/2006/relationships/hyperlink" Target="https://leetcode.com/problems/linked-list-cycle-ii" TargetMode="External"/><Relationship Id="rId101" Type="http://schemas.openxmlformats.org/officeDocument/2006/relationships/hyperlink" Target="https://leetcode.com/problems/number-of-islands" TargetMode="External"/><Relationship Id="rId143" Type="http://schemas.openxmlformats.org/officeDocument/2006/relationships/hyperlink" Target="https://leetcode.com/problems/largest-bst-subtree" TargetMode="External"/><Relationship Id="rId185" Type="http://schemas.openxmlformats.org/officeDocument/2006/relationships/hyperlink" Target="https://leetcode.com/problems/target-sum" TargetMode="External"/><Relationship Id="rId350" Type="http://schemas.openxmlformats.org/officeDocument/2006/relationships/hyperlink" Target="https://leetcode.com/problems/maximum-number-of-eaten-apples" TargetMode="External"/><Relationship Id="rId9" Type="http://schemas.openxmlformats.org/officeDocument/2006/relationships/hyperlink" Target="https://leetcode.com/problems/3sum" TargetMode="External"/><Relationship Id="rId210" Type="http://schemas.openxmlformats.org/officeDocument/2006/relationships/hyperlink" Target="https://leetcode.com/problems/maximum-length-of-pair-chain" TargetMode="External"/><Relationship Id="rId252" Type="http://schemas.openxmlformats.org/officeDocument/2006/relationships/hyperlink" Target="https://leetcode.com/problems/design-circular-queue" TargetMode="External"/><Relationship Id="rId294" Type="http://schemas.openxmlformats.org/officeDocument/2006/relationships/hyperlink" Target="https://leetcode.com/problems/binary-search-tree-to-greater-sum-tree" TargetMode="External"/><Relationship Id="rId308" Type="http://schemas.openxmlformats.org/officeDocument/2006/relationships/hyperlink" Target="https://leetcode.com/problems/sort-the-matrix-diagonally" TargetMode="External"/><Relationship Id="rId47" Type="http://schemas.openxmlformats.org/officeDocument/2006/relationships/hyperlink" Target="https://leetcode.com/problems/word-search" TargetMode="External"/><Relationship Id="rId68" Type="http://schemas.openxmlformats.org/officeDocument/2006/relationships/hyperlink" Target="https://leetcode.com/problems/best-time-to-buy-and-sell-stock-ii" TargetMode="External"/><Relationship Id="rId89" Type="http://schemas.openxmlformats.org/officeDocument/2006/relationships/hyperlink" Target="https://leetcode.com/problems/compare-version-numbers" TargetMode="External"/><Relationship Id="rId112" Type="http://schemas.openxmlformats.org/officeDocument/2006/relationships/hyperlink" Target="https://leetcode.com/problems/basic-calculator-ii" TargetMode="External"/><Relationship Id="rId133" Type="http://schemas.openxmlformats.org/officeDocument/2006/relationships/hyperlink" Target="https://leetcode.com/problems/range-sum-query-mutable" TargetMode="External"/><Relationship Id="rId154" Type="http://schemas.openxmlformats.org/officeDocument/2006/relationships/hyperlink" Target="https://leetcode.com/problems/kth-smallest-element-in-a-sorted-matrix" TargetMode="External"/><Relationship Id="rId175" Type="http://schemas.openxmlformats.org/officeDocument/2006/relationships/hyperlink" Target="https://leetcode.com/problems/serialize-and-deserialize-bst" TargetMode="External"/><Relationship Id="rId340" Type="http://schemas.openxmlformats.org/officeDocument/2006/relationships/hyperlink" Target="https://leetcode.com/problems/maximum-length-of-subarray-with-positive-product" TargetMode="External"/><Relationship Id="rId361" Type="http://schemas.openxmlformats.org/officeDocument/2006/relationships/hyperlink" Target="https://leetcode.com/problems/most-beautiful-item-for-each-query" TargetMode="External"/><Relationship Id="rId196" Type="http://schemas.openxmlformats.org/officeDocument/2006/relationships/hyperlink" Target="https://leetcode.com/problems/01-matrix" TargetMode="External"/><Relationship Id="rId200" Type="http://schemas.openxmlformats.org/officeDocument/2006/relationships/hyperlink" Target="https://leetcode.com/problems/next-greater-element-iii" TargetMode="External"/><Relationship Id="rId382" Type="http://schemas.openxmlformats.org/officeDocument/2006/relationships/hyperlink" Target="https://leetcode.com/problems/number-of-people-aware-of-a-secret" TargetMode="External"/><Relationship Id="rId16" Type="http://schemas.openxmlformats.org/officeDocument/2006/relationships/hyperlink" Target="https://leetcode.com/problems/find-the-index-of-the-first-occurrence-in-a-string" TargetMode="External"/><Relationship Id="rId221" Type="http://schemas.openxmlformats.org/officeDocument/2006/relationships/hyperlink" Target="https://leetcode.com/problems/next-closest-time" TargetMode="External"/><Relationship Id="rId242" Type="http://schemas.openxmlformats.org/officeDocument/2006/relationships/hyperlink" Target="https://leetcode.com/problems/rabbits-in-forest" TargetMode="External"/><Relationship Id="rId263" Type="http://schemas.openxmlformats.org/officeDocument/2006/relationships/hyperlink" Target="https://leetcode.com/problems/online-stock-span" TargetMode="External"/><Relationship Id="rId284" Type="http://schemas.openxmlformats.org/officeDocument/2006/relationships/hyperlink" Target="https://leetcode.com/problems/construct-binary-search-tree-from-preorder-traversal" TargetMode="External"/><Relationship Id="rId319" Type="http://schemas.openxmlformats.org/officeDocument/2006/relationships/hyperlink" Target="https://leetcode.com/problems/leftmost-column-with-at-least-a-one" TargetMode="External"/><Relationship Id="rId37" Type="http://schemas.openxmlformats.org/officeDocument/2006/relationships/hyperlink" Target="https://leetcode.com/problems/spiral-matrix-ii" TargetMode="External"/><Relationship Id="rId58" Type="http://schemas.openxmlformats.org/officeDocument/2006/relationships/hyperlink" Target="https://leetcode.com/problems/binary-tree-level-order-traversal" TargetMode="External"/><Relationship Id="rId79" Type="http://schemas.openxmlformats.org/officeDocument/2006/relationships/hyperlink" Target="https://leetcode.com/problems/reorder-list" TargetMode="External"/><Relationship Id="rId102" Type="http://schemas.openxmlformats.org/officeDocument/2006/relationships/hyperlink" Target="https://leetcode.com/problems/count-primes" TargetMode="External"/><Relationship Id="rId123" Type="http://schemas.openxmlformats.org/officeDocument/2006/relationships/hyperlink" Target="https://leetcode.com/problems/graph-valid-tree" TargetMode="External"/><Relationship Id="rId144" Type="http://schemas.openxmlformats.org/officeDocument/2006/relationships/hyperlink" Target="https://leetcode.com/problems/house-robber-iii" TargetMode="External"/><Relationship Id="rId330" Type="http://schemas.openxmlformats.org/officeDocument/2006/relationships/hyperlink" Target="https://leetcode.com/problems/count-good-nodes-in-binary-tree" TargetMode="External"/><Relationship Id="rId90" Type="http://schemas.openxmlformats.org/officeDocument/2006/relationships/hyperlink" Target="https://leetcode.com/problems/two-sum-ii-input-array-is-sorted" TargetMode="External"/><Relationship Id="rId165" Type="http://schemas.openxmlformats.org/officeDocument/2006/relationships/hyperlink" Target="https://leetcode.com/problems/battleships-in-a-board" TargetMode="External"/><Relationship Id="rId186" Type="http://schemas.openxmlformats.org/officeDocument/2006/relationships/hyperlink" Target="https://leetcode.com/problems/next-greater-element-ii" TargetMode="External"/><Relationship Id="rId351" Type="http://schemas.openxmlformats.org/officeDocument/2006/relationships/hyperlink" Target="https://leetcode.com/problems/find-distance-in-a-binary-tree" TargetMode="External"/><Relationship Id="rId372" Type="http://schemas.openxmlformats.org/officeDocument/2006/relationships/hyperlink" Target="https://leetcode.com/problems/number-of-ways-to-select-buildings" TargetMode="External"/><Relationship Id="rId211" Type="http://schemas.openxmlformats.org/officeDocument/2006/relationships/hyperlink" Target="https://leetcode.com/problems/palindromic-substrings" TargetMode="External"/><Relationship Id="rId232" Type="http://schemas.openxmlformats.org/officeDocument/2006/relationships/hyperlink" Target="https://leetcode.com/problems/daily-temperatures" TargetMode="External"/><Relationship Id="rId253" Type="http://schemas.openxmlformats.org/officeDocument/2006/relationships/hyperlink" Target="https://leetcode.com/problems/push-dominoes" TargetMode="External"/><Relationship Id="rId274" Type="http://schemas.openxmlformats.org/officeDocument/2006/relationships/hyperlink" Target="https://leetcode.com/problems/largest-time-for-given-digits" TargetMode="External"/><Relationship Id="rId295" Type="http://schemas.openxmlformats.org/officeDocument/2006/relationships/hyperlink" Target="https://leetcode.com/problems/robot-bounded-in-circle" TargetMode="External"/><Relationship Id="rId309" Type="http://schemas.openxmlformats.org/officeDocument/2006/relationships/hyperlink" Target="https://leetcode.com/problems/invalid-transactions" TargetMode="External"/><Relationship Id="rId27" Type="http://schemas.openxmlformats.org/officeDocument/2006/relationships/hyperlink" Target="https://leetcode.com/problems/permutations" TargetMode="External"/><Relationship Id="rId48" Type="http://schemas.openxmlformats.org/officeDocument/2006/relationships/hyperlink" Target="https://leetcode.com/problems/search-in-rotated-sorted-array-ii" TargetMode="External"/><Relationship Id="rId69" Type="http://schemas.openxmlformats.org/officeDocument/2006/relationships/hyperlink" Target="https://leetcode.com/problems/longest-consecutive-sequence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best-time-to-buy-and-sell-stock-with-cooldown" TargetMode="External"/><Relationship Id="rId320" Type="http://schemas.openxmlformats.org/officeDocument/2006/relationships/hyperlink" Target="https://leetcode.com/problems/search-suggestions-system" TargetMode="External"/><Relationship Id="rId80" Type="http://schemas.openxmlformats.org/officeDocument/2006/relationships/hyperlink" Target="https://leetcode.com/problems/lru-cache" TargetMode="External"/><Relationship Id="rId155" Type="http://schemas.openxmlformats.org/officeDocument/2006/relationships/hyperlink" Target="https://leetcode.com/problems/insert-delete-getrandom-o1" TargetMode="External"/><Relationship Id="rId176" Type="http://schemas.openxmlformats.org/officeDocument/2006/relationships/hyperlink" Target="https://leetcode.com/problems/delete-node-in-a-bst" TargetMode="External"/><Relationship Id="rId197" Type="http://schemas.openxmlformats.org/officeDocument/2006/relationships/hyperlink" Target="https://leetcode.com/problems/boundary-of-binary-tree" TargetMode="External"/><Relationship Id="rId341" Type="http://schemas.openxmlformats.org/officeDocument/2006/relationships/hyperlink" Target="https://leetcode.com/problems/dot-product-of-two-sparse-vectors" TargetMode="External"/><Relationship Id="rId362" Type="http://schemas.openxmlformats.org/officeDocument/2006/relationships/hyperlink" Target="https://leetcode.com/problems/decode-the-slanted-ciphertext" TargetMode="External"/><Relationship Id="rId383" Type="http://schemas.openxmlformats.org/officeDocument/2006/relationships/hyperlink" Target="https://leetcode.com/problems/smallest-number-in-infinite-set" TargetMode="External"/><Relationship Id="rId201" Type="http://schemas.openxmlformats.org/officeDocument/2006/relationships/hyperlink" Target="https://leetcode.com/problems/subarray-sum-equals-k" TargetMode="External"/><Relationship Id="rId222" Type="http://schemas.openxmlformats.org/officeDocument/2006/relationships/hyperlink" Target="https://leetcode.com/problems/redundant-connection" TargetMode="External"/><Relationship Id="rId243" Type="http://schemas.openxmlformats.org/officeDocument/2006/relationships/hyperlink" Target="https://leetcode.com/problems/letter-case-permutation" TargetMode="External"/><Relationship Id="rId264" Type="http://schemas.openxmlformats.org/officeDocument/2006/relationships/hyperlink" Target="https://leetcode.com/problems/fruit-into-baskets" TargetMode="External"/><Relationship Id="rId285" Type="http://schemas.openxmlformats.org/officeDocument/2006/relationships/hyperlink" Target="https://leetcode.com/problems/pairs-of-songs-with-total-durations-divisible-by-60" TargetMode="External"/><Relationship Id="rId17" Type="http://schemas.openxmlformats.org/officeDocument/2006/relationships/hyperlink" Target="https://leetcode.com/problems/divide-two-integers" TargetMode="External"/><Relationship Id="rId38" Type="http://schemas.openxmlformats.org/officeDocument/2006/relationships/hyperlink" Target="https://leetcode.com/problems/rotate-list" TargetMode="External"/><Relationship Id="rId59" Type="http://schemas.openxmlformats.org/officeDocument/2006/relationships/hyperlink" Target="https://leetcode.com/problems/binary-tree-zigzag-level-order-traversal" TargetMode="External"/><Relationship Id="rId103" Type="http://schemas.openxmlformats.org/officeDocument/2006/relationships/hyperlink" Target="https://leetcode.com/problems/course-schedule" TargetMode="External"/><Relationship Id="rId124" Type="http://schemas.openxmlformats.org/officeDocument/2006/relationships/hyperlink" Target="https://leetcode.com/problems/encode-and-decode-strings" TargetMode="External"/><Relationship Id="rId310" Type="http://schemas.openxmlformats.org/officeDocument/2006/relationships/hyperlink" Target="https://leetcode.com/problems/k-concatenation-maximum-sum" TargetMode="External"/><Relationship Id="rId70" Type="http://schemas.openxmlformats.org/officeDocument/2006/relationships/hyperlink" Target="https://leetcode.com/problems/sum-root-to-leaf-numbers" TargetMode="External"/><Relationship Id="rId91" Type="http://schemas.openxmlformats.org/officeDocument/2006/relationships/hyperlink" Target="https://leetcode.com/problems/binary-search-tree-iterator" TargetMode="External"/><Relationship Id="rId145" Type="http://schemas.openxmlformats.org/officeDocument/2006/relationships/hyperlink" Target="https://leetcode.com/problems/nested-list-weight-sum" TargetMode="External"/><Relationship Id="rId166" Type="http://schemas.openxmlformats.org/officeDocument/2006/relationships/hyperlink" Target="https://leetcode.com/problems/maximum-xor-of-two-numbers-in-an-array" TargetMode="External"/><Relationship Id="rId187" Type="http://schemas.openxmlformats.org/officeDocument/2006/relationships/hyperlink" Target="https://leetcode.com/problems/longest-palindromic-subsequence" TargetMode="External"/><Relationship Id="rId331" Type="http://schemas.openxmlformats.org/officeDocument/2006/relationships/hyperlink" Target="https://leetcode.com/problems/check-if-a-string-contains-all-binary-codes-of-size-k" TargetMode="External"/><Relationship Id="rId352" Type="http://schemas.openxmlformats.org/officeDocument/2006/relationships/hyperlink" Target="https://leetcode.com/problems/buildings-with-an-ocean-view" TargetMode="External"/><Relationship Id="rId373" Type="http://schemas.openxmlformats.org/officeDocument/2006/relationships/hyperlink" Target="https://leetcode.com/problems/minimum-average-difference" TargetMode="External"/><Relationship Id="rId1" Type="http://schemas.openxmlformats.org/officeDocument/2006/relationships/hyperlink" Target="https://leetcode.com/problems/add-two-numbers" TargetMode="External"/><Relationship Id="rId212" Type="http://schemas.openxmlformats.org/officeDocument/2006/relationships/hyperlink" Target="https://leetcode.com/problems/replace-words" TargetMode="External"/><Relationship Id="rId233" Type="http://schemas.openxmlformats.org/officeDocument/2006/relationships/hyperlink" Target="https://leetcode.com/problems/delete-and-earn" TargetMode="External"/><Relationship Id="rId254" Type="http://schemas.openxmlformats.org/officeDocument/2006/relationships/hyperlink" Target="https://leetcode.com/problems/keys-and-rooms" TargetMode="External"/><Relationship Id="rId28" Type="http://schemas.openxmlformats.org/officeDocument/2006/relationships/hyperlink" Target="https://leetcode.com/problems/permutations-ii" TargetMode="External"/><Relationship Id="rId49" Type="http://schemas.openxmlformats.org/officeDocument/2006/relationships/hyperlink" Target="https://leetcode.com/problems/remove-duplicates-from-sorted-list-ii" TargetMode="External"/><Relationship Id="rId114" Type="http://schemas.openxmlformats.org/officeDocument/2006/relationships/hyperlink" Target="https://leetcode.com/problems/lowest-common-ancestor-of-a-binary-search-tree" TargetMode="External"/><Relationship Id="rId275" Type="http://schemas.openxmlformats.org/officeDocument/2006/relationships/hyperlink" Target="https://leetcode.com/problems/check-completeness-of-a-binary-tree" TargetMode="External"/><Relationship Id="rId296" Type="http://schemas.openxmlformats.org/officeDocument/2006/relationships/hyperlink" Target="https://leetcode.com/problems/design-file-system" TargetMode="External"/><Relationship Id="rId300" Type="http://schemas.openxmlformats.org/officeDocument/2006/relationships/hyperlink" Target="https://leetcode.com/problems/meeting-scheduler" TargetMode="External"/><Relationship Id="rId60" Type="http://schemas.openxmlformats.org/officeDocument/2006/relationships/hyperlink" Target="https://leetcode.com/problems/construct-binary-tree-from-preorder-and-inorder-traversal" TargetMode="External"/><Relationship Id="rId81" Type="http://schemas.openxmlformats.org/officeDocument/2006/relationships/hyperlink" Target="https://leetcode.com/problems/sort-list" TargetMode="External"/><Relationship Id="rId135" Type="http://schemas.openxmlformats.org/officeDocument/2006/relationships/hyperlink" Target="https://leetcode.com/problems/minimum-height-trees" TargetMode="External"/><Relationship Id="rId156" Type="http://schemas.openxmlformats.org/officeDocument/2006/relationships/hyperlink" Target="https://leetcode.com/problems/elimination-game" TargetMode="External"/><Relationship Id="rId177" Type="http://schemas.openxmlformats.org/officeDocument/2006/relationships/hyperlink" Target="https://leetcode.com/problems/sort-characters-by-frequency" TargetMode="External"/><Relationship Id="rId198" Type="http://schemas.openxmlformats.org/officeDocument/2006/relationships/hyperlink" Target="https://leetcode.com/problems/number-of-provinces" TargetMode="External"/><Relationship Id="rId321" Type="http://schemas.openxmlformats.org/officeDocument/2006/relationships/hyperlink" Target="https://leetcode.com/problems/count-square-submatrices-with-all-ones" TargetMode="External"/><Relationship Id="rId342" Type="http://schemas.openxmlformats.org/officeDocument/2006/relationships/hyperlink" Target="https://leetcode.com/problems/even-odd-tree" TargetMode="External"/><Relationship Id="rId363" Type="http://schemas.openxmlformats.org/officeDocument/2006/relationships/hyperlink" Target="https://leetcode.com/problems/find-good-days-to-rob-the-bank" TargetMode="External"/><Relationship Id="rId384" Type="http://schemas.openxmlformats.org/officeDocument/2006/relationships/hyperlink" Target="https://leetcode.com/problems/amount-of-time-for-binary-tree-to-be-infected" TargetMode="External"/><Relationship Id="rId202" Type="http://schemas.openxmlformats.org/officeDocument/2006/relationships/hyperlink" Target="https://leetcode.com/problems/permutation-in-string" TargetMode="External"/><Relationship Id="rId223" Type="http://schemas.openxmlformats.org/officeDocument/2006/relationships/hyperlink" Target="https://leetcode.com/problems/knight-probability-in-chessboard" TargetMode="External"/><Relationship Id="rId244" Type="http://schemas.openxmlformats.org/officeDocument/2006/relationships/hyperlink" Target="https://leetcode.com/problems/is-graph-bipartite" TargetMode="External"/><Relationship Id="rId18" Type="http://schemas.openxmlformats.org/officeDocument/2006/relationships/hyperlink" Target="https://leetcode.com/problems/next-permutation" TargetMode="External"/><Relationship Id="rId39" Type="http://schemas.openxmlformats.org/officeDocument/2006/relationships/hyperlink" Target="https://leetcode.com/problems/unique-paths" TargetMode="External"/><Relationship Id="rId265" Type="http://schemas.openxmlformats.org/officeDocument/2006/relationships/hyperlink" Target="https://leetcode.com/problems/sum-of-subarray-minimums" TargetMode="External"/><Relationship Id="rId286" Type="http://schemas.openxmlformats.org/officeDocument/2006/relationships/hyperlink" Target="https://leetcode.com/problems/capacity-to-ship-packages-within-d-days" TargetMode="External"/><Relationship Id="rId50" Type="http://schemas.openxmlformats.org/officeDocument/2006/relationships/hyperlink" Target="https://leetcode.com/problems/subsets-ii" TargetMode="External"/><Relationship Id="rId104" Type="http://schemas.openxmlformats.org/officeDocument/2006/relationships/hyperlink" Target="https://leetcode.com/problems/implement-trie-prefix-tree" TargetMode="External"/><Relationship Id="rId125" Type="http://schemas.openxmlformats.org/officeDocument/2006/relationships/hyperlink" Target="https://leetcode.com/problems/find-the-celebrity" TargetMode="External"/><Relationship Id="rId146" Type="http://schemas.openxmlformats.org/officeDocument/2006/relationships/hyperlink" Target="https://leetcode.com/problems/longest-substring-with-at-most-k-distinct-characters" TargetMode="External"/><Relationship Id="rId167" Type="http://schemas.openxmlformats.org/officeDocument/2006/relationships/hyperlink" Target="https://leetcode.com/problems/longest-repeating-character-replacement" TargetMode="External"/><Relationship Id="rId188" Type="http://schemas.openxmlformats.org/officeDocument/2006/relationships/hyperlink" Target="https://leetcode.com/problems/coin-change-ii" TargetMode="External"/><Relationship Id="rId311" Type="http://schemas.openxmlformats.org/officeDocument/2006/relationships/hyperlink" Target="https://leetcode.com/problems/minimum-moves-to-reach-target-score" TargetMode="External"/><Relationship Id="rId332" Type="http://schemas.openxmlformats.org/officeDocument/2006/relationships/hyperlink" Target="https://leetcode.com/problems/maximum-area-of-a-piece-of-cake-after-horizontal-and-vertical-cuts" TargetMode="External"/><Relationship Id="rId353" Type="http://schemas.openxmlformats.org/officeDocument/2006/relationships/hyperlink" Target="https://leetcode.com/problems/single-threaded-cpu" TargetMode="External"/><Relationship Id="rId374" Type="http://schemas.openxmlformats.org/officeDocument/2006/relationships/hyperlink" Target="https://leetcode.com/problems/count-nodes-equal-to-average-of-subtree" TargetMode="External"/><Relationship Id="rId71" Type="http://schemas.openxmlformats.org/officeDocument/2006/relationships/hyperlink" Target="https://leetcode.com/problems/surrounded-regions" TargetMode="External"/><Relationship Id="rId92" Type="http://schemas.openxmlformats.org/officeDocument/2006/relationships/hyperlink" Target="https://leetcode.com/problems/second-highest-salary" TargetMode="External"/><Relationship Id="rId213" Type="http://schemas.openxmlformats.org/officeDocument/2006/relationships/hyperlink" Target="https://leetcode.com/problems/find-duplicate-subtrees" TargetMode="External"/><Relationship Id="rId234" Type="http://schemas.openxmlformats.org/officeDocument/2006/relationships/hyperlink" Target="https://leetcode.com/problems/network-delay-time" TargetMode="External"/><Relationship Id="rId2" Type="http://schemas.openxmlformats.org/officeDocument/2006/relationships/hyperlink" Target="https://leetcode.com/problems/longest-substring-without-repeating-characters" TargetMode="External"/><Relationship Id="rId29" Type="http://schemas.openxmlformats.org/officeDocument/2006/relationships/hyperlink" Target="https://leetcode.com/problems/rotate-image" TargetMode="External"/><Relationship Id="rId255" Type="http://schemas.openxmlformats.org/officeDocument/2006/relationships/hyperlink" Target="https://leetcode.com/problems/maximize-distance-to-closest-person" TargetMode="External"/><Relationship Id="rId276" Type="http://schemas.openxmlformats.org/officeDocument/2006/relationships/hyperlink" Target="https://leetcode.com/problems/maximum-width-ramp" TargetMode="External"/><Relationship Id="rId297" Type="http://schemas.openxmlformats.org/officeDocument/2006/relationships/hyperlink" Target="https://leetcode.com/problems/minimum-cost-to-connect-sticks" TargetMode="External"/><Relationship Id="rId40" Type="http://schemas.openxmlformats.org/officeDocument/2006/relationships/hyperlink" Target="https://leetcode.com/problems/unique-paths-ii" TargetMode="External"/><Relationship Id="rId115" Type="http://schemas.openxmlformats.org/officeDocument/2006/relationships/hyperlink" Target="https://leetcode.com/problems/lowest-common-ancestor-of-a-binary-tree" TargetMode="External"/><Relationship Id="rId136" Type="http://schemas.openxmlformats.org/officeDocument/2006/relationships/hyperlink" Target="https://leetcode.com/problems/binary-tree-vertical-order-traversal" TargetMode="External"/><Relationship Id="rId157" Type="http://schemas.openxmlformats.org/officeDocument/2006/relationships/hyperlink" Target="https://leetcode.com/problems/decode-string" TargetMode="External"/><Relationship Id="rId178" Type="http://schemas.openxmlformats.org/officeDocument/2006/relationships/hyperlink" Target="https://leetcode.com/problems/minimum-number-of-arrows-to-burst-balloons" TargetMode="External"/><Relationship Id="rId301" Type="http://schemas.openxmlformats.org/officeDocument/2006/relationships/hyperlink" Target="https://leetcode.com/problems/shortest-path-in-binary-matrix" TargetMode="External"/><Relationship Id="rId322" Type="http://schemas.openxmlformats.org/officeDocument/2006/relationships/hyperlink" Target="https://leetcode.com/problems/jump-game-iii" TargetMode="External"/><Relationship Id="rId343" Type="http://schemas.openxmlformats.org/officeDocument/2006/relationships/hyperlink" Target="https://leetcode.com/problems/furthest-building-you-can-reach" TargetMode="External"/><Relationship Id="rId364" Type="http://schemas.openxmlformats.org/officeDocument/2006/relationships/hyperlink" Target="https://leetcode.com/problems/step-by-step-directions-from-a-binary-tree-node-to-another" TargetMode="External"/><Relationship Id="rId61" Type="http://schemas.openxmlformats.org/officeDocument/2006/relationships/hyperlink" Target="https://leetcode.com/problems/construct-binary-tree-from-inorder-and-postorder-traversal" TargetMode="External"/><Relationship Id="rId82" Type="http://schemas.openxmlformats.org/officeDocument/2006/relationships/hyperlink" Target="https://leetcode.com/problems/evaluate-reverse-polish-notation" TargetMode="External"/><Relationship Id="rId199" Type="http://schemas.openxmlformats.org/officeDocument/2006/relationships/hyperlink" Target="https://leetcode.com/problems/shortest-path-to-get-food" TargetMode="External"/><Relationship Id="rId203" Type="http://schemas.openxmlformats.org/officeDocument/2006/relationships/hyperlink" Target="https://leetcode.com/problems/out-of-boundary-paths" TargetMode="External"/><Relationship Id="rId385" Type="http://schemas.openxmlformats.org/officeDocument/2006/relationships/hyperlink" Target="https://leetcode.com/problems/minimum-adjacent-swaps-to-make-a-valid-array" TargetMode="External"/><Relationship Id="rId19" Type="http://schemas.openxmlformats.org/officeDocument/2006/relationships/hyperlink" Target="https://leetcode.com/problems/search-in-rotated-sorted-array" TargetMode="External"/><Relationship Id="rId224" Type="http://schemas.openxmlformats.org/officeDocument/2006/relationships/hyperlink" Target="https://leetcode.com/problems/employee-importance" TargetMode="External"/><Relationship Id="rId245" Type="http://schemas.openxmlformats.org/officeDocument/2006/relationships/hyperlink" Target="https://leetcode.com/problems/cheapest-flights-within-k-stops" TargetMode="External"/><Relationship Id="rId266" Type="http://schemas.openxmlformats.org/officeDocument/2006/relationships/hyperlink" Target="https://leetcode.com/problems/snakes-and-ladders" TargetMode="External"/><Relationship Id="rId287" Type="http://schemas.openxmlformats.org/officeDocument/2006/relationships/hyperlink" Target="https://leetcode.com/problems/missing-element-in-sorted-array" TargetMode="External"/><Relationship Id="rId30" Type="http://schemas.openxmlformats.org/officeDocument/2006/relationships/hyperlink" Target="https://leetcode.com/problems/group-anagrams" TargetMode="External"/><Relationship Id="rId105" Type="http://schemas.openxmlformats.org/officeDocument/2006/relationships/hyperlink" Target="https://leetcode.com/problems/minimum-size-subarray-sum" TargetMode="External"/><Relationship Id="rId126" Type="http://schemas.openxmlformats.org/officeDocument/2006/relationships/hyperlink" Target="https://leetcode.com/problems/perfect-squares" TargetMode="External"/><Relationship Id="rId147" Type="http://schemas.openxmlformats.org/officeDocument/2006/relationships/hyperlink" Target="https://leetcode.com/problems/top-k-frequent-elements" TargetMode="External"/><Relationship Id="rId168" Type="http://schemas.openxmlformats.org/officeDocument/2006/relationships/hyperlink" Target="https://leetcode.com/problems/minimum-genetic-mutation" TargetMode="External"/><Relationship Id="rId312" Type="http://schemas.openxmlformats.org/officeDocument/2006/relationships/hyperlink" Target="https://leetcode.com/problems/longest-happy-string" TargetMode="External"/><Relationship Id="rId333" Type="http://schemas.openxmlformats.org/officeDocument/2006/relationships/hyperlink" Target="https://leetcode.com/problems/active-users" TargetMode="External"/><Relationship Id="rId354" Type="http://schemas.openxmlformats.org/officeDocument/2006/relationships/hyperlink" Target="https://leetcode.com/problems/maximum-subarray-min-product" TargetMode="External"/><Relationship Id="rId51" Type="http://schemas.openxmlformats.org/officeDocument/2006/relationships/hyperlink" Target="https://leetcode.com/problems/decode-ways" TargetMode="External"/><Relationship Id="rId72" Type="http://schemas.openxmlformats.org/officeDocument/2006/relationships/hyperlink" Target="https://leetcode.com/problems/palindrome-partitioning" TargetMode="External"/><Relationship Id="rId93" Type="http://schemas.openxmlformats.org/officeDocument/2006/relationships/hyperlink" Target="https://leetcode.com/problems/nth-highest-salary" TargetMode="External"/><Relationship Id="rId189" Type="http://schemas.openxmlformats.org/officeDocument/2006/relationships/hyperlink" Target="https://leetcode.com/problems/continuous-subarray-sum" TargetMode="External"/><Relationship Id="rId375" Type="http://schemas.openxmlformats.org/officeDocument/2006/relationships/hyperlink" Target="https://leetcode.com/problems/minimum-health-to-beat-game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find-k-closest-elements" TargetMode="External"/><Relationship Id="rId235" Type="http://schemas.openxmlformats.org/officeDocument/2006/relationships/hyperlink" Target="https://leetcode.com/problems/open-the-lock" TargetMode="External"/><Relationship Id="rId256" Type="http://schemas.openxmlformats.org/officeDocument/2006/relationships/hyperlink" Target="https://leetcode.com/problems/peak-index-in-a-mountain-array" TargetMode="External"/><Relationship Id="rId277" Type="http://schemas.openxmlformats.org/officeDocument/2006/relationships/hyperlink" Target="https://leetcode.com/problems/k-closest-points-to-origin" TargetMode="External"/><Relationship Id="rId298" Type="http://schemas.openxmlformats.org/officeDocument/2006/relationships/hyperlink" Target="https://leetcode.com/problems/longest-string-chain" TargetMode="External"/><Relationship Id="rId116" Type="http://schemas.openxmlformats.org/officeDocument/2006/relationships/hyperlink" Target="https://leetcode.com/problems/delete-node-in-a-linked-list" TargetMode="External"/><Relationship Id="rId137" Type="http://schemas.openxmlformats.org/officeDocument/2006/relationships/hyperlink" Target="https://leetcode.com/problems/remove-duplicate-letters" TargetMode="External"/><Relationship Id="rId158" Type="http://schemas.openxmlformats.org/officeDocument/2006/relationships/hyperlink" Target="https://leetcode.com/problems/longest-substring-with-at-least-k-repeating-characters" TargetMode="External"/><Relationship Id="rId302" Type="http://schemas.openxmlformats.org/officeDocument/2006/relationships/hyperlink" Target="https://leetcode.com/problems/car-pooling" TargetMode="External"/><Relationship Id="rId323" Type="http://schemas.openxmlformats.org/officeDocument/2006/relationships/hyperlink" Target="https://leetcode.com/problems/angle-between-hands-of-a-clock" TargetMode="External"/><Relationship Id="rId344" Type="http://schemas.openxmlformats.org/officeDocument/2006/relationships/hyperlink" Target="https://leetcode.com/problems/design-an-expression-tree-with-evaluate-function" TargetMode="External"/><Relationship Id="rId20" Type="http://schemas.openxmlformats.org/officeDocument/2006/relationships/hyperlink" Target="https://leetcode.com/problems/find-first-and-last-position-of-element-in-sorted-array" TargetMode="External"/><Relationship Id="rId41" Type="http://schemas.openxmlformats.org/officeDocument/2006/relationships/hyperlink" Target="https://leetcode.com/problems/minimum-path-sum" TargetMode="External"/><Relationship Id="rId62" Type="http://schemas.openxmlformats.org/officeDocument/2006/relationships/hyperlink" Target="https://leetcode.com/problems/binary-tree-level-order-traversal-ii" TargetMode="External"/><Relationship Id="rId83" Type="http://schemas.openxmlformats.org/officeDocument/2006/relationships/hyperlink" Target="https://leetcode.com/problems/reverse-words-in-a-string" TargetMode="External"/><Relationship Id="rId179" Type="http://schemas.openxmlformats.org/officeDocument/2006/relationships/hyperlink" Target="https://leetcode.com/problems/minimum-moves-to-equal-array-elements" TargetMode="External"/><Relationship Id="rId365" Type="http://schemas.openxmlformats.org/officeDocument/2006/relationships/hyperlink" Target="https://leetcode.com/problems/find-all-possible-recipes-from-given-supplies" TargetMode="External"/><Relationship Id="rId386" Type="http://schemas.openxmlformats.org/officeDocument/2006/relationships/hyperlink" Target="https://leetcode.com/problems/optimal-partition-of-string" TargetMode="External"/><Relationship Id="rId190" Type="http://schemas.openxmlformats.org/officeDocument/2006/relationships/hyperlink" Target="https://leetcode.com/problems/contiguous-array" TargetMode="External"/><Relationship Id="rId204" Type="http://schemas.openxmlformats.org/officeDocument/2006/relationships/hyperlink" Target="https://leetcode.com/problems/shortest-unsorted-continuous-subarray" TargetMode="External"/><Relationship Id="rId225" Type="http://schemas.openxmlformats.org/officeDocument/2006/relationships/hyperlink" Target="https://leetcode.com/problems/top-k-frequent-words" TargetMode="External"/><Relationship Id="rId246" Type="http://schemas.openxmlformats.org/officeDocument/2006/relationships/hyperlink" Target="https://leetcode.com/problems/domino-and-tromino-tiling" TargetMode="External"/><Relationship Id="rId267" Type="http://schemas.openxmlformats.org/officeDocument/2006/relationships/hyperlink" Target="https://leetcode.com/problems/sort-an-array" TargetMode="External"/><Relationship Id="rId288" Type="http://schemas.openxmlformats.org/officeDocument/2006/relationships/hyperlink" Target="https://leetcode.com/problems/binary-string-with-substrings-representing-1-to-n" TargetMode="External"/><Relationship Id="rId106" Type="http://schemas.openxmlformats.org/officeDocument/2006/relationships/hyperlink" Target="https://leetcode.com/problems/course-schedule-ii" TargetMode="External"/><Relationship Id="rId127" Type="http://schemas.openxmlformats.org/officeDocument/2006/relationships/hyperlink" Target="https://leetcode.com/problems/walls-and-gates" TargetMode="External"/><Relationship Id="rId313" Type="http://schemas.openxmlformats.org/officeDocument/2006/relationships/hyperlink" Target="https://leetcode.com/problems/smallest-string-with-swaps" TargetMode="External"/><Relationship Id="rId10" Type="http://schemas.openxmlformats.org/officeDocument/2006/relationships/hyperlink" Target="https://leetcode.com/problems/3sum-closest" TargetMode="External"/><Relationship Id="rId31" Type="http://schemas.openxmlformats.org/officeDocument/2006/relationships/hyperlink" Target="https://leetcode.com/problems/powx-n" TargetMode="External"/><Relationship Id="rId52" Type="http://schemas.openxmlformats.org/officeDocument/2006/relationships/hyperlink" Target="https://leetcode.com/problems/reverse-linked-list-ii" TargetMode="External"/><Relationship Id="rId73" Type="http://schemas.openxmlformats.org/officeDocument/2006/relationships/hyperlink" Target="https://leetcode.com/problems/clone-graph" TargetMode="External"/><Relationship Id="rId94" Type="http://schemas.openxmlformats.org/officeDocument/2006/relationships/hyperlink" Target="https://leetcode.com/problems/rank-scores" TargetMode="External"/><Relationship Id="rId148" Type="http://schemas.openxmlformats.org/officeDocument/2006/relationships/hyperlink" Target="https://leetcode.com/problems/design-tic-tac-toe" TargetMode="External"/><Relationship Id="rId169" Type="http://schemas.openxmlformats.org/officeDocument/2006/relationships/hyperlink" Target="https://leetcode.com/problems/non-overlapping-intervals" TargetMode="External"/><Relationship Id="rId334" Type="http://schemas.openxmlformats.org/officeDocument/2006/relationships/hyperlink" Target="https://leetcode.com/problems/design-browser-history" TargetMode="External"/><Relationship Id="rId355" Type="http://schemas.openxmlformats.org/officeDocument/2006/relationships/hyperlink" Target="https://leetcode.com/problems/minimum-number-of-swaps-to-make-the-binary-string-alternating" TargetMode="External"/><Relationship Id="rId376" Type="http://schemas.openxmlformats.org/officeDocument/2006/relationships/hyperlink" Target="https://leetcode.com/problems/minimum-rounds-to-complete-all-tasks" TargetMode="External"/><Relationship Id="rId4" Type="http://schemas.openxmlformats.org/officeDocument/2006/relationships/hyperlink" Target="https://leetcode.com/problems/zigzag-conversion" TargetMode="External"/><Relationship Id="rId180" Type="http://schemas.openxmlformats.org/officeDocument/2006/relationships/hyperlink" Target="https://leetcode.com/problems/132-pattern" TargetMode="External"/><Relationship Id="rId215" Type="http://schemas.openxmlformats.org/officeDocument/2006/relationships/hyperlink" Target="https://leetcode.com/problems/maximum-width-of-binary-tree" TargetMode="External"/><Relationship Id="rId236" Type="http://schemas.openxmlformats.org/officeDocument/2006/relationships/hyperlink" Target="https://leetcode.com/problems/n-ary-tree-level-order-traversal" TargetMode="External"/><Relationship Id="rId257" Type="http://schemas.openxmlformats.org/officeDocument/2006/relationships/hyperlink" Target="https://leetcode.com/problems/all-nodes-distance-k-in-binary-tree" TargetMode="External"/><Relationship Id="rId278" Type="http://schemas.openxmlformats.org/officeDocument/2006/relationships/hyperlink" Target="https://leetcode.com/problems/distribute-coins-in-binary-tree" TargetMode="External"/><Relationship Id="rId303" Type="http://schemas.openxmlformats.org/officeDocument/2006/relationships/hyperlink" Target="https://leetcode.com/problems/delete-nodes-and-return-forest" TargetMode="External"/><Relationship Id="rId42" Type="http://schemas.openxmlformats.org/officeDocument/2006/relationships/hyperlink" Target="https://leetcode.com/problems/simplify-path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maximum-product-of-word-lengths" TargetMode="External"/><Relationship Id="rId345" Type="http://schemas.openxmlformats.org/officeDocument/2006/relationships/hyperlink" Target="https://leetcode.com/problems/lowest-common-ancestor-of-a-binary-tree-iii" TargetMode="External"/><Relationship Id="rId387" Type="http://schemas.openxmlformats.org/officeDocument/2006/relationships/hyperlink" Target="https://leetcode.com/problems/divide-intervals-into-minimum-number-of-groups" TargetMode="External"/><Relationship Id="rId191" Type="http://schemas.openxmlformats.org/officeDocument/2006/relationships/hyperlink" Target="https://leetcode.com/problems/minesweeper" TargetMode="External"/><Relationship Id="rId205" Type="http://schemas.openxmlformats.org/officeDocument/2006/relationships/hyperlink" Target="https://leetcode.com/problems/delete-operation-for-two-strings" TargetMode="External"/><Relationship Id="rId247" Type="http://schemas.openxmlformats.org/officeDocument/2006/relationships/hyperlink" Target="https://leetcode.com/problems/number-of-matching-subsequences" TargetMode="External"/><Relationship Id="rId107" Type="http://schemas.openxmlformats.org/officeDocument/2006/relationships/hyperlink" Target="https://leetcode.com/problems/design-add-and-search-words-data-structure" TargetMode="External"/><Relationship Id="rId289" Type="http://schemas.openxmlformats.org/officeDocument/2006/relationships/hyperlink" Target="https://leetcode.com/problems/number-of-enclaves" TargetMode="External"/><Relationship Id="rId11" Type="http://schemas.openxmlformats.org/officeDocument/2006/relationships/hyperlink" Target="https://leetcode.com/problems/letter-combinations-of-a-phone-number" TargetMode="External"/><Relationship Id="rId53" Type="http://schemas.openxmlformats.org/officeDocument/2006/relationships/hyperlink" Target="https://leetcode.com/problems/restore-ip-addresses" TargetMode="External"/><Relationship Id="rId149" Type="http://schemas.openxmlformats.org/officeDocument/2006/relationships/hyperlink" Target="https://leetcode.com/problems/design-snake-game" TargetMode="External"/><Relationship Id="rId314" Type="http://schemas.openxmlformats.org/officeDocument/2006/relationships/hyperlink" Target="https://leetcode.com/problems/remove-all-adjacent-duplicates-in-string-ii" TargetMode="External"/><Relationship Id="rId356" Type="http://schemas.openxmlformats.org/officeDocument/2006/relationships/hyperlink" Target="https://leetcode.com/problems/process-tasks-using-servers" TargetMode="External"/><Relationship Id="rId95" Type="http://schemas.openxmlformats.org/officeDocument/2006/relationships/hyperlink" Target="https://leetcode.com/problems/largest-number" TargetMode="External"/><Relationship Id="rId160" Type="http://schemas.openxmlformats.org/officeDocument/2006/relationships/hyperlink" Target="https://leetcode.com/problems/evaluate-division" TargetMode="External"/><Relationship Id="rId216" Type="http://schemas.openxmlformats.org/officeDocument/2006/relationships/hyperlink" Target="https://leetcode.com/problems/non-decreasing-array" TargetMode="External"/><Relationship Id="rId258" Type="http://schemas.openxmlformats.org/officeDocument/2006/relationships/hyperlink" Target="https://leetcode.com/problems/koko-eating-bananas" TargetMode="External"/><Relationship Id="rId22" Type="http://schemas.openxmlformats.org/officeDocument/2006/relationships/hyperlink" Target="https://leetcode.com/problems/count-and-s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search-a-2d-matrix-ii" TargetMode="External"/><Relationship Id="rId325" Type="http://schemas.openxmlformats.org/officeDocument/2006/relationships/hyperlink" Target="https://leetcode.com/problems/maximum-product-of-splitted-binary-tree" TargetMode="External"/><Relationship Id="rId367" Type="http://schemas.openxmlformats.org/officeDocument/2006/relationships/hyperlink" Target="https://leetcode.com/problems/adding-spaces-to-a-string" TargetMode="External"/><Relationship Id="rId171" Type="http://schemas.openxmlformats.org/officeDocument/2006/relationships/hyperlink" Target="https://leetcode.com/problems/find-all-anagrams-in-a-string" TargetMode="External"/><Relationship Id="rId227" Type="http://schemas.openxmlformats.org/officeDocument/2006/relationships/hyperlink" Target="https://leetcode.com/problems/max-area-of-island" TargetMode="External"/><Relationship Id="rId269" Type="http://schemas.openxmlformats.org/officeDocument/2006/relationships/hyperlink" Target="https://leetcode.com/problems/flip-string-to-monotone-increasing" TargetMode="External"/><Relationship Id="rId33" Type="http://schemas.openxmlformats.org/officeDocument/2006/relationships/hyperlink" Target="https://leetcode.com/problems/spiral-matrix" TargetMode="External"/><Relationship Id="rId129" Type="http://schemas.openxmlformats.org/officeDocument/2006/relationships/hyperlink" Target="https://leetcode.com/problems/game-of-life" TargetMode="External"/><Relationship Id="rId280" Type="http://schemas.openxmlformats.org/officeDocument/2006/relationships/hyperlink" Target="https://leetcode.com/problems/minimum-cost-for-tickets" TargetMode="External"/><Relationship Id="rId336" Type="http://schemas.openxmlformats.org/officeDocument/2006/relationships/hyperlink" Target="https://leetcode.com/problems/minimum-number-of-days-to-make-m-bouquets" TargetMode="External"/><Relationship Id="rId75" Type="http://schemas.openxmlformats.org/officeDocument/2006/relationships/hyperlink" Target="https://leetcode.com/problems/single-number-ii" TargetMode="External"/><Relationship Id="rId140" Type="http://schemas.openxmlformats.org/officeDocument/2006/relationships/hyperlink" Target="https://leetcode.com/problems/number-of-connected-components-in-an-undirected-graph" TargetMode="External"/><Relationship Id="rId182" Type="http://schemas.openxmlformats.org/officeDocument/2006/relationships/hyperlink" Target="https://leetcode.com/problems/ones-and-zeroes" TargetMode="External"/><Relationship Id="rId378" Type="http://schemas.openxmlformats.org/officeDocument/2006/relationships/hyperlink" Target="https://leetcode.com/problems/steps-to-make-array-non-decreasing" TargetMode="External"/><Relationship Id="rId6" Type="http://schemas.openxmlformats.org/officeDocument/2006/relationships/hyperlink" Target="https://leetcode.com/problems/string-to-integer-atoi" TargetMode="External"/><Relationship Id="rId238" Type="http://schemas.openxmlformats.org/officeDocument/2006/relationships/hyperlink" Target="https://leetcode.com/problems/partition-labels" TargetMode="External"/><Relationship Id="rId291" Type="http://schemas.openxmlformats.org/officeDocument/2006/relationships/hyperlink" Target="https://leetcode.com/problems/minimum-swaps-to-group-all-1s-together" TargetMode="External"/><Relationship Id="rId305" Type="http://schemas.openxmlformats.org/officeDocument/2006/relationships/hyperlink" Target="https://leetcode.com/problems/minimum-cost-tree-from-leaf-values" TargetMode="External"/><Relationship Id="rId347" Type="http://schemas.openxmlformats.org/officeDocument/2006/relationships/hyperlink" Target="https://leetcode.com/problems/concatenation-of-consecutive-binary-numbers" TargetMode="External"/><Relationship Id="rId44" Type="http://schemas.openxmlformats.org/officeDocument/2006/relationships/hyperlink" Target="https://leetcode.com/problems/search-a-2d-matrix" TargetMode="External"/><Relationship Id="rId86" Type="http://schemas.openxmlformats.org/officeDocument/2006/relationships/hyperlink" Target="https://leetcode.com/problems/min-stack" TargetMode="External"/><Relationship Id="rId151" Type="http://schemas.openxmlformats.org/officeDocument/2006/relationships/hyperlink" Target="https://leetcode.com/problems/find-leaves-of-binary-tree" TargetMode="External"/><Relationship Id="rId193" Type="http://schemas.openxmlformats.org/officeDocument/2006/relationships/hyperlink" Target="https://leetcode.com/problems/convert-bst-to-greater-tree" TargetMode="External"/><Relationship Id="rId207" Type="http://schemas.openxmlformats.org/officeDocument/2006/relationships/hyperlink" Target="https://leetcode.com/problems/task-scheduler" TargetMode="External"/><Relationship Id="rId249" Type="http://schemas.openxmlformats.org/officeDocument/2006/relationships/hyperlink" Target="https://leetcode.com/problems/binary-tree-pruning" TargetMode="External"/><Relationship Id="rId13" Type="http://schemas.openxmlformats.org/officeDocument/2006/relationships/hyperlink" Target="https://leetcode.com/problems/remove-nth-node-from-end-of-list" TargetMode="External"/><Relationship Id="rId109" Type="http://schemas.openxmlformats.org/officeDocument/2006/relationships/hyperlink" Target="https://leetcode.com/problems/kth-largest-element-in-an-array" TargetMode="External"/><Relationship Id="rId260" Type="http://schemas.openxmlformats.org/officeDocument/2006/relationships/hyperlink" Target="https://leetcode.com/problems/possible-bipartition" TargetMode="External"/><Relationship Id="rId316" Type="http://schemas.openxmlformats.org/officeDocument/2006/relationships/hyperlink" Target="https://leetcode.com/problems/tuple-with-same-product" TargetMode="External"/><Relationship Id="rId55" Type="http://schemas.openxmlformats.org/officeDocument/2006/relationships/hyperlink" Target="https://leetcode.com/problems/interleaving-string" TargetMode="External"/><Relationship Id="rId97" Type="http://schemas.openxmlformats.org/officeDocument/2006/relationships/hyperlink" Target="https://leetcode.com/problems/department-highest-salary" TargetMode="External"/><Relationship Id="rId120" Type="http://schemas.openxmlformats.org/officeDocument/2006/relationships/hyperlink" Target="https://leetcode.com/problems/group-shifted-strings" TargetMode="External"/><Relationship Id="rId358" Type="http://schemas.openxmlformats.org/officeDocument/2006/relationships/hyperlink" Target="https://leetcode.com/problems/remove-stones-to-minimize-the-total" TargetMode="External"/><Relationship Id="rId162" Type="http://schemas.openxmlformats.org/officeDocument/2006/relationships/hyperlink" Target="https://leetcode.com/problems/queue-reconstruction-by-height" TargetMode="External"/><Relationship Id="rId218" Type="http://schemas.openxmlformats.org/officeDocument/2006/relationships/hyperlink" Target="https://leetcode.com/problems/maximum-swap" TargetMode="External"/><Relationship Id="rId271" Type="http://schemas.openxmlformats.org/officeDocument/2006/relationships/hyperlink" Target="https://leetcode.com/problems/shortest-bridge" TargetMode="External"/><Relationship Id="rId24" Type="http://schemas.openxmlformats.org/officeDocument/2006/relationships/hyperlink" Target="https://leetcode.com/problems/combination-sum-ii" TargetMode="External"/><Relationship Id="rId66" Type="http://schemas.openxmlformats.org/officeDocument/2006/relationships/hyperlink" Target="https://leetcode.com/problems/populating-next-right-pointers-in-each-node-ii" TargetMode="External"/><Relationship Id="rId131" Type="http://schemas.openxmlformats.org/officeDocument/2006/relationships/hyperlink" Target="https://leetcode.com/problems/longest-increasing-subsequence" TargetMode="External"/><Relationship Id="rId327" Type="http://schemas.openxmlformats.org/officeDocument/2006/relationships/hyperlink" Target="https://leetcode.com/problems/maximum-number-of-events-that-can-be-attended" TargetMode="External"/><Relationship Id="rId369" Type="http://schemas.openxmlformats.org/officeDocument/2006/relationships/hyperlink" Target="https://leetcode.com/problems/maximum-twin-sum-of-a-linked-list" TargetMode="External"/><Relationship Id="rId173" Type="http://schemas.openxmlformats.org/officeDocument/2006/relationships/hyperlink" Target="https://leetcode.com/problems/string-compression" TargetMode="External"/><Relationship Id="rId229" Type="http://schemas.openxmlformats.org/officeDocument/2006/relationships/hyperlink" Target="https://leetcode.com/problems/accounts-merge" TargetMode="External"/><Relationship Id="rId380" Type="http://schemas.openxmlformats.org/officeDocument/2006/relationships/hyperlink" Target="https://leetcode.com/problems/longest-binary-subsequence-less-than-or-equal-to-k" TargetMode="External"/><Relationship Id="rId240" Type="http://schemas.openxmlformats.org/officeDocument/2006/relationships/hyperlink" Target="https://leetcode.com/problems/swap-adjacent-in-lr-string" TargetMode="External"/><Relationship Id="rId35" Type="http://schemas.openxmlformats.org/officeDocument/2006/relationships/hyperlink" Target="https://leetcode.com/problems/merge-intervals" TargetMode="External"/><Relationship Id="rId77" Type="http://schemas.openxmlformats.org/officeDocument/2006/relationships/hyperlink" Target="https://leetcode.com/problems/word-break" TargetMode="External"/><Relationship Id="rId100" Type="http://schemas.openxmlformats.org/officeDocument/2006/relationships/hyperlink" Target="https://leetcode.com/problems/binary-tree-right-side-view" TargetMode="External"/><Relationship Id="rId282" Type="http://schemas.openxmlformats.org/officeDocument/2006/relationships/hyperlink" Target="https://leetcode.com/problems/rotting-oranges" TargetMode="External"/><Relationship Id="rId338" Type="http://schemas.openxmlformats.org/officeDocument/2006/relationships/hyperlink" Target="https://leetcode.com/problems/check-if-array-pairs-are-divisible-by-k" TargetMode="External"/><Relationship Id="rId8" Type="http://schemas.openxmlformats.org/officeDocument/2006/relationships/hyperlink" Target="https://leetcode.com/problems/integer-to-roman" TargetMode="External"/><Relationship Id="rId142" Type="http://schemas.openxmlformats.org/officeDocument/2006/relationships/hyperlink" Target="https://leetcode.com/problems/odd-even-linked-list" TargetMode="External"/><Relationship Id="rId184" Type="http://schemas.openxmlformats.org/officeDocument/2006/relationships/hyperlink" Target="https://leetcode.com/problems/the-maze" TargetMode="External"/><Relationship Id="rId251" Type="http://schemas.openxmlformats.org/officeDocument/2006/relationships/hyperlink" Target="https://leetcode.com/problems/most-profit-assigning-work" TargetMode="External"/><Relationship Id="rId46" Type="http://schemas.openxmlformats.org/officeDocument/2006/relationships/hyperlink" Target="https://leetcode.com/problems/subsets" TargetMode="External"/><Relationship Id="rId293" Type="http://schemas.openxmlformats.org/officeDocument/2006/relationships/hyperlink" Target="https://leetcode.com/problems/minimum-score-triangulation-of-polygon" TargetMode="External"/><Relationship Id="rId307" Type="http://schemas.openxmlformats.org/officeDocument/2006/relationships/hyperlink" Target="https://leetcode.com/problems/longest-common-subsequence" TargetMode="External"/><Relationship Id="rId349" Type="http://schemas.openxmlformats.org/officeDocument/2006/relationships/hyperlink" Target="https://leetcode.com/problems/jump-game-vi" TargetMode="External"/><Relationship Id="rId88" Type="http://schemas.openxmlformats.org/officeDocument/2006/relationships/hyperlink" Target="https://leetcode.com/problems/find-peak-element" TargetMode="External"/><Relationship Id="rId111" Type="http://schemas.openxmlformats.org/officeDocument/2006/relationships/hyperlink" Target="https://leetcode.com/problems/count-complete-tree-nodes" TargetMode="External"/><Relationship Id="rId153" Type="http://schemas.openxmlformats.org/officeDocument/2006/relationships/hyperlink" Target="https://leetcode.com/problems/combination-sum-iv" TargetMode="External"/><Relationship Id="rId195" Type="http://schemas.openxmlformats.org/officeDocument/2006/relationships/hyperlink" Target="https://leetcode.com/problems/single-element-in-a-sorted-array" TargetMode="External"/><Relationship Id="rId209" Type="http://schemas.openxmlformats.org/officeDocument/2006/relationships/hyperlink" Target="https://leetcode.com/problems/exclusive-time-of-functions" TargetMode="External"/><Relationship Id="rId360" Type="http://schemas.openxmlformats.org/officeDocument/2006/relationships/hyperlink" Target="https://leetcode.com/problems/plates-between-candles" TargetMode="External"/><Relationship Id="rId220" Type="http://schemas.openxmlformats.org/officeDocument/2006/relationships/hyperlink" Target="https://leetcode.com/problems/valid-parenthesis-string" TargetMode="External"/><Relationship Id="rId15" Type="http://schemas.openxmlformats.org/officeDocument/2006/relationships/hyperlink" Target="https://leetcode.com/problems/swap-nodes-in-pairs" TargetMode="External"/><Relationship Id="rId57" Type="http://schemas.openxmlformats.org/officeDocument/2006/relationships/hyperlink" Target="https://leetcode.com/problems/recover-binary-search-tree" TargetMode="External"/><Relationship Id="rId262" Type="http://schemas.openxmlformats.org/officeDocument/2006/relationships/hyperlink" Target="https://leetcode.com/problems/all-possible-full-binary-trees" TargetMode="External"/><Relationship Id="rId318" Type="http://schemas.openxmlformats.org/officeDocument/2006/relationships/hyperlink" Target="https://leetcode.com/problems/minimum-remove-to-make-valid-parentheses" TargetMode="External"/><Relationship Id="rId99" Type="http://schemas.openxmlformats.org/officeDocument/2006/relationships/hyperlink" Target="https://leetcode.com/problems/house-robber" TargetMode="External"/><Relationship Id="rId122" Type="http://schemas.openxmlformats.org/officeDocument/2006/relationships/hyperlink" Target="https://leetcode.com/problems/paint-house" TargetMode="External"/><Relationship Id="rId164" Type="http://schemas.openxmlformats.org/officeDocument/2006/relationships/hyperlink" Target="https://leetcode.com/problems/pacific-atlantic-water-flow" TargetMode="External"/><Relationship Id="rId371" Type="http://schemas.openxmlformats.org/officeDocument/2006/relationships/hyperlink" Target="https://leetcode.com/problems/find-triangular-sum-of-an-array" TargetMode="External"/><Relationship Id="rId26" Type="http://schemas.openxmlformats.org/officeDocument/2006/relationships/hyperlink" Target="https://leetcode.com/problems/jump-game-ii" TargetMode="External"/><Relationship Id="rId231" Type="http://schemas.openxmlformats.org/officeDocument/2006/relationships/hyperlink" Target="https://leetcode.com/problems/asteroid-collision" TargetMode="External"/><Relationship Id="rId273" Type="http://schemas.openxmlformats.org/officeDocument/2006/relationships/hyperlink" Target="https://leetcode.com/problems/most-stones-removed-with-same-row-or-column" TargetMode="External"/><Relationship Id="rId329" Type="http://schemas.openxmlformats.org/officeDocument/2006/relationships/hyperlink" Target="https://leetcode.com/problems/maximum-points-you-can-obtain-from-card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est-time-to-buy-and-sell-stock-iv" TargetMode="External"/><Relationship Id="rId117" Type="http://schemas.openxmlformats.org/officeDocument/2006/relationships/hyperlink" Target="https://leetcode.com/problems/find-the-k-sum-of-an-array" TargetMode="External"/><Relationship Id="rId21" Type="http://schemas.openxmlformats.org/officeDocument/2006/relationships/hyperlink" Target="https://leetcode.com/problems/palindrome-partitioning-ii" TargetMode="External"/><Relationship Id="rId42" Type="http://schemas.openxmlformats.org/officeDocument/2006/relationships/hyperlink" Target="https://leetcode.com/problems/reconstruct-itinerary" TargetMode="External"/><Relationship Id="rId47" Type="http://schemas.openxmlformats.org/officeDocument/2006/relationships/hyperlink" Target="https://leetcode.com/problems/frog-jump" TargetMode="External"/><Relationship Id="rId63" Type="http://schemas.openxmlformats.org/officeDocument/2006/relationships/hyperlink" Target="https://leetcode.com/problems/design-search-autocomplete-system" TargetMode="External"/><Relationship Id="rId68" Type="http://schemas.openxmlformats.org/officeDocument/2006/relationships/hyperlink" Target="https://leetcode.com/problems/basic-calculator-iii" TargetMode="External"/><Relationship Id="rId84" Type="http://schemas.openxmlformats.org/officeDocument/2006/relationships/hyperlink" Target="https://leetcode.com/problems/subarrays-with-k-different-integers" TargetMode="External"/><Relationship Id="rId89" Type="http://schemas.openxmlformats.org/officeDocument/2006/relationships/hyperlink" Target="https://leetcode.com/problems/number-of-visible-people-in-a-queue" TargetMode="External"/><Relationship Id="rId112" Type="http://schemas.openxmlformats.org/officeDocument/2006/relationships/hyperlink" Target="https://leetcode.com/problems/sum-of-total-strength-of-wizards" TargetMode="External"/><Relationship Id="rId16" Type="http://schemas.openxmlformats.org/officeDocument/2006/relationships/hyperlink" Target="https://leetcode.com/problems/maximal-rectangle" TargetMode="External"/><Relationship Id="rId107" Type="http://schemas.openxmlformats.org/officeDocument/2006/relationships/hyperlink" Target="https://leetcode.com/problems/sequentially-ordinal-rank-tracker" TargetMode="External"/><Relationship Id="rId11" Type="http://schemas.openxmlformats.org/officeDocument/2006/relationships/hyperlink" Target="https://leetcode.com/problems/permutation-sequence" TargetMode="External"/><Relationship Id="rId32" Type="http://schemas.openxmlformats.org/officeDocument/2006/relationships/hyperlink" Target="https://leetcode.com/problems/trips-and-users" TargetMode="External"/><Relationship Id="rId37" Type="http://schemas.openxmlformats.org/officeDocument/2006/relationships/hyperlink" Target="https://leetcode.com/problems/serialize-and-deserialize-binary-tree" TargetMode="External"/><Relationship Id="rId53" Type="http://schemas.openxmlformats.org/officeDocument/2006/relationships/hyperlink" Target="https://leetcode.com/problems/lfu-cache" TargetMode="External"/><Relationship Id="rId58" Type="http://schemas.openxmlformats.org/officeDocument/2006/relationships/hyperlink" Target="https://leetcode.com/problems/ipo" TargetMode="External"/><Relationship Id="rId74" Type="http://schemas.openxmlformats.org/officeDocument/2006/relationships/hyperlink" Target="https://leetcode.com/problems/count-unique-characters-of-all-substrings-of-a-given-string" TargetMode="External"/><Relationship Id="rId79" Type="http://schemas.openxmlformats.org/officeDocument/2006/relationships/hyperlink" Target="https://leetcode.com/problems/minimum-number-of-refueling-stops" TargetMode="External"/><Relationship Id="rId102" Type="http://schemas.openxmlformats.org/officeDocument/2006/relationships/hyperlink" Target="https://leetcode.com/problems/stone-game-v" TargetMode="External"/><Relationship Id="rId5" Type="http://schemas.openxmlformats.org/officeDocument/2006/relationships/hyperlink" Target="https://leetcode.com/problems/substring-with-concatenation-of-all-words" TargetMode="External"/><Relationship Id="rId90" Type="http://schemas.openxmlformats.org/officeDocument/2006/relationships/hyperlink" Target="https://leetcode.com/problems/sort-items-by-groups-respecting-dependencies" TargetMode="External"/><Relationship Id="rId95" Type="http://schemas.openxmlformats.org/officeDocument/2006/relationships/hyperlink" Target="https://leetcode.com/problems/jump-game-iv" TargetMode="External"/><Relationship Id="rId22" Type="http://schemas.openxmlformats.org/officeDocument/2006/relationships/hyperlink" Target="https://leetcode.com/problems/candy" TargetMode="External"/><Relationship Id="rId27" Type="http://schemas.openxmlformats.org/officeDocument/2006/relationships/hyperlink" Target="https://leetcode.com/problems/word-search-ii" TargetMode="External"/><Relationship Id="rId43" Type="http://schemas.openxmlformats.org/officeDocument/2006/relationships/hyperlink" Target="https://leetcode.com/problems/palindrome-pairs" TargetMode="External"/><Relationship Id="rId48" Type="http://schemas.openxmlformats.org/officeDocument/2006/relationships/hyperlink" Target="https://leetcode.com/problems/trapping-rain-water-ii" TargetMode="External"/><Relationship Id="rId64" Type="http://schemas.openxmlformats.org/officeDocument/2006/relationships/hyperlink" Target="https://leetcode.com/problems/range-module" TargetMode="External"/><Relationship Id="rId69" Type="http://schemas.openxmlformats.org/officeDocument/2006/relationships/hyperlink" Target="https://leetcode.com/problems/sliding-puzzle" TargetMode="External"/><Relationship Id="rId113" Type="http://schemas.openxmlformats.org/officeDocument/2006/relationships/hyperlink" Target="https://leetcode.com/problems/count-subarrays-with-score-less-than-k" TargetMode="External"/><Relationship Id="rId118" Type="http://schemas.openxmlformats.org/officeDocument/2006/relationships/hyperlink" Target="https://leetcode.com/problems/maximum-number-of-books-you-can-take" TargetMode="External"/><Relationship Id="rId80" Type="http://schemas.openxmlformats.org/officeDocument/2006/relationships/hyperlink" Target="https://leetcode.com/problems/maximum-frequency-stack" TargetMode="External"/><Relationship Id="rId85" Type="http://schemas.openxmlformats.org/officeDocument/2006/relationships/hyperlink" Target="https://leetcode.com/problems/stream-of-characters" TargetMode="External"/><Relationship Id="rId12" Type="http://schemas.openxmlformats.org/officeDocument/2006/relationships/hyperlink" Target="https://leetcode.com/problems/valid-number" TargetMode="External"/><Relationship Id="rId17" Type="http://schemas.openxmlformats.org/officeDocument/2006/relationships/hyperlink" Target="https://leetcode.com/problems/best-time-to-buy-and-sell-stock-iii" TargetMode="External"/><Relationship Id="rId33" Type="http://schemas.openxmlformats.org/officeDocument/2006/relationships/hyperlink" Target="https://leetcode.com/problems/paint-house-ii" TargetMode="External"/><Relationship Id="rId38" Type="http://schemas.openxmlformats.org/officeDocument/2006/relationships/hyperlink" Target="https://leetcode.com/problems/remove-invalid-parentheses" TargetMode="External"/><Relationship Id="rId59" Type="http://schemas.openxmlformats.org/officeDocument/2006/relationships/hyperlink" Target="https://leetcode.com/problems/word-abbreviation" TargetMode="External"/><Relationship Id="rId103" Type="http://schemas.openxmlformats.org/officeDocument/2006/relationships/hyperlink" Target="https://leetcode.com/problems/build-binary-expression-tree-from-infix-expression" TargetMode="External"/><Relationship Id="rId108" Type="http://schemas.openxmlformats.org/officeDocument/2006/relationships/hyperlink" Target="https://leetcode.com/problems/minimum-difference-in-sums-after-removal-of-elements" TargetMode="External"/><Relationship Id="rId54" Type="http://schemas.openxmlformats.org/officeDocument/2006/relationships/hyperlink" Target="https://leetcode.com/problems/optimal-account-balancing" TargetMode="External"/><Relationship Id="rId70" Type="http://schemas.openxmlformats.org/officeDocument/2006/relationships/hyperlink" Target="https://leetcode.com/problems/swim-in-rising-water" TargetMode="External"/><Relationship Id="rId75" Type="http://schemas.openxmlformats.org/officeDocument/2006/relationships/hyperlink" Target="https://leetcode.com/problems/robot-room-cleaner" TargetMode="External"/><Relationship Id="rId91" Type="http://schemas.openxmlformats.org/officeDocument/2006/relationships/hyperlink" Target="https://leetcode.com/problems/count-vowels-permutation" TargetMode="External"/><Relationship Id="rId96" Type="http://schemas.openxmlformats.org/officeDocument/2006/relationships/hyperlink" Target="https://leetcode.com/problems/minimum-number-of-taps-to-open-to-water-a-garden" TargetMode="External"/><Relationship Id="rId1" Type="http://schemas.openxmlformats.org/officeDocument/2006/relationships/hyperlink" Target="https://leetcode.com/problems/median-of-two-sorted-arrays" TargetMode="External"/><Relationship Id="rId6" Type="http://schemas.openxmlformats.org/officeDocument/2006/relationships/hyperlink" Target="https://leetcode.com/problems/longest-valid-parentheses" TargetMode="External"/><Relationship Id="rId23" Type="http://schemas.openxmlformats.org/officeDocument/2006/relationships/hyperlink" Target="https://leetcode.com/problems/word-break-ii" TargetMode="External"/><Relationship Id="rId28" Type="http://schemas.openxmlformats.org/officeDocument/2006/relationships/hyperlink" Target="https://leetcode.com/problems/the-skyline-problem" TargetMode="External"/><Relationship Id="rId49" Type="http://schemas.openxmlformats.org/officeDocument/2006/relationships/hyperlink" Target="https://leetcode.com/problems/split-array-largest-sum" TargetMode="External"/><Relationship Id="rId114" Type="http://schemas.openxmlformats.org/officeDocument/2006/relationships/hyperlink" Target="https://leetcode.com/problems/shortest-impossible-sequence-of-rolls" TargetMode="External"/><Relationship Id="rId10" Type="http://schemas.openxmlformats.org/officeDocument/2006/relationships/hyperlink" Target="https://leetcode.com/problems/n-queens" TargetMode="External"/><Relationship Id="rId31" Type="http://schemas.openxmlformats.org/officeDocument/2006/relationships/hyperlink" Target="https://leetcode.com/problems/sliding-window-maximum" TargetMode="External"/><Relationship Id="rId44" Type="http://schemas.openxmlformats.org/officeDocument/2006/relationships/hyperlink" Target="https://leetcode.com/problems/russian-doll-envelopes" TargetMode="External"/><Relationship Id="rId52" Type="http://schemas.openxmlformats.org/officeDocument/2006/relationships/hyperlink" Target="https://leetcode.com/problems/poor-pigs" TargetMode="External"/><Relationship Id="rId60" Type="http://schemas.openxmlformats.org/officeDocument/2006/relationships/hyperlink" Target="https://leetcode.com/problems/design-in-memory-file-system" TargetMode="External"/><Relationship Id="rId65" Type="http://schemas.openxmlformats.org/officeDocument/2006/relationships/hyperlink" Target="https://leetcode.com/problems/max-stack" TargetMode="External"/><Relationship Id="rId73" Type="http://schemas.openxmlformats.org/officeDocument/2006/relationships/hyperlink" Target="https://leetcode.com/problems/making-a-large-island" TargetMode="External"/><Relationship Id="rId78" Type="http://schemas.openxmlformats.org/officeDocument/2006/relationships/hyperlink" Target="https://leetcode.com/problems/shortest-subarray-with-sum-at-least-k" TargetMode="External"/><Relationship Id="rId81" Type="http://schemas.openxmlformats.org/officeDocument/2006/relationships/hyperlink" Target="https://leetcode.com/problems/valid-permutations-for-di-sequence" TargetMode="External"/><Relationship Id="rId86" Type="http://schemas.openxmlformats.org/officeDocument/2006/relationships/hyperlink" Target="https://leetcode.com/problems/longest-duplicate-substring" TargetMode="External"/><Relationship Id="rId94" Type="http://schemas.openxmlformats.org/officeDocument/2006/relationships/hyperlink" Target="https://leetcode.com/problems/shortest-path-in-a-grid-with-obstacles-elimination" TargetMode="External"/><Relationship Id="rId99" Type="http://schemas.openxmlformats.org/officeDocument/2006/relationships/hyperlink" Target="https://leetcode.com/problems/construct-target-array-with-multiple-sums" TargetMode="External"/><Relationship Id="rId101" Type="http://schemas.openxmlformats.org/officeDocument/2006/relationships/hyperlink" Target="https://leetcode.com/problems/minimum-cost-to-cut-a-stick" TargetMode="External"/><Relationship Id="rId4" Type="http://schemas.openxmlformats.org/officeDocument/2006/relationships/hyperlink" Target="https://leetcode.com/problems/reverse-nodes-in-k-group" TargetMode="External"/><Relationship Id="rId9" Type="http://schemas.openxmlformats.org/officeDocument/2006/relationships/hyperlink" Target="https://leetcode.com/problems/trapping-rain-water" TargetMode="External"/><Relationship Id="rId13" Type="http://schemas.openxmlformats.org/officeDocument/2006/relationships/hyperlink" Target="https://leetcode.com/problems/edit-distance" TargetMode="External"/><Relationship Id="rId18" Type="http://schemas.openxmlformats.org/officeDocument/2006/relationships/hyperlink" Target="https://leetcode.com/problems/binary-tree-maximum-path-sum" TargetMode="External"/><Relationship Id="rId39" Type="http://schemas.openxmlformats.org/officeDocument/2006/relationships/hyperlink" Target="https://leetcode.com/problems/number-of-islands-ii" TargetMode="External"/><Relationship Id="rId109" Type="http://schemas.openxmlformats.org/officeDocument/2006/relationships/hyperlink" Target="https://leetcode.com/problems/maximum-total-beauty-of-the-gardens" TargetMode="External"/><Relationship Id="rId34" Type="http://schemas.openxmlformats.org/officeDocument/2006/relationships/hyperlink" Target="https://leetcode.com/problems/alien-dictionary" TargetMode="External"/><Relationship Id="rId50" Type="http://schemas.openxmlformats.org/officeDocument/2006/relationships/hyperlink" Target="https://leetcode.com/problems/strong-password-checker" TargetMode="External"/><Relationship Id="rId55" Type="http://schemas.openxmlformats.org/officeDocument/2006/relationships/hyperlink" Target="https://leetcode.com/problems/concatenated-words" TargetMode="External"/><Relationship Id="rId76" Type="http://schemas.openxmlformats.org/officeDocument/2006/relationships/hyperlink" Target="https://leetcode.com/problems/shortest-path-visiting-all-nodes" TargetMode="External"/><Relationship Id="rId97" Type="http://schemas.openxmlformats.org/officeDocument/2006/relationships/hyperlink" Target="https://leetcode.com/problems/minimum-difficulty-of-a-job-schedule" TargetMode="External"/><Relationship Id="rId104" Type="http://schemas.openxmlformats.org/officeDocument/2006/relationships/hyperlink" Target="https://leetcode.com/problems/find-minimum-time-to-finish-all-jobs" TargetMode="External"/><Relationship Id="rId7" Type="http://schemas.openxmlformats.org/officeDocument/2006/relationships/hyperlink" Target="https://leetcode.com/problems/sudoku-solver" TargetMode="External"/><Relationship Id="rId71" Type="http://schemas.openxmlformats.org/officeDocument/2006/relationships/hyperlink" Target="https://leetcode.com/problems/bus-routes" TargetMode="External"/><Relationship Id="rId92" Type="http://schemas.openxmlformats.org/officeDocument/2006/relationships/hyperlink" Target="https://leetcode.com/problems/maximum-profit-in-job-scheduling" TargetMode="External"/><Relationship Id="rId2" Type="http://schemas.openxmlformats.org/officeDocument/2006/relationships/hyperlink" Target="https://leetcode.com/problems/regular-expression-matching" TargetMode="External"/><Relationship Id="rId29" Type="http://schemas.openxmlformats.org/officeDocument/2006/relationships/hyperlink" Target="https://leetcode.com/problems/contains-duplicate-iii" TargetMode="External"/><Relationship Id="rId24" Type="http://schemas.openxmlformats.org/officeDocument/2006/relationships/hyperlink" Target="https://leetcode.com/problems/max-points-on-a-line" TargetMode="External"/><Relationship Id="rId40" Type="http://schemas.openxmlformats.org/officeDocument/2006/relationships/hyperlink" Target="https://leetcode.com/problems/count-of-smaller-numbers-after-self" TargetMode="External"/><Relationship Id="rId45" Type="http://schemas.openxmlformats.org/officeDocument/2006/relationships/hyperlink" Target="https://leetcode.com/problems/max-sum-of-rectangle-no-larger-than-k" TargetMode="External"/><Relationship Id="rId66" Type="http://schemas.openxmlformats.org/officeDocument/2006/relationships/hyperlink" Target="https://leetcode.com/problems/find-k-th-smallest-pair-distance" TargetMode="External"/><Relationship Id="rId87" Type="http://schemas.openxmlformats.org/officeDocument/2006/relationships/hyperlink" Target="https://leetcode.com/problems/valid-palindrome-iii" TargetMode="External"/><Relationship Id="rId110" Type="http://schemas.openxmlformats.org/officeDocument/2006/relationships/hyperlink" Target="https://leetcode.com/problems/total-appeal-of-a-string" TargetMode="External"/><Relationship Id="rId115" Type="http://schemas.openxmlformats.org/officeDocument/2006/relationships/hyperlink" Target="https://leetcode.com/problems/maximum-number-of-robots-within-budget" TargetMode="External"/><Relationship Id="rId61" Type="http://schemas.openxmlformats.org/officeDocument/2006/relationships/hyperlink" Target="https://leetcode.com/problems/students-report-by-geography" TargetMode="External"/><Relationship Id="rId82" Type="http://schemas.openxmlformats.org/officeDocument/2006/relationships/hyperlink" Target="https://leetcode.com/problems/binary-tree-cameras" TargetMode="External"/><Relationship Id="rId19" Type="http://schemas.openxmlformats.org/officeDocument/2006/relationships/hyperlink" Target="https://leetcode.com/problems/word-ladder-ii" TargetMode="External"/><Relationship Id="rId14" Type="http://schemas.openxmlformats.org/officeDocument/2006/relationships/hyperlink" Target="https://leetcode.com/problems/minimum-window-substring" TargetMode="External"/><Relationship Id="rId30" Type="http://schemas.openxmlformats.org/officeDocument/2006/relationships/hyperlink" Target="https://leetcode.com/problems/basic-calculator" TargetMode="External"/><Relationship Id="rId35" Type="http://schemas.openxmlformats.org/officeDocument/2006/relationships/hyperlink" Target="https://leetcode.com/problems/integer-to-english-words" TargetMode="External"/><Relationship Id="rId56" Type="http://schemas.openxmlformats.org/officeDocument/2006/relationships/hyperlink" Target="https://leetcode.com/problems/sliding-window-median" TargetMode="External"/><Relationship Id="rId77" Type="http://schemas.openxmlformats.org/officeDocument/2006/relationships/hyperlink" Target="https://leetcode.com/problems/minimum-cost-to-hire-k-workers" TargetMode="External"/><Relationship Id="rId100" Type="http://schemas.openxmlformats.org/officeDocument/2006/relationships/hyperlink" Target="https://leetcode.com/problems/maximum-performance-of-a-team" TargetMode="External"/><Relationship Id="rId105" Type="http://schemas.openxmlformats.org/officeDocument/2006/relationships/hyperlink" Target="https://leetcode.com/problems/first-and-last-call-on-the-same-day" TargetMode="External"/><Relationship Id="rId8" Type="http://schemas.openxmlformats.org/officeDocument/2006/relationships/hyperlink" Target="https://leetcode.com/problems/first-missing-positive" TargetMode="External"/><Relationship Id="rId51" Type="http://schemas.openxmlformats.org/officeDocument/2006/relationships/hyperlink" Target="https://leetcode.com/problems/all-oone-data-structure" TargetMode="External"/><Relationship Id="rId72" Type="http://schemas.openxmlformats.org/officeDocument/2006/relationships/hyperlink" Target="https://leetcode.com/problems/race-car" TargetMode="External"/><Relationship Id="rId93" Type="http://schemas.openxmlformats.org/officeDocument/2006/relationships/hyperlink" Target="https://leetcode.com/problems/minimum-number-of-moves-to-make-palindrome" TargetMode="External"/><Relationship Id="rId98" Type="http://schemas.openxmlformats.org/officeDocument/2006/relationships/hyperlink" Target="https://leetcode.com/problems/jump-game-v" TargetMode="External"/><Relationship Id="rId3" Type="http://schemas.openxmlformats.org/officeDocument/2006/relationships/hyperlink" Target="https://leetcode.com/problems/merge-k-sorted-lists" TargetMode="External"/><Relationship Id="rId25" Type="http://schemas.openxmlformats.org/officeDocument/2006/relationships/hyperlink" Target="https://leetcode.com/problems/department-top-three-salaries" TargetMode="External"/><Relationship Id="rId46" Type="http://schemas.openxmlformats.org/officeDocument/2006/relationships/hyperlink" Target="https://leetcode.com/problems/insert-delete-getrandom-o1-duplicates-allowed" TargetMode="External"/><Relationship Id="rId67" Type="http://schemas.openxmlformats.org/officeDocument/2006/relationships/hyperlink" Target="https://leetcode.com/problems/serialize-and-deserialize-n-ary-tree" TargetMode="External"/><Relationship Id="rId116" Type="http://schemas.openxmlformats.org/officeDocument/2006/relationships/hyperlink" Target="https://leetcode.com/problems/count-special-integers" TargetMode="External"/><Relationship Id="rId20" Type="http://schemas.openxmlformats.org/officeDocument/2006/relationships/hyperlink" Target="https://leetcode.com/problems/word-ladder" TargetMode="External"/><Relationship Id="rId41" Type="http://schemas.openxmlformats.org/officeDocument/2006/relationships/hyperlink" Target="https://leetcode.com/problems/longest-increasing-path-in-a-matrix" TargetMode="External"/><Relationship Id="rId62" Type="http://schemas.openxmlformats.org/officeDocument/2006/relationships/hyperlink" Target="https://leetcode.com/problems/smallest-range-covering-elements-from-k-lists" TargetMode="External"/><Relationship Id="rId83" Type="http://schemas.openxmlformats.org/officeDocument/2006/relationships/hyperlink" Target="https://leetcode.com/problems/vertical-order-traversal-of-a-binary-tree" TargetMode="External"/><Relationship Id="rId88" Type="http://schemas.openxmlformats.org/officeDocument/2006/relationships/hyperlink" Target="https://leetcode.com/problems/critical-connections-in-a-network" TargetMode="External"/><Relationship Id="rId111" Type="http://schemas.openxmlformats.org/officeDocument/2006/relationships/hyperlink" Target="https://leetcode.com/problems/substring-with-largest-variance" TargetMode="External"/><Relationship Id="rId15" Type="http://schemas.openxmlformats.org/officeDocument/2006/relationships/hyperlink" Target="https://leetcode.com/problems/largest-rectangle-in-histogram" TargetMode="External"/><Relationship Id="rId36" Type="http://schemas.openxmlformats.org/officeDocument/2006/relationships/hyperlink" Target="https://leetcode.com/problems/find-median-from-data-stream" TargetMode="External"/><Relationship Id="rId57" Type="http://schemas.openxmlformats.org/officeDocument/2006/relationships/hyperlink" Target="https://leetcode.com/problems/reverse-pairs" TargetMode="External"/><Relationship Id="rId106" Type="http://schemas.openxmlformats.org/officeDocument/2006/relationships/hyperlink" Target="https://leetcode.com/problems/partition-array-into-two-arrays-to-minimize-sum-dif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47.5703125" customWidth="1"/>
    <col min="3" max="3" width="56.5703125" customWidth="1"/>
    <col min="8" max="8" width="18.42578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1</v>
      </c>
      <c r="B2" s="4" t="s">
        <v>8</v>
      </c>
      <c r="C2" s="5" t="s">
        <v>9</v>
      </c>
      <c r="D2" s="3" t="s">
        <v>10</v>
      </c>
      <c r="E2" s="6">
        <v>0.49099999999999999</v>
      </c>
      <c r="F2" s="3" t="s">
        <v>11</v>
      </c>
      <c r="G2" s="3" t="s">
        <v>12</v>
      </c>
    </row>
    <row r="3" spans="1:8" x14ac:dyDescent="0.2">
      <c r="A3" s="3">
        <v>2</v>
      </c>
      <c r="B3" s="4" t="s">
        <v>13</v>
      </c>
      <c r="C3" s="5" t="s">
        <v>14</v>
      </c>
      <c r="D3" s="3" t="s">
        <v>10</v>
      </c>
      <c r="E3" s="6">
        <v>0.39800000000000002</v>
      </c>
      <c r="F3" s="3" t="s">
        <v>15</v>
      </c>
      <c r="G3" s="3" t="s">
        <v>16</v>
      </c>
    </row>
    <row r="4" spans="1:8" x14ac:dyDescent="0.2">
      <c r="A4" s="3">
        <v>3</v>
      </c>
      <c r="B4" s="4" t="s">
        <v>17</v>
      </c>
      <c r="C4" s="7" t="s">
        <v>18</v>
      </c>
      <c r="D4" s="3" t="s">
        <v>10</v>
      </c>
      <c r="E4" s="6">
        <v>0.33800000000000002</v>
      </c>
      <c r="F4" s="3" t="s">
        <v>15</v>
      </c>
      <c r="G4" s="3" t="s">
        <v>19</v>
      </c>
    </row>
    <row r="5" spans="1:8" x14ac:dyDescent="0.2">
      <c r="A5" s="3">
        <v>4</v>
      </c>
      <c r="B5" s="4" t="s">
        <v>20</v>
      </c>
      <c r="C5" s="7" t="s">
        <v>21</v>
      </c>
      <c r="D5" s="3" t="s">
        <v>10</v>
      </c>
      <c r="E5" s="6">
        <v>0.35299999999999998</v>
      </c>
      <c r="F5" s="3" t="s">
        <v>22</v>
      </c>
      <c r="G5" s="3" t="s">
        <v>23</v>
      </c>
    </row>
    <row r="6" spans="1:8" x14ac:dyDescent="0.2">
      <c r="A6" s="3">
        <v>5</v>
      </c>
      <c r="B6" s="4" t="s">
        <v>24</v>
      </c>
      <c r="C6" s="7" t="s">
        <v>25</v>
      </c>
      <c r="D6" s="3" t="s">
        <v>10</v>
      </c>
      <c r="E6" s="6">
        <v>0.32400000000000001</v>
      </c>
      <c r="F6" s="3" t="s">
        <v>15</v>
      </c>
      <c r="G6" s="3" t="s">
        <v>26</v>
      </c>
    </row>
    <row r="7" spans="1:8" x14ac:dyDescent="0.2">
      <c r="A7" s="3">
        <v>6</v>
      </c>
      <c r="B7" s="4" t="s">
        <v>27</v>
      </c>
      <c r="C7" s="7" t="s">
        <v>28</v>
      </c>
      <c r="D7" s="3" t="s">
        <v>10</v>
      </c>
      <c r="E7" s="6">
        <v>0.432</v>
      </c>
      <c r="F7" s="3" t="s">
        <v>15</v>
      </c>
      <c r="G7" s="3" t="s">
        <v>29</v>
      </c>
    </row>
    <row r="8" spans="1:8" x14ac:dyDescent="0.2">
      <c r="A8" s="3">
        <v>7</v>
      </c>
      <c r="B8" s="4" t="s">
        <v>30</v>
      </c>
      <c r="C8" s="7" t="s">
        <v>31</v>
      </c>
      <c r="D8" s="3" t="s">
        <v>10</v>
      </c>
      <c r="E8" s="6">
        <v>0.27200000000000002</v>
      </c>
      <c r="F8" s="3" t="s">
        <v>15</v>
      </c>
      <c r="G8" s="3" t="s">
        <v>32</v>
      </c>
    </row>
    <row r="9" spans="1:8" x14ac:dyDescent="0.2">
      <c r="A9" s="3">
        <v>8</v>
      </c>
      <c r="B9" s="4" t="s">
        <v>33</v>
      </c>
      <c r="C9" s="7" t="s">
        <v>34</v>
      </c>
      <c r="D9" s="3" t="s">
        <v>10</v>
      </c>
      <c r="E9" s="6">
        <v>0.16600000000000001</v>
      </c>
      <c r="F9" s="3" t="s">
        <v>15</v>
      </c>
      <c r="G9" s="3" t="s">
        <v>35</v>
      </c>
    </row>
    <row r="10" spans="1:8" x14ac:dyDescent="0.2">
      <c r="A10" s="3">
        <v>9</v>
      </c>
      <c r="B10" s="4" t="s">
        <v>36</v>
      </c>
      <c r="C10" s="7" t="s">
        <v>37</v>
      </c>
      <c r="D10" s="3" t="s">
        <v>10</v>
      </c>
      <c r="E10" s="6">
        <v>0.52900000000000003</v>
      </c>
      <c r="F10" s="3" t="s">
        <v>11</v>
      </c>
      <c r="G10" s="3" t="s">
        <v>38</v>
      </c>
    </row>
    <row r="11" spans="1:8" x14ac:dyDescent="0.2">
      <c r="A11" s="3">
        <v>10</v>
      </c>
      <c r="B11" s="4" t="s">
        <v>39</v>
      </c>
      <c r="C11" s="7" t="s">
        <v>40</v>
      </c>
      <c r="D11" s="3" t="s">
        <v>10</v>
      </c>
      <c r="E11" s="6">
        <v>0.28199999999999997</v>
      </c>
      <c r="F11" s="3" t="s">
        <v>22</v>
      </c>
      <c r="G11" s="3" t="s">
        <v>41</v>
      </c>
    </row>
    <row r="12" spans="1:8" x14ac:dyDescent="0.2">
      <c r="A12" s="3">
        <v>11</v>
      </c>
      <c r="B12" s="4" t="s">
        <v>42</v>
      </c>
      <c r="C12" s="7" t="s">
        <v>43</v>
      </c>
      <c r="D12" s="3" t="s">
        <v>10</v>
      </c>
      <c r="E12" s="6">
        <v>0.54300000000000004</v>
      </c>
      <c r="F12" s="3" t="s">
        <v>15</v>
      </c>
      <c r="G12" s="3" t="s">
        <v>44</v>
      </c>
    </row>
    <row r="13" spans="1:8" x14ac:dyDescent="0.2">
      <c r="A13" s="3">
        <v>12</v>
      </c>
      <c r="B13" s="4" t="s">
        <v>45</v>
      </c>
      <c r="C13" s="7" t="s">
        <v>46</v>
      </c>
      <c r="D13" s="3" t="s">
        <v>10</v>
      </c>
      <c r="E13" s="6">
        <v>0.61499999999999999</v>
      </c>
      <c r="F13" s="3" t="s">
        <v>15</v>
      </c>
      <c r="G13" s="3" t="s">
        <v>47</v>
      </c>
    </row>
    <row r="14" spans="1:8" x14ac:dyDescent="0.2">
      <c r="A14" s="3">
        <v>13</v>
      </c>
      <c r="B14" s="4" t="s">
        <v>48</v>
      </c>
      <c r="C14" s="7" t="s">
        <v>49</v>
      </c>
      <c r="D14" s="3" t="s">
        <v>10</v>
      </c>
      <c r="E14" s="6">
        <v>0.58199999999999996</v>
      </c>
      <c r="F14" s="3" t="s">
        <v>11</v>
      </c>
      <c r="G14" s="3" t="s">
        <v>50</v>
      </c>
    </row>
    <row r="15" spans="1:8" x14ac:dyDescent="0.2">
      <c r="A15" s="3">
        <v>14</v>
      </c>
      <c r="B15" s="4" t="s">
        <v>51</v>
      </c>
      <c r="C15" s="7" t="s">
        <v>52</v>
      </c>
      <c r="D15" s="3" t="s">
        <v>10</v>
      </c>
      <c r="E15" s="6">
        <v>0.40799999999999997</v>
      </c>
      <c r="F15" s="3" t="s">
        <v>11</v>
      </c>
      <c r="G15" s="3" t="s">
        <v>53</v>
      </c>
    </row>
    <row r="16" spans="1:8" x14ac:dyDescent="0.2">
      <c r="A16" s="3">
        <v>15</v>
      </c>
      <c r="B16" s="4" t="s">
        <v>54</v>
      </c>
      <c r="C16" s="7" t="s">
        <v>55</v>
      </c>
      <c r="D16" s="3" t="s">
        <v>10</v>
      </c>
      <c r="E16" s="6">
        <v>0.32300000000000001</v>
      </c>
      <c r="F16" s="3" t="s">
        <v>15</v>
      </c>
      <c r="G16" s="3" t="s">
        <v>56</v>
      </c>
    </row>
    <row r="17" spans="1:7" x14ac:dyDescent="0.2">
      <c r="A17" s="3">
        <v>16</v>
      </c>
      <c r="B17" s="4" t="s">
        <v>57</v>
      </c>
      <c r="C17" s="7" t="s">
        <v>58</v>
      </c>
      <c r="D17" s="3" t="s">
        <v>10</v>
      </c>
      <c r="E17" s="6">
        <v>0.46100000000000002</v>
      </c>
      <c r="F17" s="3" t="s">
        <v>15</v>
      </c>
      <c r="G17" s="3" t="s">
        <v>59</v>
      </c>
    </row>
    <row r="18" spans="1:7" x14ac:dyDescent="0.2">
      <c r="A18" s="3">
        <v>17</v>
      </c>
      <c r="B18" s="4" t="s">
        <v>60</v>
      </c>
      <c r="C18" s="7" t="s">
        <v>61</v>
      </c>
      <c r="D18" s="3" t="s">
        <v>10</v>
      </c>
      <c r="E18" s="6">
        <v>0.55700000000000005</v>
      </c>
      <c r="F18" s="3" t="s">
        <v>15</v>
      </c>
      <c r="G18" s="3" t="s">
        <v>62</v>
      </c>
    </row>
    <row r="19" spans="1:7" x14ac:dyDescent="0.2">
      <c r="A19" s="3">
        <v>18</v>
      </c>
      <c r="B19" s="4" t="s">
        <v>63</v>
      </c>
      <c r="C19" s="7" t="s">
        <v>64</v>
      </c>
      <c r="D19" s="3" t="s">
        <v>10</v>
      </c>
      <c r="E19" s="6">
        <v>0.36399999999999999</v>
      </c>
      <c r="F19" s="3" t="s">
        <v>15</v>
      </c>
      <c r="G19" s="3" t="s">
        <v>65</v>
      </c>
    </row>
    <row r="20" spans="1:7" x14ac:dyDescent="0.2">
      <c r="A20" s="3">
        <v>19</v>
      </c>
      <c r="B20" s="4" t="s">
        <v>66</v>
      </c>
      <c r="C20" s="7" t="s">
        <v>67</v>
      </c>
      <c r="D20" s="3" t="s">
        <v>10</v>
      </c>
      <c r="E20" s="6">
        <v>0.4</v>
      </c>
      <c r="F20" s="3" t="s">
        <v>15</v>
      </c>
      <c r="G20" s="3" t="s">
        <v>68</v>
      </c>
    </row>
    <row r="21" spans="1:7" x14ac:dyDescent="0.2">
      <c r="A21" s="3">
        <v>20</v>
      </c>
      <c r="B21" s="4" t="s">
        <v>69</v>
      </c>
      <c r="C21" s="7" t="s">
        <v>70</v>
      </c>
      <c r="D21" s="3" t="s">
        <v>10</v>
      </c>
      <c r="E21" s="6">
        <v>0.40600000000000003</v>
      </c>
      <c r="F21" s="3" t="s">
        <v>11</v>
      </c>
      <c r="G21" s="3" t="s">
        <v>71</v>
      </c>
    </row>
    <row r="22" spans="1:7" x14ac:dyDescent="0.2">
      <c r="A22" s="3">
        <v>21</v>
      </c>
      <c r="B22" s="4" t="s">
        <v>72</v>
      </c>
      <c r="C22" s="7" t="s">
        <v>73</v>
      </c>
      <c r="D22" s="3" t="s">
        <v>10</v>
      </c>
      <c r="E22" s="6">
        <v>0.61899999999999999</v>
      </c>
      <c r="F22" s="3" t="s">
        <v>11</v>
      </c>
      <c r="G22" s="3" t="s">
        <v>74</v>
      </c>
    </row>
    <row r="23" spans="1:7" x14ac:dyDescent="0.2">
      <c r="A23" s="3">
        <v>22</v>
      </c>
      <c r="B23" s="4" t="s">
        <v>75</v>
      </c>
      <c r="C23" s="7" t="s">
        <v>76</v>
      </c>
      <c r="D23" s="3" t="s">
        <v>10</v>
      </c>
      <c r="E23" s="6">
        <v>0.71899999999999997</v>
      </c>
      <c r="F23" s="3" t="s">
        <v>15</v>
      </c>
      <c r="G23" s="3" t="s">
        <v>77</v>
      </c>
    </row>
    <row r="24" spans="1:7" x14ac:dyDescent="0.2">
      <c r="A24" s="3">
        <v>23</v>
      </c>
      <c r="B24" s="4" t="s">
        <v>78</v>
      </c>
      <c r="C24" s="7" t="s">
        <v>79</v>
      </c>
      <c r="D24" s="3" t="s">
        <v>10</v>
      </c>
      <c r="E24" s="6">
        <v>0.48499999999999999</v>
      </c>
      <c r="F24" s="3" t="s">
        <v>22</v>
      </c>
      <c r="G24" s="3" t="s">
        <v>80</v>
      </c>
    </row>
    <row r="25" spans="1:7" x14ac:dyDescent="0.2">
      <c r="A25" s="3">
        <v>24</v>
      </c>
      <c r="B25" s="4" t="s">
        <v>81</v>
      </c>
      <c r="C25" s="7" t="s">
        <v>82</v>
      </c>
      <c r="D25" s="3" t="s">
        <v>10</v>
      </c>
      <c r="E25" s="6">
        <v>0.60499999999999998</v>
      </c>
      <c r="F25" s="3" t="s">
        <v>15</v>
      </c>
      <c r="G25" s="3" t="s">
        <v>83</v>
      </c>
    </row>
    <row r="26" spans="1:7" x14ac:dyDescent="0.2">
      <c r="A26" s="3">
        <v>25</v>
      </c>
      <c r="B26" s="4" t="s">
        <v>84</v>
      </c>
      <c r="C26" s="7" t="s">
        <v>85</v>
      </c>
      <c r="D26" s="3" t="s">
        <v>10</v>
      </c>
      <c r="E26" s="6">
        <v>0.53700000000000003</v>
      </c>
      <c r="F26" s="3" t="s">
        <v>22</v>
      </c>
      <c r="G26" s="3" t="s">
        <v>86</v>
      </c>
    </row>
    <row r="27" spans="1:7" x14ac:dyDescent="0.2">
      <c r="A27" s="3">
        <v>26</v>
      </c>
      <c r="B27" s="4" t="s">
        <v>87</v>
      </c>
      <c r="C27" s="7" t="s">
        <v>88</v>
      </c>
      <c r="D27" s="3" t="s">
        <v>10</v>
      </c>
      <c r="E27" s="6">
        <v>0.50900000000000001</v>
      </c>
      <c r="F27" s="3" t="s">
        <v>11</v>
      </c>
      <c r="G27" s="3" t="s">
        <v>89</v>
      </c>
    </row>
    <row r="28" spans="1:7" x14ac:dyDescent="0.2">
      <c r="A28" s="3">
        <v>27</v>
      </c>
      <c r="B28" s="4" t="s">
        <v>90</v>
      </c>
      <c r="C28" s="7" t="s">
        <v>91</v>
      </c>
      <c r="D28" s="3" t="s">
        <v>10</v>
      </c>
      <c r="E28" s="6">
        <v>0.52200000000000002</v>
      </c>
      <c r="F28" s="3" t="s">
        <v>11</v>
      </c>
      <c r="G28" s="3" t="s">
        <v>92</v>
      </c>
    </row>
    <row r="29" spans="1:7" x14ac:dyDescent="0.2">
      <c r="A29" s="3">
        <v>28</v>
      </c>
      <c r="B29" s="4" t="s">
        <v>93</v>
      </c>
      <c r="C29" s="7" t="s">
        <v>94</v>
      </c>
      <c r="D29" s="3" t="s">
        <v>10</v>
      </c>
      <c r="E29" s="6">
        <v>0.376</v>
      </c>
      <c r="F29" s="3" t="s">
        <v>15</v>
      </c>
      <c r="G29" s="3" t="s">
        <v>95</v>
      </c>
    </row>
    <row r="30" spans="1:7" x14ac:dyDescent="0.2">
      <c r="A30" s="3">
        <v>29</v>
      </c>
      <c r="B30" s="4" t="s">
        <v>96</v>
      </c>
      <c r="C30" s="7" t="s">
        <v>97</v>
      </c>
      <c r="D30" s="3" t="s">
        <v>10</v>
      </c>
      <c r="E30" s="6">
        <v>0.17299999999999999</v>
      </c>
      <c r="F30" s="3" t="s">
        <v>15</v>
      </c>
      <c r="G30" s="3" t="s">
        <v>98</v>
      </c>
    </row>
    <row r="31" spans="1:7" x14ac:dyDescent="0.2">
      <c r="A31" s="3">
        <v>30</v>
      </c>
      <c r="B31" s="4" t="s">
        <v>99</v>
      </c>
      <c r="C31" s="7" t="s">
        <v>100</v>
      </c>
      <c r="D31" s="3" t="s">
        <v>10</v>
      </c>
      <c r="E31" s="6">
        <v>0.309</v>
      </c>
      <c r="F31" s="3" t="s">
        <v>22</v>
      </c>
      <c r="G31" s="3" t="s">
        <v>101</v>
      </c>
    </row>
    <row r="32" spans="1:7" x14ac:dyDescent="0.2">
      <c r="A32" s="3">
        <v>31</v>
      </c>
      <c r="B32" s="4" t="s">
        <v>102</v>
      </c>
      <c r="C32" s="7" t="s">
        <v>103</v>
      </c>
      <c r="D32" s="3" t="s">
        <v>10</v>
      </c>
      <c r="E32" s="6">
        <v>0.372</v>
      </c>
      <c r="F32" s="3" t="s">
        <v>15</v>
      </c>
      <c r="G32" s="3" t="s">
        <v>104</v>
      </c>
    </row>
    <row r="33" spans="1:7" x14ac:dyDescent="0.2">
      <c r="A33" s="3">
        <v>32</v>
      </c>
      <c r="B33" s="4" t="s">
        <v>105</v>
      </c>
      <c r="C33" s="7" t="s">
        <v>106</v>
      </c>
      <c r="D33" s="3" t="s">
        <v>10</v>
      </c>
      <c r="E33" s="6">
        <v>0.32700000000000001</v>
      </c>
      <c r="F33" s="3" t="s">
        <v>22</v>
      </c>
      <c r="G33" s="3" t="s">
        <v>107</v>
      </c>
    </row>
    <row r="34" spans="1:7" x14ac:dyDescent="0.2">
      <c r="A34" s="3">
        <v>33</v>
      </c>
      <c r="B34" s="4" t="s">
        <v>108</v>
      </c>
      <c r="C34" s="7" t="s">
        <v>109</v>
      </c>
      <c r="D34" s="3" t="s">
        <v>10</v>
      </c>
      <c r="E34" s="6">
        <v>0.38700000000000001</v>
      </c>
      <c r="F34" s="3" t="s">
        <v>15</v>
      </c>
      <c r="G34" s="3" t="s">
        <v>110</v>
      </c>
    </row>
    <row r="35" spans="1:7" x14ac:dyDescent="0.2">
      <c r="A35" s="3">
        <v>34</v>
      </c>
      <c r="B35" s="4" t="s">
        <v>111</v>
      </c>
      <c r="C35" s="7" t="s">
        <v>112</v>
      </c>
      <c r="D35" s="3" t="s">
        <v>10</v>
      </c>
      <c r="E35" s="6">
        <v>0.41599999999999998</v>
      </c>
      <c r="F35" s="3" t="s">
        <v>15</v>
      </c>
      <c r="G35" s="3" t="s">
        <v>113</v>
      </c>
    </row>
    <row r="36" spans="1:7" x14ac:dyDescent="0.2">
      <c r="A36" s="3">
        <v>35</v>
      </c>
      <c r="B36" s="4" t="s">
        <v>114</v>
      </c>
      <c r="C36" s="7" t="s">
        <v>115</v>
      </c>
      <c r="D36" s="3" t="s">
        <v>10</v>
      </c>
      <c r="E36" s="6">
        <v>0.42</v>
      </c>
      <c r="F36" s="3" t="s">
        <v>11</v>
      </c>
      <c r="G36" s="3" t="s">
        <v>116</v>
      </c>
    </row>
    <row r="37" spans="1:7" x14ac:dyDescent="0.2">
      <c r="A37" s="3">
        <v>36</v>
      </c>
      <c r="B37" s="4" t="s">
        <v>117</v>
      </c>
      <c r="C37" s="7" t="s">
        <v>118</v>
      </c>
      <c r="D37" s="3" t="s">
        <v>10</v>
      </c>
      <c r="E37" s="6">
        <v>0.56899999999999995</v>
      </c>
      <c r="F37" s="3" t="s">
        <v>15</v>
      </c>
      <c r="G37" s="3" t="s">
        <v>119</v>
      </c>
    </row>
    <row r="38" spans="1:7" x14ac:dyDescent="0.2">
      <c r="A38" s="3">
        <v>37</v>
      </c>
      <c r="B38" s="4" t="s">
        <v>120</v>
      </c>
      <c r="C38" s="7" t="s">
        <v>121</v>
      </c>
      <c r="D38" s="3" t="s">
        <v>10</v>
      </c>
      <c r="E38" s="6">
        <v>0.56799999999999995</v>
      </c>
      <c r="F38" s="3" t="s">
        <v>22</v>
      </c>
      <c r="G38" s="3" t="s">
        <v>122</v>
      </c>
    </row>
    <row r="39" spans="1:7" x14ac:dyDescent="0.2">
      <c r="A39" s="3">
        <v>38</v>
      </c>
      <c r="B39" s="4" t="s">
        <v>123</v>
      </c>
      <c r="C39" s="7" t="s">
        <v>124</v>
      </c>
      <c r="D39" s="3" t="s">
        <v>10</v>
      </c>
      <c r="E39" s="6">
        <v>0.51300000000000001</v>
      </c>
      <c r="F39" s="3" t="s">
        <v>15</v>
      </c>
      <c r="G39" s="3" t="s">
        <v>125</v>
      </c>
    </row>
    <row r="40" spans="1:7" x14ac:dyDescent="0.2">
      <c r="A40" s="3">
        <v>39</v>
      </c>
      <c r="B40" s="4" t="s">
        <v>126</v>
      </c>
      <c r="C40" s="7" t="s">
        <v>127</v>
      </c>
      <c r="D40" s="3" t="s">
        <v>10</v>
      </c>
      <c r="E40" s="6">
        <v>0.67800000000000005</v>
      </c>
      <c r="F40" s="3" t="s">
        <v>15</v>
      </c>
      <c r="G40" s="3" t="s">
        <v>128</v>
      </c>
    </row>
    <row r="41" spans="1:7" x14ac:dyDescent="0.2">
      <c r="A41" s="3">
        <v>40</v>
      </c>
      <c r="B41" s="4" t="s">
        <v>129</v>
      </c>
      <c r="C41" s="7" t="s">
        <v>130</v>
      </c>
      <c r="D41" s="3" t="s">
        <v>10</v>
      </c>
      <c r="E41" s="6">
        <v>0.53300000000000003</v>
      </c>
      <c r="F41" s="3" t="s">
        <v>15</v>
      </c>
      <c r="G41" s="3" t="s">
        <v>131</v>
      </c>
    </row>
    <row r="42" spans="1:7" x14ac:dyDescent="0.2">
      <c r="A42" s="3">
        <v>41</v>
      </c>
      <c r="B42" s="4" t="s">
        <v>132</v>
      </c>
      <c r="C42" s="7" t="s">
        <v>133</v>
      </c>
      <c r="D42" s="3" t="s">
        <v>10</v>
      </c>
      <c r="E42" s="6">
        <v>0.36599999999999999</v>
      </c>
      <c r="F42" s="3" t="s">
        <v>22</v>
      </c>
      <c r="G42" s="3" t="s">
        <v>134</v>
      </c>
    </row>
    <row r="43" spans="1:7" x14ac:dyDescent="0.2">
      <c r="A43" s="3">
        <v>42</v>
      </c>
      <c r="B43" s="4" t="s">
        <v>135</v>
      </c>
      <c r="C43" s="7" t="s">
        <v>136</v>
      </c>
      <c r="D43" s="3" t="s">
        <v>10</v>
      </c>
      <c r="E43" s="6">
        <v>0.58799999999999997</v>
      </c>
      <c r="F43" s="3" t="s">
        <v>22</v>
      </c>
      <c r="G43" s="3" t="s">
        <v>137</v>
      </c>
    </row>
    <row r="44" spans="1:7" x14ac:dyDescent="0.2">
      <c r="A44" s="3">
        <v>43</v>
      </c>
      <c r="B44" s="4" t="s">
        <v>138</v>
      </c>
      <c r="C44" s="7" t="s">
        <v>139</v>
      </c>
      <c r="D44" s="3" t="s">
        <v>10</v>
      </c>
      <c r="E44" s="6">
        <v>0.38800000000000001</v>
      </c>
      <c r="F44" s="3" t="s">
        <v>15</v>
      </c>
      <c r="G44" s="3" t="s">
        <v>140</v>
      </c>
    </row>
    <row r="45" spans="1:7" x14ac:dyDescent="0.2">
      <c r="A45" s="3">
        <v>45</v>
      </c>
      <c r="B45" s="4" t="s">
        <v>141</v>
      </c>
      <c r="C45" s="7" t="s">
        <v>142</v>
      </c>
      <c r="D45" s="3" t="s">
        <v>10</v>
      </c>
      <c r="E45" s="6">
        <v>0.38600000000000001</v>
      </c>
      <c r="F45" s="3" t="s">
        <v>15</v>
      </c>
      <c r="G45" s="3" t="s">
        <v>143</v>
      </c>
    </row>
    <row r="46" spans="1:7" x14ac:dyDescent="0.2">
      <c r="A46" s="3">
        <v>46</v>
      </c>
      <c r="B46" s="4" t="s">
        <v>144</v>
      </c>
      <c r="C46" s="7" t="s">
        <v>145</v>
      </c>
      <c r="D46" s="3" t="s">
        <v>10</v>
      </c>
      <c r="E46" s="6">
        <v>0.749</v>
      </c>
      <c r="F46" s="3" t="s">
        <v>15</v>
      </c>
      <c r="G46" s="3" t="s">
        <v>146</v>
      </c>
    </row>
    <row r="47" spans="1:7" x14ac:dyDescent="0.2">
      <c r="A47" s="3">
        <v>47</v>
      </c>
      <c r="B47" s="4" t="s">
        <v>147</v>
      </c>
      <c r="C47" s="7" t="s">
        <v>148</v>
      </c>
      <c r="D47" s="3" t="s">
        <v>10</v>
      </c>
      <c r="E47" s="6">
        <v>0.56799999999999995</v>
      </c>
      <c r="F47" s="3" t="s">
        <v>15</v>
      </c>
      <c r="G47" s="3" t="s">
        <v>149</v>
      </c>
    </row>
    <row r="48" spans="1:7" x14ac:dyDescent="0.2">
      <c r="A48" s="3">
        <v>48</v>
      </c>
      <c r="B48" s="4" t="s">
        <v>150</v>
      </c>
      <c r="C48" s="7" t="s">
        <v>151</v>
      </c>
      <c r="D48" s="3" t="s">
        <v>10</v>
      </c>
      <c r="E48" s="6">
        <v>0.70099999999999996</v>
      </c>
      <c r="F48" s="3" t="s">
        <v>15</v>
      </c>
      <c r="G48" s="3" t="s">
        <v>152</v>
      </c>
    </row>
    <row r="49" spans="1:7" x14ac:dyDescent="0.2">
      <c r="A49" s="3">
        <v>49</v>
      </c>
      <c r="B49" s="4" t="s">
        <v>153</v>
      </c>
      <c r="C49" s="7" t="s">
        <v>154</v>
      </c>
      <c r="D49" s="3" t="s">
        <v>10</v>
      </c>
      <c r="E49" s="6">
        <v>0.66500000000000004</v>
      </c>
      <c r="F49" s="3" t="s">
        <v>15</v>
      </c>
      <c r="G49" s="3" t="s">
        <v>155</v>
      </c>
    </row>
    <row r="50" spans="1:7" x14ac:dyDescent="0.2">
      <c r="A50" s="3">
        <v>50</v>
      </c>
      <c r="B50" s="4" t="s">
        <v>156</v>
      </c>
      <c r="C50" s="7" t="s">
        <v>157</v>
      </c>
      <c r="D50" s="3" t="s">
        <v>10</v>
      </c>
      <c r="E50" s="6">
        <v>0.32800000000000001</v>
      </c>
      <c r="F50" s="3" t="s">
        <v>15</v>
      </c>
      <c r="G50" s="3" t="s">
        <v>158</v>
      </c>
    </row>
    <row r="51" spans="1:7" x14ac:dyDescent="0.2">
      <c r="A51" s="3">
        <v>51</v>
      </c>
      <c r="B51" s="4" t="s">
        <v>159</v>
      </c>
      <c r="C51" s="7" t="s">
        <v>160</v>
      </c>
      <c r="D51" s="3" t="s">
        <v>10</v>
      </c>
      <c r="E51" s="6">
        <v>0.63100000000000001</v>
      </c>
      <c r="F51" s="3" t="s">
        <v>22</v>
      </c>
      <c r="G51" s="3" t="s">
        <v>161</v>
      </c>
    </row>
    <row r="52" spans="1:7" x14ac:dyDescent="0.2">
      <c r="A52" s="3">
        <v>53</v>
      </c>
      <c r="B52" s="4" t="s">
        <v>162</v>
      </c>
      <c r="C52" s="7" t="s">
        <v>163</v>
      </c>
      <c r="D52" s="3" t="s">
        <v>10</v>
      </c>
      <c r="E52" s="6">
        <v>0.501</v>
      </c>
      <c r="F52" s="3" t="s">
        <v>15</v>
      </c>
      <c r="G52" s="3" t="s">
        <v>164</v>
      </c>
    </row>
    <row r="53" spans="1:7" x14ac:dyDescent="0.2">
      <c r="A53" s="3">
        <v>54</v>
      </c>
      <c r="B53" s="4" t="s">
        <v>165</v>
      </c>
      <c r="C53" s="7" t="s">
        <v>166</v>
      </c>
      <c r="D53" s="3" t="s">
        <v>10</v>
      </c>
      <c r="E53" s="6">
        <v>0.438</v>
      </c>
      <c r="F53" s="3" t="s">
        <v>15</v>
      </c>
      <c r="G53" s="3" t="s">
        <v>167</v>
      </c>
    </row>
    <row r="54" spans="1:7" x14ac:dyDescent="0.2">
      <c r="A54" s="3">
        <v>55</v>
      </c>
      <c r="B54" s="4" t="s">
        <v>168</v>
      </c>
      <c r="C54" s="7" t="s">
        <v>169</v>
      </c>
      <c r="D54" s="3" t="s">
        <v>10</v>
      </c>
      <c r="E54" s="6">
        <v>0.38500000000000001</v>
      </c>
      <c r="F54" s="3" t="s">
        <v>15</v>
      </c>
      <c r="G54" s="3" t="s">
        <v>170</v>
      </c>
    </row>
    <row r="55" spans="1:7" x14ac:dyDescent="0.2">
      <c r="A55" s="3">
        <v>56</v>
      </c>
      <c r="B55" s="4" t="s">
        <v>171</v>
      </c>
      <c r="C55" s="7" t="s">
        <v>172</v>
      </c>
      <c r="D55" s="3" t="s">
        <v>10</v>
      </c>
      <c r="E55" s="6">
        <v>0.46</v>
      </c>
      <c r="F55" s="3" t="s">
        <v>15</v>
      </c>
      <c r="G55" s="3" t="s">
        <v>173</v>
      </c>
    </row>
    <row r="56" spans="1:7" x14ac:dyDescent="0.2">
      <c r="A56" s="3">
        <v>57</v>
      </c>
      <c r="B56" s="4" t="s">
        <v>174</v>
      </c>
      <c r="C56" s="7" t="s">
        <v>175</v>
      </c>
      <c r="D56" s="3" t="s">
        <v>10</v>
      </c>
      <c r="E56" s="6">
        <v>0.38</v>
      </c>
      <c r="F56" s="3" t="s">
        <v>15</v>
      </c>
      <c r="G56" s="3" t="s">
        <v>176</v>
      </c>
    </row>
    <row r="57" spans="1:7" x14ac:dyDescent="0.2">
      <c r="A57" s="3">
        <v>58</v>
      </c>
      <c r="B57" s="4" t="s">
        <v>177</v>
      </c>
      <c r="C57" s="7" t="s">
        <v>178</v>
      </c>
      <c r="D57" s="3" t="s">
        <v>10</v>
      </c>
      <c r="E57" s="6">
        <v>0.40799999999999997</v>
      </c>
      <c r="F57" s="3" t="s">
        <v>11</v>
      </c>
      <c r="G57" s="3" t="s">
        <v>179</v>
      </c>
    </row>
    <row r="58" spans="1:7" x14ac:dyDescent="0.2">
      <c r="A58" s="3">
        <v>59</v>
      </c>
      <c r="B58" s="4" t="s">
        <v>180</v>
      </c>
      <c r="C58" s="7" t="s">
        <v>181</v>
      </c>
      <c r="D58" s="3" t="s">
        <v>10</v>
      </c>
      <c r="E58" s="6">
        <v>0.66700000000000004</v>
      </c>
      <c r="F58" s="3" t="s">
        <v>15</v>
      </c>
      <c r="G58" s="3" t="s">
        <v>182</v>
      </c>
    </row>
    <row r="59" spans="1:7" x14ac:dyDescent="0.2">
      <c r="A59" s="3">
        <v>60</v>
      </c>
      <c r="B59" s="4" t="s">
        <v>183</v>
      </c>
      <c r="C59" s="7" t="s">
        <v>184</v>
      </c>
      <c r="D59" s="3" t="s">
        <v>10</v>
      </c>
      <c r="E59" s="6">
        <v>0.438</v>
      </c>
      <c r="F59" s="3" t="s">
        <v>22</v>
      </c>
      <c r="G59" s="3" t="s">
        <v>185</v>
      </c>
    </row>
    <row r="60" spans="1:7" x14ac:dyDescent="0.2">
      <c r="A60" s="3">
        <v>61</v>
      </c>
      <c r="B60" s="4" t="s">
        <v>186</v>
      </c>
      <c r="C60" s="7" t="s">
        <v>187</v>
      </c>
      <c r="D60" s="3" t="s">
        <v>10</v>
      </c>
      <c r="E60" s="6">
        <v>0.35799999999999998</v>
      </c>
      <c r="F60" s="3" t="s">
        <v>15</v>
      </c>
      <c r="G60" s="3" t="s">
        <v>188</v>
      </c>
    </row>
    <row r="61" spans="1:7" x14ac:dyDescent="0.2">
      <c r="A61" s="3">
        <v>62</v>
      </c>
      <c r="B61" s="4" t="s">
        <v>189</v>
      </c>
      <c r="C61" s="7" t="s">
        <v>190</v>
      </c>
      <c r="D61" s="3" t="s">
        <v>10</v>
      </c>
      <c r="E61" s="6">
        <v>0.623</v>
      </c>
      <c r="F61" s="3" t="s">
        <v>15</v>
      </c>
      <c r="G61" s="3" t="s">
        <v>191</v>
      </c>
    </row>
    <row r="62" spans="1:7" x14ac:dyDescent="0.2">
      <c r="A62" s="3">
        <v>63</v>
      </c>
      <c r="B62" s="4" t="s">
        <v>192</v>
      </c>
      <c r="C62" s="7" t="s">
        <v>193</v>
      </c>
      <c r="D62" s="3" t="s">
        <v>10</v>
      </c>
      <c r="E62" s="6">
        <v>0.39100000000000001</v>
      </c>
      <c r="F62" s="3" t="s">
        <v>15</v>
      </c>
      <c r="G62" s="3" t="s">
        <v>194</v>
      </c>
    </row>
    <row r="63" spans="1:7" x14ac:dyDescent="0.2">
      <c r="A63" s="3">
        <v>64</v>
      </c>
      <c r="B63" s="4" t="s">
        <v>195</v>
      </c>
      <c r="C63" s="7" t="s">
        <v>196</v>
      </c>
      <c r="D63" s="3" t="s">
        <v>10</v>
      </c>
      <c r="E63" s="6">
        <v>0.60699999999999998</v>
      </c>
      <c r="F63" s="3" t="s">
        <v>15</v>
      </c>
      <c r="G63" s="3" t="s">
        <v>197</v>
      </c>
    </row>
    <row r="64" spans="1:7" x14ac:dyDescent="0.2">
      <c r="A64" s="3">
        <v>65</v>
      </c>
      <c r="B64" s="4" t="s">
        <v>198</v>
      </c>
      <c r="C64" s="7" t="s">
        <v>199</v>
      </c>
      <c r="D64" s="3" t="s">
        <v>10</v>
      </c>
      <c r="E64" s="6">
        <v>0.186</v>
      </c>
      <c r="F64" s="3" t="s">
        <v>22</v>
      </c>
      <c r="G64" s="3" t="s">
        <v>200</v>
      </c>
    </row>
    <row r="65" spans="1:7" x14ac:dyDescent="0.2">
      <c r="A65" s="3">
        <v>66</v>
      </c>
      <c r="B65" s="4" t="s">
        <v>201</v>
      </c>
      <c r="C65" s="7" t="s">
        <v>202</v>
      </c>
      <c r="D65" s="3" t="s">
        <v>10</v>
      </c>
      <c r="E65" s="6">
        <v>0.434</v>
      </c>
      <c r="F65" s="3" t="s">
        <v>11</v>
      </c>
      <c r="G65" s="3" t="s">
        <v>203</v>
      </c>
    </row>
    <row r="66" spans="1:7" x14ac:dyDescent="0.2">
      <c r="A66" s="3">
        <v>67</v>
      </c>
      <c r="B66" s="4" t="s">
        <v>204</v>
      </c>
      <c r="C66" s="7" t="s">
        <v>205</v>
      </c>
      <c r="D66" s="3" t="s">
        <v>10</v>
      </c>
      <c r="E66" s="6">
        <v>0.51400000000000001</v>
      </c>
      <c r="F66" s="3" t="s">
        <v>11</v>
      </c>
      <c r="G66" s="3" t="s">
        <v>206</v>
      </c>
    </row>
    <row r="67" spans="1:7" x14ac:dyDescent="0.2">
      <c r="A67" s="3">
        <v>69</v>
      </c>
      <c r="B67" s="4" t="s">
        <v>207</v>
      </c>
      <c r="C67" s="7" t="s">
        <v>208</v>
      </c>
      <c r="D67" s="3" t="s">
        <v>10</v>
      </c>
      <c r="E67" s="6">
        <v>0.371</v>
      </c>
      <c r="F67" s="3" t="s">
        <v>11</v>
      </c>
      <c r="G67" s="3" t="s">
        <v>209</v>
      </c>
    </row>
    <row r="68" spans="1:7" x14ac:dyDescent="0.2">
      <c r="A68" s="3">
        <v>70</v>
      </c>
      <c r="B68" s="4" t="s">
        <v>210</v>
      </c>
      <c r="C68" s="7" t="s">
        <v>211</v>
      </c>
      <c r="D68" s="3" t="s">
        <v>10</v>
      </c>
      <c r="E68" s="6">
        <v>0.51800000000000002</v>
      </c>
      <c r="F68" s="3" t="s">
        <v>11</v>
      </c>
      <c r="G68" s="3" t="s">
        <v>212</v>
      </c>
    </row>
    <row r="69" spans="1:7" x14ac:dyDescent="0.2">
      <c r="A69" s="3">
        <v>71</v>
      </c>
      <c r="B69" s="4" t="s">
        <v>213</v>
      </c>
      <c r="C69" s="7" t="s">
        <v>214</v>
      </c>
      <c r="D69" s="3" t="s">
        <v>10</v>
      </c>
      <c r="E69" s="6">
        <v>0.39200000000000002</v>
      </c>
      <c r="F69" s="3" t="s">
        <v>15</v>
      </c>
      <c r="G69" s="3" t="s">
        <v>215</v>
      </c>
    </row>
    <row r="70" spans="1:7" x14ac:dyDescent="0.2">
      <c r="A70" s="3">
        <v>72</v>
      </c>
      <c r="B70" s="4" t="s">
        <v>216</v>
      </c>
      <c r="C70" s="7" t="s">
        <v>217</v>
      </c>
      <c r="D70" s="3" t="s">
        <v>10</v>
      </c>
      <c r="E70" s="6">
        <v>0.52700000000000002</v>
      </c>
      <c r="F70" s="3" t="s">
        <v>22</v>
      </c>
      <c r="G70" s="3" t="s">
        <v>218</v>
      </c>
    </row>
    <row r="71" spans="1:7" x14ac:dyDescent="0.2">
      <c r="A71" s="3">
        <v>73</v>
      </c>
      <c r="B71" s="4" t="s">
        <v>219</v>
      </c>
      <c r="C71" s="7" t="s">
        <v>220</v>
      </c>
      <c r="D71" s="3" t="s">
        <v>10</v>
      </c>
      <c r="E71" s="6">
        <v>0.501</v>
      </c>
      <c r="F71" s="3" t="s">
        <v>15</v>
      </c>
      <c r="G71" s="3" t="s">
        <v>221</v>
      </c>
    </row>
    <row r="72" spans="1:7" x14ac:dyDescent="0.2">
      <c r="A72" s="3">
        <v>74</v>
      </c>
      <c r="B72" s="4" t="s">
        <v>222</v>
      </c>
      <c r="C72" s="7" t="s">
        <v>223</v>
      </c>
      <c r="D72" s="3" t="s">
        <v>10</v>
      </c>
      <c r="E72" s="6">
        <v>0.47</v>
      </c>
      <c r="F72" s="3" t="s">
        <v>15</v>
      </c>
      <c r="G72" s="3" t="s">
        <v>224</v>
      </c>
    </row>
    <row r="73" spans="1:7" x14ac:dyDescent="0.2">
      <c r="A73" s="3">
        <v>75</v>
      </c>
      <c r="B73" s="4" t="s">
        <v>225</v>
      </c>
      <c r="C73" s="7" t="s">
        <v>226</v>
      </c>
      <c r="D73" s="3" t="s">
        <v>10</v>
      </c>
      <c r="E73" s="6">
        <v>0.57399999999999995</v>
      </c>
      <c r="F73" s="3" t="s">
        <v>15</v>
      </c>
      <c r="G73" s="3" t="s">
        <v>227</v>
      </c>
    </row>
    <row r="74" spans="1:7" x14ac:dyDescent="0.2">
      <c r="A74" s="3">
        <v>76</v>
      </c>
      <c r="B74" s="4" t="s">
        <v>228</v>
      </c>
      <c r="C74" s="7" t="s">
        <v>229</v>
      </c>
      <c r="D74" s="3" t="s">
        <v>10</v>
      </c>
      <c r="E74" s="6">
        <v>0.40699999999999997</v>
      </c>
      <c r="F74" s="3" t="s">
        <v>22</v>
      </c>
      <c r="G74" s="3" t="s">
        <v>230</v>
      </c>
    </row>
    <row r="75" spans="1:7" x14ac:dyDescent="0.2">
      <c r="A75" s="3">
        <v>78</v>
      </c>
      <c r="B75" s="4" t="s">
        <v>231</v>
      </c>
      <c r="C75" s="7" t="s">
        <v>232</v>
      </c>
      <c r="D75" s="3" t="s">
        <v>10</v>
      </c>
      <c r="E75" s="6">
        <v>0.74</v>
      </c>
      <c r="F75" s="3" t="s">
        <v>15</v>
      </c>
      <c r="G75" s="3" t="s">
        <v>233</v>
      </c>
    </row>
    <row r="76" spans="1:7" x14ac:dyDescent="0.2">
      <c r="A76" s="3">
        <v>79</v>
      </c>
      <c r="B76" s="4" t="s">
        <v>234</v>
      </c>
      <c r="C76" s="7" t="s">
        <v>235</v>
      </c>
      <c r="D76" s="3" t="s">
        <v>10</v>
      </c>
      <c r="E76" s="6">
        <v>0.39800000000000002</v>
      </c>
      <c r="F76" s="3" t="s">
        <v>15</v>
      </c>
      <c r="G76" s="3" t="s">
        <v>236</v>
      </c>
    </row>
    <row r="77" spans="1:7" x14ac:dyDescent="0.2">
      <c r="A77" s="3">
        <v>81</v>
      </c>
      <c r="B77" s="4" t="s">
        <v>237</v>
      </c>
      <c r="C77" s="7" t="s">
        <v>238</v>
      </c>
      <c r="D77" s="3" t="s">
        <v>10</v>
      </c>
      <c r="E77" s="6">
        <v>0.35799999999999998</v>
      </c>
      <c r="F77" s="3" t="s">
        <v>15</v>
      </c>
      <c r="G77" s="3" t="s">
        <v>239</v>
      </c>
    </row>
    <row r="78" spans="1:7" x14ac:dyDescent="0.2">
      <c r="A78" s="3">
        <v>82</v>
      </c>
      <c r="B78" s="4" t="s">
        <v>240</v>
      </c>
      <c r="C78" s="7" t="s">
        <v>241</v>
      </c>
      <c r="D78" s="3" t="s">
        <v>10</v>
      </c>
      <c r="E78" s="6">
        <v>0.45500000000000002</v>
      </c>
      <c r="F78" s="3" t="s">
        <v>15</v>
      </c>
      <c r="G78" s="3" t="s">
        <v>242</v>
      </c>
    </row>
    <row r="79" spans="1:7" x14ac:dyDescent="0.2">
      <c r="A79" s="3">
        <v>83</v>
      </c>
      <c r="B79" s="4" t="s">
        <v>243</v>
      </c>
      <c r="C79" s="7" t="s">
        <v>244</v>
      </c>
      <c r="D79" s="3" t="s">
        <v>10</v>
      </c>
      <c r="E79" s="6">
        <v>0.499</v>
      </c>
      <c r="F79" s="3" t="s">
        <v>11</v>
      </c>
      <c r="G79" s="3" t="s">
        <v>245</v>
      </c>
    </row>
    <row r="80" spans="1:7" x14ac:dyDescent="0.2">
      <c r="A80" s="3">
        <v>84</v>
      </c>
      <c r="B80" s="4" t="s">
        <v>246</v>
      </c>
      <c r="C80" s="7" t="s">
        <v>247</v>
      </c>
      <c r="D80" s="3" t="s">
        <v>10</v>
      </c>
      <c r="E80" s="6">
        <v>0.42199999999999999</v>
      </c>
      <c r="F80" s="3" t="s">
        <v>22</v>
      </c>
      <c r="G80" s="3" t="s">
        <v>248</v>
      </c>
    </row>
    <row r="81" spans="1:7" x14ac:dyDescent="0.2">
      <c r="A81" s="3">
        <v>85</v>
      </c>
      <c r="B81" s="4" t="s">
        <v>249</v>
      </c>
      <c r="C81" s="7" t="s">
        <v>250</v>
      </c>
      <c r="D81" s="3" t="s">
        <v>10</v>
      </c>
      <c r="E81" s="6">
        <v>0.442</v>
      </c>
      <c r="F81" s="3" t="s">
        <v>22</v>
      </c>
      <c r="G81" s="3" t="s">
        <v>251</v>
      </c>
    </row>
    <row r="82" spans="1:7" x14ac:dyDescent="0.2">
      <c r="A82" s="3">
        <v>88</v>
      </c>
      <c r="B82" s="4" t="s">
        <v>252</v>
      </c>
      <c r="C82" s="7" t="s">
        <v>253</v>
      </c>
      <c r="D82" s="3" t="s">
        <v>10</v>
      </c>
      <c r="E82" s="6">
        <v>0.45800000000000002</v>
      </c>
      <c r="F82" s="3" t="s">
        <v>11</v>
      </c>
      <c r="G82" s="3" t="s">
        <v>254</v>
      </c>
    </row>
    <row r="83" spans="1:7" x14ac:dyDescent="0.2">
      <c r="A83" s="3">
        <v>90</v>
      </c>
      <c r="B83" s="4" t="s">
        <v>255</v>
      </c>
      <c r="C83" s="7" t="s">
        <v>256</v>
      </c>
      <c r="D83" s="3" t="s">
        <v>10</v>
      </c>
      <c r="E83" s="6">
        <v>0.55400000000000005</v>
      </c>
      <c r="F83" s="3" t="s">
        <v>15</v>
      </c>
      <c r="G83" s="3" t="s">
        <v>257</v>
      </c>
    </row>
    <row r="84" spans="1:7" x14ac:dyDescent="0.2">
      <c r="A84" s="3">
        <v>91</v>
      </c>
      <c r="B84" s="4" t="s">
        <v>258</v>
      </c>
      <c r="C84" s="7" t="s">
        <v>259</v>
      </c>
      <c r="D84" s="3" t="s">
        <v>10</v>
      </c>
      <c r="E84" s="6">
        <v>0.32300000000000001</v>
      </c>
      <c r="F84" s="3" t="s">
        <v>15</v>
      </c>
      <c r="G84" s="3" t="s">
        <v>260</v>
      </c>
    </row>
    <row r="85" spans="1:7" x14ac:dyDescent="0.2">
      <c r="A85" s="3">
        <v>92</v>
      </c>
      <c r="B85" s="4" t="s">
        <v>261</v>
      </c>
      <c r="C85" s="7" t="s">
        <v>262</v>
      </c>
      <c r="D85" s="3" t="s">
        <v>10</v>
      </c>
      <c r="E85" s="6">
        <v>0.45400000000000001</v>
      </c>
      <c r="F85" s="3" t="s">
        <v>15</v>
      </c>
      <c r="G85" s="3" t="s">
        <v>263</v>
      </c>
    </row>
    <row r="86" spans="1:7" x14ac:dyDescent="0.2">
      <c r="A86" s="3">
        <v>93</v>
      </c>
      <c r="B86" s="4" t="s">
        <v>264</v>
      </c>
      <c r="C86" s="7" t="s">
        <v>265</v>
      </c>
      <c r="D86" s="3" t="s">
        <v>10</v>
      </c>
      <c r="E86" s="6">
        <v>0.435</v>
      </c>
      <c r="F86" s="3" t="s">
        <v>15</v>
      </c>
      <c r="G86" s="3" t="s">
        <v>266</v>
      </c>
    </row>
    <row r="87" spans="1:7" x14ac:dyDescent="0.2">
      <c r="A87" s="3">
        <v>94</v>
      </c>
      <c r="B87" s="4" t="s">
        <v>267</v>
      </c>
      <c r="C87" s="7" t="s">
        <v>268</v>
      </c>
      <c r="D87" s="3" t="s">
        <v>10</v>
      </c>
      <c r="E87" s="6">
        <v>0.73099999999999998</v>
      </c>
      <c r="F87" s="3" t="s">
        <v>11</v>
      </c>
      <c r="G87" s="3" t="s">
        <v>269</v>
      </c>
    </row>
    <row r="88" spans="1:7" x14ac:dyDescent="0.2">
      <c r="A88" s="3">
        <v>95</v>
      </c>
      <c r="B88" s="4" t="s">
        <v>270</v>
      </c>
      <c r="C88" s="7" t="s">
        <v>271</v>
      </c>
      <c r="D88" s="3" t="s">
        <v>10</v>
      </c>
      <c r="E88" s="6">
        <v>0.51600000000000001</v>
      </c>
      <c r="F88" s="3" t="s">
        <v>15</v>
      </c>
      <c r="G88" s="3" t="s">
        <v>272</v>
      </c>
    </row>
    <row r="89" spans="1:7" x14ac:dyDescent="0.2">
      <c r="A89" s="3">
        <v>97</v>
      </c>
      <c r="B89" s="4" t="s">
        <v>273</v>
      </c>
      <c r="C89" s="7" t="s">
        <v>274</v>
      </c>
      <c r="D89" s="3" t="s">
        <v>10</v>
      </c>
      <c r="E89" s="6">
        <v>0.371</v>
      </c>
      <c r="F89" s="3" t="s">
        <v>15</v>
      </c>
      <c r="G89" s="3" t="s">
        <v>275</v>
      </c>
    </row>
    <row r="90" spans="1:7" x14ac:dyDescent="0.2">
      <c r="A90" s="3">
        <v>98</v>
      </c>
      <c r="B90" s="4" t="s">
        <v>276</v>
      </c>
      <c r="C90" s="7" t="s">
        <v>277</v>
      </c>
      <c r="D90" s="3" t="s">
        <v>10</v>
      </c>
      <c r="E90" s="6">
        <v>0.318</v>
      </c>
      <c r="F90" s="3" t="s">
        <v>15</v>
      </c>
      <c r="G90" s="3" t="s">
        <v>278</v>
      </c>
    </row>
    <row r="91" spans="1:7" x14ac:dyDescent="0.2">
      <c r="A91" s="3">
        <v>99</v>
      </c>
      <c r="B91" s="4" t="s">
        <v>279</v>
      </c>
      <c r="C91" s="7" t="s">
        <v>280</v>
      </c>
      <c r="D91" s="3" t="s">
        <v>10</v>
      </c>
      <c r="E91" s="6">
        <v>0.504</v>
      </c>
      <c r="F91" s="3" t="s">
        <v>15</v>
      </c>
      <c r="G91" s="3" t="s">
        <v>281</v>
      </c>
    </row>
    <row r="92" spans="1:7" x14ac:dyDescent="0.2">
      <c r="A92" s="3">
        <v>100</v>
      </c>
      <c r="B92" s="4" t="s">
        <v>282</v>
      </c>
      <c r="C92" s="7" t="s">
        <v>283</v>
      </c>
      <c r="D92" s="3" t="s">
        <v>10</v>
      </c>
      <c r="E92" s="6">
        <v>0.56399999999999995</v>
      </c>
      <c r="F92" s="3" t="s">
        <v>11</v>
      </c>
      <c r="G92" s="3" t="s">
        <v>284</v>
      </c>
    </row>
    <row r="93" spans="1:7" x14ac:dyDescent="0.2">
      <c r="A93" s="3">
        <v>101</v>
      </c>
      <c r="B93" s="4" t="s">
        <v>285</v>
      </c>
      <c r="C93" s="7" t="s">
        <v>286</v>
      </c>
      <c r="D93" s="3" t="s">
        <v>10</v>
      </c>
      <c r="E93" s="6">
        <v>0.53</v>
      </c>
      <c r="F93" s="3" t="s">
        <v>11</v>
      </c>
      <c r="G93" s="3" t="s">
        <v>287</v>
      </c>
    </row>
    <row r="94" spans="1:7" x14ac:dyDescent="0.2">
      <c r="A94" s="3">
        <v>102</v>
      </c>
      <c r="B94" s="4" t="s">
        <v>288</v>
      </c>
      <c r="C94" s="7" t="s">
        <v>289</v>
      </c>
      <c r="D94" s="3" t="s">
        <v>10</v>
      </c>
      <c r="E94" s="6">
        <v>0.63400000000000001</v>
      </c>
      <c r="F94" s="3" t="s">
        <v>15</v>
      </c>
      <c r="G94" s="3" t="s">
        <v>290</v>
      </c>
    </row>
    <row r="95" spans="1:7" x14ac:dyDescent="0.2">
      <c r="A95" s="3">
        <v>103</v>
      </c>
      <c r="B95" s="4" t="s">
        <v>291</v>
      </c>
      <c r="C95" s="7" t="s">
        <v>292</v>
      </c>
      <c r="D95" s="3" t="s">
        <v>10</v>
      </c>
      <c r="E95" s="6">
        <v>0.55200000000000005</v>
      </c>
      <c r="F95" s="3" t="s">
        <v>15</v>
      </c>
      <c r="G95" s="3" t="s">
        <v>293</v>
      </c>
    </row>
    <row r="96" spans="1:7" x14ac:dyDescent="0.2">
      <c r="A96" s="3">
        <v>104</v>
      </c>
      <c r="B96" s="4" t="s">
        <v>294</v>
      </c>
      <c r="C96" s="7" t="s">
        <v>295</v>
      </c>
      <c r="D96" s="3" t="s">
        <v>10</v>
      </c>
      <c r="E96" s="6">
        <v>0.73199999999999998</v>
      </c>
      <c r="F96" s="3" t="s">
        <v>11</v>
      </c>
      <c r="G96" s="3" t="s">
        <v>296</v>
      </c>
    </row>
    <row r="97" spans="1:7" x14ac:dyDescent="0.2">
      <c r="A97" s="3">
        <v>105</v>
      </c>
      <c r="B97" s="4" t="s">
        <v>297</v>
      </c>
      <c r="C97" s="7" t="s">
        <v>298</v>
      </c>
      <c r="D97" s="3" t="s">
        <v>10</v>
      </c>
      <c r="E97" s="6">
        <v>0.60799999999999998</v>
      </c>
      <c r="F97" s="3" t="s">
        <v>15</v>
      </c>
      <c r="G97" s="3" t="s">
        <v>299</v>
      </c>
    </row>
    <row r="98" spans="1:7" x14ac:dyDescent="0.2">
      <c r="A98" s="3">
        <v>106</v>
      </c>
      <c r="B98" s="4" t="s">
        <v>300</v>
      </c>
      <c r="C98" s="7" t="s">
        <v>301</v>
      </c>
      <c r="D98" s="3" t="s">
        <v>10</v>
      </c>
      <c r="E98" s="6">
        <v>0.57499999999999996</v>
      </c>
      <c r="F98" s="3" t="s">
        <v>15</v>
      </c>
      <c r="G98" s="3" t="s">
        <v>302</v>
      </c>
    </row>
    <row r="99" spans="1:7" x14ac:dyDescent="0.2">
      <c r="A99" s="3">
        <v>107</v>
      </c>
      <c r="B99" s="4" t="s">
        <v>303</v>
      </c>
      <c r="C99" s="7" t="s">
        <v>304</v>
      </c>
      <c r="D99" s="3" t="s">
        <v>10</v>
      </c>
      <c r="E99" s="6">
        <v>0.60399999999999998</v>
      </c>
      <c r="F99" s="3" t="s">
        <v>15</v>
      </c>
      <c r="G99" s="3" t="s">
        <v>305</v>
      </c>
    </row>
    <row r="100" spans="1:7" x14ac:dyDescent="0.2">
      <c r="A100" s="3">
        <v>108</v>
      </c>
      <c r="B100" s="4" t="s">
        <v>306</v>
      </c>
      <c r="C100" s="7" t="s">
        <v>307</v>
      </c>
      <c r="D100" s="3" t="s">
        <v>10</v>
      </c>
      <c r="E100" s="6">
        <v>0.69099999999999995</v>
      </c>
      <c r="F100" s="3" t="s">
        <v>11</v>
      </c>
      <c r="G100" s="3" t="s">
        <v>308</v>
      </c>
    </row>
    <row r="101" spans="1:7" x14ac:dyDescent="0.2">
      <c r="A101" s="3">
        <v>111</v>
      </c>
      <c r="B101" s="4" t="s">
        <v>309</v>
      </c>
      <c r="C101" s="7" t="s">
        <v>310</v>
      </c>
      <c r="D101" s="3" t="s">
        <v>10</v>
      </c>
      <c r="E101" s="6">
        <v>0.436</v>
      </c>
      <c r="F101" s="3" t="s">
        <v>11</v>
      </c>
      <c r="G101" s="3" t="s">
        <v>311</v>
      </c>
    </row>
    <row r="102" spans="1:7" x14ac:dyDescent="0.2">
      <c r="A102" s="3">
        <v>112</v>
      </c>
      <c r="B102" s="4" t="s">
        <v>312</v>
      </c>
      <c r="C102" s="7" t="s">
        <v>313</v>
      </c>
      <c r="D102" s="3" t="s">
        <v>10</v>
      </c>
      <c r="E102" s="6">
        <v>0.47699999999999998</v>
      </c>
      <c r="F102" s="3" t="s">
        <v>11</v>
      </c>
      <c r="G102" s="3" t="s">
        <v>314</v>
      </c>
    </row>
    <row r="103" spans="1:7" x14ac:dyDescent="0.2">
      <c r="A103" s="3">
        <v>113</v>
      </c>
      <c r="B103" s="4" t="s">
        <v>315</v>
      </c>
      <c r="C103" s="7" t="s">
        <v>316</v>
      </c>
      <c r="D103" s="3" t="s">
        <v>10</v>
      </c>
      <c r="E103" s="6">
        <v>0.56699999999999995</v>
      </c>
      <c r="F103" s="3" t="s">
        <v>15</v>
      </c>
      <c r="G103" s="3" t="s">
        <v>317</v>
      </c>
    </row>
    <row r="104" spans="1:7" x14ac:dyDescent="0.2">
      <c r="A104" s="3">
        <v>114</v>
      </c>
      <c r="B104" s="4" t="s">
        <v>318</v>
      </c>
      <c r="C104" s="7" t="s">
        <v>319</v>
      </c>
      <c r="D104" s="3" t="s">
        <v>10</v>
      </c>
      <c r="E104" s="6">
        <v>0.61199999999999999</v>
      </c>
      <c r="F104" s="3" t="s">
        <v>15</v>
      </c>
      <c r="G104" s="3" t="s">
        <v>320</v>
      </c>
    </row>
    <row r="105" spans="1:7" x14ac:dyDescent="0.2">
      <c r="A105" s="3">
        <v>116</v>
      </c>
      <c r="B105" s="4" t="s">
        <v>321</v>
      </c>
      <c r="C105" s="7" t="s">
        <v>322</v>
      </c>
      <c r="D105" s="3" t="s">
        <v>10</v>
      </c>
      <c r="E105" s="6">
        <v>0.59499999999999997</v>
      </c>
      <c r="F105" s="3" t="s">
        <v>15</v>
      </c>
      <c r="G105" s="3" t="s">
        <v>323</v>
      </c>
    </row>
    <row r="106" spans="1:7" x14ac:dyDescent="0.2">
      <c r="A106" s="3">
        <v>117</v>
      </c>
      <c r="B106" s="4" t="s">
        <v>324</v>
      </c>
      <c r="C106" s="7" t="s">
        <v>325</v>
      </c>
      <c r="D106" s="3" t="s">
        <v>10</v>
      </c>
      <c r="E106" s="6">
        <v>0.498</v>
      </c>
      <c r="F106" s="3" t="s">
        <v>15</v>
      </c>
      <c r="G106" s="3" t="s">
        <v>326</v>
      </c>
    </row>
    <row r="107" spans="1:7" x14ac:dyDescent="0.2">
      <c r="A107" s="3">
        <v>118</v>
      </c>
      <c r="B107" s="4" t="s">
        <v>327</v>
      </c>
      <c r="C107" s="7" t="s">
        <v>328</v>
      </c>
      <c r="D107" s="3" t="s">
        <v>10</v>
      </c>
      <c r="E107" s="6">
        <v>0.69299999999999995</v>
      </c>
      <c r="F107" s="3" t="s">
        <v>11</v>
      </c>
      <c r="G107" s="3" t="s">
        <v>329</v>
      </c>
    </row>
    <row r="108" spans="1:7" x14ac:dyDescent="0.2">
      <c r="A108" s="3">
        <v>119</v>
      </c>
      <c r="B108" s="4" t="s">
        <v>330</v>
      </c>
      <c r="C108" s="7" t="s">
        <v>331</v>
      </c>
      <c r="D108" s="3" t="s">
        <v>10</v>
      </c>
      <c r="E108" s="6">
        <v>0.59799999999999998</v>
      </c>
      <c r="F108" s="3" t="s">
        <v>11</v>
      </c>
      <c r="G108" s="3" t="s">
        <v>332</v>
      </c>
    </row>
    <row r="109" spans="1:7" x14ac:dyDescent="0.2">
      <c r="A109" s="3">
        <v>120</v>
      </c>
      <c r="B109" s="4" t="s">
        <v>333</v>
      </c>
      <c r="C109" s="7" t="s">
        <v>334</v>
      </c>
      <c r="D109" s="3" t="s">
        <v>10</v>
      </c>
      <c r="E109" s="6">
        <v>0.54</v>
      </c>
      <c r="F109" s="3" t="s">
        <v>15</v>
      </c>
      <c r="G109" s="3" t="s">
        <v>335</v>
      </c>
    </row>
    <row r="110" spans="1:7" x14ac:dyDescent="0.2">
      <c r="A110" s="3">
        <v>121</v>
      </c>
      <c r="B110" s="4" t="s">
        <v>336</v>
      </c>
      <c r="C110" s="7" t="s">
        <v>337</v>
      </c>
      <c r="D110" s="3" t="s">
        <v>10</v>
      </c>
      <c r="E110" s="6">
        <v>0.54400000000000004</v>
      </c>
      <c r="F110" s="3" t="s">
        <v>11</v>
      </c>
      <c r="G110" s="3" t="s">
        <v>338</v>
      </c>
    </row>
    <row r="111" spans="1:7" x14ac:dyDescent="0.2">
      <c r="A111" s="3">
        <v>122</v>
      </c>
      <c r="B111" s="4" t="s">
        <v>339</v>
      </c>
      <c r="C111" s="7" t="s">
        <v>340</v>
      </c>
      <c r="D111" s="3" t="s">
        <v>10</v>
      </c>
      <c r="E111" s="6">
        <v>0.63400000000000001</v>
      </c>
      <c r="F111" s="3" t="s">
        <v>15</v>
      </c>
      <c r="G111" s="3" t="s">
        <v>341</v>
      </c>
    </row>
    <row r="112" spans="1:7" x14ac:dyDescent="0.2">
      <c r="A112" s="3">
        <v>123</v>
      </c>
      <c r="B112" s="4" t="s">
        <v>342</v>
      </c>
      <c r="C112" s="7" t="s">
        <v>343</v>
      </c>
      <c r="D112" s="3" t="s">
        <v>10</v>
      </c>
      <c r="E112" s="6">
        <v>0.44900000000000001</v>
      </c>
      <c r="F112" s="3" t="s">
        <v>22</v>
      </c>
      <c r="G112" s="3" t="s">
        <v>344</v>
      </c>
    </row>
    <row r="113" spans="1:7" x14ac:dyDescent="0.2">
      <c r="A113" s="3">
        <v>124</v>
      </c>
      <c r="B113" s="4" t="s">
        <v>345</v>
      </c>
      <c r="C113" s="7" t="s">
        <v>346</v>
      </c>
      <c r="D113" s="3" t="s">
        <v>10</v>
      </c>
      <c r="E113" s="6">
        <v>0.38500000000000001</v>
      </c>
      <c r="F113" s="3" t="s">
        <v>22</v>
      </c>
      <c r="G113" s="3" t="s">
        <v>347</v>
      </c>
    </row>
    <row r="114" spans="1:7" x14ac:dyDescent="0.2">
      <c r="A114" s="3">
        <v>125</v>
      </c>
      <c r="B114" s="4" t="s">
        <v>348</v>
      </c>
      <c r="C114" s="7" t="s">
        <v>349</v>
      </c>
      <c r="D114" s="3" t="s">
        <v>10</v>
      </c>
      <c r="E114" s="6">
        <v>0.437</v>
      </c>
      <c r="F114" s="3" t="s">
        <v>11</v>
      </c>
      <c r="G114" s="3" t="s">
        <v>350</v>
      </c>
    </row>
    <row r="115" spans="1:7" x14ac:dyDescent="0.2">
      <c r="A115" s="3">
        <v>126</v>
      </c>
      <c r="B115" s="4" t="s">
        <v>351</v>
      </c>
      <c r="C115" s="7" t="s">
        <v>352</v>
      </c>
      <c r="D115" s="3" t="s">
        <v>10</v>
      </c>
      <c r="E115" s="6">
        <v>0.27600000000000002</v>
      </c>
      <c r="F115" s="3" t="s">
        <v>22</v>
      </c>
      <c r="G115" s="3" t="s">
        <v>353</v>
      </c>
    </row>
    <row r="116" spans="1:7" x14ac:dyDescent="0.2">
      <c r="A116" s="3">
        <v>127</v>
      </c>
      <c r="B116" s="4" t="s">
        <v>354</v>
      </c>
      <c r="C116" s="7" t="s">
        <v>355</v>
      </c>
      <c r="D116" s="3" t="s">
        <v>10</v>
      </c>
      <c r="E116" s="6">
        <v>0.36699999999999999</v>
      </c>
      <c r="F116" s="3" t="s">
        <v>22</v>
      </c>
      <c r="G116" s="3" t="s">
        <v>356</v>
      </c>
    </row>
    <row r="117" spans="1:7" x14ac:dyDescent="0.2">
      <c r="A117" s="3">
        <v>128</v>
      </c>
      <c r="B117" s="4" t="s">
        <v>357</v>
      </c>
      <c r="C117" s="7" t="s">
        <v>358</v>
      </c>
      <c r="D117" s="3" t="s">
        <v>10</v>
      </c>
      <c r="E117" s="6">
        <v>0.48899999999999999</v>
      </c>
      <c r="F117" s="3" t="s">
        <v>15</v>
      </c>
      <c r="G117" s="3" t="s">
        <v>359</v>
      </c>
    </row>
    <row r="118" spans="1:7" x14ac:dyDescent="0.2">
      <c r="A118" s="3">
        <v>129</v>
      </c>
      <c r="B118" s="4" t="s">
        <v>360</v>
      </c>
      <c r="C118" s="7" t="s">
        <v>361</v>
      </c>
      <c r="D118" s="3" t="s">
        <v>10</v>
      </c>
      <c r="E118" s="6">
        <v>0.58799999999999997</v>
      </c>
      <c r="F118" s="3" t="s">
        <v>15</v>
      </c>
      <c r="G118" s="3" t="s">
        <v>362</v>
      </c>
    </row>
    <row r="119" spans="1:7" x14ac:dyDescent="0.2">
      <c r="A119" s="3">
        <v>130</v>
      </c>
      <c r="B119" s="4" t="s">
        <v>363</v>
      </c>
      <c r="C119" s="7" t="s">
        <v>364</v>
      </c>
      <c r="D119" s="3" t="s">
        <v>10</v>
      </c>
      <c r="E119" s="6">
        <v>0.36099999999999999</v>
      </c>
      <c r="F119" s="3" t="s">
        <v>15</v>
      </c>
      <c r="G119" s="3" t="s">
        <v>365</v>
      </c>
    </row>
    <row r="120" spans="1:7" x14ac:dyDescent="0.2">
      <c r="A120" s="3">
        <v>131</v>
      </c>
      <c r="B120" s="4" t="s">
        <v>366</v>
      </c>
      <c r="C120" s="7" t="s">
        <v>367</v>
      </c>
      <c r="D120" s="3" t="s">
        <v>10</v>
      </c>
      <c r="E120" s="6">
        <v>0.625</v>
      </c>
      <c r="F120" s="3" t="s">
        <v>15</v>
      </c>
      <c r="G120" s="3" t="s">
        <v>368</v>
      </c>
    </row>
    <row r="121" spans="1:7" x14ac:dyDescent="0.2">
      <c r="A121" s="3">
        <v>132</v>
      </c>
      <c r="B121" s="4" t="s">
        <v>369</v>
      </c>
      <c r="C121" s="7" t="s">
        <v>370</v>
      </c>
      <c r="D121" s="3" t="s">
        <v>10</v>
      </c>
      <c r="E121" s="6">
        <v>0.33600000000000002</v>
      </c>
      <c r="F121" s="3" t="s">
        <v>22</v>
      </c>
      <c r="G121" s="3" t="s">
        <v>371</v>
      </c>
    </row>
    <row r="122" spans="1:7" x14ac:dyDescent="0.2">
      <c r="A122" s="3">
        <v>133</v>
      </c>
      <c r="B122" s="4" t="s">
        <v>372</v>
      </c>
      <c r="C122" s="7" t="s">
        <v>373</v>
      </c>
      <c r="D122" s="3" t="s">
        <v>10</v>
      </c>
      <c r="E122" s="6">
        <v>0.50800000000000001</v>
      </c>
      <c r="F122" s="3" t="s">
        <v>15</v>
      </c>
      <c r="G122" s="3" t="s">
        <v>374</v>
      </c>
    </row>
    <row r="123" spans="1:7" x14ac:dyDescent="0.2">
      <c r="A123" s="3">
        <v>134</v>
      </c>
      <c r="B123" s="4" t="s">
        <v>375</v>
      </c>
      <c r="C123" s="7" t="s">
        <v>376</v>
      </c>
      <c r="D123" s="3" t="s">
        <v>10</v>
      </c>
      <c r="E123" s="6">
        <v>0.45100000000000001</v>
      </c>
      <c r="F123" s="3" t="s">
        <v>15</v>
      </c>
      <c r="G123" s="3" t="s">
        <v>377</v>
      </c>
    </row>
    <row r="124" spans="1:7" x14ac:dyDescent="0.2">
      <c r="A124" s="3">
        <v>135</v>
      </c>
      <c r="B124" s="4" t="s">
        <v>378</v>
      </c>
      <c r="C124" s="7" t="s">
        <v>379</v>
      </c>
      <c r="D124" s="3" t="s">
        <v>10</v>
      </c>
      <c r="E124" s="6">
        <v>0.40799999999999997</v>
      </c>
      <c r="F124" s="3" t="s">
        <v>22</v>
      </c>
      <c r="G124" s="3" t="s">
        <v>380</v>
      </c>
    </row>
    <row r="125" spans="1:7" x14ac:dyDescent="0.2">
      <c r="A125" s="3">
        <v>136</v>
      </c>
      <c r="B125" s="4" t="s">
        <v>381</v>
      </c>
      <c r="C125" s="7" t="s">
        <v>382</v>
      </c>
      <c r="D125" s="3" t="s">
        <v>10</v>
      </c>
      <c r="E125" s="6">
        <v>0.70099999999999996</v>
      </c>
      <c r="F125" s="3" t="s">
        <v>11</v>
      </c>
      <c r="G125" s="3" t="s">
        <v>383</v>
      </c>
    </row>
    <row r="126" spans="1:7" x14ac:dyDescent="0.2">
      <c r="A126" s="3">
        <v>137</v>
      </c>
      <c r="B126" s="4" t="s">
        <v>384</v>
      </c>
      <c r="C126" s="7" t="s">
        <v>385</v>
      </c>
      <c r="D126" s="3" t="s">
        <v>10</v>
      </c>
      <c r="E126" s="6">
        <v>0.57899999999999996</v>
      </c>
      <c r="F126" s="3" t="s">
        <v>15</v>
      </c>
      <c r="G126" s="3" t="s">
        <v>386</v>
      </c>
    </row>
    <row r="127" spans="1:7" x14ac:dyDescent="0.2">
      <c r="A127" s="3">
        <v>138</v>
      </c>
      <c r="B127" s="4" t="s">
        <v>387</v>
      </c>
      <c r="C127" s="7" t="s">
        <v>388</v>
      </c>
      <c r="D127" s="3" t="s">
        <v>10</v>
      </c>
      <c r="E127" s="6">
        <v>0.50600000000000001</v>
      </c>
      <c r="F127" s="3" t="s">
        <v>15</v>
      </c>
      <c r="G127" s="3" t="s">
        <v>389</v>
      </c>
    </row>
    <row r="128" spans="1:7" x14ac:dyDescent="0.2">
      <c r="A128" s="3">
        <v>139</v>
      </c>
      <c r="B128" s="4" t="s">
        <v>390</v>
      </c>
      <c r="C128" s="7" t="s">
        <v>391</v>
      </c>
      <c r="D128" s="3" t="s">
        <v>10</v>
      </c>
      <c r="E128" s="6">
        <v>0.45500000000000002</v>
      </c>
      <c r="F128" s="3" t="s">
        <v>15</v>
      </c>
      <c r="G128" s="3" t="s">
        <v>392</v>
      </c>
    </row>
    <row r="129" spans="1:7" x14ac:dyDescent="0.2">
      <c r="A129" s="3">
        <v>140</v>
      </c>
      <c r="B129" s="4" t="s">
        <v>393</v>
      </c>
      <c r="C129" s="7" t="s">
        <v>394</v>
      </c>
      <c r="D129" s="3" t="s">
        <v>10</v>
      </c>
      <c r="E129" s="6">
        <v>0.44600000000000001</v>
      </c>
      <c r="F129" s="3" t="s">
        <v>22</v>
      </c>
      <c r="G129" s="3" t="s">
        <v>395</v>
      </c>
    </row>
    <row r="130" spans="1:7" x14ac:dyDescent="0.2">
      <c r="A130" s="3">
        <v>141</v>
      </c>
      <c r="B130" s="4" t="s">
        <v>396</v>
      </c>
      <c r="C130" s="7" t="s">
        <v>397</v>
      </c>
      <c r="D130" s="3" t="s">
        <v>10</v>
      </c>
      <c r="E130" s="6">
        <v>0.46899999999999997</v>
      </c>
      <c r="F130" s="3" t="s">
        <v>11</v>
      </c>
      <c r="G130" s="3" t="s">
        <v>398</v>
      </c>
    </row>
    <row r="131" spans="1:7" x14ac:dyDescent="0.2">
      <c r="A131" s="3">
        <v>142</v>
      </c>
      <c r="B131" s="4" t="s">
        <v>399</v>
      </c>
      <c r="C131" s="7" t="s">
        <v>400</v>
      </c>
      <c r="D131" s="3" t="s">
        <v>10</v>
      </c>
      <c r="E131" s="6">
        <v>0.46500000000000002</v>
      </c>
      <c r="F131" s="3" t="s">
        <v>15</v>
      </c>
      <c r="G131" s="3" t="s">
        <v>401</v>
      </c>
    </row>
    <row r="132" spans="1:7" x14ac:dyDescent="0.2">
      <c r="A132" s="3">
        <v>143</v>
      </c>
      <c r="B132" s="4" t="s">
        <v>402</v>
      </c>
      <c r="C132" s="7" t="s">
        <v>403</v>
      </c>
      <c r="D132" s="3" t="s">
        <v>10</v>
      </c>
      <c r="E132" s="6">
        <v>0.51200000000000001</v>
      </c>
      <c r="F132" s="3" t="s">
        <v>15</v>
      </c>
      <c r="G132" s="3" t="s">
        <v>404</v>
      </c>
    </row>
    <row r="133" spans="1:7" x14ac:dyDescent="0.2">
      <c r="A133" s="3">
        <v>146</v>
      </c>
      <c r="B133" s="4" t="s">
        <v>405</v>
      </c>
      <c r="C133" s="7" t="s">
        <v>406</v>
      </c>
      <c r="D133" s="3" t="s">
        <v>10</v>
      </c>
      <c r="E133" s="6">
        <v>0.40500000000000003</v>
      </c>
      <c r="F133" s="3" t="s">
        <v>15</v>
      </c>
      <c r="G133" s="3" t="s">
        <v>407</v>
      </c>
    </row>
    <row r="134" spans="1:7" x14ac:dyDescent="0.2">
      <c r="A134" s="3">
        <v>148</v>
      </c>
      <c r="B134" s="4" t="s">
        <v>408</v>
      </c>
      <c r="C134" s="7" t="s">
        <v>409</v>
      </c>
      <c r="D134" s="3" t="s">
        <v>10</v>
      </c>
      <c r="E134" s="6">
        <v>0.54300000000000004</v>
      </c>
      <c r="F134" s="3" t="s">
        <v>15</v>
      </c>
      <c r="G134" s="3" t="s">
        <v>410</v>
      </c>
    </row>
    <row r="135" spans="1:7" x14ac:dyDescent="0.2">
      <c r="A135" s="3">
        <v>149</v>
      </c>
      <c r="B135" s="4" t="s">
        <v>411</v>
      </c>
      <c r="C135" s="7" t="s">
        <v>412</v>
      </c>
      <c r="D135" s="3" t="s">
        <v>10</v>
      </c>
      <c r="E135" s="6">
        <v>0.218</v>
      </c>
      <c r="F135" s="3" t="s">
        <v>22</v>
      </c>
      <c r="G135" s="3" t="s">
        <v>413</v>
      </c>
    </row>
    <row r="136" spans="1:7" x14ac:dyDescent="0.2">
      <c r="A136" s="3">
        <v>150</v>
      </c>
      <c r="B136" s="4" t="s">
        <v>414</v>
      </c>
      <c r="C136" s="7" t="s">
        <v>415</v>
      </c>
      <c r="D136" s="3" t="s">
        <v>10</v>
      </c>
      <c r="E136" s="6">
        <v>0.441</v>
      </c>
      <c r="F136" s="3" t="s">
        <v>15</v>
      </c>
      <c r="G136" s="3" t="s">
        <v>416</v>
      </c>
    </row>
    <row r="137" spans="1:7" x14ac:dyDescent="0.2">
      <c r="A137" s="3">
        <v>151</v>
      </c>
      <c r="B137" s="4" t="s">
        <v>417</v>
      </c>
      <c r="C137" s="7" t="s">
        <v>418</v>
      </c>
      <c r="D137" s="3" t="s">
        <v>10</v>
      </c>
      <c r="E137" s="6">
        <v>0.318</v>
      </c>
      <c r="F137" s="3" t="s">
        <v>15</v>
      </c>
      <c r="G137" s="3" t="s">
        <v>419</v>
      </c>
    </row>
    <row r="138" spans="1:7" x14ac:dyDescent="0.2">
      <c r="A138" s="3">
        <v>152</v>
      </c>
      <c r="B138" s="4" t="s">
        <v>420</v>
      </c>
      <c r="C138" s="7" t="s">
        <v>421</v>
      </c>
      <c r="D138" s="3" t="s">
        <v>10</v>
      </c>
      <c r="E138" s="6">
        <v>0.34899999999999998</v>
      </c>
      <c r="F138" s="3" t="s">
        <v>15</v>
      </c>
      <c r="G138" s="3" t="s">
        <v>422</v>
      </c>
    </row>
    <row r="139" spans="1:7" x14ac:dyDescent="0.2">
      <c r="A139" s="3">
        <v>153</v>
      </c>
      <c r="B139" s="4" t="s">
        <v>423</v>
      </c>
      <c r="C139" s="7" t="s">
        <v>424</v>
      </c>
      <c r="D139" s="3" t="s">
        <v>10</v>
      </c>
      <c r="E139" s="6">
        <v>0.48499999999999999</v>
      </c>
      <c r="F139" s="3" t="s">
        <v>15</v>
      </c>
      <c r="G139" s="3" t="s">
        <v>425</v>
      </c>
    </row>
    <row r="140" spans="1:7" x14ac:dyDescent="0.2">
      <c r="A140" s="3">
        <v>155</v>
      </c>
      <c r="B140" s="4" t="s">
        <v>426</v>
      </c>
      <c r="C140" s="7" t="s">
        <v>427</v>
      </c>
      <c r="D140" s="3" t="s">
        <v>10</v>
      </c>
      <c r="E140" s="6">
        <v>0.51900000000000002</v>
      </c>
      <c r="F140" s="3" t="s">
        <v>15</v>
      </c>
      <c r="G140" s="3" t="s">
        <v>428</v>
      </c>
    </row>
    <row r="141" spans="1:7" x14ac:dyDescent="0.2">
      <c r="A141" s="3">
        <v>159</v>
      </c>
      <c r="B141" s="4" t="s">
        <v>429</v>
      </c>
      <c r="C141" s="7" t="s">
        <v>430</v>
      </c>
      <c r="D141" s="3" t="s">
        <v>431</v>
      </c>
      <c r="E141" s="6">
        <v>0.53500000000000003</v>
      </c>
      <c r="F141" s="3" t="s">
        <v>15</v>
      </c>
      <c r="G141" s="3" t="s">
        <v>432</v>
      </c>
    </row>
    <row r="142" spans="1:7" x14ac:dyDescent="0.2">
      <c r="A142" s="3">
        <v>160</v>
      </c>
      <c r="B142" s="4" t="s">
        <v>433</v>
      </c>
      <c r="C142" s="7" t="s">
        <v>434</v>
      </c>
      <c r="D142" s="3" t="s">
        <v>10</v>
      </c>
      <c r="E142" s="6">
        <v>0.53400000000000003</v>
      </c>
      <c r="F142" s="3" t="s">
        <v>11</v>
      </c>
      <c r="G142" s="3" t="s">
        <v>435</v>
      </c>
    </row>
    <row r="143" spans="1:7" x14ac:dyDescent="0.2">
      <c r="A143" s="3">
        <v>162</v>
      </c>
      <c r="B143" s="4" t="s">
        <v>436</v>
      </c>
      <c r="C143" s="7" t="s">
        <v>437</v>
      </c>
      <c r="D143" s="3" t="s">
        <v>10</v>
      </c>
      <c r="E143" s="6">
        <v>0.46200000000000002</v>
      </c>
      <c r="F143" s="3" t="s">
        <v>15</v>
      </c>
      <c r="G143" s="3" t="s">
        <v>438</v>
      </c>
    </row>
    <row r="144" spans="1:7" x14ac:dyDescent="0.2">
      <c r="A144" s="3">
        <v>165</v>
      </c>
      <c r="B144" s="4" t="s">
        <v>439</v>
      </c>
      <c r="C144" s="7" t="s">
        <v>440</v>
      </c>
      <c r="D144" s="3" t="s">
        <v>10</v>
      </c>
      <c r="E144" s="6">
        <v>0.35399999999999998</v>
      </c>
      <c r="F144" s="3" t="s">
        <v>15</v>
      </c>
      <c r="G144" s="3" t="s">
        <v>441</v>
      </c>
    </row>
    <row r="145" spans="1:7" x14ac:dyDescent="0.2">
      <c r="A145" s="3">
        <v>167</v>
      </c>
      <c r="B145" s="4" t="s">
        <v>442</v>
      </c>
      <c r="C145" s="7" t="s">
        <v>443</v>
      </c>
      <c r="D145" s="3" t="s">
        <v>10</v>
      </c>
      <c r="E145" s="6">
        <v>0.6</v>
      </c>
      <c r="F145" s="3" t="s">
        <v>15</v>
      </c>
      <c r="G145" s="3" t="s">
        <v>444</v>
      </c>
    </row>
    <row r="146" spans="1:7" x14ac:dyDescent="0.2">
      <c r="A146" s="3">
        <v>168</v>
      </c>
      <c r="B146" s="4" t="s">
        <v>445</v>
      </c>
      <c r="C146" s="7" t="s">
        <v>446</v>
      </c>
      <c r="D146" s="3" t="s">
        <v>10</v>
      </c>
      <c r="E146" s="6">
        <v>0.34799999999999998</v>
      </c>
      <c r="F146" s="3" t="s">
        <v>11</v>
      </c>
      <c r="G146" s="3" t="s">
        <v>447</v>
      </c>
    </row>
    <row r="147" spans="1:7" x14ac:dyDescent="0.2">
      <c r="A147" s="3">
        <v>169</v>
      </c>
      <c r="B147" s="4" t="s">
        <v>448</v>
      </c>
      <c r="C147" s="7" t="s">
        <v>449</v>
      </c>
      <c r="D147" s="3" t="s">
        <v>10</v>
      </c>
      <c r="E147" s="6">
        <v>0.63900000000000001</v>
      </c>
      <c r="F147" s="3" t="s">
        <v>11</v>
      </c>
      <c r="G147" s="3" t="s">
        <v>450</v>
      </c>
    </row>
    <row r="148" spans="1:7" x14ac:dyDescent="0.2">
      <c r="A148" s="3">
        <v>173</v>
      </c>
      <c r="B148" s="4" t="s">
        <v>451</v>
      </c>
      <c r="C148" s="7" t="s">
        <v>452</v>
      </c>
      <c r="D148" s="3" t="s">
        <v>10</v>
      </c>
      <c r="E148" s="6">
        <v>0.69199999999999995</v>
      </c>
      <c r="F148" s="3" t="s">
        <v>15</v>
      </c>
      <c r="G148" s="3" t="s">
        <v>453</v>
      </c>
    </row>
    <row r="149" spans="1:7" x14ac:dyDescent="0.2">
      <c r="A149" s="3">
        <v>175</v>
      </c>
      <c r="B149" s="4" t="s">
        <v>454</v>
      </c>
      <c r="C149" s="7" t="s">
        <v>455</v>
      </c>
      <c r="D149" s="3" t="s">
        <v>10</v>
      </c>
      <c r="E149" s="6">
        <v>0.73099999999999998</v>
      </c>
      <c r="F149" s="3" t="s">
        <v>11</v>
      </c>
      <c r="G149" s="3" t="s">
        <v>456</v>
      </c>
    </row>
    <row r="150" spans="1:7" x14ac:dyDescent="0.2">
      <c r="A150" s="3">
        <v>176</v>
      </c>
      <c r="B150" s="4" t="s">
        <v>457</v>
      </c>
      <c r="C150" s="7" t="s">
        <v>458</v>
      </c>
      <c r="D150" s="3" t="s">
        <v>10</v>
      </c>
      <c r="E150" s="6">
        <v>0.36599999999999999</v>
      </c>
      <c r="F150" s="3" t="s">
        <v>15</v>
      </c>
      <c r="G150" s="3" t="s">
        <v>459</v>
      </c>
    </row>
    <row r="151" spans="1:7" x14ac:dyDescent="0.2">
      <c r="A151" s="3">
        <v>177</v>
      </c>
      <c r="B151" s="4" t="s">
        <v>460</v>
      </c>
      <c r="C151" s="7" t="s">
        <v>461</v>
      </c>
      <c r="D151" s="3" t="s">
        <v>10</v>
      </c>
      <c r="E151" s="6">
        <v>0.375</v>
      </c>
      <c r="F151" s="3" t="s">
        <v>15</v>
      </c>
      <c r="G151" s="3" t="s">
        <v>462</v>
      </c>
    </row>
    <row r="152" spans="1:7" x14ac:dyDescent="0.2">
      <c r="A152" s="3">
        <v>178</v>
      </c>
      <c r="B152" s="4" t="s">
        <v>463</v>
      </c>
      <c r="C152" s="7" t="s">
        <v>464</v>
      </c>
      <c r="D152" s="3" t="s">
        <v>10</v>
      </c>
      <c r="E152" s="6">
        <v>0.60099999999999998</v>
      </c>
      <c r="F152" s="3" t="s">
        <v>15</v>
      </c>
      <c r="G152" s="3" t="s">
        <v>465</v>
      </c>
    </row>
    <row r="153" spans="1:7" x14ac:dyDescent="0.2">
      <c r="A153" s="3">
        <v>179</v>
      </c>
      <c r="B153" s="4" t="s">
        <v>466</v>
      </c>
      <c r="C153" s="7" t="s">
        <v>467</v>
      </c>
      <c r="D153" s="3" t="s">
        <v>10</v>
      </c>
      <c r="E153" s="6">
        <v>0.34100000000000003</v>
      </c>
      <c r="F153" s="3" t="s">
        <v>15</v>
      </c>
      <c r="G153" s="3" t="s">
        <v>468</v>
      </c>
    </row>
    <row r="154" spans="1:7" x14ac:dyDescent="0.2">
      <c r="A154" s="3">
        <v>180</v>
      </c>
      <c r="B154" s="4" t="s">
        <v>469</v>
      </c>
      <c r="C154" s="7" t="s">
        <v>470</v>
      </c>
      <c r="D154" s="3" t="s">
        <v>10</v>
      </c>
      <c r="E154" s="6">
        <v>0.46800000000000003</v>
      </c>
      <c r="F154" s="3" t="s">
        <v>15</v>
      </c>
      <c r="G154" s="3" t="s">
        <v>471</v>
      </c>
    </row>
    <row r="155" spans="1:7" x14ac:dyDescent="0.2">
      <c r="A155" s="3">
        <v>181</v>
      </c>
      <c r="B155" s="4" t="s">
        <v>472</v>
      </c>
      <c r="C155" s="7" t="s">
        <v>473</v>
      </c>
      <c r="D155" s="3" t="s">
        <v>10</v>
      </c>
      <c r="E155" s="6">
        <v>0.68600000000000005</v>
      </c>
      <c r="F155" s="3" t="s">
        <v>11</v>
      </c>
      <c r="G155" s="3" t="s">
        <v>474</v>
      </c>
    </row>
    <row r="156" spans="1:7" x14ac:dyDescent="0.2">
      <c r="A156" s="3">
        <v>183</v>
      </c>
      <c r="B156" s="4" t="s">
        <v>475</v>
      </c>
      <c r="C156" s="7" t="s">
        <v>476</v>
      </c>
      <c r="D156" s="3" t="s">
        <v>10</v>
      </c>
      <c r="E156" s="6">
        <v>0.68100000000000005</v>
      </c>
      <c r="F156" s="3" t="s">
        <v>11</v>
      </c>
      <c r="G156" s="3" t="s">
        <v>477</v>
      </c>
    </row>
    <row r="157" spans="1:7" x14ac:dyDescent="0.2">
      <c r="A157" s="3">
        <v>184</v>
      </c>
      <c r="B157" s="4" t="s">
        <v>478</v>
      </c>
      <c r="C157" s="7" t="s">
        <v>479</v>
      </c>
      <c r="D157" s="3" t="s">
        <v>10</v>
      </c>
      <c r="E157" s="6">
        <v>0.497</v>
      </c>
      <c r="F157" s="3" t="s">
        <v>15</v>
      </c>
      <c r="G157" s="3" t="s">
        <v>480</v>
      </c>
    </row>
    <row r="158" spans="1:7" x14ac:dyDescent="0.2">
      <c r="A158" s="3">
        <v>185</v>
      </c>
      <c r="B158" s="4" t="s">
        <v>481</v>
      </c>
      <c r="C158" s="7" t="s">
        <v>482</v>
      </c>
      <c r="D158" s="3" t="s">
        <v>10</v>
      </c>
      <c r="E158" s="6">
        <v>0.501</v>
      </c>
      <c r="F158" s="3" t="s">
        <v>22</v>
      </c>
      <c r="G158" s="3" t="s">
        <v>483</v>
      </c>
    </row>
    <row r="159" spans="1:7" x14ac:dyDescent="0.2">
      <c r="A159" s="3">
        <v>188</v>
      </c>
      <c r="B159" s="4" t="s">
        <v>484</v>
      </c>
      <c r="C159" s="7" t="s">
        <v>485</v>
      </c>
      <c r="D159" s="3" t="s">
        <v>10</v>
      </c>
      <c r="E159" s="6">
        <v>0.38</v>
      </c>
      <c r="F159" s="3" t="s">
        <v>22</v>
      </c>
      <c r="G159" s="3" t="s">
        <v>486</v>
      </c>
    </row>
    <row r="160" spans="1:7" x14ac:dyDescent="0.2">
      <c r="A160" s="3">
        <v>189</v>
      </c>
      <c r="B160" s="4" t="s">
        <v>487</v>
      </c>
      <c r="C160" s="7" t="s">
        <v>488</v>
      </c>
      <c r="D160" s="3" t="s">
        <v>10</v>
      </c>
      <c r="E160" s="6">
        <v>0.39200000000000002</v>
      </c>
      <c r="F160" s="3" t="s">
        <v>15</v>
      </c>
      <c r="G160" s="3" t="s">
        <v>489</v>
      </c>
    </row>
    <row r="161" spans="1:7" x14ac:dyDescent="0.2">
      <c r="A161" s="3">
        <v>190</v>
      </c>
      <c r="B161" s="4" t="s">
        <v>490</v>
      </c>
      <c r="C161" s="7" t="s">
        <v>491</v>
      </c>
      <c r="D161" s="3" t="s">
        <v>10</v>
      </c>
      <c r="E161" s="6">
        <v>0.52400000000000002</v>
      </c>
      <c r="F161" s="3" t="s">
        <v>11</v>
      </c>
      <c r="G161" s="3" t="s">
        <v>492</v>
      </c>
    </row>
    <row r="162" spans="1:7" x14ac:dyDescent="0.2">
      <c r="A162" s="3">
        <v>191</v>
      </c>
      <c r="B162" s="4" t="s">
        <v>493</v>
      </c>
      <c r="C162" s="7" t="s">
        <v>494</v>
      </c>
      <c r="D162" s="3" t="s">
        <v>10</v>
      </c>
      <c r="E162" s="6">
        <v>0.65</v>
      </c>
      <c r="F162" s="3" t="s">
        <v>11</v>
      </c>
      <c r="G162" s="3" t="s">
        <v>495</v>
      </c>
    </row>
    <row r="163" spans="1:7" x14ac:dyDescent="0.2">
      <c r="A163" s="3">
        <v>193</v>
      </c>
      <c r="B163" s="4" t="s">
        <v>496</v>
      </c>
      <c r="C163" s="7" t="s">
        <v>497</v>
      </c>
      <c r="D163" s="3" t="s">
        <v>10</v>
      </c>
      <c r="E163" s="6">
        <v>0.26</v>
      </c>
      <c r="F163" s="3" t="s">
        <v>11</v>
      </c>
      <c r="G163" s="3" t="s">
        <v>498</v>
      </c>
    </row>
    <row r="164" spans="1:7" x14ac:dyDescent="0.2">
      <c r="A164" s="3">
        <v>196</v>
      </c>
      <c r="B164" s="4" t="s">
        <v>499</v>
      </c>
      <c r="C164" s="7" t="s">
        <v>500</v>
      </c>
      <c r="D164" s="3" t="s">
        <v>10</v>
      </c>
      <c r="E164" s="6">
        <v>0.59</v>
      </c>
      <c r="F164" s="3" t="s">
        <v>11</v>
      </c>
      <c r="G164" s="3" t="s">
        <v>501</v>
      </c>
    </row>
    <row r="165" spans="1:7" x14ac:dyDescent="0.2">
      <c r="A165" s="3">
        <v>197</v>
      </c>
      <c r="B165" s="4" t="s">
        <v>502</v>
      </c>
      <c r="C165" s="7" t="s">
        <v>503</v>
      </c>
      <c r="D165" s="3" t="s">
        <v>10</v>
      </c>
      <c r="E165" s="6">
        <v>0.44600000000000001</v>
      </c>
      <c r="F165" s="3" t="s">
        <v>11</v>
      </c>
      <c r="G165" s="3" t="s">
        <v>504</v>
      </c>
    </row>
    <row r="166" spans="1:7" x14ac:dyDescent="0.2">
      <c r="A166" s="3">
        <v>198</v>
      </c>
      <c r="B166" s="4" t="s">
        <v>505</v>
      </c>
      <c r="C166" s="7" t="s">
        <v>506</v>
      </c>
      <c r="D166" s="3" t="s">
        <v>10</v>
      </c>
      <c r="E166" s="6">
        <v>0.48799999999999999</v>
      </c>
      <c r="F166" s="3" t="s">
        <v>15</v>
      </c>
      <c r="G166" s="3" t="s">
        <v>507</v>
      </c>
    </row>
    <row r="167" spans="1:7" x14ac:dyDescent="0.2">
      <c r="A167" s="3">
        <v>199</v>
      </c>
      <c r="B167" s="4" t="s">
        <v>508</v>
      </c>
      <c r="C167" s="7" t="s">
        <v>509</v>
      </c>
      <c r="D167" s="3" t="s">
        <v>10</v>
      </c>
      <c r="E167" s="6">
        <v>0.61199999999999999</v>
      </c>
      <c r="F167" s="3" t="s">
        <v>15</v>
      </c>
      <c r="G167" s="3" t="s">
        <v>510</v>
      </c>
    </row>
    <row r="168" spans="1:7" x14ac:dyDescent="0.2">
      <c r="A168" s="3">
        <v>200</v>
      </c>
      <c r="B168" s="4" t="s">
        <v>511</v>
      </c>
      <c r="C168" s="7" t="s">
        <v>512</v>
      </c>
      <c r="D168" s="3" t="s">
        <v>10</v>
      </c>
      <c r="E168" s="6">
        <v>0.56399999999999995</v>
      </c>
      <c r="F168" s="3" t="s">
        <v>15</v>
      </c>
      <c r="G168" s="3" t="s">
        <v>513</v>
      </c>
    </row>
    <row r="169" spans="1:7" x14ac:dyDescent="0.2">
      <c r="A169" s="3">
        <v>202</v>
      </c>
      <c r="B169" s="4" t="s">
        <v>514</v>
      </c>
      <c r="C169" s="7" t="s">
        <v>515</v>
      </c>
      <c r="D169" s="3" t="s">
        <v>10</v>
      </c>
      <c r="E169" s="6">
        <v>0.54400000000000004</v>
      </c>
      <c r="F169" s="3" t="s">
        <v>11</v>
      </c>
      <c r="G169" s="3" t="s">
        <v>516</v>
      </c>
    </row>
    <row r="170" spans="1:7" x14ac:dyDescent="0.2">
      <c r="A170" s="3">
        <v>203</v>
      </c>
      <c r="B170" s="4" t="s">
        <v>517</v>
      </c>
      <c r="C170" s="7" t="s">
        <v>518</v>
      </c>
      <c r="D170" s="3" t="s">
        <v>10</v>
      </c>
      <c r="E170" s="6">
        <v>0.44900000000000001</v>
      </c>
      <c r="F170" s="3" t="s">
        <v>11</v>
      </c>
      <c r="G170" s="3" t="s">
        <v>519</v>
      </c>
    </row>
    <row r="171" spans="1:7" x14ac:dyDescent="0.2">
      <c r="A171" s="3">
        <v>204</v>
      </c>
      <c r="B171" s="4" t="s">
        <v>520</v>
      </c>
      <c r="C171" s="7" t="s">
        <v>521</v>
      </c>
      <c r="D171" s="3" t="s">
        <v>10</v>
      </c>
      <c r="E171" s="6">
        <v>0.33100000000000002</v>
      </c>
      <c r="F171" s="3" t="s">
        <v>15</v>
      </c>
      <c r="G171" s="3" t="s">
        <v>522</v>
      </c>
    </row>
    <row r="172" spans="1:7" x14ac:dyDescent="0.2">
      <c r="A172" s="3">
        <v>205</v>
      </c>
      <c r="B172" s="4" t="s">
        <v>523</v>
      </c>
      <c r="C172" s="7" t="s">
        <v>524</v>
      </c>
      <c r="D172" s="3" t="s">
        <v>10</v>
      </c>
      <c r="E172" s="6">
        <v>0.42599999999999999</v>
      </c>
      <c r="F172" s="3" t="s">
        <v>11</v>
      </c>
      <c r="G172" s="3" t="s">
        <v>525</v>
      </c>
    </row>
    <row r="173" spans="1:7" x14ac:dyDescent="0.2">
      <c r="A173" s="3">
        <v>206</v>
      </c>
      <c r="B173" s="4" t="s">
        <v>526</v>
      </c>
      <c r="C173" s="7" t="s">
        <v>527</v>
      </c>
      <c r="D173" s="3" t="s">
        <v>10</v>
      </c>
      <c r="E173" s="6">
        <v>0.72499999999999998</v>
      </c>
      <c r="F173" s="3" t="s">
        <v>11</v>
      </c>
      <c r="G173" s="3" t="s">
        <v>528</v>
      </c>
    </row>
    <row r="174" spans="1:7" x14ac:dyDescent="0.2">
      <c r="A174" s="3">
        <v>207</v>
      </c>
      <c r="B174" s="4" t="s">
        <v>529</v>
      </c>
      <c r="C174" s="7" t="s">
        <v>530</v>
      </c>
      <c r="D174" s="3" t="s">
        <v>10</v>
      </c>
      <c r="E174" s="6">
        <v>0.45400000000000001</v>
      </c>
      <c r="F174" s="3" t="s">
        <v>15</v>
      </c>
      <c r="G174" s="3" t="s">
        <v>531</v>
      </c>
    </row>
    <row r="175" spans="1:7" x14ac:dyDescent="0.2">
      <c r="A175" s="3">
        <v>208</v>
      </c>
      <c r="B175" s="4" t="s">
        <v>532</v>
      </c>
      <c r="C175" s="7" t="s">
        <v>533</v>
      </c>
      <c r="D175" s="3" t="s">
        <v>10</v>
      </c>
      <c r="E175" s="6">
        <v>0.61</v>
      </c>
      <c r="F175" s="3" t="s">
        <v>15</v>
      </c>
      <c r="G175" s="3" t="s">
        <v>534</v>
      </c>
    </row>
    <row r="176" spans="1:7" x14ac:dyDescent="0.2">
      <c r="A176" s="3">
        <v>209</v>
      </c>
      <c r="B176" s="4" t="s">
        <v>535</v>
      </c>
      <c r="C176" s="7" t="s">
        <v>536</v>
      </c>
      <c r="D176" s="3" t="s">
        <v>10</v>
      </c>
      <c r="E176" s="6">
        <v>0.44500000000000001</v>
      </c>
      <c r="F176" s="3" t="s">
        <v>15</v>
      </c>
      <c r="G176" s="3" t="s">
        <v>537</v>
      </c>
    </row>
    <row r="177" spans="1:7" x14ac:dyDescent="0.2">
      <c r="A177" s="3">
        <v>210</v>
      </c>
      <c r="B177" s="4" t="s">
        <v>538</v>
      </c>
      <c r="C177" s="7" t="s">
        <v>539</v>
      </c>
      <c r="D177" s="3" t="s">
        <v>10</v>
      </c>
      <c r="E177" s="6">
        <v>0.48</v>
      </c>
      <c r="F177" s="3" t="s">
        <v>15</v>
      </c>
      <c r="G177" s="3" t="s">
        <v>540</v>
      </c>
    </row>
    <row r="178" spans="1:7" x14ac:dyDescent="0.2">
      <c r="A178" s="3">
        <v>211</v>
      </c>
      <c r="B178" s="4" t="s">
        <v>541</v>
      </c>
      <c r="C178" s="7" t="s">
        <v>542</v>
      </c>
      <c r="D178" s="3" t="s">
        <v>10</v>
      </c>
      <c r="E178" s="6">
        <v>0.43</v>
      </c>
      <c r="F178" s="3" t="s">
        <v>15</v>
      </c>
      <c r="G178" s="3" t="s">
        <v>543</v>
      </c>
    </row>
    <row r="179" spans="1:7" x14ac:dyDescent="0.2">
      <c r="A179" s="3">
        <v>212</v>
      </c>
      <c r="B179" s="4" t="s">
        <v>544</v>
      </c>
      <c r="C179" s="7" t="s">
        <v>545</v>
      </c>
      <c r="D179" s="3" t="s">
        <v>10</v>
      </c>
      <c r="E179" s="6">
        <v>0.36899999999999999</v>
      </c>
      <c r="F179" s="3" t="s">
        <v>22</v>
      </c>
      <c r="G179" s="3" t="s">
        <v>546</v>
      </c>
    </row>
    <row r="180" spans="1:7" x14ac:dyDescent="0.2">
      <c r="A180" s="3">
        <v>213</v>
      </c>
      <c r="B180" s="4" t="s">
        <v>547</v>
      </c>
      <c r="C180" s="7" t="s">
        <v>548</v>
      </c>
      <c r="D180" s="3" t="s">
        <v>10</v>
      </c>
      <c r="E180" s="6">
        <v>0.40699999999999997</v>
      </c>
      <c r="F180" s="3" t="s">
        <v>15</v>
      </c>
      <c r="G180" s="3" t="s">
        <v>549</v>
      </c>
    </row>
    <row r="181" spans="1:7" x14ac:dyDescent="0.2">
      <c r="A181" s="3">
        <v>215</v>
      </c>
      <c r="B181" s="4" t="s">
        <v>550</v>
      </c>
      <c r="C181" s="7" t="s">
        <v>551</v>
      </c>
      <c r="D181" s="3" t="s">
        <v>10</v>
      </c>
      <c r="E181" s="6">
        <v>0.65800000000000003</v>
      </c>
      <c r="F181" s="3" t="s">
        <v>15</v>
      </c>
      <c r="G181" s="3" t="s">
        <v>552</v>
      </c>
    </row>
    <row r="182" spans="1:7" x14ac:dyDescent="0.2">
      <c r="A182" s="3">
        <v>217</v>
      </c>
      <c r="B182" s="4" t="s">
        <v>553</v>
      </c>
      <c r="C182" s="7" t="s">
        <v>554</v>
      </c>
      <c r="D182" s="3" t="s">
        <v>10</v>
      </c>
      <c r="E182" s="6">
        <v>0.61299999999999999</v>
      </c>
      <c r="F182" s="3" t="s">
        <v>11</v>
      </c>
      <c r="G182" s="3" t="s">
        <v>555</v>
      </c>
    </row>
    <row r="183" spans="1:7" x14ac:dyDescent="0.2">
      <c r="A183" s="3">
        <v>218</v>
      </c>
      <c r="B183" s="4" t="s">
        <v>556</v>
      </c>
      <c r="C183" s="7" t="s">
        <v>557</v>
      </c>
      <c r="D183" s="3" t="s">
        <v>10</v>
      </c>
      <c r="E183" s="6">
        <v>0.41599999999999998</v>
      </c>
      <c r="F183" s="3" t="s">
        <v>22</v>
      </c>
      <c r="G183" s="3" t="s">
        <v>558</v>
      </c>
    </row>
    <row r="184" spans="1:7" x14ac:dyDescent="0.2">
      <c r="A184" s="3">
        <v>219</v>
      </c>
      <c r="B184" s="4" t="s">
        <v>559</v>
      </c>
      <c r="C184" s="7" t="s">
        <v>560</v>
      </c>
      <c r="D184" s="3" t="s">
        <v>10</v>
      </c>
      <c r="E184" s="6">
        <v>0.42299999999999999</v>
      </c>
      <c r="F184" s="3" t="s">
        <v>11</v>
      </c>
      <c r="G184" s="3" t="s">
        <v>561</v>
      </c>
    </row>
    <row r="185" spans="1:7" x14ac:dyDescent="0.2">
      <c r="A185" s="3">
        <v>220</v>
      </c>
      <c r="B185" s="4" t="s">
        <v>562</v>
      </c>
      <c r="C185" s="7" t="s">
        <v>563</v>
      </c>
      <c r="D185" s="3" t="s">
        <v>10</v>
      </c>
      <c r="E185" s="6">
        <v>0.22</v>
      </c>
      <c r="F185" s="3" t="s">
        <v>22</v>
      </c>
      <c r="G185" s="3" t="s">
        <v>564</v>
      </c>
    </row>
    <row r="186" spans="1:7" x14ac:dyDescent="0.2">
      <c r="A186" s="3">
        <v>221</v>
      </c>
      <c r="B186" s="4" t="s">
        <v>565</v>
      </c>
      <c r="C186" s="7" t="s">
        <v>566</v>
      </c>
      <c r="D186" s="3" t="s">
        <v>10</v>
      </c>
      <c r="E186" s="6">
        <v>0.44600000000000001</v>
      </c>
      <c r="F186" s="3" t="s">
        <v>15</v>
      </c>
      <c r="G186" s="3" t="s">
        <v>567</v>
      </c>
    </row>
    <row r="187" spans="1:7" x14ac:dyDescent="0.2">
      <c r="A187" s="3">
        <v>222</v>
      </c>
      <c r="B187" s="4" t="s">
        <v>568</v>
      </c>
      <c r="C187" s="7" t="s">
        <v>569</v>
      </c>
      <c r="D187" s="3" t="s">
        <v>10</v>
      </c>
      <c r="E187" s="6">
        <v>0.59699999999999998</v>
      </c>
      <c r="F187" s="3" t="s">
        <v>15</v>
      </c>
      <c r="G187" s="3" t="s">
        <v>570</v>
      </c>
    </row>
    <row r="188" spans="1:7" x14ac:dyDescent="0.2">
      <c r="A188" s="3">
        <v>224</v>
      </c>
      <c r="B188" s="4" t="s">
        <v>571</v>
      </c>
      <c r="C188" s="7" t="s">
        <v>572</v>
      </c>
      <c r="D188" s="3" t="s">
        <v>10</v>
      </c>
      <c r="E188" s="6">
        <v>0.41199999999999998</v>
      </c>
      <c r="F188" s="3" t="s">
        <v>22</v>
      </c>
      <c r="G188" s="3" t="s">
        <v>573</v>
      </c>
    </row>
    <row r="189" spans="1:7" x14ac:dyDescent="0.2">
      <c r="A189" s="3">
        <v>226</v>
      </c>
      <c r="B189" s="4" t="s">
        <v>574</v>
      </c>
      <c r="C189" s="7" t="s">
        <v>575</v>
      </c>
      <c r="D189" s="3" t="s">
        <v>10</v>
      </c>
      <c r="E189" s="6">
        <v>0.73299999999999998</v>
      </c>
      <c r="F189" s="3" t="s">
        <v>11</v>
      </c>
      <c r="G189" s="3" t="s">
        <v>576</v>
      </c>
    </row>
    <row r="190" spans="1:7" x14ac:dyDescent="0.2">
      <c r="A190" s="3">
        <v>227</v>
      </c>
      <c r="B190" s="4" t="s">
        <v>577</v>
      </c>
      <c r="C190" s="7" t="s">
        <v>578</v>
      </c>
      <c r="D190" s="3" t="s">
        <v>10</v>
      </c>
      <c r="E190" s="6">
        <v>0.42199999999999999</v>
      </c>
      <c r="F190" s="3" t="s">
        <v>15</v>
      </c>
      <c r="G190" s="3" t="s">
        <v>579</v>
      </c>
    </row>
    <row r="191" spans="1:7" x14ac:dyDescent="0.2">
      <c r="A191" s="3">
        <v>230</v>
      </c>
      <c r="B191" s="4" t="s">
        <v>580</v>
      </c>
      <c r="C191" s="7" t="s">
        <v>581</v>
      </c>
      <c r="D191" s="3" t="s">
        <v>10</v>
      </c>
      <c r="E191" s="6">
        <v>0.69399999999999995</v>
      </c>
      <c r="F191" s="3" t="s">
        <v>15</v>
      </c>
      <c r="G191" s="3" t="s">
        <v>582</v>
      </c>
    </row>
    <row r="192" spans="1:7" x14ac:dyDescent="0.2">
      <c r="A192" s="3">
        <v>231</v>
      </c>
      <c r="B192" s="4" t="s">
        <v>583</v>
      </c>
      <c r="C192" s="7" t="s">
        <v>584</v>
      </c>
      <c r="D192" s="3" t="s">
        <v>10</v>
      </c>
      <c r="E192" s="6">
        <v>0.45700000000000002</v>
      </c>
      <c r="F192" s="3" t="s">
        <v>11</v>
      </c>
      <c r="G192" s="3" t="s">
        <v>585</v>
      </c>
    </row>
    <row r="193" spans="1:7" x14ac:dyDescent="0.2">
      <c r="A193" s="3">
        <v>232</v>
      </c>
      <c r="B193" s="4" t="s">
        <v>586</v>
      </c>
      <c r="C193" s="7" t="s">
        <v>587</v>
      </c>
      <c r="D193" s="3" t="s">
        <v>10</v>
      </c>
      <c r="E193" s="6">
        <v>0.61299999999999999</v>
      </c>
      <c r="F193" s="3" t="s">
        <v>11</v>
      </c>
      <c r="G193" s="3" t="s">
        <v>588</v>
      </c>
    </row>
    <row r="194" spans="1:7" x14ac:dyDescent="0.2">
      <c r="A194" s="3">
        <v>234</v>
      </c>
      <c r="B194" s="4" t="s">
        <v>589</v>
      </c>
      <c r="C194" s="7" t="s">
        <v>590</v>
      </c>
      <c r="D194" s="3" t="s">
        <v>10</v>
      </c>
      <c r="E194" s="6">
        <v>0.496</v>
      </c>
      <c r="F194" s="3" t="s">
        <v>11</v>
      </c>
      <c r="G194" s="3" t="s">
        <v>591</v>
      </c>
    </row>
    <row r="195" spans="1:7" x14ac:dyDescent="0.2">
      <c r="A195" s="3">
        <v>235</v>
      </c>
      <c r="B195" s="4" t="s">
        <v>592</v>
      </c>
      <c r="C195" s="7" t="s">
        <v>593</v>
      </c>
      <c r="D195" s="3" t="s">
        <v>10</v>
      </c>
      <c r="E195" s="6">
        <v>0.60299999999999998</v>
      </c>
      <c r="F195" s="3" t="s">
        <v>15</v>
      </c>
      <c r="G195" s="3" t="s">
        <v>594</v>
      </c>
    </row>
    <row r="196" spans="1:7" x14ac:dyDescent="0.2">
      <c r="A196" s="3">
        <v>236</v>
      </c>
      <c r="B196" s="4" t="s">
        <v>595</v>
      </c>
      <c r="C196" s="7" t="s">
        <v>596</v>
      </c>
      <c r="D196" s="3" t="s">
        <v>10</v>
      </c>
      <c r="E196" s="6">
        <v>0.58099999999999996</v>
      </c>
      <c r="F196" s="3" t="s">
        <v>15</v>
      </c>
      <c r="G196" s="3" t="s">
        <v>597</v>
      </c>
    </row>
    <row r="197" spans="1:7" x14ac:dyDescent="0.2">
      <c r="A197" s="3">
        <v>237</v>
      </c>
      <c r="B197" s="4" t="s">
        <v>598</v>
      </c>
      <c r="C197" s="7" t="s">
        <v>599</v>
      </c>
      <c r="D197" s="3" t="s">
        <v>10</v>
      </c>
      <c r="E197" s="6">
        <v>0.753</v>
      </c>
      <c r="F197" s="3" t="s">
        <v>15</v>
      </c>
      <c r="G197" s="3" t="s">
        <v>600</v>
      </c>
    </row>
    <row r="198" spans="1:7" x14ac:dyDescent="0.2">
      <c r="A198" s="3">
        <v>238</v>
      </c>
      <c r="B198" s="4" t="s">
        <v>601</v>
      </c>
      <c r="C198" s="7" t="s">
        <v>602</v>
      </c>
      <c r="D198" s="3" t="s">
        <v>10</v>
      </c>
      <c r="E198" s="6">
        <v>0.64700000000000002</v>
      </c>
      <c r="F198" s="3" t="s">
        <v>15</v>
      </c>
      <c r="G198" s="3" t="s">
        <v>603</v>
      </c>
    </row>
    <row r="199" spans="1:7" x14ac:dyDescent="0.2">
      <c r="A199" s="3">
        <v>239</v>
      </c>
      <c r="B199" s="4" t="s">
        <v>604</v>
      </c>
      <c r="C199" s="7" t="s">
        <v>605</v>
      </c>
      <c r="D199" s="3" t="s">
        <v>10</v>
      </c>
      <c r="E199" s="6">
        <v>0.46600000000000003</v>
      </c>
      <c r="F199" s="3" t="s">
        <v>22</v>
      </c>
      <c r="G199" s="3" t="s">
        <v>606</v>
      </c>
    </row>
    <row r="200" spans="1:7" x14ac:dyDescent="0.2">
      <c r="A200" s="3">
        <v>240</v>
      </c>
      <c r="B200" s="4" t="s">
        <v>607</v>
      </c>
      <c r="C200" s="7" t="s">
        <v>608</v>
      </c>
      <c r="D200" s="3" t="s">
        <v>10</v>
      </c>
      <c r="E200" s="6">
        <v>0.50600000000000001</v>
      </c>
      <c r="F200" s="3" t="s">
        <v>15</v>
      </c>
      <c r="G200" s="3" t="s">
        <v>609</v>
      </c>
    </row>
    <row r="201" spans="1:7" x14ac:dyDescent="0.2">
      <c r="A201" s="3">
        <v>242</v>
      </c>
      <c r="B201" s="4" t="s">
        <v>610</v>
      </c>
      <c r="C201" s="7" t="s">
        <v>611</v>
      </c>
      <c r="D201" s="3" t="s">
        <v>10</v>
      </c>
      <c r="E201" s="6">
        <v>0.628</v>
      </c>
      <c r="F201" s="3" t="s">
        <v>11</v>
      </c>
      <c r="G201" s="3" t="s">
        <v>612</v>
      </c>
    </row>
    <row r="202" spans="1:7" x14ac:dyDescent="0.2">
      <c r="A202" s="3">
        <v>243</v>
      </c>
      <c r="B202" s="4" t="s">
        <v>613</v>
      </c>
      <c r="C202" s="7" t="s">
        <v>614</v>
      </c>
      <c r="D202" s="3" t="s">
        <v>431</v>
      </c>
      <c r="E202" s="6">
        <v>0.64900000000000002</v>
      </c>
      <c r="F202" s="3" t="s">
        <v>11</v>
      </c>
      <c r="G202" s="3" t="s">
        <v>615</v>
      </c>
    </row>
    <row r="203" spans="1:7" x14ac:dyDescent="0.2">
      <c r="A203" s="3">
        <v>244</v>
      </c>
      <c r="B203" s="4" t="s">
        <v>616</v>
      </c>
      <c r="C203" s="7" t="s">
        <v>617</v>
      </c>
      <c r="D203" s="3" t="s">
        <v>431</v>
      </c>
      <c r="E203" s="6">
        <v>0.60699999999999998</v>
      </c>
      <c r="F203" s="3" t="s">
        <v>15</v>
      </c>
      <c r="G203" s="3" t="s">
        <v>618</v>
      </c>
    </row>
    <row r="204" spans="1:7" x14ac:dyDescent="0.2">
      <c r="A204" s="3">
        <v>249</v>
      </c>
      <c r="B204" s="4" t="s">
        <v>619</v>
      </c>
      <c r="C204" s="7" t="s">
        <v>620</v>
      </c>
      <c r="D204" s="3" t="s">
        <v>431</v>
      </c>
      <c r="E204" s="6">
        <v>0.64300000000000002</v>
      </c>
      <c r="F204" s="3" t="s">
        <v>15</v>
      </c>
      <c r="G204" s="3" t="s">
        <v>621</v>
      </c>
    </row>
    <row r="205" spans="1:7" x14ac:dyDescent="0.2">
      <c r="A205" s="3">
        <v>252</v>
      </c>
      <c r="B205" s="4" t="s">
        <v>622</v>
      </c>
      <c r="C205" s="7" t="s">
        <v>623</v>
      </c>
      <c r="D205" s="3" t="s">
        <v>431</v>
      </c>
      <c r="E205" s="6">
        <v>0.57099999999999995</v>
      </c>
      <c r="F205" s="3" t="s">
        <v>11</v>
      </c>
      <c r="G205" s="3" t="s">
        <v>624</v>
      </c>
    </row>
    <row r="206" spans="1:7" x14ac:dyDescent="0.2">
      <c r="A206" s="3">
        <v>253</v>
      </c>
      <c r="B206" s="4" t="s">
        <v>625</v>
      </c>
      <c r="C206" s="7" t="s">
        <v>626</v>
      </c>
      <c r="D206" s="3" t="s">
        <v>431</v>
      </c>
      <c r="E206" s="6">
        <v>0.505</v>
      </c>
      <c r="F206" s="3" t="s">
        <v>15</v>
      </c>
      <c r="G206" s="3" t="s">
        <v>627</v>
      </c>
    </row>
    <row r="207" spans="1:7" x14ac:dyDescent="0.2">
      <c r="A207" s="3">
        <v>256</v>
      </c>
      <c r="B207" s="4" t="s">
        <v>628</v>
      </c>
      <c r="C207" s="7" t="s">
        <v>629</v>
      </c>
      <c r="D207" s="3" t="s">
        <v>431</v>
      </c>
      <c r="E207" s="6">
        <v>0.60699999999999998</v>
      </c>
      <c r="F207" s="3" t="s">
        <v>15</v>
      </c>
      <c r="G207" s="3" t="s">
        <v>630</v>
      </c>
    </row>
    <row r="208" spans="1:7" x14ac:dyDescent="0.2">
      <c r="A208" s="3">
        <v>257</v>
      </c>
      <c r="B208" s="4" t="s">
        <v>631</v>
      </c>
      <c r="C208" s="7" t="s">
        <v>632</v>
      </c>
      <c r="D208" s="3" t="s">
        <v>10</v>
      </c>
      <c r="E208" s="6">
        <v>0.60699999999999998</v>
      </c>
      <c r="F208" s="3" t="s">
        <v>11</v>
      </c>
      <c r="G208" s="3" t="s">
        <v>633</v>
      </c>
    </row>
    <row r="209" spans="1:7" x14ac:dyDescent="0.2">
      <c r="A209" s="3">
        <v>258</v>
      </c>
      <c r="B209" s="4" t="s">
        <v>634</v>
      </c>
      <c r="C209" s="7" t="s">
        <v>635</v>
      </c>
      <c r="D209" s="3" t="s">
        <v>10</v>
      </c>
      <c r="E209" s="6">
        <v>0.63500000000000001</v>
      </c>
      <c r="F209" s="3" t="s">
        <v>11</v>
      </c>
      <c r="G209" s="3" t="s">
        <v>636</v>
      </c>
    </row>
    <row r="210" spans="1:7" x14ac:dyDescent="0.2">
      <c r="A210" s="3">
        <v>261</v>
      </c>
      <c r="B210" s="4" t="s">
        <v>637</v>
      </c>
      <c r="C210" s="7" t="s">
        <v>638</v>
      </c>
      <c r="D210" s="3" t="s">
        <v>431</v>
      </c>
      <c r="E210" s="6">
        <v>0.46899999999999997</v>
      </c>
      <c r="F210" s="3" t="s">
        <v>15</v>
      </c>
      <c r="G210" s="3" t="s">
        <v>639</v>
      </c>
    </row>
    <row r="211" spans="1:7" x14ac:dyDescent="0.2">
      <c r="A211" s="3">
        <v>262</v>
      </c>
      <c r="B211" s="4" t="s">
        <v>640</v>
      </c>
      <c r="C211" s="7" t="s">
        <v>641</v>
      </c>
      <c r="D211" s="3" t="s">
        <v>10</v>
      </c>
      <c r="E211" s="6">
        <v>0.38400000000000001</v>
      </c>
      <c r="F211" s="3" t="s">
        <v>22</v>
      </c>
      <c r="G211" s="3" t="s">
        <v>642</v>
      </c>
    </row>
    <row r="212" spans="1:7" x14ac:dyDescent="0.2">
      <c r="A212" s="3">
        <v>265</v>
      </c>
      <c r="B212" s="4" t="s">
        <v>643</v>
      </c>
      <c r="C212" s="7" t="s">
        <v>644</v>
      </c>
      <c r="D212" s="3" t="s">
        <v>431</v>
      </c>
      <c r="E212" s="6">
        <v>0.52400000000000002</v>
      </c>
      <c r="F212" s="3" t="s">
        <v>22</v>
      </c>
      <c r="G212" s="3" t="s">
        <v>645</v>
      </c>
    </row>
    <row r="213" spans="1:7" x14ac:dyDescent="0.2">
      <c r="A213" s="3">
        <v>268</v>
      </c>
      <c r="B213" s="4" t="s">
        <v>646</v>
      </c>
      <c r="C213" s="7" t="s">
        <v>647</v>
      </c>
      <c r="D213" s="3" t="s">
        <v>10</v>
      </c>
      <c r="E213" s="6">
        <v>0.61699999999999999</v>
      </c>
      <c r="F213" s="3" t="s">
        <v>11</v>
      </c>
      <c r="G213" s="3" t="s">
        <v>648</v>
      </c>
    </row>
    <row r="214" spans="1:7" x14ac:dyDescent="0.2">
      <c r="A214" s="3">
        <v>269</v>
      </c>
      <c r="B214" s="4" t="s">
        <v>649</v>
      </c>
      <c r="C214" s="7" t="s">
        <v>650</v>
      </c>
      <c r="D214" s="3" t="s">
        <v>431</v>
      </c>
      <c r="E214" s="6">
        <v>0.35299999999999998</v>
      </c>
      <c r="F214" s="3" t="s">
        <v>22</v>
      </c>
      <c r="G214" s="3" t="s">
        <v>651</v>
      </c>
    </row>
    <row r="215" spans="1:7" x14ac:dyDescent="0.2">
      <c r="A215" s="3">
        <v>271</v>
      </c>
      <c r="B215" s="4" t="s">
        <v>652</v>
      </c>
      <c r="C215" s="7" t="s">
        <v>653</v>
      </c>
      <c r="D215" s="3" t="s">
        <v>431</v>
      </c>
      <c r="E215" s="6">
        <v>0.41699999999999998</v>
      </c>
      <c r="F215" s="3" t="s">
        <v>15</v>
      </c>
      <c r="G215" s="3" t="s">
        <v>654</v>
      </c>
    </row>
    <row r="216" spans="1:7" x14ac:dyDescent="0.2">
      <c r="A216" s="3">
        <v>273</v>
      </c>
      <c r="B216" s="4" t="s">
        <v>655</v>
      </c>
      <c r="C216" s="7" t="s">
        <v>656</v>
      </c>
      <c r="D216" s="3" t="s">
        <v>10</v>
      </c>
      <c r="E216" s="6">
        <v>0.29899999999999999</v>
      </c>
      <c r="F216" s="3" t="s">
        <v>22</v>
      </c>
      <c r="G216" s="3" t="s">
        <v>657</v>
      </c>
    </row>
    <row r="217" spans="1:7" x14ac:dyDescent="0.2">
      <c r="A217" s="3">
        <v>277</v>
      </c>
      <c r="B217" s="4" t="s">
        <v>658</v>
      </c>
      <c r="C217" s="7" t="s">
        <v>659</v>
      </c>
      <c r="D217" s="3" t="s">
        <v>431</v>
      </c>
      <c r="E217" s="6">
        <v>0.46500000000000002</v>
      </c>
      <c r="F217" s="3" t="s">
        <v>15</v>
      </c>
      <c r="G217" s="3" t="s">
        <v>660</v>
      </c>
    </row>
    <row r="218" spans="1:7" x14ac:dyDescent="0.2">
      <c r="A218" s="3">
        <v>278</v>
      </c>
      <c r="B218" s="4" t="s">
        <v>661</v>
      </c>
      <c r="C218" s="7" t="s">
        <v>662</v>
      </c>
      <c r="D218" s="3" t="s">
        <v>10</v>
      </c>
      <c r="E218" s="6">
        <v>0.43</v>
      </c>
      <c r="F218" s="3" t="s">
        <v>11</v>
      </c>
      <c r="G218" s="3" t="s">
        <v>663</v>
      </c>
    </row>
    <row r="219" spans="1:7" x14ac:dyDescent="0.2">
      <c r="A219" s="3">
        <v>279</v>
      </c>
      <c r="B219" s="4" t="s">
        <v>664</v>
      </c>
      <c r="C219" s="7" t="s">
        <v>665</v>
      </c>
      <c r="D219" s="3" t="s">
        <v>10</v>
      </c>
      <c r="E219" s="6">
        <v>0.52100000000000002</v>
      </c>
      <c r="F219" s="3" t="s">
        <v>15</v>
      </c>
      <c r="G219" s="3" t="s">
        <v>666</v>
      </c>
    </row>
    <row r="220" spans="1:7" x14ac:dyDescent="0.2">
      <c r="A220" s="3">
        <v>283</v>
      </c>
      <c r="B220" s="4" t="s">
        <v>667</v>
      </c>
      <c r="C220" s="7" t="s">
        <v>668</v>
      </c>
      <c r="D220" s="3" t="s">
        <v>10</v>
      </c>
      <c r="E220" s="6">
        <v>0.61399999999999999</v>
      </c>
      <c r="F220" s="3" t="s">
        <v>11</v>
      </c>
      <c r="G220" s="3" t="s">
        <v>669</v>
      </c>
    </row>
    <row r="221" spans="1:7" x14ac:dyDescent="0.2">
      <c r="A221" s="3">
        <v>286</v>
      </c>
      <c r="B221" s="4" t="s">
        <v>670</v>
      </c>
      <c r="C221" s="7" t="s">
        <v>671</v>
      </c>
      <c r="D221" s="3" t="s">
        <v>431</v>
      </c>
      <c r="E221" s="6">
        <v>0.60299999999999998</v>
      </c>
      <c r="F221" s="3" t="s">
        <v>15</v>
      </c>
      <c r="G221" s="3" t="s">
        <v>672</v>
      </c>
    </row>
    <row r="222" spans="1:7" x14ac:dyDescent="0.2">
      <c r="A222" s="3">
        <v>287</v>
      </c>
      <c r="B222" s="4" t="s">
        <v>673</v>
      </c>
      <c r="C222" s="7" t="s">
        <v>674</v>
      </c>
      <c r="D222" s="3" t="s">
        <v>10</v>
      </c>
      <c r="E222" s="6">
        <v>0.59099999999999997</v>
      </c>
      <c r="F222" s="3" t="s">
        <v>15</v>
      </c>
      <c r="G222" s="3" t="s">
        <v>675</v>
      </c>
    </row>
    <row r="223" spans="1:7" x14ac:dyDescent="0.2">
      <c r="A223" s="3">
        <v>289</v>
      </c>
      <c r="B223" s="4" t="s">
        <v>676</v>
      </c>
      <c r="C223" s="7" t="s">
        <v>677</v>
      </c>
      <c r="D223" s="3" t="s">
        <v>10</v>
      </c>
      <c r="E223" s="6">
        <v>0.66800000000000004</v>
      </c>
      <c r="F223" s="3" t="s">
        <v>15</v>
      </c>
      <c r="G223" s="3" t="s">
        <v>678</v>
      </c>
    </row>
    <row r="224" spans="1:7" x14ac:dyDescent="0.2">
      <c r="A224" s="3">
        <v>295</v>
      </c>
      <c r="B224" s="4" t="s">
        <v>679</v>
      </c>
      <c r="C224" s="7" t="s">
        <v>680</v>
      </c>
      <c r="D224" s="3" t="s">
        <v>10</v>
      </c>
      <c r="E224" s="6">
        <v>0.51500000000000001</v>
      </c>
      <c r="F224" s="3" t="s">
        <v>22</v>
      </c>
      <c r="G224" s="3" t="s">
        <v>681</v>
      </c>
    </row>
    <row r="225" spans="1:7" x14ac:dyDescent="0.2">
      <c r="A225" s="3">
        <v>297</v>
      </c>
      <c r="B225" s="4" t="s">
        <v>682</v>
      </c>
      <c r="C225" s="7" t="s">
        <v>683</v>
      </c>
      <c r="D225" s="3" t="s">
        <v>10</v>
      </c>
      <c r="E225" s="6">
        <v>0.55000000000000004</v>
      </c>
      <c r="F225" s="3" t="s">
        <v>22</v>
      </c>
      <c r="G225" s="3" t="s">
        <v>684</v>
      </c>
    </row>
    <row r="226" spans="1:7" x14ac:dyDescent="0.2">
      <c r="A226" s="3">
        <v>299</v>
      </c>
      <c r="B226" s="4" t="s">
        <v>685</v>
      </c>
      <c r="C226" s="7" t="s">
        <v>686</v>
      </c>
      <c r="D226" s="3" t="s">
        <v>10</v>
      </c>
      <c r="E226" s="6">
        <v>0.48699999999999999</v>
      </c>
      <c r="F226" s="3" t="s">
        <v>15</v>
      </c>
      <c r="G226" s="3" t="s">
        <v>687</v>
      </c>
    </row>
    <row r="227" spans="1:7" x14ac:dyDescent="0.2">
      <c r="A227" s="3">
        <v>300</v>
      </c>
      <c r="B227" s="4" t="s">
        <v>688</v>
      </c>
      <c r="C227" s="7" t="s">
        <v>689</v>
      </c>
      <c r="D227" s="3" t="s">
        <v>10</v>
      </c>
      <c r="E227" s="6">
        <v>0.51600000000000001</v>
      </c>
      <c r="F227" s="3" t="s">
        <v>15</v>
      </c>
      <c r="G227" s="3" t="s">
        <v>690</v>
      </c>
    </row>
    <row r="228" spans="1:7" x14ac:dyDescent="0.2">
      <c r="A228" s="3">
        <v>301</v>
      </c>
      <c r="B228" s="4" t="s">
        <v>691</v>
      </c>
      <c r="C228" s="7" t="s">
        <v>692</v>
      </c>
      <c r="D228" s="3" t="s">
        <v>10</v>
      </c>
      <c r="E228" s="6">
        <v>0.47099999999999997</v>
      </c>
      <c r="F228" s="3" t="s">
        <v>22</v>
      </c>
      <c r="G228" s="3" t="s">
        <v>693</v>
      </c>
    </row>
    <row r="229" spans="1:7" x14ac:dyDescent="0.2">
      <c r="A229" s="3">
        <v>304</v>
      </c>
      <c r="B229" s="4" t="s">
        <v>694</v>
      </c>
      <c r="C229" s="7" t="s">
        <v>695</v>
      </c>
      <c r="D229" s="3" t="s">
        <v>10</v>
      </c>
      <c r="E229" s="6">
        <v>0.52200000000000002</v>
      </c>
      <c r="F229" s="3" t="s">
        <v>15</v>
      </c>
      <c r="G229" s="3" t="s">
        <v>696</v>
      </c>
    </row>
    <row r="230" spans="1:7" x14ac:dyDescent="0.2">
      <c r="A230" s="3">
        <v>305</v>
      </c>
      <c r="B230" s="4" t="s">
        <v>697</v>
      </c>
      <c r="C230" s="7" t="s">
        <v>698</v>
      </c>
      <c r="D230" s="3" t="s">
        <v>431</v>
      </c>
      <c r="E230" s="6">
        <v>0.39400000000000002</v>
      </c>
      <c r="F230" s="3" t="s">
        <v>22</v>
      </c>
      <c r="G230" s="3" t="s">
        <v>699</v>
      </c>
    </row>
    <row r="231" spans="1:7" x14ac:dyDescent="0.2">
      <c r="A231" s="3">
        <v>307</v>
      </c>
      <c r="B231" s="4" t="s">
        <v>700</v>
      </c>
      <c r="C231" s="7" t="s">
        <v>701</v>
      </c>
      <c r="D231" s="3" t="s">
        <v>10</v>
      </c>
      <c r="E231" s="6">
        <v>0.40699999999999997</v>
      </c>
      <c r="F231" s="3" t="s">
        <v>15</v>
      </c>
      <c r="G231" s="3" t="s">
        <v>702</v>
      </c>
    </row>
    <row r="232" spans="1:7" x14ac:dyDescent="0.2">
      <c r="A232" s="3">
        <v>309</v>
      </c>
      <c r="B232" s="4" t="s">
        <v>703</v>
      </c>
      <c r="C232" s="7" t="s">
        <v>704</v>
      </c>
      <c r="D232" s="3" t="s">
        <v>10</v>
      </c>
      <c r="E232" s="6">
        <v>0.54600000000000004</v>
      </c>
      <c r="F232" s="3" t="s">
        <v>15</v>
      </c>
      <c r="G232" s="3" t="s">
        <v>705</v>
      </c>
    </row>
    <row r="233" spans="1:7" x14ac:dyDescent="0.2">
      <c r="A233" s="3">
        <v>310</v>
      </c>
      <c r="B233" s="4" t="s">
        <v>706</v>
      </c>
      <c r="C233" s="7" t="s">
        <v>707</v>
      </c>
      <c r="D233" s="3" t="s">
        <v>10</v>
      </c>
      <c r="E233" s="6">
        <v>0.38500000000000001</v>
      </c>
      <c r="F233" s="3" t="s">
        <v>15</v>
      </c>
      <c r="G233" s="3" t="s">
        <v>708</v>
      </c>
    </row>
    <row r="234" spans="1:7" x14ac:dyDescent="0.2">
      <c r="A234" s="3">
        <v>314</v>
      </c>
      <c r="B234" s="4" t="s">
        <v>709</v>
      </c>
      <c r="C234" s="7" t="s">
        <v>710</v>
      </c>
      <c r="D234" s="3" t="s">
        <v>431</v>
      </c>
      <c r="E234" s="6">
        <v>0.52100000000000002</v>
      </c>
      <c r="F234" s="3" t="s">
        <v>15</v>
      </c>
      <c r="G234" s="3" t="s">
        <v>630</v>
      </c>
    </row>
    <row r="235" spans="1:7" x14ac:dyDescent="0.2">
      <c r="A235" s="3">
        <v>315</v>
      </c>
      <c r="B235" s="4" t="s">
        <v>711</v>
      </c>
      <c r="C235" s="7" t="s">
        <v>712</v>
      </c>
      <c r="D235" s="3" t="s">
        <v>10</v>
      </c>
      <c r="E235" s="6">
        <v>0.42799999999999999</v>
      </c>
      <c r="F235" s="3" t="s">
        <v>22</v>
      </c>
      <c r="G235" s="3" t="s">
        <v>713</v>
      </c>
    </row>
    <row r="236" spans="1:7" x14ac:dyDescent="0.2">
      <c r="A236" s="3">
        <v>316</v>
      </c>
      <c r="B236" s="4" t="s">
        <v>714</v>
      </c>
      <c r="C236" s="7" t="s">
        <v>715</v>
      </c>
      <c r="D236" s="3" t="s">
        <v>10</v>
      </c>
      <c r="E236" s="6">
        <v>0.44600000000000001</v>
      </c>
      <c r="F236" s="3" t="s">
        <v>15</v>
      </c>
      <c r="G236" s="3" t="s">
        <v>185</v>
      </c>
    </row>
    <row r="237" spans="1:7" x14ac:dyDescent="0.2">
      <c r="A237" s="3">
        <v>318</v>
      </c>
      <c r="B237" s="4" t="s">
        <v>716</v>
      </c>
      <c r="C237" s="7" t="s">
        <v>717</v>
      </c>
      <c r="D237" s="3" t="s">
        <v>10</v>
      </c>
      <c r="E237" s="6">
        <v>0.60099999999999998</v>
      </c>
      <c r="F237" s="3" t="s">
        <v>15</v>
      </c>
      <c r="G237" s="3" t="s">
        <v>718</v>
      </c>
    </row>
    <row r="238" spans="1:7" x14ac:dyDescent="0.2">
      <c r="A238" s="3">
        <v>322</v>
      </c>
      <c r="B238" s="4" t="s">
        <v>719</v>
      </c>
      <c r="C238" s="7" t="s">
        <v>720</v>
      </c>
      <c r="D238" s="3" t="s">
        <v>10</v>
      </c>
      <c r="E238" s="6">
        <v>0.41599999999999998</v>
      </c>
      <c r="F238" s="3" t="s">
        <v>15</v>
      </c>
      <c r="G238" s="3" t="s">
        <v>721</v>
      </c>
    </row>
    <row r="239" spans="1:7" x14ac:dyDescent="0.2">
      <c r="A239" s="3">
        <v>323</v>
      </c>
      <c r="B239" s="4" t="s">
        <v>722</v>
      </c>
      <c r="C239" s="7" t="s">
        <v>723</v>
      </c>
      <c r="D239" s="3" t="s">
        <v>431</v>
      </c>
      <c r="E239" s="6">
        <v>0.621</v>
      </c>
      <c r="F239" s="3" t="s">
        <v>15</v>
      </c>
      <c r="G239" s="3" t="s">
        <v>724</v>
      </c>
    </row>
    <row r="240" spans="1:7" x14ac:dyDescent="0.2">
      <c r="A240" s="3">
        <v>324</v>
      </c>
      <c r="B240" s="4" t="s">
        <v>725</v>
      </c>
      <c r="C240" s="7" t="s">
        <v>726</v>
      </c>
      <c r="D240" s="3" t="s">
        <v>10</v>
      </c>
      <c r="E240" s="6">
        <v>0.33</v>
      </c>
      <c r="F240" s="3" t="s">
        <v>15</v>
      </c>
      <c r="G240" s="3" t="s">
        <v>727</v>
      </c>
    </row>
    <row r="241" spans="1:7" x14ac:dyDescent="0.2">
      <c r="A241" s="3">
        <v>328</v>
      </c>
      <c r="B241" s="4" t="s">
        <v>728</v>
      </c>
      <c r="C241" s="7" t="s">
        <v>729</v>
      </c>
      <c r="D241" s="3" t="s">
        <v>10</v>
      </c>
      <c r="E241" s="6">
        <v>0.60299999999999998</v>
      </c>
      <c r="F241" s="3" t="s">
        <v>15</v>
      </c>
      <c r="G241" s="3" t="s">
        <v>730</v>
      </c>
    </row>
    <row r="242" spans="1:7" x14ac:dyDescent="0.2">
      <c r="A242" s="3">
        <v>329</v>
      </c>
      <c r="B242" s="4" t="s">
        <v>731</v>
      </c>
      <c r="C242" s="7" t="s">
        <v>732</v>
      </c>
      <c r="D242" s="3" t="s">
        <v>10</v>
      </c>
      <c r="E242" s="6">
        <v>0.52200000000000002</v>
      </c>
      <c r="F242" s="3" t="s">
        <v>22</v>
      </c>
      <c r="G242" s="3" t="s">
        <v>733</v>
      </c>
    </row>
    <row r="243" spans="1:7" x14ac:dyDescent="0.2">
      <c r="A243" s="3">
        <v>332</v>
      </c>
      <c r="B243" s="4" t="s">
        <v>734</v>
      </c>
      <c r="C243" s="7" t="s">
        <v>735</v>
      </c>
      <c r="D243" s="3" t="s">
        <v>10</v>
      </c>
      <c r="E243" s="6">
        <v>0.41</v>
      </c>
      <c r="F243" s="3" t="s">
        <v>22</v>
      </c>
      <c r="G243" s="3" t="s">
        <v>736</v>
      </c>
    </row>
    <row r="244" spans="1:7" x14ac:dyDescent="0.2">
      <c r="A244" s="3">
        <v>333</v>
      </c>
      <c r="B244" s="4" t="s">
        <v>737</v>
      </c>
      <c r="C244" s="7" t="s">
        <v>738</v>
      </c>
      <c r="D244" s="3" t="s">
        <v>431</v>
      </c>
      <c r="E244" s="6">
        <v>0.42499999999999999</v>
      </c>
      <c r="F244" s="3" t="s">
        <v>15</v>
      </c>
      <c r="G244" s="3" t="s">
        <v>739</v>
      </c>
    </row>
    <row r="245" spans="1:7" x14ac:dyDescent="0.2">
      <c r="A245" s="3">
        <v>336</v>
      </c>
      <c r="B245" s="4" t="s">
        <v>740</v>
      </c>
      <c r="C245" s="7" t="s">
        <v>741</v>
      </c>
      <c r="D245" s="3" t="s">
        <v>10</v>
      </c>
      <c r="E245" s="6">
        <v>0.35199999999999998</v>
      </c>
      <c r="F245" s="3" t="s">
        <v>22</v>
      </c>
      <c r="G245" s="3" t="s">
        <v>742</v>
      </c>
    </row>
    <row r="246" spans="1:7" x14ac:dyDescent="0.2">
      <c r="A246" s="3">
        <v>337</v>
      </c>
      <c r="B246" s="4" t="s">
        <v>743</v>
      </c>
      <c r="C246" s="7" t="s">
        <v>744</v>
      </c>
      <c r="D246" s="3" t="s">
        <v>10</v>
      </c>
      <c r="E246" s="6">
        <v>0.53900000000000003</v>
      </c>
      <c r="F246" s="3" t="s">
        <v>15</v>
      </c>
      <c r="G246" s="3" t="s">
        <v>745</v>
      </c>
    </row>
    <row r="247" spans="1:7" x14ac:dyDescent="0.2">
      <c r="A247" s="3">
        <v>339</v>
      </c>
      <c r="B247" s="4" t="s">
        <v>746</v>
      </c>
      <c r="C247" s="7" t="s">
        <v>747</v>
      </c>
      <c r="D247" s="3" t="s">
        <v>431</v>
      </c>
      <c r="E247" s="6">
        <v>0.82199999999999995</v>
      </c>
      <c r="F247" s="3" t="s">
        <v>15</v>
      </c>
      <c r="G247" s="3" t="s">
        <v>748</v>
      </c>
    </row>
    <row r="248" spans="1:7" x14ac:dyDescent="0.2">
      <c r="A248" s="3">
        <v>340</v>
      </c>
      <c r="B248" s="4" t="s">
        <v>749</v>
      </c>
      <c r="C248" s="7" t="s">
        <v>750</v>
      </c>
      <c r="D248" s="3" t="s">
        <v>431</v>
      </c>
      <c r="E248" s="6">
        <v>0.47799999999999998</v>
      </c>
      <c r="F248" s="3" t="s">
        <v>15</v>
      </c>
      <c r="G248" s="3" t="s">
        <v>751</v>
      </c>
    </row>
    <row r="249" spans="1:7" x14ac:dyDescent="0.2">
      <c r="A249" s="3">
        <v>342</v>
      </c>
      <c r="B249" s="4" t="s">
        <v>752</v>
      </c>
      <c r="C249" s="7" t="s">
        <v>753</v>
      </c>
      <c r="D249" s="3" t="s">
        <v>10</v>
      </c>
      <c r="E249" s="6">
        <v>0.45700000000000002</v>
      </c>
      <c r="F249" s="3" t="s">
        <v>11</v>
      </c>
      <c r="G249" s="3" t="s">
        <v>754</v>
      </c>
    </row>
    <row r="250" spans="1:7" x14ac:dyDescent="0.2">
      <c r="A250" s="3">
        <v>344</v>
      </c>
      <c r="B250" s="4" t="s">
        <v>755</v>
      </c>
      <c r="C250" s="7" t="s">
        <v>756</v>
      </c>
      <c r="D250" s="3" t="s">
        <v>10</v>
      </c>
      <c r="E250" s="6">
        <v>0.76200000000000001</v>
      </c>
      <c r="F250" s="3" t="s">
        <v>11</v>
      </c>
      <c r="G250" s="3" t="s">
        <v>757</v>
      </c>
    </row>
    <row r="251" spans="1:7" x14ac:dyDescent="0.2">
      <c r="A251" s="3">
        <v>346</v>
      </c>
      <c r="B251" s="4" t="s">
        <v>758</v>
      </c>
      <c r="C251" s="7" t="s">
        <v>759</v>
      </c>
      <c r="D251" s="3" t="s">
        <v>431</v>
      </c>
      <c r="E251" s="6">
        <v>0.77100000000000002</v>
      </c>
      <c r="F251" s="3" t="s">
        <v>11</v>
      </c>
      <c r="G251" s="3" t="s">
        <v>760</v>
      </c>
    </row>
    <row r="252" spans="1:7" x14ac:dyDescent="0.2">
      <c r="A252" s="3">
        <v>347</v>
      </c>
      <c r="B252" s="4" t="s">
        <v>761</v>
      </c>
      <c r="C252" s="7" t="s">
        <v>762</v>
      </c>
      <c r="D252" s="3" t="s">
        <v>10</v>
      </c>
      <c r="E252" s="6">
        <v>0.64800000000000002</v>
      </c>
      <c r="F252" s="3" t="s">
        <v>15</v>
      </c>
      <c r="G252" s="3" t="s">
        <v>763</v>
      </c>
    </row>
    <row r="253" spans="1:7" x14ac:dyDescent="0.2">
      <c r="A253" s="3">
        <v>348</v>
      </c>
      <c r="B253" s="4" t="s">
        <v>764</v>
      </c>
      <c r="C253" s="7" t="s">
        <v>765</v>
      </c>
      <c r="D253" s="3" t="s">
        <v>431</v>
      </c>
      <c r="E253" s="6">
        <v>0.57599999999999996</v>
      </c>
      <c r="F253" s="3" t="s">
        <v>15</v>
      </c>
      <c r="G253" s="3" t="s">
        <v>766</v>
      </c>
    </row>
    <row r="254" spans="1:7" x14ac:dyDescent="0.2">
      <c r="A254" s="3">
        <v>349</v>
      </c>
      <c r="B254" s="4" t="s">
        <v>767</v>
      </c>
      <c r="C254" s="7" t="s">
        <v>768</v>
      </c>
      <c r="D254" s="3" t="s">
        <v>10</v>
      </c>
      <c r="E254" s="6">
        <v>0.70299999999999996</v>
      </c>
      <c r="F254" s="3" t="s">
        <v>11</v>
      </c>
      <c r="G254" s="3" t="s">
        <v>769</v>
      </c>
    </row>
    <row r="255" spans="1:7" x14ac:dyDescent="0.2">
      <c r="A255" s="3">
        <v>350</v>
      </c>
      <c r="B255" s="4" t="s">
        <v>770</v>
      </c>
      <c r="C255" s="7" t="s">
        <v>771</v>
      </c>
      <c r="D255" s="3" t="s">
        <v>10</v>
      </c>
      <c r="E255" s="6">
        <v>0.55600000000000005</v>
      </c>
      <c r="F255" s="3" t="s">
        <v>11</v>
      </c>
      <c r="G255" s="3" t="s">
        <v>772</v>
      </c>
    </row>
    <row r="256" spans="1:7" x14ac:dyDescent="0.2">
      <c r="A256" s="3">
        <v>353</v>
      </c>
      <c r="B256" s="4" t="s">
        <v>773</v>
      </c>
      <c r="C256" s="7" t="s">
        <v>774</v>
      </c>
      <c r="D256" s="3" t="s">
        <v>431</v>
      </c>
      <c r="E256" s="6">
        <v>0.39100000000000001</v>
      </c>
      <c r="F256" s="3" t="s">
        <v>15</v>
      </c>
      <c r="G256" s="3" t="s">
        <v>775</v>
      </c>
    </row>
    <row r="257" spans="1:7" x14ac:dyDescent="0.2">
      <c r="A257" s="3">
        <v>354</v>
      </c>
      <c r="B257" s="4" t="s">
        <v>776</v>
      </c>
      <c r="C257" s="7" t="s">
        <v>777</v>
      </c>
      <c r="D257" s="3" t="s">
        <v>10</v>
      </c>
      <c r="E257" s="6">
        <v>0.38300000000000001</v>
      </c>
      <c r="F257" s="3" t="s">
        <v>22</v>
      </c>
      <c r="G257" s="3" t="s">
        <v>778</v>
      </c>
    </row>
    <row r="258" spans="1:7" x14ac:dyDescent="0.2">
      <c r="A258" s="3">
        <v>362</v>
      </c>
      <c r="B258" s="4" t="s">
        <v>779</v>
      </c>
      <c r="C258" s="7" t="s">
        <v>780</v>
      </c>
      <c r="D258" s="3" t="s">
        <v>431</v>
      </c>
      <c r="E258" s="6">
        <v>0.68400000000000005</v>
      </c>
      <c r="F258" s="3" t="s">
        <v>15</v>
      </c>
      <c r="G258" s="3" t="s">
        <v>781</v>
      </c>
    </row>
    <row r="259" spans="1:7" x14ac:dyDescent="0.2">
      <c r="A259" s="3">
        <v>363</v>
      </c>
      <c r="B259" s="4" t="s">
        <v>782</v>
      </c>
      <c r="C259" s="7" t="s">
        <v>783</v>
      </c>
      <c r="D259" s="3" t="s">
        <v>10</v>
      </c>
      <c r="E259" s="6">
        <v>0.441</v>
      </c>
      <c r="F259" s="3" t="s">
        <v>22</v>
      </c>
      <c r="G259" s="3" t="s">
        <v>784</v>
      </c>
    </row>
    <row r="260" spans="1:7" x14ac:dyDescent="0.2">
      <c r="A260" s="3">
        <v>366</v>
      </c>
      <c r="B260" s="4" t="s">
        <v>785</v>
      </c>
      <c r="C260" s="7" t="s">
        <v>786</v>
      </c>
      <c r="D260" s="3" t="s">
        <v>431</v>
      </c>
      <c r="E260" s="6">
        <v>0.80100000000000005</v>
      </c>
      <c r="F260" s="3" t="s">
        <v>15</v>
      </c>
      <c r="G260" s="3" t="s">
        <v>787</v>
      </c>
    </row>
    <row r="261" spans="1:7" x14ac:dyDescent="0.2">
      <c r="A261" s="3">
        <v>367</v>
      </c>
      <c r="B261" s="4" t="s">
        <v>788</v>
      </c>
      <c r="C261" s="7" t="s">
        <v>789</v>
      </c>
      <c r="D261" s="3" t="s">
        <v>10</v>
      </c>
      <c r="E261" s="6">
        <v>0.433</v>
      </c>
      <c r="F261" s="3" t="s">
        <v>11</v>
      </c>
      <c r="G261" s="3" t="s">
        <v>790</v>
      </c>
    </row>
    <row r="262" spans="1:7" x14ac:dyDescent="0.2">
      <c r="A262" s="3">
        <v>373</v>
      </c>
      <c r="B262" s="4" t="s">
        <v>791</v>
      </c>
      <c r="C262" s="7" t="s">
        <v>792</v>
      </c>
      <c r="D262" s="3" t="s">
        <v>10</v>
      </c>
      <c r="E262" s="6">
        <v>0.38300000000000001</v>
      </c>
      <c r="F262" s="3" t="s">
        <v>15</v>
      </c>
      <c r="G262" s="3" t="s">
        <v>793</v>
      </c>
    </row>
    <row r="263" spans="1:7" x14ac:dyDescent="0.2">
      <c r="A263" s="3">
        <v>377</v>
      </c>
      <c r="B263" s="4" t="s">
        <v>794</v>
      </c>
      <c r="C263" s="7" t="s">
        <v>795</v>
      </c>
      <c r="D263" s="3" t="s">
        <v>10</v>
      </c>
      <c r="E263" s="6">
        <v>0.52100000000000002</v>
      </c>
      <c r="F263" s="3" t="s">
        <v>15</v>
      </c>
      <c r="G263" s="3" t="s">
        <v>796</v>
      </c>
    </row>
    <row r="264" spans="1:7" x14ac:dyDescent="0.2">
      <c r="A264" s="3">
        <v>378</v>
      </c>
      <c r="B264" s="4" t="s">
        <v>797</v>
      </c>
      <c r="C264" s="7" t="s">
        <v>798</v>
      </c>
      <c r="D264" s="3" t="s">
        <v>10</v>
      </c>
      <c r="E264" s="6">
        <v>0.61599999999999999</v>
      </c>
      <c r="F264" s="3" t="s">
        <v>15</v>
      </c>
      <c r="G264" s="3" t="s">
        <v>799</v>
      </c>
    </row>
    <row r="265" spans="1:7" x14ac:dyDescent="0.2">
      <c r="A265" s="3">
        <v>380</v>
      </c>
      <c r="B265" s="4" t="s">
        <v>800</v>
      </c>
      <c r="C265" s="7" t="s">
        <v>801</v>
      </c>
      <c r="D265" s="3" t="s">
        <v>10</v>
      </c>
      <c r="E265" s="6">
        <v>0.52</v>
      </c>
      <c r="F265" s="3" t="s">
        <v>15</v>
      </c>
      <c r="G265" s="3" t="s">
        <v>802</v>
      </c>
    </row>
    <row r="266" spans="1:7" x14ac:dyDescent="0.2">
      <c r="A266" s="3">
        <v>381</v>
      </c>
      <c r="B266" s="4" t="s">
        <v>803</v>
      </c>
      <c r="C266" s="7" t="s">
        <v>804</v>
      </c>
      <c r="D266" s="3" t="s">
        <v>10</v>
      </c>
      <c r="E266" s="6">
        <v>0.35699999999999998</v>
      </c>
      <c r="F266" s="3" t="s">
        <v>22</v>
      </c>
      <c r="G266" s="3" t="s">
        <v>805</v>
      </c>
    </row>
    <row r="267" spans="1:7" x14ac:dyDescent="0.2">
      <c r="A267" s="3">
        <v>383</v>
      </c>
      <c r="B267" s="4" t="s">
        <v>806</v>
      </c>
      <c r="C267" s="7" t="s">
        <v>807</v>
      </c>
      <c r="D267" s="3" t="s">
        <v>10</v>
      </c>
      <c r="E267" s="6">
        <v>0.57599999999999996</v>
      </c>
      <c r="F267" s="3" t="s">
        <v>11</v>
      </c>
      <c r="G267" s="3" t="s">
        <v>808</v>
      </c>
    </row>
    <row r="268" spans="1:7" x14ac:dyDescent="0.2">
      <c r="A268" s="3">
        <v>387</v>
      </c>
      <c r="B268" s="4" t="s">
        <v>809</v>
      </c>
      <c r="C268" s="7" t="s">
        <v>810</v>
      </c>
      <c r="D268" s="3" t="s">
        <v>10</v>
      </c>
      <c r="E268" s="6">
        <v>0.59</v>
      </c>
      <c r="F268" s="3" t="s">
        <v>11</v>
      </c>
      <c r="G268" s="3" t="s">
        <v>811</v>
      </c>
    </row>
    <row r="269" spans="1:7" x14ac:dyDescent="0.2">
      <c r="A269" s="3">
        <v>390</v>
      </c>
      <c r="B269" s="4" t="s">
        <v>812</v>
      </c>
      <c r="C269" s="7" t="s">
        <v>813</v>
      </c>
      <c r="D269" s="3" t="s">
        <v>10</v>
      </c>
      <c r="E269" s="6">
        <v>0.46500000000000002</v>
      </c>
      <c r="F269" s="3" t="s">
        <v>15</v>
      </c>
      <c r="G269" s="3" t="s">
        <v>814</v>
      </c>
    </row>
    <row r="270" spans="1:7" x14ac:dyDescent="0.2">
      <c r="A270" s="3">
        <v>392</v>
      </c>
      <c r="B270" s="4" t="s">
        <v>815</v>
      </c>
      <c r="C270" s="7" t="s">
        <v>816</v>
      </c>
      <c r="D270" s="3" t="s">
        <v>10</v>
      </c>
      <c r="E270" s="6">
        <v>0.49</v>
      </c>
      <c r="F270" s="3" t="s">
        <v>11</v>
      </c>
      <c r="G270" s="3" t="s">
        <v>817</v>
      </c>
    </row>
    <row r="271" spans="1:7" x14ac:dyDescent="0.2">
      <c r="A271" s="3">
        <v>394</v>
      </c>
      <c r="B271" s="4" t="s">
        <v>818</v>
      </c>
      <c r="C271" s="7" t="s">
        <v>819</v>
      </c>
      <c r="D271" s="3" t="s">
        <v>10</v>
      </c>
      <c r="E271" s="6">
        <v>0.57599999999999996</v>
      </c>
      <c r="F271" s="3" t="s">
        <v>15</v>
      </c>
      <c r="G271" s="3" t="s">
        <v>820</v>
      </c>
    </row>
    <row r="272" spans="1:7" x14ac:dyDescent="0.2">
      <c r="A272" s="3">
        <v>395</v>
      </c>
      <c r="B272" s="4" t="s">
        <v>821</v>
      </c>
      <c r="C272" s="7" t="s">
        <v>822</v>
      </c>
      <c r="D272" s="3" t="s">
        <v>10</v>
      </c>
      <c r="E272" s="6">
        <v>0.44800000000000001</v>
      </c>
      <c r="F272" s="3" t="s">
        <v>15</v>
      </c>
      <c r="G272" s="3" t="s">
        <v>823</v>
      </c>
    </row>
    <row r="273" spans="1:7" x14ac:dyDescent="0.2">
      <c r="A273" s="3">
        <v>397</v>
      </c>
      <c r="B273" s="4" t="s">
        <v>824</v>
      </c>
      <c r="C273" s="7" t="s">
        <v>825</v>
      </c>
      <c r="D273" s="3" t="s">
        <v>10</v>
      </c>
      <c r="E273" s="6">
        <v>0.35099999999999998</v>
      </c>
      <c r="F273" s="3" t="s">
        <v>15</v>
      </c>
      <c r="G273" s="3" t="s">
        <v>826</v>
      </c>
    </row>
    <row r="274" spans="1:7" x14ac:dyDescent="0.2">
      <c r="A274" s="3">
        <v>399</v>
      </c>
      <c r="B274" s="4" t="s">
        <v>827</v>
      </c>
      <c r="C274" s="7" t="s">
        <v>828</v>
      </c>
      <c r="D274" s="3" t="s">
        <v>10</v>
      </c>
      <c r="E274" s="6">
        <v>0.59599999999999997</v>
      </c>
      <c r="F274" s="3" t="s">
        <v>15</v>
      </c>
      <c r="G274" s="3" t="s">
        <v>829</v>
      </c>
    </row>
    <row r="275" spans="1:7" x14ac:dyDescent="0.2">
      <c r="A275" s="3">
        <v>402</v>
      </c>
      <c r="B275" s="4" t="s">
        <v>830</v>
      </c>
      <c r="C275" s="7" t="s">
        <v>831</v>
      </c>
      <c r="D275" s="3" t="s">
        <v>10</v>
      </c>
      <c r="E275" s="6">
        <v>0.30499999999999999</v>
      </c>
      <c r="F275" s="3" t="s">
        <v>15</v>
      </c>
      <c r="G275" s="3" t="s">
        <v>832</v>
      </c>
    </row>
    <row r="276" spans="1:7" x14ac:dyDescent="0.2">
      <c r="A276" s="3">
        <v>403</v>
      </c>
      <c r="B276" s="4" t="s">
        <v>833</v>
      </c>
      <c r="C276" s="7" t="s">
        <v>834</v>
      </c>
      <c r="D276" s="3" t="s">
        <v>10</v>
      </c>
      <c r="E276" s="6">
        <v>0.43099999999999999</v>
      </c>
      <c r="F276" s="3" t="s">
        <v>22</v>
      </c>
      <c r="G276" s="3" t="s">
        <v>432</v>
      </c>
    </row>
    <row r="277" spans="1:7" x14ac:dyDescent="0.2">
      <c r="A277" s="3">
        <v>406</v>
      </c>
      <c r="B277" s="4" t="s">
        <v>835</v>
      </c>
      <c r="C277" s="7" t="s">
        <v>836</v>
      </c>
      <c r="D277" s="3" t="s">
        <v>10</v>
      </c>
      <c r="E277" s="6">
        <v>0.72799999999999998</v>
      </c>
      <c r="F277" s="3" t="s">
        <v>15</v>
      </c>
      <c r="G277" s="3" t="s">
        <v>837</v>
      </c>
    </row>
    <row r="278" spans="1:7" x14ac:dyDescent="0.2">
      <c r="A278" s="3">
        <v>407</v>
      </c>
      <c r="B278" s="4" t="s">
        <v>838</v>
      </c>
      <c r="C278" s="7" t="s">
        <v>839</v>
      </c>
      <c r="D278" s="3" t="s">
        <v>10</v>
      </c>
      <c r="E278" s="6">
        <v>0.47499999999999998</v>
      </c>
      <c r="F278" s="3" t="s">
        <v>22</v>
      </c>
      <c r="G278" s="3" t="s">
        <v>840</v>
      </c>
    </row>
    <row r="279" spans="1:7" x14ac:dyDescent="0.2">
      <c r="A279" s="3">
        <v>409</v>
      </c>
      <c r="B279" s="4" t="s">
        <v>841</v>
      </c>
      <c r="C279" s="7" t="s">
        <v>842</v>
      </c>
      <c r="D279" s="3" t="s">
        <v>10</v>
      </c>
      <c r="E279" s="6">
        <v>0.54600000000000004</v>
      </c>
      <c r="F279" s="3" t="s">
        <v>11</v>
      </c>
      <c r="G279" s="3" t="s">
        <v>843</v>
      </c>
    </row>
    <row r="280" spans="1:7" x14ac:dyDescent="0.2">
      <c r="A280" s="3">
        <v>410</v>
      </c>
      <c r="B280" s="4" t="s">
        <v>844</v>
      </c>
      <c r="C280" s="7" t="s">
        <v>845</v>
      </c>
      <c r="D280" s="3" t="s">
        <v>10</v>
      </c>
      <c r="E280" s="6">
        <v>0.53300000000000003</v>
      </c>
      <c r="F280" s="3" t="s">
        <v>22</v>
      </c>
      <c r="G280" s="3" t="s">
        <v>266</v>
      </c>
    </row>
    <row r="281" spans="1:7" x14ac:dyDescent="0.2">
      <c r="A281" s="3">
        <v>412</v>
      </c>
      <c r="B281" s="4" t="s">
        <v>846</v>
      </c>
      <c r="C281" s="7" t="s">
        <v>847</v>
      </c>
      <c r="D281" s="3" t="s">
        <v>10</v>
      </c>
      <c r="E281" s="6">
        <v>0.68899999999999995</v>
      </c>
      <c r="F281" s="3" t="s">
        <v>11</v>
      </c>
      <c r="G281" s="3" t="s">
        <v>848</v>
      </c>
    </row>
    <row r="282" spans="1:7" x14ac:dyDescent="0.2">
      <c r="A282" s="3">
        <v>414</v>
      </c>
      <c r="B282" s="4" t="s">
        <v>849</v>
      </c>
      <c r="C282" s="7" t="s">
        <v>850</v>
      </c>
      <c r="D282" s="3" t="s">
        <v>10</v>
      </c>
      <c r="E282" s="6">
        <v>0.32600000000000001</v>
      </c>
      <c r="F282" s="3" t="s">
        <v>11</v>
      </c>
      <c r="G282" s="3" t="s">
        <v>851</v>
      </c>
    </row>
    <row r="283" spans="1:7" x14ac:dyDescent="0.2">
      <c r="A283" s="3">
        <v>415</v>
      </c>
      <c r="B283" s="4" t="s">
        <v>852</v>
      </c>
      <c r="C283" s="7" t="s">
        <v>853</v>
      </c>
      <c r="D283" s="3" t="s">
        <v>10</v>
      </c>
      <c r="E283" s="6">
        <v>0.52600000000000002</v>
      </c>
      <c r="F283" s="3" t="s">
        <v>11</v>
      </c>
      <c r="G283" s="3" t="s">
        <v>854</v>
      </c>
    </row>
    <row r="284" spans="1:7" x14ac:dyDescent="0.2">
      <c r="A284" s="3">
        <v>416</v>
      </c>
      <c r="B284" s="4" t="s">
        <v>855</v>
      </c>
      <c r="C284" s="7" t="s">
        <v>856</v>
      </c>
      <c r="D284" s="3" t="s">
        <v>10</v>
      </c>
      <c r="E284" s="6">
        <v>0.46600000000000003</v>
      </c>
      <c r="F284" s="3" t="s">
        <v>15</v>
      </c>
      <c r="G284" s="3" t="s">
        <v>857</v>
      </c>
    </row>
    <row r="285" spans="1:7" x14ac:dyDescent="0.2">
      <c r="A285" s="3">
        <v>417</v>
      </c>
      <c r="B285" s="4" t="s">
        <v>858</v>
      </c>
      <c r="C285" s="7" t="s">
        <v>859</v>
      </c>
      <c r="D285" s="3" t="s">
        <v>10</v>
      </c>
      <c r="E285" s="6">
        <v>0.54</v>
      </c>
      <c r="F285" s="3" t="s">
        <v>15</v>
      </c>
      <c r="G285" s="3" t="s">
        <v>860</v>
      </c>
    </row>
    <row r="286" spans="1:7" x14ac:dyDescent="0.2">
      <c r="A286" s="3">
        <v>419</v>
      </c>
      <c r="B286" s="4" t="s">
        <v>861</v>
      </c>
      <c r="C286" s="7" t="s">
        <v>862</v>
      </c>
      <c r="D286" s="3" t="s">
        <v>10</v>
      </c>
      <c r="E286" s="6">
        <v>0.747</v>
      </c>
      <c r="F286" s="3" t="s">
        <v>15</v>
      </c>
      <c r="G286" s="3" t="s">
        <v>863</v>
      </c>
    </row>
    <row r="287" spans="1:7" x14ac:dyDescent="0.2">
      <c r="A287" s="3">
        <v>420</v>
      </c>
      <c r="B287" s="4" t="s">
        <v>864</v>
      </c>
      <c r="C287" s="7" t="s">
        <v>865</v>
      </c>
      <c r="D287" s="3" t="s">
        <v>10</v>
      </c>
      <c r="E287" s="6">
        <v>0.14299999999999999</v>
      </c>
      <c r="F287" s="3" t="s">
        <v>22</v>
      </c>
      <c r="G287" s="3" t="s">
        <v>866</v>
      </c>
    </row>
    <row r="288" spans="1:7" x14ac:dyDescent="0.2">
      <c r="A288" s="3">
        <v>421</v>
      </c>
      <c r="B288" s="4" t="s">
        <v>867</v>
      </c>
      <c r="C288" s="7" t="s">
        <v>868</v>
      </c>
      <c r="D288" s="3" t="s">
        <v>10</v>
      </c>
      <c r="E288" s="6">
        <v>0.54500000000000004</v>
      </c>
      <c r="F288" s="3" t="s">
        <v>15</v>
      </c>
      <c r="G288" s="3" t="s">
        <v>826</v>
      </c>
    </row>
    <row r="289" spans="1:7" x14ac:dyDescent="0.2">
      <c r="A289" s="3">
        <v>424</v>
      </c>
      <c r="B289" s="4" t="s">
        <v>869</v>
      </c>
      <c r="C289" s="7" t="s">
        <v>870</v>
      </c>
      <c r="D289" s="3" t="s">
        <v>10</v>
      </c>
      <c r="E289" s="6">
        <v>0.51500000000000001</v>
      </c>
      <c r="F289" s="3" t="s">
        <v>15</v>
      </c>
      <c r="G289" s="3" t="s">
        <v>840</v>
      </c>
    </row>
    <row r="290" spans="1:7" x14ac:dyDescent="0.2">
      <c r="A290" s="3">
        <v>432</v>
      </c>
      <c r="B290" s="4" t="s">
        <v>871</v>
      </c>
      <c r="C290" s="7" t="s">
        <v>872</v>
      </c>
      <c r="D290" s="3" t="s">
        <v>10</v>
      </c>
      <c r="E290" s="6">
        <v>0.36699999999999999</v>
      </c>
      <c r="F290" s="3" t="s">
        <v>22</v>
      </c>
      <c r="G290" s="3" t="s">
        <v>873</v>
      </c>
    </row>
    <row r="291" spans="1:7" x14ac:dyDescent="0.2">
      <c r="A291" s="3">
        <v>433</v>
      </c>
      <c r="B291" s="4" t="s">
        <v>874</v>
      </c>
      <c r="C291" s="7" t="s">
        <v>875</v>
      </c>
      <c r="D291" s="3" t="s">
        <v>10</v>
      </c>
      <c r="E291" s="6">
        <v>0.52</v>
      </c>
      <c r="F291" s="3" t="s">
        <v>15</v>
      </c>
      <c r="G291" s="3" t="s">
        <v>876</v>
      </c>
    </row>
    <row r="292" spans="1:7" x14ac:dyDescent="0.2">
      <c r="A292" s="3">
        <v>435</v>
      </c>
      <c r="B292" s="4" t="s">
        <v>877</v>
      </c>
      <c r="C292" s="7" t="s">
        <v>878</v>
      </c>
      <c r="D292" s="3" t="s">
        <v>10</v>
      </c>
      <c r="E292" s="6">
        <v>0.499</v>
      </c>
      <c r="F292" s="3" t="s">
        <v>15</v>
      </c>
      <c r="G292" s="3" t="s">
        <v>879</v>
      </c>
    </row>
    <row r="293" spans="1:7" x14ac:dyDescent="0.2">
      <c r="A293" s="3">
        <v>437</v>
      </c>
      <c r="B293" s="4" t="s">
        <v>880</v>
      </c>
      <c r="C293" s="7" t="s">
        <v>881</v>
      </c>
      <c r="D293" s="3" t="s">
        <v>10</v>
      </c>
      <c r="E293" s="6">
        <v>0.48699999999999999</v>
      </c>
      <c r="F293" s="3" t="s">
        <v>15</v>
      </c>
      <c r="G293" s="3" t="s">
        <v>882</v>
      </c>
    </row>
    <row r="294" spans="1:7" x14ac:dyDescent="0.2">
      <c r="A294" s="3">
        <v>438</v>
      </c>
      <c r="B294" s="4" t="s">
        <v>883</v>
      </c>
      <c r="C294" s="7" t="s">
        <v>884</v>
      </c>
      <c r="D294" s="3" t="s">
        <v>10</v>
      </c>
      <c r="E294" s="6">
        <v>0.49</v>
      </c>
      <c r="F294" s="3" t="s">
        <v>15</v>
      </c>
      <c r="G294" s="3" t="s">
        <v>885</v>
      </c>
    </row>
    <row r="295" spans="1:7" x14ac:dyDescent="0.2">
      <c r="A295" s="3">
        <v>441</v>
      </c>
      <c r="B295" s="4" t="s">
        <v>886</v>
      </c>
      <c r="C295" s="7" t="s">
        <v>887</v>
      </c>
      <c r="D295" s="3" t="s">
        <v>10</v>
      </c>
      <c r="E295" s="6">
        <v>0.46100000000000002</v>
      </c>
      <c r="F295" s="3" t="s">
        <v>11</v>
      </c>
      <c r="G295" s="3" t="s">
        <v>888</v>
      </c>
    </row>
    <row r="296" spans="1:7" x14ac:dyDescent="0.2">
      <c r="A296" s="3">
        <v>442</v>
      </c>
      <c r="B296" s="4" t="s">
        <v>889</v>
      </c>
      <c r="C296" s="7" t="s">
        <v>890</v>
      </c>
      <c r="D296" s="3" t="s">
        <v>10</v>
      </c>
      <c r="E296" s="6">
        <v>0.73399999999999999</v>
      </c>
      <c r="F296" s="3" t="s">
        <v>15</v>
      </c>
      <c r="G296" s="3" t="s">
        <v>891</v>
      </c>
    </row>
    <row r="297" spans="1:7" x14ac:dyDescent="0.2">
      <c r="A297" s="3">
        <v>443</v>
      </c>
      <c r="B297" s="4" t="s">
        <v>892</v>
      </c>
      <c r="C297" s="7" t="s">
        <v>893</v>
      </c>
      <c r="D297" s="3" t="s">
        <v>10</v>
      </c>
      <c r="E297" s="6">
        <v>0.48899999999999999</v>
      </c>
      <c r="F297" s="3" t="s">
        <v>15</v>
      </c>
      <c r="G297" s="3" t="s">
        <v>832</v>
      </c>
    </row>
    <row r="298" spans="1:7" x14ac:dyDescent="0.2">
      <c r="A298" s="3">
        <v>445</v>
      </c>
      <c r="B298" s="4" t="s">
        <v>894</v>
      </c>
      <c r="C298" s="7" t="s">
        <v>895</v>
      </c>
      <c r="D298" s="3" t="s">
        <v>10</v>
      </c>
      <c r="E298" s="6">
        <v>0.59499999999999997</v>
      </c>
      <c r="F298" s="3" t="s">
        <v>15</v>
      </c>
      <c r="G298" s="3" t="s">
        <v>896</v>
      </c>
    </row>
    <row r="299" spans="1:7" x14ac:dyDescent="0.2">
      <c r="A299" s="3">
        <v>448</v>
      </c>
      <c r="B299" s="4" t="s">
        <v>897</v>
      </c>
      <c r="C299" s="7" t="s">
        <v>898</v>
      </c>
      <c r="D299" s="3" t="s">
        <v>10</v>
      </c>
      <c r="E299" s="6">
        <v>0.59699999999999998</v>
      </c>
      <c r="F299" s="3" t="s">
        <v>11</v>
      </c>
      <c r="G299" s="3" t="s">
        <v>899</v>
      </c>
    </row>
    <row r="300" spans="1:7" x14ac:dyDescent="0.2">
      <c r="A300" s="3">
        <v>449</v>
      </c>
      <c r="B300" s="4" t="s">
        <v>900</v>
      </c>
      <c r="C300" s="7" t="s">
        <v>901</v>
      </c>
      <c r="D300" s="3" t="s">
        <v>10</v>
      </c>
      <c r="E300" s="6">
        <v>0.56799999999999995</v>
      </c>
      <c r="F300" s="3" t="s">
        <v>15</v>
      </c>
      <c r="G300" s="3" t="s">
        <v>902</v>
      </c>
    </row>
    <row r="301" spans="1:7" x14ac:dyDescent="0.2">
      <c r="A301" s="3">
        <v>450</v>
      </c>
      <c r="B301" s="4" t="s">
        <v>903</v>
      </c>
      <c r="C301" s="7" t="s">
        <v>904</v>
      </c>
      <c r="D301" s="3" t="s">
        <v>10</v>
      </c>
      <c r="E301" s="6">
        <v>0.5</v>
      </c>
      <c r="F301" s="3" t="s">
        <v>15</v>
      </c>
      <c r="G301" s="3" t="s">
        <v>905</v>
      </c>
    </row>
    <row r="302" spans="1:7" x14ac:dyDescent="0.2">
      <c r="A302" s="3">
        <v>451</v>
      </c>
      <c r="B302" s="4" t="s">
        <v>906</v>
      </c>
      <c r="C302" s="7" t="s">
        <v>907</v>
      </c>
      <c r="D302" s="3" t="s">
        <v>10</v>
      </c>
      <c r="E302" s="6">
        <v>0.68600000000000005</v>
      </c>
      <c r="F302" s="3" t="s">
        <v>15</v>
      </c>
      <c r="G302" s="3" t="s">
        <v>908</v>
      </c>
    </row>
    <row r="303" spans="1:7" x14ac:dyDescent="0.2">
      <c r="A303" s="3">
        <v>452</v>
      </c>
      <c r="B303" s="4" t="s">
        <v>909</v>
      </c>
      <c r="C303" s="7" t="s">
        <v>910</v>
      </c>
      <c r="D303" s="3" t="s">
        <v>10</v>
      </c>
      <c r="E303" s="6">
        <v>0.53200000000000003</v>
      </c>
      <c r="F303" s="3" t="s">
        <v>15</v>
      </c>
      <c r="G303" s="3" t="s">
        <v>863</v>
      </c>
    </row>
    <row r="304" spans="1:7" x14ac:dyDescent="0.2">
      <c r="A304" s="3">
        <v>453</v>
      </c>
      <c r="B304" s="4" t="s">
        <v>911</v>
      </c>
      <c r="C304" s="7" t="s">
        <v>912</v>
      </c>
      <c r="D304" s="3" t="s">
        <v>10</v>
      </c>
      <c r="E304" s="6">
        <v>0.55700000000000005</v>
      </c>
      <c r="F304" s="3" t="s">
        <v>15</v>
      </c>
      <c r="G304" s="3" t="s">
        <v>913</v>
      </c>
    </row>
    <row r="305" spans="1:7" x14ac:dyDescent="0.2">
      <c r="A305" s="3">
        <v>455</v>
      </c>
      <c r="B305" s="4" t="s">
        <v>914</v>
      </c>
      <c r="C305" s="7" t="s">
        <v>915</v>
      </c>
      <c r="D305" s="3" t="s">
        <v>10</v>
      </c>
      <c r="E305" s="6">
        <v>0.505</v>
      </c>
      <c r="F305" s="3" t="s">
        <v>11</v>
      </c>
      <c r="G305" s="3" t="s">
        <v>916</v>
      </c>
    </row>
    <row r="306" spans="1:7" x14ac:dyDescent="0.2">
      <c r="A306" s="3">
        <v>456</v>
      </c>
      <c r="B306" s="4" t="s">
        <v>917</v>
      </c>
      <c r="C306" s="7" t="s">
        <v>918</v>
      </c>
      <c r="D306" s="3" t="s">
        <v>10</v>
      </c>
      <c r="E306" s="6">
        <v>0.32500000000000001</v>
      </c>
      <c r="F306" s="3" t="s">
        <v>15</v>
      </c>
      <c r="G306" s="3" t="s">
        <v>919</v>
      </c>
    </row>
    <row r="307" spans="1:7" x14ac:dyDescent="0.2">
      <c r="A307" s="3">
        <v>458</v>
      </c>
      <c r="B307" s="4" t="s">
        <v>920</v>
      </c>
      <c r="C307" s="7" t="s">
        <v>921</v>
      </c>
      <c r="D307" s="3" t="s">
        <v>10</v>
      </c>
      <c r="E307" s="6">
        <v>0.64400000000000002</v>
      </c>
      <c r="F307" s="3" t="s">
        <v>22</v>
      </c>
      <c r="G307" s="3" t="s">
        <v>742</v>
      </c>
    </row>
    <row r="308" spans="1:7" x14ac:dyDescent="0.2">
      <c r="A308" s="3">
        <v>460</v>
      </c>
      <c r="B308" s="4" t="s">
        <v>922</v>
      </c>
      <c r="C308" s="7" t="s">
        <v>923</v>
      </c>
      <c r="D308" s="3" t="s">
        <v>10</v>
      </c>
      <c r="E308" s="6">
        <v>0.40400000000000003</v>
      </c>
      <c r="F308" s="3" t="s">
        <v>22</v>
      </c>
      <c r="G308" s="3" t="s">
        <v>924</v>
      </c>
    </row>
    <row r="309" spans="1:7" x14ac:dyDescent="0.2">
      <c r="A309" s="3">
        <v>462</v>
      </c>
      <c r="B309" s="4" t="s">
        <v>925</v>
      </c>
      <c r="C309" s="7" t="s">
        <v>926</v>
      </c>
      <c r="D309" s="3" t="s">
        <v>10</v>
      </c>
      <c r="E309" s="6">
        <v>0.60199999999999998</v>
      </c>
      <c r="F309" s="3" t="s">
        <v>15</v>
      </c>
      <c r="G309" s="3" t="s">
        <v>927</v>
      </c>
    </row>
    <row r="310" spans="1:7" x14ac:dyDescent="0.2">
      <c r="A310" s="3">
        <v>463</v>
      </c>
      <c r="B310" s="4" t="s">
        <v>928</v>
      </c>
      <c r="C310" s="7" t="s">
        <v>929</v>
      </c>
      <c r="D310" s="3" t="s">
        <v>10</v>
      </c>
      <c r="E310" s="6">
        <v>0.69499999999999995</v>
      </c>
      <c r="F310" s="3" t="s">
        <v>11</v>
      </c>
      <c r="G310" s="3" t="s">
        <v>930</v>
      </c>
    </row>
    <row r="311" spans="1:7" x14ac:dyDescent="0.2">
      <c r="A311" s="3">
        <v>465</v>
      </c>
      <c r="B311" s="4" t="s">
        <v>931</v>
      </c>
      <c r="C311" s="7" t="s">
        <v>932</v>
      </c>
      <c r="D311" s="3" t="s">
        <v>431</v>
      </c>
      <c r="E311" s="6">
        <v>0.49299999999999999</v>
      </c>
      <c r="F311" s="3" t="s">
        <v>22</v>
      </c>
      <c r="G311" s="3" t="s">
        <v>933</v>
      </c>
    </row>
    <row r="312" spans="1:7" x14ac:dyDescent="0.2">
      <c r="A312" s="3">
        <v>472</v>
      </c>
      <c r="B312" s="4" t="s">
        <v>934</v>
      </c>
      <c r="C312" s="7" t="s">
        <v>935</v>
      </c>
      <c r="D312" s="3" t="s">
        <v>10</v>
      </c>
      <c r="E312" s="6">
        <v>0.45800000000000002</v>
      </c>
      <c r="F312" s="3" t="s">
        <v>22</v>
      </c>
      <c r="G312" s="3" t="s">
        <v>936</v>
      </c>
    </row>
    <row r="313" spans="1:7" x14ac:dyDescent="0.2">
      <c r="A313" s="3">
        <v>474</v>
      </c>
      <c r="B313" s="4" t="s">
        <v>937</v>
      </c>
      <c r="C313" s="7" t="s">
        <v>938</v>
      </c>
      <c r="D313" s="3" t="s">
        <v>10</v>
      </c>
      <c r="E313" s="6">
        <v>0.46700000000000003</v>
      </c>
      <c r="F313" s="3" t="s">
        <v>15</v>
      </c>
      <c r="G313" s="3" t="s">
        <v>702</v>
      </c>
    </row>
    <row r="314" spans="1:7" x14ac:dyDescent="0.2">
      <c r="A314" s="3">
        <v>475</v>
      </c>
      <c r="B314" s="4" t="s">
        <v>939</v>
      </c>
      <c r="C314" s="7" t="s">
        <v>940</v>
      </c>
      <c r="D314" s="3" t="s">
        <v>10</v>
      </c>
      <c r="E314" s="6">
        <v>0.36099999999999999</v>
      </c>
      <c r="F314" s="3" t="s">
        <v>15</v>
      </c>
      <c r="G314" s="3" t="s">
        <v>941</v>
      </c>
    </row>
    <row r="315" spans="1:7" x14ac:dyDescent="0.2">
      <c r="A315" s="3">
        <v>480</v>
      </c>
      <c r="B315" s="4" t="s">
        <v>942</v>
      </c>
      <c r="C315" s="7" t="s">
        <v>943</v>
      </c>
      <c r="D315" s="3" t="s">
        <v>10</v>
      </c>
      <c r="E315" s="6">
        <v>0.41399999999999998</v>
      </c>
      <c r="F315" s="3" t="s">
        <v>22</v>
      </c>
      <c r="G315" s="3" t="s">
        <v>944</v>
      </c>
    </row>
    <row r="316" spans="1:7" x14ac:dyDescent="0.2">
      <c r="A316" s="3">
        <v>490</v>
      </c>
      <c r="B316" s="4" t="s">
        <v>945</v>
      </c>
      <c r="C316" s="7" t="s">
        <v>946</v>
      </c>
      <c r="D316" s="3" t="s">
        <v>431</v>
      </c>
      <c r="E316" s="6">
        <v>0.55400000000000005</v>
      </c>
      <c r="F316" s="3" t="s">
        <v>15</v>
      </c>
      <c r="G316" s="3" t="s">
        <v>947</v>
      </c>
    </row>
    <row r="317" spans="1:7" x14ac:dyDescent="0.2">
      <c r="A317" s="3">
        <v>493</v>
      </c>
      <c r="B317" s="4" t="s">
        <v>948</v>
      </c>
      <c r="C317" s="7" t="s">
        <v>949</v>
      </c>
      <c r="D317" s="3" t="s">
        <v>10</v>
      </c>
      <c r="E317" s="6">
        <v>0.309</v>
      </c>
      <c r="F317" s="3" t="s">
        <v>22</v>
      </c>
      <c r="G317" s="3" t="s">
        <v>950</v>
      </c>
    </row>
    <row r="318" spans="1:7" x14ac:dyDescent="0.2">
      <c r="A318" s="3">
        <v>494</v>
      </c>
      <c r="B318" s="4" t="s">
        <v>951</v>
      </c>
      <c r="C318" s="7" t="s">
        <v>952</v>
      </c>
      <c r="D318" s="3" t="s">
        <v>10</v>
      </c>
      <c r="E318" s="6">
        <v>0.45600000000000002</v>
      </c>
      <c r="F318" s="3" t="s">
        <v>15</v>
      </c>
      <c r="G318" s="3" t="s">
        <v>953</v>
      </c>
    </row>
    <row r="319" spans="1:7" x14ac:dyDescent="0.2">
      <c r="A319" s="3">
        <v>496</v>
      </c>
      <c r="B319" s="4" t="s">
        <v>954</v>
      </c>
      <c r="C319" s="7" t="s">
        <v>955</v>
      </c>
      <c r="D319" s="3" t="s">
        <v>10</v>
      </c>
      <c r="E319" s="6">
        <v>0.71399999999999997</v>
      </c>
      <c r="F319" s="3" t="s">
        <v>11</v>
      </c>
      <c r="G319" s="3" t="s">
        <v>956</v>
      </c>
    </row>
    <row r="320" spans="1:7" x14ac:dyDescent="0.2">
      <c r="A320" s="3">
        <v>502</v>
      </c>
      <c r="B320" s="4" t="s">
        <v>957</v>
      </c>
      <c r="C320" s="7" t="s">
        <v>958</v>
      </c>
      <c r="D320" s="3" t="s">
        <v>10</v>
      </c>
      <c r="E320" s="6">
        <v>0.44900000000000001</v>
      </c>
      <c r="F320" s="3" t="s">
        <v>22</v>
      </c>
      <c r="G320" s="3" t="s">
        <v>699</v>
      </c>
    </row>
    <row r="321" spans="1:7" x14ac:dyDescent="0.2">
      <c r="A321" s="3">
        <v>503</v>
      </c>
      <c r="B321" s="4" t="s">
        <v>959</v>
      </c>
      <c r="C321" s="7" t="s">
        <v>960</v>
      </c>
      <c r="D321" s="3" t="s">
        <v>10</v>
      </c>
      <c r="E321" s="6">
        <v>0.63100000000000001</v>
      </c>
      <c r="F321" s="3" t="s">
        <v>15</v>
      </c>
      <c r="G321" s="3" t="s">
        <v>961</v>
      </c>
    </row>
    <row r="322" spans="1:7" x14ac:dyDescent="0.2">
      <c r="A322" s="3">
        <v>506</v>
      </c>
      <c r="B322" s="4" t="s">
        <v>962</v>
      </c>
      <c r="C322" s="7" t="s">
        <v>963</v>
      </c>
      <c r="D322" s="3" t="s">
        <v>10</v>
      </c>
      <c r="E322" s="6">
        <v>0.59099999999999997</v>
      </c>
      <c r="F322" s="3" t="s">
        <v>11</v>
      </c>
      <c r="G322" s="3" t="s">
        <v>564</v>
      </c>
    </row>
    <row r="323" spans="1:7" x14ac:dyDescent="0.2">
      <c r="A323" s="3">
        <v>516</v>
      </c>
      <c r="B323" s="4" t="s">
        <v>964</v>
      </c>
      <c r="C323" s="7" t="s">
        <v>965</v>
      </c>
      <c r="D323" s="3" t="s">
        <v>10</v>
      </c>
      <c r="E323" s="6">
        <v>0.60699999999999998</v>
      </c>
      <c r="F323" s="3" t="s">
        <v>15</v>
      </c>
      <c r="G323" s="3" t="s">
        <v>966</v>
      </c>
    </row>
    <row r="324" spans="1:7" x14ac:dyDescent="0.2">
      <c r="A324" s="3">
        <v>518</v>
      </c>
      <c r="B324" s="4" t="s">
        <v>967</v>
      </c>
      <c r="C324" s="7" t="s">
        <v>968</v>
      </c>
      <c r="D324" s="3" t="s">
        <v>10</v>
      </c>
      <c r="E324" s="6">
        <v>0.59899999999999998</v>
      </c>
      <c r="F324" s="3" t="s">
        <v>15</v>
      </c>
      <c r="G324" s="3" t="s">
        <v>969</v>
      </c>
    </row>
    <row r="325" spans="1:7" x14ac:dyDescent="0.2">
      <c r="A325" s="3">
        <v>523</v>
      </c>
      <c r="B325" s="4" t="s">
        <v>970</v>
      </c>
      <c r="C325" s="7" t="s">
        <v>971</v>
      </c>
      <c r="D325" s="3" t="s">
        <v>10</v>
      </c>
      <c r="E325" s="6">
        <v>0.28499999999999998</v>
      </c>
      <c r="F325" s="3" t="s">
        <v>15</v>
      </c>
      <c r="G325" s="3" t="s">
        <v>972</v>
      </c>
    </row>
    <row r="326" spans="1:7" x14ac:dyDescent="0.2">
      <c r="A326" s="3">
        <v>525</v>
      </c>
      <c r="B326" s="4" t="s">
        <v>973</v>
      </c>
      <c r="C326" s="7" t="s">
        <v>974</v>
      </c>
      <c r="D326" s="3" t="s">
        <v>10</v>
      </c>
      <c r="E326" s="6">
        <v>0.46800000000000003</v>
      </c>
      <c r="F326" s="3" t="s">
        <v>15</v>
      </c>
      <c r="G326" s="3" t="s">
        <v>975</v>
      </c>
    </row>
    <row r="327" spans="1:7" x14ac:dyDescent="0.2">
      <c r="A327" s="3">
        <v>527</v>
      </c>
      <c r="B327" s="4" t="s">
        <v>976</v>
      </c>
      <c r="C327" s="7" t="s">
        <v>977</v>
      </c>
      <c r="D327" s="3" t="s">
        <v>431</v>
      </c>
      <c r="E327" s="6">
        <v>0.60299999999999998</v>
      </c>
      <c r="F327" s="3" t="s">
        <v>22</v>
      </c>
      <c r="G327" s="3" t="s">
        <v>978</v>
      </c>
    </row>
    <row r="328" spans="1:7" x14ac:dyDescent="0.2">
      <c r="A328" s="3">
        <v>529</v>
      </c>
      <c r="B328" s="4" t="s">
        <v>979</v>
      </c>
      <c r="C328" s="7" t="s">
        <v>980</v>
      </c>
      <c r="D328" s="3" t="s">
        <v>10</v>
      </c>
      <c r="E328" s="6">
        <v>0.65500000000000003</v>
      </c>
      <c r="F328" s="3" t="s">
        <v>15</v>
      </c>
      <c r="G328" s="3" t="s">
        <v>981</v>
      </c>
    </row>
    <row r="329" spans="1:7" x14ac:dyDescent="0.2">
      <c r="A329" s="3">
        <v>530</v>
      </c>
      <c r="B329" s="4" t="s">
        <v>982</v>
      </c>
      <c r="C329" s="7" t="s">
        <v>983</v>
      </c>
      <c r="D329" s="3" t="s">
        <v>10</v>
      </c>
      <c r="E329" s="6">
        <v>0.56799999999999995</v>
      </c>
      <c r="F329" s="3" t="s">
        <v>11</v>
      </c>
      <c r="G329" s="3" t="s">
        <v>984</v>
      </c>
    </row>
    <row r="330" spans="1:7" x14ac:dyDescent="0.2">
      <c r="A330" s="3">
        <v>531</v>
      </c>
      <c r="B330" s="4" t="s">
        <v>985</v>
      </c>
      <c r="C330" s="7" t="s">
        <v>986</v>
      </c>
      <c r="D330" s="3" t="s">
        <v>431</v>
      </c>
      <c r="E330" s="6">
        <v>0.621</v>
      </c>
      <c r="F330" s="3" t="s">
        <v>15</v>
      </c>
      <c r="G330" s="3" t="s">
        <v>987</v>
      </c>
    </row>
    <row r="331" spans="1:7" x14ac:dyDescent="0.2">
      <c r="A331" s="3">
        <v>538</v>
      </c>
      <c r="B331" s="4" t="s">
        <v>988</v>
      </c>
      <c r="C331" s="7" t="s">
        <v>989</v>
      </c>
      <c r="D331" s="3" t="s">
        <v>10</v>
      </c>
      <c r="E331" s="6">
        <v>0.67400000000000004</v>
      </c>
      <c r="F331" s="3" t="s">
        <v>15</v>
      </c>
      <c r="G331" s="3" t="s">
        <v>990</v>
      </c>
    </row>
    <row r="332" spans="1:7" x14ac:dyDescent="0.2">
      <c r="A332" s="3">
        <v>539</v>
      </c>
      <c r="B332" s="4" t="s">
        <v>991</v>
      </c>
      <c r="C332" s="7" t="s">
        <v>992</v>
      </c>
      <c r="D332" s="3" t="s">
        <v>10</v>
      </c>
      <c r="E332" s="6">
        <v>0.56299999999999994</v>
      </c>
      <c r="F332" s="3" t="s">
        <v>15</v>
      </c>
      <c r="G332" s="3" t="s">
        <v>975</v>
      </c>
    </row>
    <row r="333" spans="1:7" x14ac:dyDescent="0.2">
      <c r="A333" s="3">
        <v>540</v>
      </c>
      <c r="B333" s="4" t="s">
        <v>993</v>
      </c>
      <c r="C333" s="7" t="s">
        <v>994</v>
      </c>
      <c r="D333" s="3" t="s">
        <v>10</v>
      </c>
      <c r="E333" s="6">
        <v>0.58499999999999996</v>
      </c>
      <c r="F333" s="3" t="s">
        <v>15</v>
      </c>
      <c r="G333" s="3" t="s">
        <v>995</v>
      </c>
    </row>
    <row r="334" spans="1:7" x14ac:dyDescent="0.2">
      <c r="A334" s="3">
        <v>542</v>
      </c>
      <c r="B334" s="4" t="s">
        <v>996</v>
      </c>
      <c r="C334" s="7" t="s">
        <v>997</v>
      </c>
      <c r="D334" s="3" t="s">
        <v>10</v>
      </c>
      <c r="E334" s="6">
        <v>0.442</v>
      </c>
      <c r="F334" s="3" t="s">
        <v>15</v>
      </c>
      <c r="G334" s="3" t="s">
        <v>998</v>
      </c>
    </row>
    <row r="335" spans="1:7" x14ac:dyDescent="0.2">
      <c r="A335" s="3">
        <v>543</v>
      </c>
      <c r="B335" s="4" t="s">
        <v>999</v>
      </c>
      <c r="C335" s="7" t="s">
        <v>1000</v>
      </c>
      <c r="D335" s="3" t="s">
        <v>10</v>
      </c>
      <c r="E335" s="6">
        <v>0.56100000000000005</v>
      </c>
      <c r="F335" s="3" t="s">
        <v>11</v>
      </c>
      <c r="G335" s="3" t="s">
        <v>1001</v>
      </c>
    </row>
    <row r="336" spans="1:7" x14ac:dyDescent="0.2">
      <c r="A336" s="3">
        <v>545</v>
      </c>
      <c r="B336" s="4" t="s">
        <v>1002</v>
      </c>
      <c r="C336" s="7" t="s">
        <v>1003</v>
      </c>
      <c r="D336" s="3" t="s">
        <v>431</v>
      </c>
      <c r="E336" s="6">
        <v>0.443</v>
      </c>
      <c r="F336" s="3" t="s">
        <v>15</v>
      </c>
      <c r="G336" s="3" t="s">
        <v>1004</v>
      </c>
    </row>
    <row r="337" spans="1:7" x14ac:dyDescent="0.2">
      <c r="A337" s="3">
        <v>547</v>
      </c>
      <c r="B337" s="4" t="s">
        <v>1005</v>
      </c>
      <c r="C337" s="7" t="s">
        <v>1006</v>
      </c>
      <c r="D337" s="3" t="s">
        <v>10</v>
      </c>
      <c r="E337" s="6">
        <v>0.63300000000000001</v>
      </c>
      <c r="F337" s="3" t="s">
        <v>15</v>
      </c>
      <c r="G337" s="3" t="s">
        <v>1007</v>
      </c>
    </row>
    <row r="338" spans="1:7" x14ac:dyDescent="0.2">
      <c r="A338" s="3">
        <v>1730</v>
      </c>
      <c r="B338" s="4" t="s">
        <v>1008</v>
      </c>
      <c r="C338" s="7" t="s">
        <v>1009</v>
      </c>
      <c r="D338" s="3" t="s">
        <v>431</v>
      </c>
      <c r="E338" s="6">
        <v>0.54100000000000004</v>
      </c>
      <c r="F338" s="3" t="s">
        <v>15</v>
      </c>
      <c r="G338" s="3" t="s">
        <v>1010</v>
      </c>
    </row>
    <row r="339" spans="1:7" x14ac:dyDescent="0.2">
      <c r="A339" s="3">
        <v>556</v>
      </c>
      <c r="B339" s="4" t="s">
        <v>1011</v>
      </c>
      <c r="C339" s="7" t="s">
        <v>1012</v>
      </c>
      <c r="D339" s="3" t="s">
        <v>10</v>
      </c>
      <c r="E339" s="6">
        <v>0.34100000000000003</v>
      </c>
      <c r="F339" s="3" t="s">
        <v>15</v>
      </c>
      <c r="G339" s="3" t="s">
        <v>1013</v>
      </c>
    </row>
    <row r="340" spans="1:7" x14ac:dyDescent="0.2">
      <c r="A340" s="3">
        <v>557</v>
      </c>
      <c r="B340" s="4" t="s">
        <v>1014</v>
      </c>
      <c r="C340" s="7" t="s">
        <v>1015</v>
      </c>
      <c r="D340" s="3" t="s">
        <v>10</v>
      </c>
      <c r="E340" s="6">
        <v>0.81599999999999995</v>
      </c>
      <c r="F340" s="3" t="s">
        <v>11</v>
      </c>
      <c r="G340" s="3" t="s">
        <v>1016</v>
      </c>
    </row>
    <row r="341" spans="1:7" x14ac:dyDescent="0.2">
      <c r="A341" s="3">
        <v>560</v>
      </c>
      <c r="B341" s="4" t="s">
        <v>1017</v>
      </c>
      <c r="C341" s="7" t="s">
        <v>1018</v>
      </c>
      <c r="D341" s="3" t="s">
        <v>10</v>
      </c>
      <c r="E341" s="6">
        <v>0.44</v>
      </c>
      <c r="F341" s="3" t="s">
        <v>15</v>
      </c>
      <c r="G341" s="3" t="s">
        <v>1019</v>
      </c>
    </row>
    <row r="342" spans="1:7" x14ac:dyDescent="0.2">
      <c r="A342" s="3">
        <v>567</v>
      </c>
      <c r="B342" s="4" t="s">
        <v>1020</v>
      </c>
      <c r="C342" s="7" t="s">
        <v>1021</v>
      </c>
      <c r="D342" s="3" t="s">
        <v>10</v>
      </c>
      <c r="E342" s="6">
        <v>0.437</v>
      </c>
      <c r="F342" s="3" t="s">
        <v>15</v>
      </c>
      <c r="G342" s="3" t="s">
        <v>1022</v>
      </c>
    </row>
    <row r="343" spans="1:7" x14ac:dyDescent="0.2">
      <c r="A343" s="3">
        <v>572</v>
      </c>
      <c r="B343" s="4" t="s">
        <v>1023</v>
      </c>
      <c r="C343" s="7" t="s">
        <v>1024</v>
      </c>
      <c r="D343" s="3" t="s">
        <v>10</v>
      </c>
      <c r="E343" s="6">
        <v>0.46</v>
      </c>
      <c r="F343" s="3" t="s">
        <v>11</v>
      </c>
      <c r="G343" s="3" t="s">
        <v>1025</v>
      </c>
    </row>
    <row r="344" spans="1:7" x14ac:dyDescent="0.2">
      <c r="A344" s="3">
        <v>576</v>
      </c>
      <c r="B344" s="4" t="s">
        <v>1026</v>
      </c>
      <c r="C344" s="7" t="s">
        <v>1027</v>
      </c>
      <c r="D344" s="3" t="s">
        <v>10</v>
      </c>
      <c r="E344" s="6">
        <v>0.443</v>
      </c>
      <c r="F344" s="3" t="s">
        <v>15</v>
      </c>
      <c r="G344" s="3" t="s">
        <v>1028</v>
      </c>
    </row>
    <row r="345" spans="1:7" x14ac:dyDescent="0.2">
      <c r="A345" s="3">
        <v>581</v>
      </c>
      <c r="B345" s="4" t="s">
        <v>1029</v>
      </c>
      <c r="C345" s="7" t="s">
        <v>1030</v>
      </c>
      <c r="D345" s="3" t="s">
        <v>10</v>
      </c>
      <c r="E345" s="6">
        <v>0.36299999999999999</v>
      </c>
      <c r="F345" s="3" t="s">
        <v>15</v>
      </c>
      <c r="G345" s="3" t="s">
        <v>1031</v>
      </c>
    </row>
    <row r="346" spans="1:7" x14ac:dyDescent="0.2">
      <c r="A346" s="3">
        <v>583</v>
      </c>
      <c r="B346" s="4" t="s">
        <v>1032</v>
      </c>
      <c r="C346" s="7" t="s">
        <v>1033</v>
      </c>
      <c r="D346" s="3" t="s">
        <v>10</v>
      </c>
      <c r="E346" s="6">
        <v>0.59399999999999997</v>
      </c>
      <c r="F346" s="3" t="s">
        <v>15</v>
      </c>
      <c r="G346" s="3" t="s">
        <v>1034</v>
      </c>
    </row>
    <row r="347" spans="1:7" x14ac:dyDescent="0.2">
      <c r="A347" s="3">
        <v>584</v>
      </c>
      <c r="B347" s="4" t="s">
        <v>1035</v>
      </c>
      <c r="C347" s="7" t="s">
        <v>1036</v>
      </c>
      <c r="D347" s="3" t="s">
        <v>10</v>
      </c>
      <c r="E347" s="6">
        <v>0.73</v>
      </c>
      <c r="F347" s="3" t="s">
        <v>11</v>
      </c>
      <c r="G347" s="3" t="s">
        <v>1037</v>
      </c>
    </row>
    <row r="348" spans="1:7" x14ac:dyDescent="0.2">
      <c r="A348" s="3">
        <v>588</v>
      </c>
      <c r="B348" s="4" t="s">
        <v>1038</v>
      </c>
      <c r="C348" s="7" t="s">
        <v>1039</v>
      </c>
      <c r="D348" s="3" t="s">
        <v>431</v>
      </c>
      <c r="E348" s="6">
        <v>0.48799999999999999</v>
      </c>
      <c r="F348" s="3" t="s">
        <v>22</v>
      </c>
      <c r="G348" s="3" t="s">
        <v>1040</v>
      </c>
    </row>
    <row r="349" spans="1:7" x14ac:dyDescent="0.2">
      <c r="A349" s="3">
        <v>595</v>
      </c>
      <c r="B349" s="4" t="s">
        <v>1041</v>
      </c>
      <c r="C349" s="7" t="s">
        <v>1042</v>
      </c>
      <c r="D349" s="3" t="s">
        <v>10</v>
      </c>
      <c r="E349" s="6">
        <v>0.73299999999999998</v>
      </c>
      <c r="F349" s="3" t="s">
        <v>11</v>
      </c>
      <c r="G349" s="3" t="s">
        <v>1043</v>
      </c>
    </row>
    <row r="350" spans="1:7" x14ac:dyDescent="0.2">
      <c r="A350" s="3">
        <v>603</v>
      </c>
      <c r="B350" s="4" t="s">
        <v>1044</v>
      </c>
      <c r="C350" s="7" t="s">
        <v>1045</v>
      </c>
      <c r="D350" s="3" t="s">
        <v>431</v>
      </c>
      <c r="E350" s="6">
        <v>0.68300000000000005</v>
      </c>
      <c r="F350" s="3" t="s">
        <v>11</v>
      </c>
      <c r="G350" s="3" t="s">
        <v>1046</v>
      </c>
    </row>
    <row r="351" spans="1:7" x14ac:dyDescent="0.2">
      <c r="A351" s="3">
        <v>606</v>
      </c>
      <c r="B351" s="4" t="s">
        <v>1047</v>
      </c>
      <c r="C351" s="7" t="s">
        <v>1048</v>
      </c>
      <c r="D351" s="3" t="s">
        <v>10</v>
      </c>
      <c r="E351" s="6">
        <v>0.63600000000000001</v>
      </c>
      <c r="F351" s="3" t="s">
        <v>11</v>
      </c>
      <c r="G351" s="3" t="s">
        <v>1049</v>
      </c>
    </row>
    <row r="352" spans="1:7" x14ac:dyDescent="0.2">
      <c r="A352" s="3">
        <v>609</v>
      </c>
      <c r="B352" s="4" t="s">
        <v>1050</v>
      </c>
      <c r="C352" s="7" t="s">
        <v>1051</v>
      </c>
      <c r="D352" s="3" t="s">
        <v>10</v>
      </c>
      <c r="E352" s="6">
        <v>0.67800000000000005</v>
      </c>
      <c r="F352" s="3" t="s">
        <v>15</v>
      </c>
      <c r="G352" s="3" t="s">
        <v>1052</v>
      </c>
    </row>
    <row r="353" spans="1:7" x14ac:dyDescent="0.2">
      <c r="A353" s="3">
        <v>618</v>
      </c>
      <c r="B353" s="4" t="s">
        <v>1053</v>
      </c>
      <c r="C353" s="7" t="s">
        <v>1054</v>
      </c>
      <c r="D353" s="3" t="s">
        <v>431</v>
      </c>
      <c r="E353" s="6">
        <v>0.64300000000000002</v>
      </c>
      <c r="F353" s="3" t="s">
        <v>22</v>
      </c>
      <c r="G353" s="3" t="s">
        <v>1055</v>
      </c>
    </row>
    <row r="354" spans="1:7" x14ac:dyDescent="0.2">
      <c r="A354" s="3">
        <v>621</v>
      </c>
      <c r="B354" s="4" t="s">
        <v>1056</v>
      </c>
      <c r="C354" s="7" t="s">
        <v>1057</v>
      </c>
      <c r="D354" s="3" t="s">
        <v>10</v>
      </c>
      <c r="E354" s="6">
        <v>0.55800000000000005</v>
      </c>
      <c r="F354" s="3" t="s">
        <v>15</v>
      </c>
      <c r="G354" s="3" t="s">
        <v>1058</v>
      </c>
    </row>
    <row r="355" spans="1:7" x14ac:dyDescent="0.2">
      <c r="A355" s="3">
        <v>623</v>
      </c>
      <c r="B355" s="4" t="s">
        <v>1059</v>
      </c>
      <c r="C355" s="7" t="s">
        <v>1060</v>
      </c>
      <c r="D355" s="3" t="s">
        <v>10</v>
      </c>
      <c r="E355" s="6">
        <v>0.59499999999999997</v>
      </c>
      <c r="F355" s="3" t="s">
        <v>15</v>
      </c>
      <c r="G355" s="3" t="s">
        <v>1061</v>
      </c>
    </row>
    <row r="356" spans="1:7" x14ac:dyDescent="0.2">
      <c r="A356" s="3">
        <v>628</v>
      </c>
      <c r="B356" s="4" t="s">
        <v>1062</v>
      </c>
      <c r="C356" s="7" t="s">
        <v>1063</v>
      </c>
      <c r="D356" s="3" t="s">
        <v>10</v>
      </c>
      <c r="E356" s="6">
        <v>0.46400000000000002</v>
      </c>
      <c r="F356" s="3" t="s">
        <v>11</v>
      </c>
      <c r="G356" s="3" t="s">
        <v>1064</v>
      </c>
    </row>
    <row r="357" spans="1:7" x14ac:dyDescent="0.2">
      <c r="A357" s="3">
        <v>632</v>
      </c>
      <c r="B357" s="4" t="s">
        <v>1065</v>
      </c>
      <c r="C357" s="7" t="s">
        <v>1066</v>
      </c>
      <c r="D357" s="3" t="s">
        <v>10</v>
      </c>
      <c r="E357" s="6">
        <v>0.60599999999999998</v>
      </c>
      <c r="F357" s="3" t="s">
        <v>22</v>
      </c>
      <c r="G357" s="3" t="s">
        <v>1067</v>
      </c>
    </row>
    <row r="358" spans="1:7" x14ac:dyDescent="0.2">
      <c r="A358" s="3">
        <v>636</v>
      </c>
      <c r="B358" s="4" t="s">
        <v>1068</v>
      </c>
      <c r="C358" s="7" t="s">
        <v>1069</v>
      </c>
      <c r="D358" s="3" t="s">
        <v>10</v>
      </c>
      <c r="E358" s="6">
        <v>0.61099999999999999</v>
      </c>
      <c r="F358" s="3" t="s">
        <v>15</v>
      </c>
      <c r="G358" s="3" t="s">
        <v>1070</v>
      </c>
    </row>
    <row r="359" spans="1:7" x14ac:dyDescent="0.2">
      <c r="A359" s="3">
        <v>642</v>
      </c>
      <c r="B359" s="4" t="s">
        <v>1071</v>
      </c>
      <c r="C359" s="7" t="s">
        <v>1072</v>
      </c>
      <c r="D359" s="3" t="s">
        <v>431</v>
      </c>
      <c r="E359" s="6">
        <v>0.48699999999999999</v>
      </c>
      <c r="F359" s="3" t="s">
        <v>22</v>
      </c>
      <c r="G359" s="3" t="s">
        <v>1073</v>
      </c>
    </row>
    <row r="360" spans="1:7" x14ac:dyDescent="0.2">
      <c r="A360" s="3">
        <v>645</v>
      </c>
      <c r="B360" s="4" t="s">
        <v>1074</v>
      </c>
      <c r="C360" s="7" t="s">
        <v>1075</v>
      </c>
      <c r="D360" s="3" t="s">
        <v>10</v>
      </c>
      <c r="E360" s="6">
        <v>0.43</v>
      </c>
      <c r="F360" s="3" t="s">
        <v>11</v>
      </c>
      <c r="G360" s="3" t="s">
        <v>713</v>
      </c>
    </row>
    <row r="361" spans="1:7" x14ac:dyDescent="0.2">
      <c r="A361" s="3">
        <v>646</v>
      </c>
      <c r="B361" s="4" t="s">
        <v>1076</v>
      </c>
      <c r="C361" s="7" t="s">
        <v>1077</v>
      </c>
      <c r="D361" s="3" t="s">
        <v>10</v>
      </c>
      <c r="E361" s="6">
        <v>0.56399999999999995</v>
      </c>
      <c r="F361" s="3" t="s">
        <v>15</v>
      </c>
      <c r="G361" s="3" t="s">
        <v>1078</v>
      </c>
    </row>
    <row r="362" spans="1:7" x14ac:dyDescent="0.2">
      <c r="A362" s="3">
        <v>647</v>
      </c>
      <c r="B362" s="4" t="s">
        <v>1079</v>
      </c>
      <c r="C362" s="7" t="s">
        <v>1080</v>
      </c>
      <c r="D362" s="3" t="s">
        <v>10</v>
      </c>
      <c r="E362" s="6">
        <v>0.66400000000000003</v>
      </c>
      <c r="F362" s="3" t="s">
        <v>15</v>
      </c>
      <c r="G362" s="3" t="s">
        <v>317</v>
      </c>
    </row>
    <row r="363" spans="1:7" x14ac:dyDescent="0.2">
      <c r="A363" s="3">
        <v>648</v>
      </c>
      <c r="B363" s="4" t="s">
        <v>1081</v>
      </c>
      <c r="C363" s="7" t="s">
        <v>1082</v>
      </c>
      <c r="D363" s="3" t="s">
        <v>10</v>
      </c>
      <c r="E363" s="6">
        <v>0.627</v>
      </c>
      <c r="F363" s="3" t="s">
        <v>15</v>
      </c>
      <c r="G363" s="3" t="s">
        <v>305</v>
      </c>
    </row>
    <row r="364" spans="1:7" x14ac:dyDescent="0.2">
      <c r="A364" s="3">
        <v>652</v>
      </c>
      <c r="B364" s="4" t="s">
        <v>1083</v>
      </c>
      <c r="C364" s="7" t="s">
        <v>1084</v>
      </c>
      <c r="D364" s="3" t="s">
        <v>10</v>
      </c>
      <c r="E364" s="6">
        <v>0.56499999999999995</v>
      </c>
      <c r="F364" s="3" t="s">
        <v>15</v>
      </c>
      <c r="G364" s="3" t="s">
        <v>1085</v>
      </c>
    </row>
    <row r="365" spans="1:7" x14ac:dyDescent="0.2">
      <c r="A365" s="3">
        <v>653</v>
      </c>
      <c r="B365" s="4" t="s">
        <v>1086</v>
      </c>
      <c r="C365" s="7" t="s">
        <v>1087</v>
      </c>
      <c r="D365" s="3" t="s">
        <v>10</v>
      </c>
      <c r="E365" s="6">
        <v>0.61</v>
      </c>
      <c r="F365" s="3" t="s">
        <v>11</v>
      </c>
      <c r="G365" s="3" t="s">
        <v>1088</v>
      </c>
    </row>
    <row r="366" spans="1:7" x14ac:dyDescent="0.2">
      <c r="A366" s="3">
        <v>657</v>
      </c>
      <c r="B366" s="4" t="s">
        <v>1089</v>
      </c>
      <c r="C366" s="7" t="s">
        <v>1090</v>
      </c>
      <c r="D366" s="3" t="s">
        <v>10</v>
      </c>
      <c r="E366" s="6">
        <v>0.753</v>
      </c>
      <c r="F366" s="3" t="s">
        <v>11</v>
      </c>
      <c r="G366" s="3" t="s">
        <v>633</v>
      </c>
    </row>
    <row r="367" spans="1:7" x14ac:dyDescent="0.2">
      <c r="A367" s="3">
        <v>658</v>
      </c>
      <c r="B367" s="4" t="s">
        <v>1091</v>
      </c>
      <c r="C367" s="7" t="s">
        <v>1092</v>
      </c>
      <c r="D367" s="3" t="s">
        <v>10</v>
      </c>
      <c r="E367" s="6">
        <v>0.46800000000000003</v>
      </c>
      <c r="F367" s="3" t="s">
        <v>15</v>
      </c>
      <c r="G367" s="3" t="s">
        <v>1093</v>
      </c>
    </row>
    <row r="368" spans="1:7" x14ac:dyDescent="0.2">
      <c r="A368" s="3">
        <v>662</v>
      </c>
      <c r="B368" s="4" t="s">
        <v>1094</v>
      </c>
      <c r="C368" s="7" t="s">
        <v>1095</v>
      </c>
      <c r="D368" s="3" t="s">
        <v>10</v>
      </c>
      <c r="E368" s="6">
        <v>0.40600000000000003</v>
      </c>
      <c r="F368" s="3" t="s">
        <v>15</v>
      </c>
      <c r="G368" s="3" t="s">
        <v>1096</v>
      </c>
    </row>
    <row r="369" spans="1:7" x14ac:dyDescent="0.2">
      <c r="A369" s="3">
        <v>665</v>
      </c>
      <c r="B369" s="4" t="s">
        <v>1097</v>
      </c>
      <c r="C369" s="7" t="s">
        <v>1098</v>
      </c>
      <c r="D369" s="3" t="s">
        <v>10</v>
      </c>
      <c r="E369" s="6">
        <v>0.24199999999999999</v>
      </c>
      <c r="F369" s="3" t="s">
        <v>15</v>
      </c>
      <c r="G369" s="3" t="s">
        <v>1099</v>
      </c>
    </row>
    <row r="370" spans="1:7" x14ac:dyDescent="0.2">
      <c r="A370" s="3">
        <v>669</v>
      </c>
      <c r="B370" s="4" t="s">
        <v>1100</v>
      </c>
      <c r="C370" s="7" t="s">
        <v>1101</v>
      </c>
      <c r="D370" s="3" t="s">
        <v>10</v>
      </c>
      <c r="E370" s="6">
        <v>0.66300000000000003</v>
      </c>
      <c r="F370" s="3" t="s">
        <v>15</v>
      </c>
      <c r="G370" s="3" t="s">
        <v>1102</v>
      </c>
    </row>
    <row r="371" spans="1:7" x14ac:dyDescent="0.2">
      <c r="A371" s="3">
        <v>670</v>
      </c>
      <c r="B371" s="4" t="s">
        <v>1103</v>
      </c>
      <c r="C371" s="7" t="s">
        <v>1104</v>
      </c>
      <c r="D371" s="3" t="s">
        <v>10</v>
      </c>
      <c r="E371" s="6">
        <v>0.47899999999999998</v>
      </c>
      <c r="F371" s="3" t="s">
        <v>15</v>
      </c>
      <c r="G371" s="3" t="s">
        <v>1105</v>
      </c>
    </row>
    <row r="372" spans="1:7" x14ac:dyDescent="0.2">
      <c r="A372" s="3">
        <v>673</v>
      </c>
      <c r="B372" s="4" t="s">
        <v>1106</v>
      </c>
      <c r="C372" s="7" t="s">
        <v>1107</v>
      </c>
      <c r="D372" s="3" t="s">
        <v>10</v>
      </c>
      <c r="E372" s="6">
        <v>0.42299999999999999</v>
      </c>
      <c r="F372" s="3" t="s">
        <v>15</v>
      </c>
      <c r="G372" s="3" t="s">
        <v>1108</v>
      </c>
    </row>
    <row r="373" spans="1:7" x14ac:dyDescent="0.2">
      <c r="A373" s="3">
        <v>678</v>
      </c>
      <c r="B373" s="4" t="s">
        <v>1109</v>
      </c>
      <c r="C373" s="7" t="s">
        <v>1110</v>
      </c>
      <c r="D373" s="3" t="s">
        <v>10</v>
      </c>
      <c r="E373" s="6">
        <v>0.33900000000000002</v>
      </c>
      <c r="F373" s="3" t="s">
        <v>15</v>
      </c>
      <c r="G373" s="3" t="s">
        <v>1111</v>
      </c>
    </row>
    <row r="374" spans="1:7" x14ac:dyDescent="0.2">
      <c r="A374" s="3">
        <v>680</v>
      </c>
      <c r="B374" s="4" t="s">
        <v>1112</v>
      </c>
      <c r="C374" s="7" t="s">
        <v>1113</v>
      </c>
      <c r="D374" s="3" t="s">
        <v>10</v>
      </c>
      <c r="E374" s="6">
        <v>0.39300000000000002</v>
      </c>
      <c r="F374" s="3" t="s">
        <v>11</v>
      </c>
      <c r="G374" s="3" t="s">
        <v>1114</v>
      </c>
    </row>
    <row r="375" spans="1:7" x14ac:dyDescent="0.2">
      <c r="A375" s="3">
        <v>681</v>
      </c>
      <c r="B375" s="4" t="s">
        <v>1115</v>
      </c>
      <c r="C375" s="7" t="s">
        <v>1116</v>
      </c>
      <c r="D375" s="3" t="s">
        <v>431</v>
      </c>
      <c r="E375" s="6">
        <v>0.46400000000000002</v>
      </c>
      <c r="F375" s="3" t="s">
        <v>15</v>
      </c>
      <c r="G375" s="3" t="s">
        <v>1117</v>
      </c>
    </row>
    <row r="376" spans="1:7" x14ac:dyDescent="0.2">
      <c r="A376" s="3">
        <v>684</v>
      </c>
      <c r="B376" s="4" t="s">
        <v>1118</v>
      </c>
      <c r="C376" s="7" t="s">
        <v>1119</v>
      </c>
      <c r="D376" s="3" t="s">
        <v>10</v>
      </c>
      <c r="E376" s="6">
        <v>0.62</v>
      </c>
      <c r="F376" s="3" t="s">
        <v>15</v>
      </c>
      <c r="G376" s="3" t="s">
        <v>471</v>
      </c>
    </row>
    <row r="377" spans="1:7" x14ac:dyDescent="0.2">
      <c r="A377" s="3">
        <v>688</v>
      </c>
      <c r="B377" s="4" t="s">
        <v>1120</v>
      </c>
      <c r="C377" s="7" t="s">
        <v>1121</v>
      </c>
      <c r="D377" s="3" t="s">
        <v>10</v>
      </c>
      <c r="E377" s="6">
        <v>0.52100000000000002</v>
      </c>
      <c r="F377" s="3" t="s">
        <v>15</v>
      </c>
      <c r="G377" s="3" t="s">
        <v>1122</v>
      </c>
    </row>
    <row r="378" spans="1:7" x14ac:dyDescent="0.2">
      <c r="A378" s="3">
        <v>690</v>
      </c>
      <c r="B378" s="4" t="s">
        <v>1123</v>
      </c>
      <c r="C378" s="7" t="s">
        <v>1124</v>
      </c>
      <c r="D378" s="3" t="s">
        <v>10</v>
      </c>
      <c r="E378" s="6">
        <v>0.65200000000000002</v>
      </c>
      <c r="F378" s="3" t="s">
        <v>15</v>
      </c>
      <c r="G378" s="3" t="s">
        <v>724</v>
      </c>
    </row>
    <row r="379" spans="1:7" x14ac:dyDescent="0.2">
      <c r="A379" s="3">
        <v>692</v>
      </c>
      <c r="B379" s="4" t="s">
        <v>1125</v>
      </c>
      <c r="C379" s="7" t="s">
        <v>1126</v>
      </c>
      <c r="D379" s="3" t="s">
        <v>10</v>
      </c>
      <c r="E379" s="6">
        <v>0.56899999999999995</v>
      </c>
      <c r="F379" s="3" t="s">
        <v>15</v>
      </c>
      <c r="G379" s="3" t="s">
        <v>1127</v>
      </c>
    </row>
    <row r="380" spans="1:7" x14ac:dyDescent="0.2">
      <c r="A380" s="3">
        <v>694</v>
      </c>
      <c r="B380" s="4" t="s">
        <v>1128</v>
      </c>
      <c r="C380" s="7" t="s">
        <v>1129</v>
      </c>
      <c r="D380" s="3" t="s">
        <v>431</v>
      </c>
      <c r="E380" s="6">
        <v>0.60599999999999998</v>
      </c>
      <c r="F380" s="3" t="s">
        <v>15</v>
      </c>
      <c r="G380" s="3" t="s">
        <v>1130</v>
      </c>
    </row>
    <row r="381" spans="1:7" x14ac:dyDescent="0.2">
      <c r="A381" s="3">
        <v>695</v>
      </c>
      <c r="B381" s="4" t="s">
        <v>1131</v>
      </c>
      <c r="C381" s="7" t="s">
        <v>1132</v>
      </c>
      <c r="D381" s="3" t="s">
        <v>10</v>
      </c>
      <c r="E381" s="6">
        <v>0.71699999999999997</v>
      </c>
      <c r="F381" s="3" t="s">
        <v>15</v>
      </c>
      <c r="G381" s="3" t="s">
        <v>1133</v>
      </c>
    </row>
    <row r="382" spans="1:7" x14ac:dyDescent="0.2">
      <c r="A382" s="3">
        <v>696</v>
      </c>
      <c r="B382" s="4" t="s">
        <v>1134</v>
      </c>
      <c r="C382" s="7" t="s">
        <v>1135</v>
      </c>
      <c r="D382" s="3" t="s">
        <v>10</v>
      </c>
      <c r="E382" s="6">
        <v>0.65600000000000003</v>
      </c>
      <c r="F382" s="3" t="s">
        <v>11</v>
      </c>
      <c r="G382" s="3" t="s">
        <v>152</v>
      </c>
    </row>
    <row r="383" spans="1:7" x14ac:dyDescent="0.2">
      <c r="A383" s="3">
        <v>698</v>
      </c>
      <c r="B383" s="4" t="s">
        <v>1136</v>
      </c>
      <c r="C383" s="7" t="s">
        <v>1137</v>
      </c>
      <c r="D383" s="3" t="s">
        <v>10</v>
      </c>
      <c r="E383" s="6">
        <v>0.40799999999999997</v>
      </c>
      <c r="F383" s="3" t="s">
        <v>15</v>
      </c>
      <c r="G383" s="3" t="s">
        <v>1138</v>
      </c>
    </row>
    <row r="384" spans="1:7" x14ac:dyDescent="0.2">
      <c r="A384" s="3">
        <v>715</v>
      </c>
      <c r="B384" s="4" t="s">
        <v>1139</v>
      </c>
      <c r="C384" s="7" t="s">
        <v>1140</v>
      </c>
      <c r="D384" s="3" t="s">
        <v>10</v>
      </c>
      <c r="E384" s="6">
        <v>0.44700000000000001</v>
      </c>
      <c r="F384" s="3" t="s">
        <v>22</v>
      </c>
      <c r="G384" s="3" t="s">
        <v>1141</v>
      </c>
    </row>
    <row r="385" spans="1:7" x14ac:dyDescent="0.2">
      <c r="A385" s="3">
        <v>716</v>
      </c>
      <c r="B385" s="4" t="s">
        <v>1142</v>
      </c>
      <c r="C385" s="7" t="s">
        <v>1143</v>
      </c>
      <c r="D385" s="3" t="s">
        <v>431</v>
      </c>
      <c r="E385" s="6">
        <v>0.45300000000000001</v>
      </c>
      <c r="F385" s="3" t="s">
        <v>22</v>
      </c>
      <c r="G385" s="3" t="s">
        <v>1144</v>
      </c>
    </row>
    <row r="386" spans="1:7" x14ac:dyDescent="0.2">
      <c r="A386" s="3">
        <v>719</v>
      </c>
      <c r="B386" s="4" t="s">
        <v>1145</v>
      </c>
      <c r="C386" s="7" t="s">
        <v>1146</v>
      </c>
      <c r="D386" s="3" t="s">
        <v>10</v>
      </c>
      <c r="E386" s="6">
        <v>0.36399999999999999</v>
      </c>
      <c r="F386" s="3" t="s">
        <v>22</v>
      </c>
      <c r="G386" s="3" t="s">
        <v>1147</v>
      </c>
    </row>
    <row r="387" spans="1:7" x14ac:dyDescent="0.2">
      <c r="A387" s="3">
        <v>721</v>
      </c>
      <c r="B387" s="4" t="s">
        <v>1148</v>
      </c>
      <c r="C387" s="7" t="s">
        <v>1149</v>
      </c>
      <c r="D387" s="3" t="s">
        <v>10</v>
      </c>
      <c r="E387" s="6">
        <v>0.56399999999999995</v>
      </c>
      <c r="F387" s="3" t="s">
        <v>15</v>
      </c>
      <c r="G387" s="3" t="s">
        <v>1150</v>
      </c>
    </row>
    <row r="388" spans="1:7" x14ac:dyDescent="0.2">
      <c r="A388" s="3">
        <v>724</v>
      </c>
      <c r="B388" s="4" t="s">
        <v>1151</v>
      </c>
      <c r="C388" s="7" t="s">
        <v>1152</v>
      </c>
      <c r="D388" s="3" t="s">
        <v>10</v>
      </c>
      <c r="E388" s="6">
        <v>0.53400000000000003</v>
      </c>
      <c r="F388" s="3" t="s">
        <v>11</v>
      </c>
      <c r="G388" s="3" t="s">
        <v>1153</v>
      </c>
    </row>
    <row r="389" spans="1:7" x14ac:dyDescent="0.2">
      <c r="A389" s="3">
        <v>729</v>
      </c>
      <c r="B389" s="4" t="s">
        <v>1154</v>
      </c>
      <c r="C389" s="7" t="s">
        <v>1155</v>
      </c>
      <c r="D389" s="3" t="s">
        <v>10</v>
      </c>
      <c r="E389" s="6">
        <v>0.57199999999999995</v>
      </c>
      <c r="F389" s="3" t="s">
        <v>15</v>
      </c>
      <c r="G389" s="3" t="s">
        <v>1156</v>
      </c>
    </row>
    <row r="390" spans="1:7" x14ac:dyDescent="0.2">
      <c r="A390" s="3">
        <v>733</v>
      </c>
      <c r="B390" s="4" t="s">
        <v>1157</v>
      </c>
      <c r="C390" s="7" t="s">
        <v>1158</v>
      </c>
      <c r="D390" s="3" t="s">
        <v>10</v>
      </c>
      <c r="E390" s="6">
        <v>0.60599999999999998</v>
      </c>
      <c r="F390" s="3" t="s">
        <v>11</v>
      </c>
      <c r="G390" s="3" t="s">
        <v>1159</v>
      </c>
    </row>
    <row r="391" spans="1:7" x14ac:dyDescent="0.2">
      <c r="A391" s="3">
        <v>735</v>
      </c>
      <c r="B391" s="4" t="s">
        <v>1160</v>
      </c>
      <c r="C391" s="7" t="s">
        <v>1161</v>
      </c>
      <c r="D391" s="3" t="s">
        <v>10</v>
      </c>
      <c r="E391" s="6">
        <v>0.44400000000000001</v>
      </c>
      <c r="F391" s="3" t="s">
        <v>15</v>
      </c>
      <c r="G391" s="3" t="s">
        <v>1162</v>
      </c>
    </row>
    <row r="392" spans="1:7" x14ac:dyDescent="0.2">
      <c r="A392" s="3">
        <v>739</v>
      </c>
      <c r="B392" s="4" t="s">
        <v>1163</v>
      </c>
      <c r="C392" s="7" t="s">
        <v>1164</v>
      </c>
      <c r="D392" s="3" t="s">
        <v>10</v>
      </c>
      <c r="E392" s="6">
        <v>0.66600000000000004</v>
      </c>
      <c r="F392" s="3" t="s">
        <v>15</v>
      </c>
      <c r="G392" s="3" t="s">
        <v>1165</v>
      </c>
    </row>
    <row r="393" spans="1:7" x14ac:dyDescent="0.2">
      <c r="A393" s="3">
        <v>740</v>
      </c>
      <c r="B393" s="4" t="s">
        <v>1166</v>
      </c>
      <c r="C393" s="7" t="s">
        <v>1167</v>
      </c>
      <c r="D393" s="3" t="s">
        <v>10</v>
      </c>
      <c r="E393" s="6">
        <v>0.57399999999999995</v>
      </c>
      <c r="F393" s="3" t="s">
        <v>15</v>
      </c>
      <c r="G393" s="3" t="s">
        <v>1168</v>
      </c>
    </row>
    <row r="394" spans="1:7" x14ac:dyDescent="0.2">
      <c r="A394" s="3">
        <v>743</v>
      </c>
      <c r="B394" s="4" t="s">
        <v>1169</v>
      </c>
      <c r="C394" s="7" t="s">
        <v>1170</v>
      </c>
      <c r="D394" s="3" t="s">
        <v>10</v>
      </c>
      <c r="E394" s="6">
        <v>0.51500000000000001</v>
      </c>
      <c r="F394" s="3" t="s">
        <v>15</v>
      </c>
      <c r="G394" s="3" t="s">
        <v>1171</v>
      </c>
    </row>
    <row r="395" spans="1:7" x14ac:dyDescent="0.2">
      <c r="A395" s="3">
        <v>746</v>
      </c>
      <c r="B395" s="4" t="s">
        <v>1172</v>
      </c>
      <c r="C395" s="7" t="s">
        <v>1173</v>
      </c>
      <c r="D395" s="3" t="s">
        <v>10</v>
      </c>
      <c r="E395" s="6">
        <v>0.625</v>
      </c>
      <c r="F395" s="3" t="s">
        <v>11</v>
      </c>
      <c r="G395" s="3" t="s">
        <v>1174</v>
      </c>
    </row>
    <row r="396" spans="1:7" x14ac:dyDescent="0.2">
      <c r="A396" s="3">
        <v>752</v>
      </c>
      <c r="B396" s="4" t="s">
        <v>1175</v>
      </c>
      <c r="C396" s="7" t="s">
        <v>1176</v>
      </c>
      <c r="D396" s="3" t="s">
        <v>10</v>
      </c>
      <c r="E396" s="6">
        <v>0.55500000000000005</v>
      </c>
      <c r="F396" s="3" t="s">
        <v>15</v>
      </c>
      <c r="G396" s="3" t="s">
        <v>1177</v>
      </c>
    </row>
    <row r="397" spans="1:7" x14ac:dyDescent="0.2">
      <c r="A397" s="3">
        <v>429</v>
      </c>
      <c r="B397" s="4" t="s">
        <v>1178</v>
      </c>
      <c r="C397" s="7" t="s">
        <v>1179</v>
      </c>
      <c r="D397" s="3" t="s">
        <v>10</v>
      </c>
      <c r="E397" s="6">
        <v>0.70599999999999996</v>
      </c>
      <c r="F397" s="3" t="s">
        <v>15</v>
      </c>
      <c r="G397" s="3" t="s">
        <v>1180</v>
      </c>
    </row>
    <row r="398" spans="1:7" x14ac:dyDescent="0.2">
      <c r="A398" s="3">
        <v>428</v>
      </c>
      <c r="B398" s="4" t="s">
        <v>1181</v>
      </c>
      <c r="C398" s="7" t="s">
        <v>1182</v>
      </c>
      <c r="D398" s="3" t="s">
        <v>431</v>
      </c>
      <c r="E398" s="6">
        <v>0.65500000000000003</v>
      </c>
      <c r="F398" s="3" t="s">
        <v>22</v>
      </c>
      <c r="G398" s="3" t="s">
        <v>1183</v>
      </c>
    </row>
    <row r="399" spans="1:7" x14ac:dyDescent="0.2">
      <c r="A399" s="3">
        <v>430</v>
      </c>
      <c r="B399" s="4" t="s">
        <v>1184</v>
      </c>
      <c r="C399" s="7" t="s">
        <v>1185</v>
      </c>
      <c r="D399" s="3" t="s">
        <v>10</v>
      </c>
      <c r="E399" s="6">
        <v>0.59499999999999997</v>
      </c>
      <c r="F399" s="3" t="s">
        <v>15</v>
      </c>
      <c r="G399" s="3" t="s">
        <v>1186</v>
      </c>
    </row>
    <row r="400" spans="1:7" x14ac:dyDescent="0.2">
      <c r="A400" s="3">
        <v>763</v>
      </c>
      <c r="B400" s="4" t="s">
        <v>1187</v>
      </c>
      <c r="C400" s="7" t="s">
        <v>1188</v>
      </c>
      <c r="D400" s="3" t="s">
        <v>10</v>
      </c>
      <c r="E400" s="6">
        <v>0.79800000000000004</v>
      </c>
      <c r="F400" s="3" t="s">
        <v>15</v>
      </c>
      <c r="G400" s="3" t="s">
        <v>1189</v>
      </c>
    </row>
    <row r="401" spans="1:7" x14ac:dyDescent="0.2">
      <c r="A401" s="3">
        <v>767</v>
      </c>
      <c r="B401" s="4" t="s">
        <v>1190</v>
      </c>
      <c r="C401" s="7" t="s">
        <v>1191</v>
      </c>
      <c r="D401" s="3" t="s">
        <v>10</v>
      </c>
      <c r="E401" s="6">
        <v>0.52800000000000002</v>
      </c>
      <c r="F401" s="3" t="s">
        <v>15</v>
      </c>
      <c r="G401" s="3" t="s">
        <v>1192</v>
      </c>
    </row>
    <row r="402" spans="1:7" x14ac:dyDescent="0.2">
      <c r="A402" s="3">
        <v>772</v>
      </c>
      <c r="B402" s="4" t="s">
        <v>1193</v>
      </c>
      <c r="C402" s="7" t="s">
        <v>1194</v>
      </c>
      <c r="D402" s="3" t="s">
        <v>431</v>
      </c>
      <c r="E402" s="6">
        <v>0.48599999999999999</v>
      </c>
      <c r="F402" s="3" t="s">
        <v>22</v>
      </c>
      <c r="G402" s="3" t="s">
        <v>1195</v>
      </c>
    </row>
    <row r="403" spans="1:7" x14ac:dyDescent="0.2">
      <c r="A403" s="3">
        <v>773</v>
      </c>
      <c r="B403" s="4" t="s">
        <v>1196</v>
      </c>
      <c r="C403" s="7" t="s">
        <v>1197</v>
      </c>
      <c r="D403" s="3" t="s">
        <v>10</v>
      </c>
      <c r="E403" s="6">
        <v>0.63900000000000001</v>
      </c>
      <c r="F403" s="3" t="s">
        <v>22</v>
      </c>
      <c r="G403" s="3" t="s">
        <v>1168</v>
      </c>
    </row>
    <row r="404" spans="1:7" x14ac:dyDescent="0.2">
      <c r="A404" s="3">
        <v>703</v>
      </c>
      <c r="B404" s="4" t="s">
        <v>1198</v>
      </c>
      <c r="C404" s="7" t="s">
        <v>1199</v>
      </c>
      <c r="D404" s="3" t="s">
        <v>10</v>
      </c>
      <c r="E404" s="6">
        <v>0.55500000000000005</v>
      </c>
      <c r="F404" s="3" t="s">
        <v>11</v>
      </c>
      <c r="G404" s="3" t="s">
        <v>1200</v>
      </c>
    </row>
    <row r="405" spans="1:7" x14ac:dyDescent="0.2">
      <c r="A405" s="3">
        <v>704</v>
      </c>
      <c r="B405" s="4" t="s">
        <v>1201</v>
      </c>
      <c r="C405" s="7" t="s">
        <v>1202</v>
      </c>
      <c r="D405" s="3" t="s">
        <v>10</v>
      </c>
      <c r="E405" s="6">
        <v>0.55100000000000005</v>
      </c>
      <c r="F405" s="3" t="s">
        <v>11</v>
      </c>
      <c r="G405" s="3" t="s">
        <v>1203</v>
      </c>
    </row>
    <row r="406" spans="1:7" x14ac:dyDescent="0.2">
      <c r="A406" s="3">
        <v>777</v>
      </c>
      <c r="B406" s="4" t="s">
        <v>1204</v>
      </c>
      <c r="C406" s="7" t="s">
        <v>1205</v>
      </c>
      <c r="D406" s="3" t="s">
        <v>10</v>
      </c>
      <c r="E406" s="6">
        <v>0.371</v>
      </c>
      <c r="F406" s="3" t="s">
        <v>15</v>
      </c>
      <c r="G406" s="3" t="s">
        <v>1206</v>
      </c>
    </row>
    <row r="407" spans="1:7" x14ac:dyDescent="0.2">
      <c r="A407" s="3">
        <v>778</v>
      </c>
      <c r="B407" s="4" t="s">
        <v>1207</v>
      </c>
      <c r="C407" s="7" t="s">
        <v>1208</v>
      </c>
      <c r="D407" s="3" t="s">
        <v>10</v>
      </c>
      <c r="E407" s="6">
        <v>0.59699999999999998</v>
      </c>
      <c r="F407" s="3" t="s">
        <v>22</v>
      </c>
      <c r="G407" s="3" t="s">
        <v>1209</v>
      </c>
    </row>
    <row r="408" spans="1:7" x14ac:dyDescent="0.2">
      <c r="A408" s="3">
        <v>779</v>
      </c>
      <c r="B408" s="4" t="s">
        <v>1210</v>
      </c>
      <c r="C408" s="7" t="s">
        <v>1211</v>
      </c>
      <c r="D408" s="3" t="s">
        <v>10</v>
      </c>
      <c r="E408" s="6">
        <v>0.40899999999999997</v>
      </c>
      <c r="F408" s="3" t="s">
        <v>15</v>
      </c>
      <c r="G408" s="3" t="s">
        <v>1212</v>
      </c>
    </row>
    <row r="409" spans="1:7" x14ac:dyDescent="0.2">
      <c r="A409" s="3">
        <v>781</v>
      </c>
      <c r="B409" s="4" t="s">
        <v>1213</v>
      </c>
      <c r="C409" s="7" t="s">
        <v>1214</v>
      </c>
      <c r="D409" s="3" t="s">
        <v>10</v>
      </c>
      <c r="E409" s="6">
        <v>0.55200000000000005</v>
      </c>
      <c r="F409" s="3" t="s">
        <v>15</v>
      </c>
      <c r="G409" s="3" t="s">
        <v>1215</v>
      </c>
    </row>
    <row r="410" spans="1:7" x14ac:dyDescent="0.2">
      <c r="A410" s="3">
        <v>784</v>
      </c>
      <c r="B410" s="4" t="s">
        <v>1216</v>
      </c>
      <c r="C410" s="7" t="s">
        <v>1217</v>
      </c>
      <c r="D410" s="3" t="s">
        <v>10</v>
      </c>
      <c r="E410" s="6">
        <v>0.73499999999999999</v>
      </c>
      <c r="F410" s="3" t="s">
        <v>15</v>
      </c>
      <c r="G410" s="3" t="s">
        <v>1218</v>
      </c>
    </row>
    <row r="411" spans="1:7" x14ac:dyDescent="0.2">
      <c r="A411" s="3">
        <v>785</v>
      </c>
      <c r="B411" s="4" t="s">
        <v>1219</v>
      </c>
      <c r="C411" s="7" t="s">
        <v>1220</v>
      </c>
      <c r="D411" s="3" t="s">
        <v>10</v>
      </c>
      <c r="E411" s="6">
        <v>0.52700000000000002</v>
      </c>
      <c r="F411" s="3" t="s">
        <v>15</v>
      </c>
      <c r="G411" s="3" t="s">
        <v>218</v>
      </c>
    </row>
    <row r="412" spans="1:7" x14ac:dyDescent="0.2">
      <c r="A412" s="3">
        <v>787</v>
      </c>
      <c r="B412" s="4" t="s">
        <v>1221</v>
      </c>
      <c r="C412" s="7" t="s">
        <v>1222</v>
      </c>
      <c r="D412" s="3" t="s">
        <v>10</v>
      </c>
      <c r="E412" s="6">
        <v>0.35899999999999999</v>
      </c>
      <c r="F412" s="3" t="s">
        <v>15</v>
      </c>
      <c r="G412" s="3" t="s">
        <v>1223</v>
      </c>
    </row>
    <row r="413" spans="1:7" x14ac:dyDescent="0.2">
      <c r="A413" s="3">
        <v>790</v>
      </c>
      <c r="B413" s="4" t="s">
        <v>1224</v>
      </c>
      <c r="C413" s="7" t="s">
        <v>1225</v>
      </c>
      <c r="D413" s="3" t="s">
        <v>10</v>
      </c>
      <c r="E413" s="6">
        <v>0.48399999999999999</v>
      </c>
      <c r="F413" s="3" t="s">
        <v>15</v>
      </c>
      <c r="G413" s="3" t="s">
        <v>1226</v>
      </c>
    </row>
    <row r="414" spans="1:7" x14ac:dyDescent="0.2">
      <c r="A414" s="3">
        <v>792</v>
      </c>
      <c r="B414" s="4" t="s">
        <v>1227</v>
      </c>
      <c r="C414" s="7" t="s">
        <v>1228</v>
      </c>
      <c r="D414" s="3" t="s">
        <v>10</v>
      </c>
      <c r="E414" s="6">
        <v>0.51900000000000002</v>
      </c>
      <c r="F414" s="3" t="s">
        <v>15</v>
      </c>
      <c r="G414" s="3" t="s">
        <v>432</v>
      </c>
    </row>
    <row r="415" spans="1:7" x14ac:dyDescent="0.2">
      <c r="A415" s="3">
        <v>796</v>
      </c>
      <c r="B415" s="4" t="s">
        <v>1229</v>
      </c>
      <c r="C415" s="7" t="s">
        <v>1230</v>
      </c>
      <c r="D415" s="3" t="s">
        <v>10</v>
      </c>
      <c r="E415" s="6">
        <v>0.54200000000000004</v>
      </c>
      <c r="F415" s="3" t="s">
        <v>11</v>
      </c>
      <c r="G415" s="3" t="s">
        <v>1061</v>
      </c>
    </row>
    <row r="416" spans="1:7" x14ac:dyDescent="0.2">
      <c r="A416" s="3">
        <v>706</v>
      </c>
      <c r="B416" s="4" t="s">
        <v>1231</v>
      </c>
      <c r="C416" s="7" t="s">
        <v>1232</v>
      </c>
      <c r="D416" s="3" t="s">
        <v>10</v>
      </c>
      <c r="E416" s="6">
        <v>0.65</v>
      </c>
      <c r="F416" s="3" t="s">
        <v>11</v>
      </c>
      <c r="G416" s="3" t="s">
        <v>1052</v>
      </c>
    </row>
    <row r="417" spans="1:7" x14ac:dyDescent="0.2">
      <c r="A417" s="3">
        <v>802</v>
      </c>
      <c r="B417" s="4" t="s">
        <v>1233</v>
      </c>
      <c r="C417" s="7" t="s">
        <v>1234</v>
      </c>
      <c r="D417" s="3" t="s">
        <v>10</v>
      </c>
      <c r="E417" s="6">
        <v>0.55300000000000005</v>
      </c>
      <c r="F417" s="3" t="s">
        <v>15</v>
      </c>
      <c r="G417" s="3" t="s">
        <v>1235</v>
      </c>
    </row>
    <row r="418" spans="1:7" x14ac:dyDescent="0.2">
      <c r="A418" s="3">
        <v>804</v>
      </c>
      <c r="B418" s="4" t="s">
        <v>1236</v>
      </c>
      <c r="C418" s="7" t="s">
        <v>1237</v>
      </c>
      <c r="D418" s="3" t="s">
        <v>10</v>
      </c>
      <c r="E418" s="6">
        <v>0.82699999999999996</v>
      </c>
      <c r="F418" s="3" t="s">
        <v>11</v>
      </c>
      <c r="G418" s="3" t="s">
        <v>823</v>
      </c>
    </row>
    <row r="419" spans="1:7" x14ac:dyDescent="0.2">
      <c r="A419" s="3">
        <v>814</v>
      </c>
      <c r="B419" s="4" t="s">
        <v>1238</v>
      </c>
      <c r="C419" s="7" t="s">
        <v>1239</v>
      </c>
      <c r="D419" s="3" t="s">
        <v>10</v>
      </c>
      <c r="E419" s="6">
        <v>0.72599999999999998</v>
      </c>
      <c r="F419" s="3" t="s">
        <v>15</v>
      </c>
      <c r="G419" s="3" t="s">
        <v>1240</v>
      </c>
    </row>
    <row r="420" spans="1:7" x14ac:dyDescent="0.2">
      <c r="A420" s="3">
        <v>815</v>
      </c>
      <c r="B420" s="4" t="s">
        <v>1241</v>
      </c>
      <c r="C420" s="7" t="s">
        <v>1242</v>
      </c>
      <c r="D420" s="3" t="s">
        <v>10</v>
      </c>
      <c r="E420" s="6">
        <v>0.45700000000000002</v>
      </c>
      <c r="F420" s="3" t="s">
        <v>22</v>
      </c>
      <c r="G420" s="3" t="s">
        <v>1243</v>
      </c>
    </row>
    <row r="421" spans="1:7" x14ac:dyDescent="0.2">
      <c r="A421" s="3">
        <v>818</v>
      </c>
      <c r="B421" s="4" t="s">
        <v>1244</v>
      </c>
      <c r="C421" s="7" t="s">
        <v>1245</v>
      </c>
      <c r="D421" s="3" t="s">
        <v>10</v>
      </c>
      <c r="E421" s="6">
        <v>0.435</v>
      </c>
      <c r="F421" s="3" t="s">
        <v>22</v>
      </c>
      <c r="G421" s="3" t="s">
        <v>1246</v>
      </c>
    </row>
    <row r="422" spans="1:7" x14ac:dyDescent="0.2">
      <c r="A422" s="3">
        <v>819</v>
      </c>
      <c r="B422" s="4" t="s">
        <v>1247</v>
      </c>
      <c r="C422" s="7" t="s">
        <v>1248</v>
      </c>
      <c r="D422" s="3" t="s">
        <v>10</v>
      </c>
      <c r="E422" s="6">
        <v>0.44900000000000001</v>
      </c>
      <c r="F422" s="3" t="s">
        <v>11</v>
      </c>
      <c r="G422" s="3" t="s">
        <v>1249</v>
      </c>
    </row>
    <row r="423" spans="1:7" x14ac:dyDescent="0.2">
      <c r="A423" s="3">
        <v>823</v>
      </c>
      <c r="B423" s="4" t="s">
        <v>1250</v>
      </c>
      <c r="C423" s="7" t="s">
        <v>1251</v>
      </c>
      <c r="D423" s="3" t="s">
        <v>10</v>
      </c>
      <c r="E423" s="6">
        <v>0.5</v>
      </c>
      <c r="F423" s="3" t="s">
        <v>15</v>
      </c>
      <c r="G423" s="3" t="s">
        <v>1252</v>
      </c>
    </row>
    <row r="424" spans="1:7" x14ac:dyDescent="0.2">
      <c r="A424" s="3">
        <v>826</v>
      </c>
      <c r="B424" s="4" t="s">
        <v>1253</v>
      </c>
      <c r="C424" s="7" t="s">
        <v>1254</v>
      </c>
      <c r="D424" s="3" t="s">
        <v>10</v>
      </c>
      <c r="E424" s="6">
        <v>0.44500000000000001</v>
      </c>
      <c r="F424" s="3" t="s">
        <v>15</v>
      </c>
      <c r="G424" s="3" t="s">
        <v>1255</v>
      </c>
    </row>
    <row r="425" spans="1:7" x14ac:dyDescent="0.2">
      <c r="A425" s="3">
        <v>827</v>
      </c>
      <c r="B425" s="4" t="s">
        <v>1256</v>
      </c>
      <c r="C425" s="7" t="s">
        <v>1257</v>
      </c>
      <c r="D425" s="3" t="s">
        <v>10</v>
      </c>
      <c r="E425" s="6">
        <v>0.44700000000000001</v>
      </c>
      <c r="F425" s="3" t="s">
        <v>22</v>
      </c>
      <c r="G425" s="3" t="s">
        <v>1258</v>
      </c>
    </row>
    <row r="426" spans="1:7" x14ac:dyDescent="0.2">
      <c r="A426" s="3">
        <v>828</v>
      </c>
      <c r="B426" s="4" t="s">
        <v>1259</v>
      </c>
      <c r="C426" s="7" t="s">
        <v>1260</v>
      </c>
      <c r="D426" s="3" t="s">
        <v>10</v>
      </c>
      <c r="E426" s="6">
        <v>0.51700000000000002</v>
      </c>
      <c r="F426" s="3" t="s">
        <v>22</v>
      </c>
      <c r="G426" s="3" t="s">
        <v>1261</v>
      </c>
    </row>
    <row r="427" spans="1:7" x14ac:dyDescent="0.2">
      <c r="A427" s="3">
        <v>622</v>
      </c>
      <c r="B427" s="4" t="s">
        <v>1262</v>
      </c>
      <c r="C427" s="7" t="s">
        <v>1263</v>
      </c>
      <c r="D427" s="3" t="s">
        <v>10</v>
      </c>
      <c r="E427" s="6">
        <v>0.51800000000000002</v>
      </c>
      <c r="F427" s="3" t="s">
        <v>15</v>
      </c>
      <c r="G427" s="3" t="s">
        <v>1264</v>
      </c>
    </row>
    <row r="428" spans="1:7" x14ac:dyDescent="0.2">
      <c r="A428" s="3">
        <v>489</v>
      </c>
      <c r="B428" s="4" t="s">
        <v>1265</v>
      </c>
      <c r="C428" s="7" t="s">
        <v>1266</v>
      </c>
      <c r="D428" s="3" t="s">
        <v>431</v>
      </c>
      <c r="E428" s="6">
        <v>0.76500000000000001</v>
      </c>
      <c r="F428" s="3" t="s">
        <v>22</v>
      </c>
      <c r="G428" s="3" t="s">
        <v>1267</v>
      </c>
    </row>
    <row r="429" spans="1:7" x14ac:dyDescent="0.2">
      <c r="A429" s="3">
        <v>836</v>
      </c>
      <c r="B429" s="4" t="s">
        <v>1268</v>
      </c>
      <c r="C429" s="7" t="s">
        <v>1269</v>
      </c>
      <c r="D429" s="3" t="s">
        <v>10</v>
      </c>
      <c r="E429" s="6">
        <v>0.436</v>
      </c>
      <c r="F429" s="3" t="s">
        <v>11</v>
      </c>
      <c r="G429" s="3" t="s">
        <v>1270</v>
      </c>
    </row>
    <row r="430" spans="1:7" x14ac:dyDescent="0.2">
      <c r="A430" s="3">
        <v>838</v>
      </c>
      <c r="B430" s="4" t="s">
        <v>1271</v>
      </c>
      <c r="C430" s="7" t="s">
        <v>1272</v>
      </c>
      <c r="D430" s="3" t="s">
        <v>10</v>
      </c>
      <c r="E430" s="6">
        <v>0.56999999999999995</v>
      </c>
      <c r="F430" s="3" t="s">
        <v>15</v>
      </c>
      <c r="G430" s="3" t="s">
        <v>134</v>
      </c>
    </row>
    <row r="431" spans="1:7" x14ac:dyDescent="0.2">
      <c r="A431" s="3">
        <v>841</v>
      </c>
      <c r="B431" s="4" t="s">
        <v>1273</v>
      </c>
      <c r="C431" s="7" t="s">
        <v>1274</v>
      </c>
      <c r="D431" s="3" t="s">
        <v>10</v>
      </c>
      <c r="E431" s="6">
        <v>0.70199999999999996</v>
      </c>
      <c r="F431" s="3" t="s">
        <v>15</v>
      </c>
      <c r="G431" s="3" t="s">
        <v>1275</v>
      </c>
    </row>
    <row r="432" spans="1:7" x14ac:dyDescent="0.2">
      <c r="A432" s="3">
        <v>847</v>
      </c>
      <c r="B432" s="4" t="s">
        <v>1276</v>
      </c>
      <c r="C432" s="7" t="s">
        <v>1277</v>
      </c>
      <c r="D432" s="3" t="s">
        <v>10</v>
      </c>
      <c r="E432" s="6">
        <v>0.61299999999999999</v>
      </c>
      <c r="F432" s="3" t="s">
        <v>22</v>
      </c>
      <c r="G432" s="3" t="s">
        <v>1215</v>
      </c>
    </row>
    <row r="433" spans="1:7" x14ac:dyDescent="0.2">
      <c r="A433" s="3">
        <v>849</v>
      </c>
      <c r="B433" s="4" t="s">
        <v>1278</v>
      </c>
      <c r="C433" s="7" t="s">
        <v>1279</v>
      </c>
      <c r="D433" s="3" t="s">
        <v>10</v>
      </c>
      <c r="E433" s="6">
        <v>0.47599999999999998</v>
      </c>
      <c r="F433" s="3" t="s">
        <v>15</v>
      </c>
      <c r="G433" s="3" t="s">
        <v>1280</v>
      </c>
    </row>
    <row r="434" spans="1:7" x14ac:dyDescent="0.2">
      <c r="A434" s="3">
        <v>852</v>
      </c>
      <c r="B434" s="4" t="s">
        <v>1281</v>
      </c>
      <c r="C434" s="7" t="s">
        <v>1282</v>
      </c>
      <c r="D434" s="3" t="s">
        <v>10</v>
      </c>
      <c r="E434" s="6">
        <v>0.69399999999999995</v>
      </c>
      <c r="F434" s="3" t="s">
        <v>15</v>
      </c>
      <c r="G434" s="3" t="s">
        <v>1283</v>
      </c>
    </row>
    <row r="435" spans="1:7" x14ac:dyDescent="0.2">
      <c r="A435" s="3">
        <v>857</v>
      </c>
      <c r="B435" s="4" t="s">
        <v>1284</v>
      </c>
      <c r="C435" s="7" t="s">
        <v>1285</v>
      </c>
      <c r="D435" s="3" t="s">
        <v>10</v>
      </c>
      <c r="E435" s="6">
        <v>0.52</v>
      </c>
      <c r="F435" s="3" t="s">
        <v>22</v>
      </c>
      <c r="G435" s="3" t="s">
        <v>432</v>
      </c>
    </row>
    <row r="436" spans="1:7" x14ac:dyDescent="0.2">
      <c r="A436" s="3">
        <v>862</v>
      </c>
      <c r="B436" s="4" t="s">
        <v>1286</v>
      </c>
      <c r="C436" s="7" t="s">
        <v>1287</v>
      </c>
      <c r="D436" s="3" t="s">
        <v>10</v>
      </c>
      <c r="E436" s="6">
        <v>0.26100000000000001</v>
      </c>
      <c r="F436" s="3" t="s">
        <v>22</v>
      </c>
      <c r="G436" s="3" t="s">
        <v>947</v>
      </c>
    </row>
    <row r="437" spans="1:7" x14ac:dyDescent="0.2">
      <c r="A437" s="3">
        <v>863</v>
      </c>
      <c r="B437" s="4" t="s">
        <v>1288</v>
      </c>
      <c r="C437" s="7" t="s">
        <v>1289</v>
      </c>
      <c r="D437" s="3" t="s">
        <v>10</v>
      </c>
      <c r="E437" s="6">
        <v>0.621</v>
      </c>
      <c r="F437" s="3" t="s">
        <v>15</v>
      </c>
      <c r="G437" s="3" t="s">
        <v>1004</v>
      </c>
    </row>
    <row r="438" spans="1:7" x14ac:dyDescent="0.2">
      <c r="A438" s="3">
        <v>867</v>
      </c>
      <c r="B438" s="4" t="s">
        <v>1290</v>
      </c>
      <c r="C438" s="7" t="s">
        <v>1291</v>
      </c>
      <c r="D438" s="3" t="s">
        <v>10</v>
      </c>
      <c r="E438" s="6">
        <v>0.63400000000000001</v>
      </c>
      <c r="F438" s="3" t="s">
        <v>11</v>
      </c>
      <c r="G438" s="3" t="s">
        <v>1292</v>
      </c>
    </row>
    <row r="439" spans="1:7" x14ac:dyDescent="0.2">
      <c r="A439" s="3">
        <v>871</v>
      </c>
      <c r="B439" s="4" t="s">
        <v>1293</v>
      </c>
      <c r="C439" s="7" t="s">
        <v>1294</v>
      </c>
      <c r="D439" s="3" t="s">
        <v>10</v>
      </c>
      <c r="E439" s="6">
        <v>0.39900000000000002</v>
      </c>
      <c r="F439" s="3" t="s">
        <v>22</v>
      </c>
      <c r="G439" s="3" t="s">
        <v>1295</v>
      </c>
    </row>
    <row r="440" spans="1:7" x14ac:dyDescent="0.2">
      <c r="A440" s="3">
        <v>875</v>
      </c>
      <c r="B440" s="4" t="s">
        <v>1296</v>
      </c>
      <c r="C440" s="7" t="s">
        <v>1297</v>
      </c>
      <c r="D440" s="3" t="s">
        <v>10</v>
      </c>
      <c r="E440" s="6">
        <v>0.52200000000000002</v>
      </c>
      <c r="F440" s="3" t="s">
        <v>15</v>
      </c>
      <c r="G440" s="3" t="s">
        <v>1298</v>
      </c>
    </row>
    <row r="441" spans="1:7" x14ac:dyDescent="0.2">
      <c r="A441" s="3">
        <v>876</v>
      </c>
      <c r="B441" s="4" t="s">
        <v>1299</v>
      </c>
      <c r="C441" s="7" t="s">
        <v>1300</v>
      </c>
      <c r="D441" s="3" t="s">
        <v>10</v>
      </c>
      <c r="E441" s="6">
        <v>0.73899999999999999</v>
      </c>
      <c r="F441" s="3" t="s">
        <v>11</v>
      </c>
      <c r="G441" s="3" t="s">
        <v>1301</v>
      </c>
    </row>
    <row r="442" spans="1:7" x14ac:dyDescent="0.2">
      <c r="A442" s="3">
        <v>528</v>
      </c>
      <c r="B442" s="4" t="s">
        <v>1302</v>
      </c>
      <c r="C442" s="7" t="s">
        <v>1303</v>
      </c>
      <c r="D442" s="3" t="s">
        <v>10</v>
      </c>
      <c r="E442" s="6">
        <v>0.46100000000000002</v>
      </c>
      <c r="F442" s="3" t="s">
        <v>15</v>
      </c>
      <c r="G442" s="3" t="s">
        <v>1304</v>
      </c>
    </row>
    <row r="443" spans="1:7" x14ac:dyDescent="0.2">
      <c r="A443" s="3">
        <v>886</v>
      </c>
      <c r="B443" s="4" t="s">
        <v>1305</v>
      </c>
      <c r="C443" s="7" t="s">
        <v>1306</v>
      </c>
      <c r="D443" s="3" t="s">
        <v>10</v>
      </c>
      <c r="E443" s="6">
        <v>0.48399999999999999</v>
      </c>
      <c r="F443" s="3" t="s">
        <v>15</v>
      </c>
      <c r="G443" s="3" t="s">
        <v>1049</v>
      </c>
    </row>
    <row r="444" spans="1:7" x14ac:dyDescent="0.2">
      <c r="A444" s="3">
        <v>889</v>
      </c>
      <c r="B444" s="4" t="s">
        <v>1307</v>
      </c>
      <c r="C444" s="7" t="s">
        <v>1308</v>
      </c>
      <c r="D444" s="3" t="s">
        <v>10</v>
      </c>
      <c r="E444" s="6">
        <v>0.70799999999999996</v>
      </c>
      <c r="F444" s="3" t="s">
        <v>15</v>
      </c>
      <c r="G444" s="3" t="s">
        <v>618</v>
      </c>
    </row>
    <row r="445" spans="1:7" x14ac:dyDescent="0.2">
      <c r="A445" s="3">
        <v>894</v>
      </c>
      <c r="B445" s="4" t="s">
        <v>1309</v>
      </c>
      <c r="C445" s="7" t="s">
        <v>1310</v>
      </c>
      <c r="D445" s="3" t="s">
        <v>10</v>
      </c>
      <c r="E445" s="6">
        <v>0.8</v>
      </c>
      <c r="F445" s="3" t="s">
        <v>15</v>
      </c>
      <c r="G445" s="3" t="s">
        <v>718</v>
      </c>
    </row>
    <row r="446" spans="1:7" x14ac:dyDescent="0.2">
      <c r="A446" s="3">
        <v>895</v>
      </c>
      <c r="B446" s="4" t="s">
        <v>1311</v>
      </c>
      <c r="C446" s="7" t="s">
        <v>1312</v>
      </c>
      <c r="D446" s="3" t="s">
        <v>10</v>
      </c>
      <c r="E446" s="6">
        <v>0.66800000000000004</v>
      </c>
      <c r="F446" s="3" t="s">
        <v>22</v>
      </c>
      <c r="G446" s="3" t="s">
        <v>1313</v>
      </c>
    </row>
    <row r="447" spans="1:7" x14ac:dyDescent="0.2">
      <c r="A447" s="3">
        <v>901</v>
      </c>
      <c r="B447" s="4" t="s">
        <v>1314</v>
      </c>
      <c r="C447" s="7" t="s">
        <v>1315</v>
      </c>
      <c r="D447" s="3" t="s">
        <v>10</v>
      </c>
      <c r="E447" s="6">
        <v>0.65200000000000002</v>
      </c>
      <c r="F447" s="3" t="s">
        <v>15</v>
      </c>
      <c r="G447" s="3" t="s">
        <v>1316</v>
      </c>
    </row>
    <row r="448" spans="1:7" x14ac:dyDescent="0.2">
      <c r="A448" s="3">
        <v>903</v>
      </c>
      <c r="B448" s="4" t="s">
        <v>1317</v>
      </c>
      <c r="C448" s="7" t="s">
        <v>1318</v>
      </c>
      <c r="D448" s="3" t="s">
        <v>10</v>
      </c>
      <c r="E448" s="6">
        <v>0.57699999999999996</v>
      </c>
      <c r="F448" s="3" t="s">
        <v>22</v>
      </c>
      <c r="G448" s="3" t="s">
        <v>1319</v>
      </c>
    </row>
    <row r="449" spans="1:7" x14ac:dyDescent="0.2">
      <c r="A449" s="3">
        <v>904</v>
      </c>
      <c r="B449" s="4" t="s">
        <v>1320</v>
      </c>
      <c r="C449" s="7" t="s">
        <v>1321</v>
      </c>
      <c r="D449" s="3" t="s">
        <v>10</v>
      </c>
      <c r="E449" s="6">
        <v>0.42599999999999999</v>
      </c>
      <c r="F449" s="3" t="s">
        <v>15</v>
      </c>
      <c r="G449" s="3" t="s">
        <v>1316</v>
      </c>
    </row>
    <row r="450" spans="1:7" x14ac:dyDescent="0.2">
      <c r="A450" s="3">
        <v>907</v>
      </c>
      <c r="B450" s="4" t="s">
        <v>1322</v>
      </c>
      <c r="C450" s="7" t="s">
        <v>1323</v>
      </c>
      <c r="D450" s="3" t="s">
        <v>10</v>
      </c>
      <c r="E450" s="6">
        <v>0.34300000000000003</v>
      </c>
      <c r="F450" s="3" t="s">
        <v>15</v>
      </c>
      <c r="G450" s="3" t="s">
        <v>1324</v>
      </c>
    </row>
    <row r="451" spans="1:7" x14ac:dyDescent="0.2">
      <c r="A451" s="3">
        <v>909</v>
      </c>
      <c r="B451" s="4" t="s">
        <v>1325</v>
      </c>
      <c r="C451" s="7" t="s">
        <v>1326</v>
      </c>
      <c r="D451" s="3" t="s">
        <v>10</v>
      </c>
      <c r="E451" s="6">
        <v>0.40899999999999997</v>
      </c>
      <c r="F451" s="3" t="s">
        <v>15</v>
      </c>
      <c r="G451" s="3" t="s">
        <v>1327</v>
      </c>
    </row>
    <row r="452" spans="1:7" x14ac:dyDescent="0.2">
      <c r="A452" s="3">
        <v>912</v>
      </c>
      <c r="B452" s="4" t="s">
        <v>1328</v>
      </c>
      <c r="C452" s="7" t="s">
        <v>1329</v>
      </c>
      <c r="D452" s="3" t="s">
        <v>10</v>
      </c>
      <c r="E452" s="6">
        <v>0.59499999999999997</v>
      </c>
      <c r="F452" s="3" t="s">
        <v>15</v>
      </c>
      <c r="G452" s="3" t="s">
        <v>1330</v>
      </c>
    </row>
    <row r="453" spans="1:7" x14ac:dyDescent="0.2">
      <c r="A453" s="3">
        <v>921</v>
      </c>
      <c r="B453" s="4" t="s">
        <v>1331</v>
      </c>
      <c r="C453" s="7" t="s">
        <v>1332</v>
      </c>
      <c r="D453" s="3" t="s">
        <v>10</v>
      </c>
      <c r="E453" s="6">
        <v>0.76200000000000001</v>
      </c>
      <c r="F453" s="3" t="s">
        <v>15</v>
      </c>
      <c r="G453" s="3" t="s">
        <v>1333</v>
      </c>
    </row>
    <row r="454" spans="1:7" x14ac:dyDescent="0.2">
      <c r="A454" s="3">
        <v>926</v>
      </c>
      <c r="B454" s="4" t="s">
        <v>1334</v>
      </c>
      <c r="C454" s="7" t="s">
        <v>1335</v>
      </c>
      <c r="D454" s="3" t="s">
        <v>10</v>
      </c>
      <c r="E454" s="6">
        <v>0.59599999999999997</v>
      </c>
      <c r="F454" s="3" t="s">
        <v>15</v>
      </c>
      <c r="G454" s="3" t="s">
        <v>1336</v>
      </c>
    </row>
    <row r="455" spans="1:7" x14ac:dyDescent="0.2">
      <c r="A455" s="3">
        <v>929</v>
      </c>
      <c r="B455" s="4" t="s">
        <v>1337</v>
      </c>
      <c r="C455" s="7" t="s">
        <v>1338</v>
      </c>
      <c r="D455" s="3" t="s">
        <v>10</v>
      </c>
      <c r="E455" s="6">
        <v>0.67200000000000004</v>
      </c>
      <c r="F455" s="3" t="s">
        <v>11</v>
      </c>
      <c r="G455" s="3" t="s">
        <v>1339</v>
      </c>
    </row>
    <row r="456" spans="1:7" x14ac:dyDescent="0.2">
      <c r="A456" s="3">
        <v>931</v>
      </c>
      <c r="B456" s="4" t="s">
        <v>1340</v>
      </c>
      <c r="C456" s="7" t="s">
        <v>1341</v>
      </c>
      <c r="D456" s="3" t="s">
        <v>10</v>
      </c>
      <c r="E456" s="6">
        <v>0.68500000000000005</v>
      </c>
      <c r="F456" s="3" t="s">
        <v>15</v>
      </c>
      <c r="G456" s="3" t="s">
        <v>1342</v>
      </c>
    </row>
    <row r="457" spans="1:7" x14ac:dyDescent="0.2">
      <c r="A457" s="3">
        <v>934</v>
      </c>
      <c r="B457" s="4" t="s">
        <v>1343</v>
      </c>
      <c r="C457" s="7" t="s">
        <v>1344</v>
      </c>
      <c r="D457" s="3" t="s">
        <v>10</v>
      </c>
      <c r="E457" s="6">
        <v>0.54</v>
      </c>
      <c r="F457" s="3" t="s">
        <v>15</v>
      </c>
      <c r="G457" s="3" t="s">
        <v>1345</v>
      </c>
    </row>
    <row r="458" spans="1:7" x14ac:dyDescent="0.2">
      <c r="A458" s="3">
        <v>937</v>
      </c>
      <c r="B458" s="4" t="s">
        <v>1346</v>
      </c>
      <c r="C458" s="7" t="s">
        <v>1347</v>
      </c>
      <c r="D458" s="3" t="s">
        <v>10</v>
      </c>
      <c r="E458" s="6">
        <v>0.56399999999999995</v>
      </c>
      <c r="F458" s="3" t="s">
        <v>15</v>
      </c>
      <c r="G458" s="3" t="s">
        <v>1348</v>
      </c>
    </row>
    <row r="459" spans="1:7" x14ac:dyDescent="0.2">
      <c r="A459" s="3">
        <v>941</v>
      </c>
      <c r="B459" s="4" t="s">
        <v>1349</v>
      </c>
      <c r="C459" s="7" t="s">
        <v>1350</v>
      </c>
      <c r="D459" s="3" t="s">
        <v>10</v>
      </c>
      <c r="E459" s="6">
        <v>0.33500000000000002</v>
      </c>
      <c r="F459" s="3" t="s">
        <v>11</v>
      </c>
      <c r="G459" s="3" t="s">
        <v>1351</v>
      </c>
    </row>
    <row r="460" spans="1:7" x14ac:dyDescent="0.2">
      <c r="A460" s="3">
        <v>947</v>
      </c>
      <c r="B460" s="4" t="s">
        <v>1352</v>
      </c>
      <c r="C460" s="7" t="s">
        <v>1353</v>
      </c>
      <c r="D460" s="3" t="s">
        <v>10</v>
      </c>
      <c r="E460" s="6">
        <v>0.58799999999999997</v>
      </c>
      <c r="F460" s="3" t="s">
        <v>15</v>
      </c>
      <c r="G460" s="3" t="s">
        <v>1354</v>
      </c>
    </row>
    <row r="461" spans="1:7" x14ac:dyDescent="0.2">
      <c r="A461" s="3">
        <v>949</v>
      </c>
      <c r="B461" s="4" t="s">
        <v>1355</v>
      </c>
      <c r="C461" s="7" t="s">
        <v>1356</v>
      </c>
      <c r="D461" s="3" t="s">
        <v>10</v>
      </c>
      <c r="E461" s="6">
        <v>0.35199999999999998</v>
      </c>
      <c r="F461" s="3" t="s">
        <v>15</v>
      </c>
      <c r="G461" s="3" t="s">
        <v>1070</v>
      </c>
    </row>
    <row r="462" spans="1:7" x14ac:dyDescent="0.2">
      <c r="A462" s="3">
        <v>953</v>
      </c>
      <c r="B462" s="4" t="s">
        <v>1357</v>
      </c>
      <c r="C462" s="7" t="s">
        <v>1358</v>
      </c>
      <c r="D462" s="3" t="s">
        <v>10</v>
      </c>
      <c r="E462" s="6">
        <v>0.52700000000000002</v>
      </c>
      <c r="F462" s="3" t="s">
        <v>11</v>
      </c>
      <c r="G462" s="3" t="s">
        <v>1359</v>
      </c>
    </row>
    <row r="463" spans="1:7" x14ac:dyDescent="0.2">
      <c r="A463" s="3">
        <v>958</v>
      </c>
      <c r="B463" s="4" t="s">
        <v>1360</v>
      </c>
      <c r="C463" s="7" t="s">
        <v>1361</v>
      </c>
      <c r="D463" s="3" t="s">
        <v>10</v>
      </c>
      <c r="E463" s="6">
        <v>0.53800000000000003</v>
      </c>
      <c r="F463" s="3" t="s">
        <v>15</v>
      </c>
      <c r="G463" s="3" t="s">
        <v>1362</v>
      </c>
    </row>
    <row r="464" spans="1:7" x14ac:dyDescent="0.2">
      <c r="A464" s="3">
        <v>962</v>
      </c>
      <c r="B464" s="4" t="s">
        <v>1363</v>
      </c>
      <c r="C464" s="7" t="s">
        <v>1364</v>
      </c>
      <c r="D464" s="3" t="s">
        <v>10</v>
      </c>
      <c r="E464" s="6">
        <v>0.49</v>
      </c>
      <c r="F464" s="3" t="s">
        <v>15</v>
      </c>
      <c r="G464" s="3" t="s">
        <v>1055</v>
      </c>
    </row>
    <row r="465" spans="1:7" x14ac:dyDescent="0.2">
      <c r="A465" s="3">
        <v>968</v>
      </c>
      <c r="B465" s="4" t="s">
        <v>1365</v>
      </c>
      <c r="C465" s="7" t="s">
        <v>1366</v>
      </c>
      <c r="D465" s="3" t="s">
        <v>10</v>
      </c>
      <c r="E465" s="6">
        <v>0.46800000000000003</v>
      </c>
      <c r="F465" s="3" t="s">
        <v>22</v>
      </c>
      <c r="G465" s="3" t="s">
        <v>1367</v>
      </c>
    </row>
    <row r="466" spans="1:7" x14ac:dyDescent="0.2">
      <c r="A466" s="3">
        <v>509</v>
      </c>
      <c r="B466" s="4" t="s">
        <v>1368</v>
      </c>
      <c r="C466" s="7" t="s">
        <v>1369</v>
      </c>
      <c r="D466" s="3" t="s">
        <v>10</v>
      </c>
      <c r="E466" s="6">
        <v>0.69199999999999995</v>
      </c>
      <c r="F466" s="3" t="s">
        <v>11</v>
      </c>
      <c r="G466" s="3" t="s">
        <v>1370</v>
      </c>
    </row>
    <row r="467" spans="1:7" x14ac:dyDescent="0.2">
      <c r="A467" s="3">
        <v>973</v>
      </c>
      <c r="B467" s="4" t="s">
        <v>1371</v>
      </c>
      <c r="C467" s="7" t="s">
        <v>1372</v>
      </c>
      <c r="D467" s="3" t="s">
        <v>10</v>
      </c>
      <c r="E467" s="6">
        <v>0.65800000000000003</v>
      </c>
      <c r="F467" s="3" t="s">
        <v>15</v>
      </c>
      <c r="G467" s="3" t="s">
        <v>1373</v>
      </c>
    </row>
    <row r="468" spans="1:7" x14ac:dyDescent="0.2">
      <c r="A468" s="3">
        <v>977</v>
      </c>
      <c r="B468" s="4" t="s">
        <v>1374</v>
      </c>
      <c r="C468" s="7" t="s">
        <v>1375</v>
      </c>
      <c r="D468" s="3" t="s">
        <v>10</v>
      </c>
      <c r="E468" s="6">
        <v>0.71899999999999997</v>
      </c>
      <c r="F468" s="3" t="s">
        <v>11</v>
      </c>
      <c r="G468" s="3" t="s">
        <v>1376</v>
      </c>
    </row>
    <row r="469" spans="1:7" x14ac:dyDescent="0.2">
      <c r="A469" s="3">
        <v>979</v>
      </c>
      <c r="B469" s="4" t="s">
        <v>1377</v>
      </c>
      <c r="C469" s="7" t="s">
        <v>1378</v>
      </c>
      <c r="D469" s="3" t="s">
        <v>10</v>
      </c>
      <c r="E469" s="6">
        <v>0.72099999999999997</v>
      </c>
      <c r="F469" s="3" t="s">
        <v>15</v>
      </c>
      <c r="G469" s="3" t="s">
        <v>1379</v>
      </c>
    </row>
    <row r="470" spans="1:7" x14ac:dyDescent="0.2">
      <c r="A470" s="3">
        <v>981</v>
      </c>
      <c r="B470" s="4" t="s">
        <v>1380</v>
      </c>
      <c r="C470" s="7" t="s">
        <v>1381</v>
      </c>
      <c r="D470" s="3" t="s">
        <v>10</v>
      </c>
      <c r="E470" s="6">
        <v>0.53400000000000003</v>
      </c>
      <c r="F470" s="3" t="s">
        <v>15</v>
      </c>
      <c r="G470" s="3" t="s">
        <v>1382</v>
      </c>
    </row>
    <row r="471" spans="1:7" x14ac:dyDescent="0.2">
      <c r="A471" s="3">
        <v>983</v>
      </c>
      <c r="B471" s="4" t="s">
        <v>1383</v>
      </c>
      <c r="C471" s="7" t="s">
        <v>1384</v>
      </c>
      <c r="D471" s="3" t="s">
        <v>10</v>
      </c>
      <c r="E471" s="6">
        <v>0.64400000000000002</v>
      </c>
      <c r="F471" s="3" t="s">
        <v>15</v>
      </c>
      <c r="G471" s="3" t="s">
        <v>802</v>
      </c>
    </row>
    <row r="472" spans="1:7" x14ac:dyDescent="0.2">
      <c r="A472" s="3">
        <v>987</v>
      </c>
      <c r="B472" s="4" t="s">
        <v>1385</v>
      </c>
      <c r="C472" s="7" t="s">
        <v>1386</v>
      </c>
      <c r="D472" s="3" t="s">
        <v>10</v>
      </c>
      <c r="E472" s="6">
        <v>0.44700000000000001</v>
      </c>
      <c r="F472" s="3" t="s">
        <v>22</v>
      </c>
      <c r="G472" s="3" t="s">
        <v>1387</v>
      </c>
    </row>
    <row r="473" spans="1:7" x14ac:dyDescent="0.2">
      <c r="A473" s="3">
        <v>990</v>
      </c>
      <c r="B473" s="4" t="s">
        <v>1388</v>
      </c>
      <c r="C473" s="7" t="s">
        <v>1389</v>
      </c>
      <c r="D473" s="3" t="s">
        <v>10</v>
      </c>
      <c r="E473" s="6">
        <v>0.50700000000000001</v>
      </c>
      <c r="F473" s="3" t="s">
        <v>15</v>
      </c>
      <c r="G473" s="3" t="s">
        <v>1390</v>
      </c>
    </row>
    <row r="474" spans="1:7" x14ac:dyDescent="0.2">
      <c r="A474" s="3">
        <v>992</v>
      </c>
      <c r="B474" s="4" t="s">
        <v>1391</v>
      </c>
      <c r="C474" s="7" t="s">
        <v>1392</v>
      </c>
      <c r="D474" s="3" t="s">
        <v>10</v>
      </c>
      <c r="E474" s="6">
        <v>0.54400000000000004</v>
      </c>
      <c r="F474" s="3" t="s">
        <v>22</v>
      </c>
      <c r="G474" s="3" t="s">
        <v>1393</v>
      </c>
    </row>
    <row r="475" spans="1:7" x14ac:dyDescent="0.2">
      <c r="A475" s="3">
        <v>993</v>
      </c>
      <c r="B475" s="4" t="s">
        <v>1394</v>
      </c>
      <c r="C475" s="7" t="s">
        <v>1395</v>
      </c>
      <c r="D475" s="3" t="s">
        <v>10</v>
      </c>
      <c r="E475" s="6">
        <v>0.54200000000000004</v>
      </c>
      <c r="F475" s="3" t="s">
        <v>11</v>
      </c>
      <c r="G475" s="3" t="s">
        <v>1396</v>
      </c>
    </row>
    <row r="476" spans="1:7" x14ac:dyDescent="0.2">
      <c r="A476" s="3">
        <v>994</v>
      </c>
      <c r="B476" s="4" t="s">
        <v>1397</v>
      </c>
      <c r="C476" s="7" t="s">
        <v>1398</v>
      </c>
      <c r="D476" s="3" t="s">
        <v>10</v>
      </c>
      <c r="E476" s="6">
        <v>0.52500000000000002</v>
      </c>
      <c r="F476" s="3" t="s">
        <v>15</v>
      </c>
      <c r="G476" s="3" t="s">
        <v>1399</v>
      </c>
    </row>
    <row r="477" spans="1:7" x14ac:dyDescent="0.2">
      <c r="A477" s="3">
        <v>1004</v>
      </c>
      <c r="B477" s="4" t="s">
        <v>1400</v>
      </c>
      <c r="C477" s="7" t="s">
        <v>1401</v>
      </c>
      <c r="D477" s="3" t="s">
        <v>10</v>
      </c>
      <c r="E477" s="6">
        <v>0.63400000000000001</v>
      </c>
      <c r="F477" s="3" t="s">
        <v>15</v>
      </c>
      <c r="G477" s="3" t="s">
        <v>953</v>
      </c>
    </row>
    <row r="478" spans="1:7" x14ac:dyDescent="0.2">
      <c r="A478" s="3">
        <v>1008</v>
      </c>
      <c r="B478" s="4" t="s">
        <v>1402</v>
      </c>
      <c r="C478" s="7" t="s">
        <v>1403</v>
      </c>
      <c r="D478" s="3" t="s">
        <v>10</v>
      </c>
      <c r="E478" s="6">
        <v>0.81</v>
      </c>
      <c r="F478" s="3" t="s">
        <v>15</v>
      </c>
      <c r="G478" s="3" t="s">
        <v>1404</v>
      </c>
    </row>
    <row r="479" spans="1:7" x14ac:dyDescent="0.2">
      <c r="A479" s="3">
        <v>1010</v>
      </c>
      <c r="B479" s="4" t="s">
        <v>1405</v>
      </c>
      <c r="C479" s="7" t="s">
        <v>1406</v>
      </c>
      <c r="D479" s="3" t="s">
        <v>10</v>
      </c>
      <c r="E479" s="6">
        <v>0.52900000000000003</v>
      </c>
      <c r="F479" s="3" t="s">
        <v>15</v>
      </c>
      <c r="G479" s="3" t="s">
        <v>101</v>
      </c>
    </row>
    <row r="480" spans="1:7" x14ac:dyDescent="0.2">
      <c r="A480" s="3">
        <v>1011</v>
      </c>
      <c r="B480" s="4" t="s">
        <v>1407</v>
      </c>
      <c r="C480" s="7" t="s">
        <v>1408</v>
      </c>
      <c r="D480" s="3" t="s">
        <v>10</v>
      </c>
      <c r="E480" s="6">
        <v>0.64600000000000002</v>
      </c>
      <c r="F480" s="3" t="s">
        <v>15</v>
      </c>
      <c r="G480" s="3" t="s">
        <v>1409</v>
      </c>
    </row>
    <row r="481" spans="1:7" x14ac:dyDescent="0.2">
      <c r="A481" s="3">
        <v>1060</v>
      </c>
      <c r="B481" s="4" t="s">
        <v>1410</v>
      </c>
      <c r="C481" s="7" t="s">
        <v>1411</v>
      </c>
      <c r="D481" s="3" t="s">
        <v>431</v>
      </c>
      <c r="E481" s="6">
        <v>0.54600000000000004</v>
      </c>
      <c r="F481" s="3" t="s">
        <v>15</v>
      </c>
      <c r="G481" s="3" t="s">
        <v>1028</v>
      </c>
    </row>
    <row r="482" spans="1:7" x14ac:dyDescent="0.2">
      <c r="A482" s="3">
        <v>1016</v>
      </c>
      <c r="B482" s="4" t="s">
        <v>1412</v>
      </c>
      <c r="C482" s="7" t="s">
        <v>1413</v>
      </c>
      <c r="D482" s="3" t="s">
        <v>10</v>
      </c>
      <c r="E482" s="6">
        <v>0.57599999999999996</v>
      </c>
      <c r="F482" s="3" t="s">
        <v>15</v>
      </c>
      <c r="G482" s="3" t="s">
        <v>1414</v>
      </c>
    </row>
    <row r="483" spans="1:7" x14ac:dyDescent="0.2">
      <c r="A483" s="3">
        <v>1020</v>
      </c>
      <c r="B483" s="4" t="s">
        <v>1415</v>
      </c>
      <c r="C483" s="7" t="s">
        <v>1416</v>
      </c>
      <c r="D483" s="3" t="s">
        <v>10</v>
      </c>
      <c r="E483" s="6">
        <v>0.64900000000000002</v>
      </c>
      <c r="F483" s="3" t="s">
        <v>15</v>
      </c>
      <c r="G483" s="3" t="s">
        <v>1417</v>
      </c>
    </row>
    <row r="484" spans="1:7" x14ac:dyDescent="0.2">
      <c r="A484" s="3">
        <v>1099</v>
      </c>
      <c r="B484" s="4" t="s">
        <v>1418</v>
      </c>
      <c r="C484" s="7" t="s">
        <v>1419</v>
      </c>
      <c r="D484" s="3" t="s">
        <v>431</v>
      </c>
      <c r="E484" s="6">
        <v>0.60799999999999998</v>
      </c>
      <c r="F484" s="3" t="s">
        <v>11</v>
      </c>
      <c r="G484" s="3" t="s">
        <v>1420</v>
      </c>
    </row>
    <row r="485" spans="1:7" x14ac:dyDescent="0.2">
      <c r="A485" s="3">
        <v>1026</v>
      </c>
      <c r="B485" s="4" t="s">
        <v>1421</v>
      </c>
      <c r="C485" s="7" t="s">
        <v>1422</v>
      </c>
      <c r="D485" s="3" t="s">
        <v>10</v>
      </c>
      <c r="E485" s="6">
        <v>0.73399999999999999</v>
      </c>
      <c r="F485" s="3" t="s">
        <v>15</v>
      </c>
      <c r="G485" s="3" t="s">
        <v>1423</v>
      </c>
    </row>
    <row r="486" spans="1:7" x14ac:dyDescent="0.2">
      <c r="A486" s="3">
        <v>1032</v>
      </c>
      <c r="B486" s="4" t="s">
        <v>1424</v>
      </c>
      <c r="C486" s="7" t="s">
        <v>1425</v>
      </c>
      <c r="D486" s="3" t="s">
        <v>10</v>
      </c>
      <c r="E486" s="6">
        <v>0.51600000000000001</v>
      </c>
      <c r="F486" s="3" t="s">
        <v>22</v>
      </c>
      <c r="G486" s="3" t="s">
        <v>432</v>
      </c>
    </row>
    <row r="487" spans="1:7" x14ac:dyDescent="0.2">
      <c r="A487" s="3">
        <v>1151</v>
      </c>
      <c r="B487" s="4" t="s">
        <v>1426</v>
      </c>
      <c r="C487" s="7" t="s">
        <v>1427</v>
      </c>
      <c r="D487" s="3" t="s">
        <v>431</v>
      </c>
      <c r="E487" s="6">
        <v>0.60899999999999999</v>
      </c>
      <c r="F487" s="3" t="s">
        <v>15</v>
      </c>
      <c r="G487" s="3" t="s">
        <v>873</v>
      </c>
    </row>
    <row r="488" spans="1:7" x14ac:dyDescent="0.2">
      <c r="A488" s="3">
        <v>1152</v>
      </c>
      <c r="B488" s="4" t="s">
        <v>1428</v>
      </c>
      <c r="C488" s="7" t="s">
        <v>1429</v>
      </c>
      <c r="D488" s="3" t="s">
        <v>431</v>
      </c>
      <c r="E488" s="6">
        <v>0.433</v>
      </c>
      <c r="F488" s="3" t="s">
        <v>15</v>
      </c>
      <c r="G488" s="3" t="s">
        <v>1430</v>
      </c>
    </row>
    <row r="489" spans="1:7" x14ac:dyDescent="0.2">
      <c r="A489" s="3">
        <v>1039</v>
      </c>
      <c r="B489" s="4" t="s">
        <v>1431</v>
      </c>
      <c r="C489" s="7" t="s">
        <v>1432</v>
      </c>
      <c r="D489" s="3" t="s">
        <v>10</v>
      </c>
      <c r="E489" s="6">
        <v>0.54600000000000004</v>
      </c>
      <c r="F489" s="3" t="s">
        <v>15</v>
      </c>
      <c r="G489" s="3" t="s">
        <v>1433</v>
      </c>
    </row>
    <row r="490" spans="1:7" x14ac:dyDescent="0.2">
      <c r="A490" s="3">
        <v>1038</v>
      </c>
      <c r="B490" s="4" t="s">
        <v>1434</v>
      </c>
      <c r="C490" s="7" t="s">
        <v>1435</v>
      </c>
      <c r="D490" s="3" t="s">
        <v>10</v>
      </c>
      <c r="E490" s="6">
        <v>0.85399999999999998</v>
      </c>
      <c r="F490" s="3" t="s">
        <v>15</v>
      </c>
      <c r="G490" s="3" t="s">
        <v>1436</v>
      </c>
    </row>
    <row r="491" spans="1:7" x14ac:dyDescent="0.2">
      <c r="A491" s="3">
        <v>1041</v>
      </c>
      <c r="B491" s="4" t="s">
        <v>1437</v>
      </c>
      <c r="C491" s="7" t="s">
        <v>1438</v>
      </c>
      <c r="D491" s="3" t="s">
        <v>10</v>
      </c>
      <c r="E491" s="6">
        <v>0.55300000000000005</v>
      </c>
      <c r="F491" s="3" t="s">
        <v>15</v>
      </c>
      <c r="G491" s="3" t="s">
        <v>1439</v>
      </c>
    </row>
    <row r="492" spans="1:7" x14ac:dyDescent="0.2">
      <c r="A492" s="3">
        <v>1044</v>
      </c>
      <c r="B492" s="4" t="s">
        <v>1440</v>
      </c>
      <c r="C492" s="7" t="s">
        <v>1441</v>
      </c>
      <c r="D492" s="3" t="s">
        <v>10</v>
      </c>
      <c r="E492" s="6">
        <v>0.30599999999999999</v>
      </c>
      <c r="F492" s="3" t="s">
        <v>22</v>
      </c>
      <c r="G492" s="3" t="s">
        <v>1442</v>
      </c>
    </row>
    <row r="493" spans="1:7" x14ac:dyDescent="0.2">
      <c r="A493" s="3">
        <v>1166</v>
      </c>
      <c r="B493" s="4" t="s">
        <v>1443</v>
      </c>
      <c r="C493" s="7" t="s">
        <v>1444</v>
      </c>
      <c r="D493" s="3" t="s">
        <v>431</v>
      </c>
      <c r="E493" s="6">
        <v>0.62</v>
      </c>
      <c r="F493" s="3" t="s">
        <v>15</v>
      </c>
      <c r="G493" s="3" t="s">
        <v>1445</v>
      </c>
    </row>
    <row r="494" spans="1:7" x14ac:dyDescent="0.2">
      <c r="A494" s="3">
        <v>1167</v>
      </c>
      <c r="B494" s="4" t="s">
        <v>1446</v>
      </c>
      <c r="C494" s="7" t="s">
        <v>1447</v>
      </c>
      <c r="D494" s="3" t="s">
        <v>431</v>
      </c>
      <c r="E494" s="6">
        <v>0.67800000000000005</v>
      </c>
      <c r="F494" s="3" t="s">
        <v>15</v>
      </c>
      <c r="G494" s="3" t="s">
        <v>1448</v>
      </c>
    </row>
    <row r="495" spans="1:7" x14ac:dyDescent="0.2">
      <c r="A495" s="3">
        <v>1046</v>
      </c>
      <c r="B495" s="4" t="s">
        <v>1449</v>
      </c>
      <c r="C495" s="7" t="s">
        <v>1450</v>
      </c>
      <c r="D495" s="3" t="s">
        <v>10</v>
      </c>
      <c r="E495" s="6">
        <v>0.64700000000000002</v>
      </c>
      <c r="F495" s="3" t="s">
        <v>11</v>
      </c>
      <c r="G495" s="3" t="s">
        <v>1451</v>
      </c>
    </row>
    <row r="496" spans="1:7" x14ac:dyDescent="0.2">
      <c r="A496" s="3">
        <v>1047</v>
      </c>
      <c r="B496" s="4" t="s">
        <v>1452</v>
      </c>
      <c r="C496" s="7" t="s">
        <v>1453</v>
      </c>
      <c r="D496" s="3" t="s">
        <v>10</v>
      </c>
      <c r="E496" s="6">
        <v>0.70399999999999996</v>
      </c>
      <c r="F496" s="3" t="s">
        <v>11</v>
      </c>
      <c r="G496" s="3" t="s">
        <v>1454</v>
      </c>
    </row>
    <row r="497" spans="1:7" x14ac:dyDescent="0.2">
      <c r="A497" s="3">
        <v>1048</v>
      </c>
      <c r="B497" s="4" t="s">
        <v>1455</v>
      </c>
      <c r="C497" s="7" t="s">
        <v>1456</v>
      </c>
      <c r="D497" s="3" t="s">
        <v>10</v>
      </c>
      <c r="E497" s="6">
        <v>0.59099999999999997</v>
      </c>
      <c r="F497" s="3" t="s">
        <v>15</v>
      </c>
      <c r="G497" s="3" t="s">
        <v>1226</v>
      </c>
    </row>
    <row r="498" spans="1:7" x14ac:dyDescent="0.2">
      <c r="A498" s="3">
        <v>1197</v>
      </c>
      <c r="B498" s="4" t="s">
        <v>1457</v>
      </c>
      <c r="C498" s="7" t="s">
        <v>1458</v>
      </c>
      <c r="D498" s="3" t="s">
        <v>431</v>
      </c>
      <c r="E498" s="6">
        <v>0.39700000000000002</v>
      </c>
      <c r="F498" s="3" t="s">
        <v>15</v>
      </c>
      <c r="G498" s="3" t="s">
        <v>1459</v>
      </c>
    </row>
    <row r="499" spans="1:7" x14ac:dyDescent="0.2">
      <c r="A499" s="3">
        <v>1229</v>
      </c>
      <c r="B499" s="4" t="s">
        <v>1460</v>
      </c>
      <c r="C499" s="7" t="s">
        <v>1461</v>
      </c>
      <c r="D499" s="3" t="s">
        <v>431</v>
      </c>
      <c r="E499" s="6">
        <v>0.55400000000000005</v>
      </c>
      <c r="F499" s="3" t="s">
        <v>15</v>
      </c>
      <c r="G499" s="3" t="s">
        <v>1462</v>
      </c>
    </row>
    <row r="500" spans="1:7" x14ac:dyDescent="0.2">
      <c r="A500" s="3">
        <v>1091</v>
      </c>
      <c r="B500" s="4" t="s">
        <v>1463</v>
      </c>
      <c r="C500" s="7" t="s">
        <v>1464</v>
      </c>
      <c r="D500" s="3" t="s">
        <v>10</v>
      </c>
      <c r="E500" s="6">
        <v>0.44500000000000001</v>
      </c>
      <c r="F500" s="3" t="s">
        <v>15</v>
      </c>
      <c r="G500" s="3" t="s">
        <v>1465</v>
      </c>
    </row>
    <row r="501" spans="1:7" x14ac:dyDescent="0.2">
      <c r="A501" s="3">
        <v>1216</v>
      </c>
      <c r="B501" s="4" t="s">
        <v>1466</v>
      </c>
      <c r="C501" s="7" t="s">
        <v>1467</v>
      </c>
      <c r="D501" s="3" t="s">
        <v>431</v>
      </c>
      <c r="E501" s="6">
        <v>0.501</v>
      </c>
      <c r="F501" s="3" t="s">
        <v>22</v>
      </c>
      <c r="G501" s="3" t="s">
        <v>751</v>
      </c>
    </row>
    <row r="502" spans="1:7" x14ac:dyDescent="0.2">
      <c r="A502" s="3">
        <v>1094</v>
      </c>
      <c r="B502" s="4" t="s">
        <v>1468</v>
      </c>
      <c r="C502" s="7" t="s">
        <v>1469</v>
      </c>
      <c r="D502" s="3" t="s">
        <v>10</v>
      </c>
      <c r="E502" s="6">
        <v>0.57299999999999995</v>
      </c>
      <c r="F502" s="3" t="s">
        <v>15</v>
      </c>
      <c r="G502" s="3" t="s">
        <v>1470</v>
      </c>
    </row>
    <row r="503" spans="1:7" x14ac:dyDescent="0.2">
      <c r="A503" s="3">
        <v>1110</v>
      </c>
      <c r="B503" s="4" t="s">
        <v>1471</v>
      </c>
      <c r="C503" s="7" t="s">
        <v>1472</v>
      </c>
      <c r="D503" s="3" t="s">
        <v>10</v>
      </c>
      <c r="E503" s="6">
        <v>0.69299999999999995</v>
      </c>
      <c r="F503" s="3" t="s">
        <v>15</v>
      </c>
      <c r="G503" s="3" t="s">
        <v>1473</v>
      </c>
    </row>
    <row r="504" spans="1:7" x14ac:dyDescent="0.2">
      <c r="A504" s="3">
        <v>1291</v>
      </c>
      <c r="B504" s="4" t="s">
        <v>1474</v>
      </c>
      <c r="C504" s="7" t="s">
        <v>1475</v>
      </c>
      <c r="D504" s="3" t="s">
        <v>10</v>
      </c>
      <c r="E504" s="6">
        <v>0.61299999999999999</v>
      </c>
      <c r="F504" s="3" t="s">
        <v>15</v>
      </c>
      <c r="G504" s="3" t="s">
        <v>1476</v>
      </c>
    </row>
    <row r="505" spans="1:7" x14ac:dyDescent="0.2">
      <c r="A505" s="3">
        <v>1130</v>
      </c>
      <c r="B505" s="4" t="s">
        <v>1477</v>
      </c>
      <c r="C505" s="7" t="s">
        <v>1478</v>
      </c>
      <c r="D505" s="3" t="s">
        <v>10</v>
      </c>
      <c r="E505" s="6">
        <v>0.68500000000000005</v>
      </c>
      <c r="F505" s="3" t="s">
        <v>15</v>
      </c>
      <c r="G505" s="3" t="s">
        <v>699</v>
      </c>
    </row>
    <row r="506" spans="1:7" x14ac:dyDescent="0.2">
      <c r="A506" s="3">
        <v>1299</v>
      </c>
      <c r="B506" s="4" t="s">
        <v>1479</v>
      </c>
      <c r="C506" s="7" t="s">
        <v>1480</v>
      </c>
      <c r="D506" s="3" t="s">
        <v>10</v>
      </c>
      <c r="E506" s="6">
        <v>0.747</v>
      </c>
      <c r="F506" s="3" t="s">
        <v>11</v>
      </c>
      <c r="G506" s="3" t="s">
        <v>1481</v>
      </c>
    </row>
    <row r="507" spans="1:7" x14ac:dyDescent="0.2">
      <c r="A507" s="3">
        <v>1146</v>
      </c>
      <c r="B507" s="4" t="s">
        <v>1482</v>
      </c>
      <c r="C507" s="7" t="s">
        <v>1483</v>
      </c>
      <c r="D507" s="3" t="s">
        <v>10</v>
      </c>
      <c r="E507" s="6">
        <v>0.373</v>
      </c>
      <c r="F507" s="3" t="s">
        <v>15</v>
      </c>
      <c r="G507" s="3" t="s">
        <v>1484</v>
      </c>
    </row>
    <row r="508" spans="1:7" x14ac:dyDescent="0.2">
      <c r="A508" s="3">
        <v>1143</v>
      </c>
      <c r="B508" s="4" t="s">
        <v>1485</v>
      </c>
      <c r="C508" s="7" t="s">
        <v>1486</v>
      </c>
      <c r="D508" s="3" t="s">
        <v>10</v>
      </c>
      <c r="E508" s="6">
        <v>0.58799999999999997</v>
      </c>
      <c r="F508" s="3" t="s">
        <v>15</v>
      </c>
      <c r="G508" s="3" t="s">
        <v>1487</v>
      </c>
    </row>
    <row r="509" spans="1:7" x14ac:dyDescent="0.2">
      <c r="A509" s="3">
        <v>1329</v>
      </c>
      <c r="B509" s="4" t="s">
        <v>1488</v>
      </c>
      <c r="C509" s="7" t="s">
        <v>1489</v>
      </c>
      <c r="D509" s="3" t="s">
        <v>10</v>
      </c>
      <c r="E509" s="6">
        <v>0.83599999999999997</v>
      </c>
      <c r="F509" s="3" t="s">
        <v>15</v>
      </c>
      <c r="G509" s="3" t="s">
        <v>981</v>
      </c>
    </row>
    <row r="510" spans="1:7" x14ac:dyDescent="0.2">
      <c r="A510" s="3">
        <v>1169</v>
      </c>
      <c r="B510" s="4" t="s">
        <v>1490</v>
      </c>
      <c r="C510" s="7" t="s">
        <v>1491</v>
      </c>
      <c r="D510" s="3" t="s">
        <v>10</v>
      </c>
      <c r="E510" s="6">
        <v>0.312</v>
      </c>
      <c r="F510" s="3" t="s">
        <v>15</v>
      </c>
      <c r="G510" s="3" t="s">
        <v>1492</v>
      </c>
    </row>
    <row r="511" spans="1:7" x14ac:dyDescent="0.2">
      <c r="A511" s="3">
        <v>1360</v>
      </c>
      <c r="B511" s="4" t="s">
        <v>1493</v>
      </c>
      <c r="C511" s="7" t="s">
        <v>1494</v>
      </c>
      <c r="D511" s="3" t="s">
        <v>10</v>
      </c>
      <c r="E511" s="6">
        <v>0.47599999999999998</v>
      </c>
      <c r="F511" s="3" t="s">
        <v>11</v>
      </c>
      <c r="G511" s="3" t="s">
        <v>739</v>
      </c>
    </row>
    <row r="512" spans="1:7" x14ac:dyDescent="0.2">
      <c r="A512" s="3">
        <v>1191</v>
      </c>
      <c r="B512" s="4" t="s">
        <v>1495</v>
      </c>
      <c r="C512" s="7" t="s">
        <v>1496</v>
      </c>
      <c r="D512" s="3" t="s">
        <v>10</v>
      </c>
      <c r="E512" s="6">
        <v>0.23899999999999999</v>
      </c>
      <c r="F512" s="3" t="s">
        <v>15</v>
      </c>
      <c r="G512" s="3" t="s">
        <v>1497</v>
      </c>
    </row>
    <row r="513" spans="1:7" x14ac:dyDescent="0.2">
      <c r="A513" s="3">
        <v>1192</v>
      </c>
      <c r="B513" s="4" t="s">
        <v>1498</v>
      </c>
      <c r="C513" s="7" t="s">
        <v>1499</v>
      </c>
      <c r="D513" s="3" t="s">
        <v>10</v>
      </c>
      <c r="E513" s="6">
        <v>0.54500000000000004</v>
      </c>
      <c r="F513" s="3" t="s">
        <v>22</v>
      </c>
      <c r="G513" s="3" t="s">
        <v>927</v>
      </c>
    </row>
    <row r="514" spans="1:7" x14ac:dyDescent="0.2">
      <c r="A514" s="3">
        <v>1179</v>
      </c>
      <c r="B514" s="4" t="s">
        <v>1500</v>
      </c>
      <c r="C514" s="7" t="s">
        <v>1501</v>
      </c>
      <c r="D514" s="3" t="s">
        <v>10</v>
      </c>
      <c r="E514" s="6">
        <v>0.82499999999999996</v>
      </c>
      <c r="F514" s="3" t="s">
        <v>11</v>
      </c>
      <c r="G514" s="3" t="s">
        <v>814</v>
      </c>
    </row>
    <row r="515" spans="1:7" x14ac:dyDescent="0.2">
      <c r="A515" s="3">
        <v>2139</v>
      </c>
      <c r="B515" s="4" t="s">
        <v>1502</v>
      </c>
      <c r="C515" s="7" t="s">
        <v>1503</v>
      </c>
      <c r="D515" s="3" t="s">
        <v>10</v>
      </c>
      <c r="E515" s="6">
        <v>0.48399999999999999</v>
      </c>
      <c r="F515" s="3" t="s">
        <v>15</v>
      </c>
      <c r="G515" s="3" t="s">
        <v>432</v>
      </c>
    </row>
    <row r="516" spans="1:7" x14ac:dyDescent="0.2">
      <c r="A516" s="3">
        <v>1405</v>
      </c>
      <c r="B516" s="4" t="s">
        <v>1504</v>
      </c>
      <c r="C516" s="7" t="s">
        <v>1505</v>
      </c>
      <c r="D516" s="3" t="s">
        <v>10</v>
      </c>
      <c r="E516" s="6">
        <v>0.57399999999999995</v>
      </c>
      <c r="F516" s="3" t="s">
        <v>15</v>
      </c>
      <c r="G516" s="3" t="s">
        <v>1010</v>
      </c>
    </row>
    <row r="517" spans="1:7" x14ac:dyDescent="0.2">
      <c r="A517" s="3">
        <v>1944</v>
      </c>
      <c r="B517" s="4" t="s">
        <v>1506</v>
      </c>
      <c r="C517" s="7" t="s">
        <v>1507</v>
      </c>
      <c r="D517" s="3" t="s">
        <v>10</v>
      </c>
      <c r="E517" s="6">
        <v>0.69699999999999995</v>
      </c>
      <c r="F517" s="3" t="s">
        <v>22</v>
      </c>
      <c r="G517" s="3" t="s">
        <v>1070</v>
      </c>
    </row>
    <row r="518" spans="1:7" x14ac:dyDescent="0.2">
      <c r="A518" s="3">
        <v>1202</v>
      </c>
      <c r="B518" s="4" t="s">
        <v>1508</v>
      </c>
      <c r="C518" s="7" t="s">
        <v>1509</v>
      </c>
      <c r="D518" s="3" t="s">
        <v>10</v>
      </c>
      <c r="E518" s="6">
        <v>0.57599999999999996</v>
      </c>
      <c r="F518" s="3" t="s">
        <v>15</v>
      </c>
      <c r="G518" s="3" t="s">
        <v>724</v>
      </c>
    </row>
    <row r="519" spans="1:7" x14ac:dyDescent="0.2">
      <c r="A519" s="3">
        <v>1203</v>
      </c>
      <c r="B519" s="4" t="s">
        <v>1510</v>
      </c>
      <c r="C519" s="7" t="s">
        <v>1511</v>
      </c>
      <c r="D519" s="3" t="s">
        <v>10</v>
      </c>
      <c r="E519" s="6">
        <v>0.50600000000000001</v>
      </c>
      <c r="F519" s="3" t="s">
        <v>22</v>
      </c>
      <c r="G519" s="3" t="s">
        <v>987</v>
      </c>
    </row>
    <row r="520" spans="1:7" x14ac:dyDescent="0.2">
      <c r="A520" s="3">
        <v>1207</v>
      </c>
      <c r="B520" s="4" t="s">
        <v>1512</v>
      </c>
      <c r="C520" s="7" t="s">
        <v>1513</v>
      </c>
      <c r="D520" s="3" t="s">
        <v>10</v>
      </c>
      <c r="E520" s="6">
        <v>0.70899999999999996</v>
      </c>
      <c r="F520" s="3" t="s">
        <v>11</v>
      </c>
      <c r="G520" s="3" t="s">
        <v>1514</v>
      </c>
    </row>
    <row r="521" spans="1:7" x14ac:dyDescent="0.2">
      <c r="A521" s="3">
        <v>1209</v>
      </c>
      <c r="B521" s="4" t="s">
        <v>1515</v>
      </c>
      <c r="C521" s="7" t="s">
        <v>1516</v>
      </c>
      <c r="D521" s="3" t="s">
        <v>10</v>
      </c>
      <c r="E521" s="6">
        <v>0.56000000000000005</v>
      </c>
      <c r="F521" s="3" t="s">
        <v>15</v>
      </c>
      <c r="G521" s="3" t="s">
        <v>1517</v>
      </c>
    </row>
    <row r="522" spans="1:7" x14ac:dyDescent="0.2">
      <c r="A522" s="3">
        <v>1706</v>
      </c>
      <c r="B522" s="4" t="s">
        <v>1518</v>
      </c>
      <c r="C522" s="7" t="s">
        <v>1519</v>
      </c>
      <c r="D522" s="3" t="s">
        <v>10</v>
      </c>
      <c r="E522" s="6">
        <v>0.71599999999999997</v>
      </c>
      <c r="F522" s="3" t="s">
        <v>15</v>
      </c>
      <c r="G522" s="3" t="s">
        <v>447</v>
      </c>
    </row>
    <row r="523" spans="1:7" x14ac:dyDescent="0.2">
      <c r="A523" s="3">
        <v>1220</v>
      </c>
      <c r="B523" s="4" t="s">
        <v>1520</v>
      </c>
      <c r="C523" s="7" t="s">
        <v>1521</v>
      </c>
      <c r="D523" s="3" t="s">
        <v>10</v>
      </c>
      <c r="E523" s="6">
        <v>0.60599999999999998</v>
      </c>
      <c r="F523" s="3" t="s">
        <v>22</v>
      </c>
      <c r="G523" s="3" t="s">
        <v>1522</v>
      </c>
    </row>
    <row r="524" spans="1:7" x14ac:dyDescent="0.2">
      <c r="A524" s="3">
        <v>1235</v>
      </c>
      <c r="B524" s="4" t="s">
        <v>1523</v>
      </c>
      <c r="C524" s="7" t="s">
        <v>1524</v>
      </c>
      <c r="D524" s="3" t="s">
        <v>10</v>
      </c>
      <c r="E524" s="6">
        <v>0.51200000000000001</v>
      </c>
      <c r="F524" s="3" t="s">
        <v>22</v>
      </c>
      <c r="G524" s="3" t="s">
        <v>1359</v>
      </c>
    </row>
    <row r="525" spans="1:7" x14ac:dyDescent="0.2">
      <c r="A525" s="3">
        <v>2193</v>
      </c>
      <c r="B525" s="4" t="s">
        <v>1525</v>
      </c>
      <c r="C525" s="7" t="s">
        <v>1526</v>
      </c>
      <c r="D525" s="3" t="s">
        <v>10</v>
      </c>
      <c r="E525" s="6">
        <v>0.51400000000000001</v>
      </c>
      <c r="F525" s="3" t="s">
        <v>22</v>
      </c>
      <c r="G525" s="3" t="s">
        <v>1527</v>
      </c>
    </row>
    <row r="526" spans="1:7" x14ac:dyDescent="0.2">
      <c r="A526" s="3">
        <v>1726</v>
      </c>
      <c r="B526" s="4" t="s">
        <v>1528</v>
      </c>
      <c r="C526" s="7" t="s">
        <v>1529</v>
      </c>
      <c r="D526" s="3" t="s">
        <v>10</v>
      </c>
      <c r="E526" s="6">
        <v>0.60799999999999998</v>
      </c>
      <c r="F526" s="3" t="s">
        <v>15</v>
      </c>
      <c r="G526" s="3" t="s">
        <v>873</v>
      </c>
    </row>
    <row r="527" spans="1:7" x14ac:dyDescent="0.2">
      <c r="A527" s="3">
        <v>1429</v>
      </c>
      <c r="B527" s="4" t="s">
        <v>1530</v>
      </c>
      <c r="C527" s="7" t="s">
        <v>1531</v>
      </c>
      <c r="D527" s="3" t="s">
        <v>431</v>
      </c>
      <c r="E527" s="6">
        <v>0.52700000000000002</v>
      </c>
      <c r="F527" s="3" t="s">
        <v>15</v>
      </c>
      <c r="G527" s="3" t="s">
        <v>1532</v>
      </c>
    </row>
    <row r="528" spans="1:7" x14ac:dyDescent="0.2">
      <c r="A528" s="3">
        <v>1249</v>
      </c>
      <c r="B528" s="4" t="s">
        <v>1533</v>
      </c>
      <c r="C528" s="7" t="s">
        <v>1534</v>
      </c>
      <c r="D528" s="3" t="s">
        <v>10</v>
      </c>
      <c r="E528" s="6">
        <v>0.65700000000000003</v>
      </c>
      <c r="F528" s="3" t="s">
        <v>15</v>
      </c>
      <c r="G528" s="3" t="s">
        <v>1292</v>
      </c>
    </row>
    <row r="529" spans="1:7" x14ac:dyDescent="0.2">
      <c r="A529" s="3">
        <v>1428</v>
      </c>
      <c r="B529" s="4" t="s">
        <v>1535</v>
      </c>
      <c r="C529" s="7" t="s">
        <v>1536</v>
      </c>
      <c r="D529" s="3" t="s">
        <v>431</v>
      </c>
      <c r="E529" s="6">
        <v>0.53</v>
      </c>
      <c r="F529" s="3" t="s">
        <v>15</v>
      </c>
      <c r="G529" s="3" t="s">
        <v>739</v>
      </c>
    </row>
    <row r="530" spans="1:7" x14ac:dyDescent="0.2">
      <c r="A530" s="3">
        <v>1268</v>
      </c>
      <c r="B530" s="4" t="s">
        <v>1537</v>
      </c>
      <c r="C530" s="7" t="s">
        <v>1538</v>
      </c>
      <c r="D530" s="3" t="s">
        <v>10</v>
      </c>
      <c r="E530" s="6">
        <v>0.66500000000000004</v>
      </c>
      <c r="F530" s="3" t="s">
        <v>15</v>
      </c>
      <c r="G530" s="3" t="s">
        <v>1539</v>
      </c>
    </row>
    <row r="531" spans="1:7" x14ac:dyDescent="0.2">
      <c r="A531" s="3">
        <v>1275</v>
      </c>
      <c r="B531" s="4" t="s">
        <v>1540</v>
      </c>
      <c r="C531" s="7" t="s">
        <v>1541</v>
      </c>
      <c r="D531" s="3" t="s">
        <v>10</v>
      </c>
      <c r="E531" s="6">
        <v>0.54300000000000004</v>
      </c>
      <c r="F531" s="3" t="s">
        <v>11</v>
      </c>
      <c r="G531" s="3" t="s">
        <v>134</v>
      </c>
    </row>
    <row r="532" spans="1:7" x14ac:dyDescent="0.2">
      <c r="A532" s="3">
        <v>1277</v>
      </c>
      <c r="B532" s="4" t="s">
        <v>1542</v>
      </c>
      <c r="C532" s="7" t="s">
        <v>1543</v>
      </c>
      <c r="D532" s="3" t="s">
        <v>10</v>
      </c>
      <c r="E532" s="6">
        <v>0.74399999999999999</v>
      </c>
      <c r="F532" s="3" t="s">
        <v>15</v>
      </c>
      <c r="G532" s="3" t="s">
        <v>702</v>
      </c>
    </row>
    <row r="533" spans="1:7" x14ac:dyDescent="0.2">
      <c r="A533" s="3">
        <v>1293</v>
      </c>
      <c r="B533" s="4" t="s">
        <v>1544</v>
      </c>
      <c r="C533" s="7" t="s">
        <v>1545</v>
      </c>
      <c r="D533" s="3" t="s">
        <v>10</v>
      </c>
      <c r="E533" s="6">
        <v>0.45600000000000002</v>
      </c>
      <c r="F533" s="3" t="s">
        <v>22</v>
      </c>
      <c r="G533" s="3" t="s">
        <v>956</v>
      </c>
    </row>
    <row r="534" spans="1:7" x14ac:dyDescent="0.2">
      <c r="A534" s="3">
        <v>1306</v>
      </c>
      <c r="B534" s="4" t="s">
        <v>1546</v>
      </c>
      <c r="C534" s="7" t="s">
        <v>1547</v>
      </c>
      <c r="D534" s="3" t="s">
        <v>10</v>
      </c>
      <c r="E534" s="6">
        <v>0.63100000000000001</v>
      </c>
      <c r="F534" s="3" t="s">
        <v>15</v>
      </c>
      <c r="G534" s="3" t="s">
        <v>1548</v>
      </c>
    </row>
    <row r="535" spans="1:7" x14ac:dyDescent="0.2">
      <c r="A535" s="3">
        <v>1344</v>
      </c>
      <c r="B535" s="4" t="s">
        <v>1549</v>
      </c>
      <c r="C535" s="7" t="s">
        <v>1550</v>
      </c>
      <c r="D535" s="3" t="s">
        <v>10</v>
      </c>
      <c r="E535" s="6">
        <v>0.63400000000000001</v>
      </c>
      <c r="F535" s="3" t="s">
        <v>15</v>
      </c>
      <c r="G535" s="3" t="s">
        <v>1551</v>
      </c>
    </row>
    <row r="536" spans="1:7" x14ac:dyDescent="0.2">
      <c r="A536" s="3">
        <v>1345</v>
      </c>
      <c r="B536" s="4" t="s">
        <v>1552</v>
      </c>
      <c r="C536" s="7" t="s">
        <v>1553</v>
      </c>
      <c r="D536" s="3" t="s">
        <v>10</v>
      </c>
      <c r="E536" s="6">
        <v>0.44</v>
      </c>
      <c r="F536" s="3" t="s">
        <v>22</v>
      </c>
      <c r="G536" s="3" t="s">
        <v>1554</v>
      </c>
    </row>
    <row r="537" spans="1:7" x14ac:dyDescent="0.2">
      <c r="A537" s="3">
        <v>1326</v>
      </c>
      <c r="B537" s="4" t="s">
        <v>1555</v>
      </c>
      <c r="C537" s="7" t="s">
        <v>1556</v>
      </c>
      <c r="D537" s="3" t="s">
        <v>10</v>
      </c>
      <c r="E537" s="6">
        <v>0.47699999999999998</v>
      </c>
      <c r="F537" s="3" t="s">
        <v>22</v>
      </c>
      <c r="G537" s="3" t="s">
        <v>618</v>
      </c>
    </row>
    <row r="538" spans="1:7" x14ac:dyDescent="0.2">
      <c r="A538" s="3">
        <v>1335</v>
      </c>
      <c r="B538" s="4" t="s">
        <v>1557</v>
      </c>
      <c r="C538" s="7" t="s">
        <v>1558</v>
      </c>
      <c r="D538" s="3" t="s">
        <v>10</v>
      </c>
      <c r="E538" s="6">
        <v>0.58699999999999997</v>
      </c>
      <c r="F538" s="3" t="s">
        <v>22</v>
      </c>
      <c r="G538" s="3" t="s">
        <v>1295</v>
      </c>
    </row>
    <row r="539" spans="1:7" x14ac:dyDescent="0.2">
      <c r="A539" s="3">
        <v>1338</v>
      </c>
      <c r="B539" s="4" t="s">
        <v>1559</v>
      </c>
      <c r="C539" s="7" t="s">
        <v>1560</v>
      </c>
      <c r="D539" s="3" t="s">
        <v>10</v>
      </c>
      <c r="E539" s="6">
        <v>0.69699999999999995</v>
      </c>
      <c r="F539" s="3" t="s">
        <v>15</v>
      </c>
      <c r="G539" s="3" t="s">
        <v>305</v>
      </c>
    </row>
    <row r="540" spans="1:7" x14ac:dyDescent="0.2">
      <c r="A540" s="3">
        <v>1339</v>
      </c>
      <c r="B540" s="4" t="s">
        <v>1561</v>
      </c>
      <c r="C540" s="7" t="s">
        <v>1562</v>
      </c>
      <c r="D540" s="3" t="s">
        <v>10</v>
      </c>
      <c r="E540" s="6">
        <v>0.434</v>
      </c>
      <c r="F540" s="3" t="s">
        <v>15</v>
      </c>
      <c r="G540" s="3" t="s">
        <v>1522</v>
      </c>
    </row>
    <row r="541" spans="1:7" x14ac:dyDescent="0.2">
      <c r="A541" s="3">
        <v>1340</v>
      </c>
      <c r="B541" s="4" t="s">
        <v>1563</v>
      </c>
      <c r="C541" s="7" t="s">
        <v>1564</v>
      </c>
      <c r="D541" s="3" t="s">
        <v>10</v>
      </c>
      <c r="E541" s="6">
        <v>0.625</v>
      </c>
      <c r="F541" s="3" t="s">
        <v>22</v>
      </c>
      <c r="G541" s="3" t="s">
        <v>377</v>
      </c>
    </row>
    <row r="542" spans="1:7" x14ac:dyDescent="0.2">
      <c r="A542" s="3">
        <v>1372</v>
      </c>
      <c r="B542" s="4" t="s">
        <v>1565</v>
      </c>
      <c r="C542" s="7" t="s">
        <v>1566</v>
      </c>
      <c r="D542" s="3" t="s">
        <v>10</v>
      </c>
      <c r="E542" s="6">
        <v>0.59699999999999998</v>
      </c>
      <c r="F542" s="3" t="s">
        <v>15</v>
      </c>
      <c r="G542" s="3" t="s">
        <v>1567</v>
      </c>
    </row>
    <row r="543" spans="1:7" x14ac:dyDescent="0.2">
      <c r="A543" s="3">
        <v>1353</v>
      </c>
      <c r="B543" s="4" t="s">
        <v>1568</v>
      </c>
      <c r="C543" s="7" t="s">
        <v>1569</v>
      </c>
      <c r="D543" s="3" t="s">
        <v>10</v>
      </c>
      <c r="E543" s="6">
        <v>0.32900000000000001</v>
      </c>
      <c r="F543" s="3" t="s">
        <v>15</v>
      </c>
      <c r="G543" s="3" t="s">
        <v>1570</v>
      </c>
    </row>
    <row r="544" spans="1:7" x14ac:dyDescent="0.2">
      <c r="A544" s="3">
        <v>1354</v>
      </c>
      <c r="B544" s="4" t="s">
        <v>1571</v>
      </c>
      <c r="C544" s="7" t="s">
        <v>1572</v>
      </c>
      <c r="D544" s="3" t="s">
        <v>10</v>
      </c>
      <c r="E544" s="6">
        <v>0.36299999999999999</v>
      </c>
      <c r="F544" s="3" t="s">
        <v>22</v>
      </c>
      <c r="G544" s="3" t="s">
        <v>1150</v>
      </c>
    </row>
    <row r="545" spans="1:7" x14ac:dyDescent="0.2">
      <c r="A545" s="3">
        <v>1365</v>
      </c>
      <c r="B545" s="4" t="s">
        <v>1573</v>
      </c>
      <c r="C545" s="7" t="s">
        <v>1574</v>
      </c>
      <c r="D545" s="3" t="s">
        <v>10</v>
      </c>
      <c r="E545" s="6">
        <v>0.86699999999999999</v>
      </c>
      <c r="F545" s="3" t="s">
        <v>11</v>
      </c>
      <c r="G545" s="3" t="s">
        <v>879</v>
      </c>
    </row>
    <row r="546" spans="1:7" x14ac:dyDescent="0.2">
      <c r="A546" s="3">
        <v>1385</v>
      </c>
      <c r="B546" s="4" t="s">
        <v>1575</v>
      </c>
      <c r="C546" s="7" t="s">
        <v>1576</v>
      </c>
      <c r="D546" s="3" t="s">
        <v>10</v>
      </c>
      <c r="E546" s="6">
        <v>0.65400000000000003</v>
      </c>
      <c r="F546" s="3" t="s">
        <v>11</v>
      </c>
      <c r="G546" s="3" t="s">
        <v>1577</v>
      </c>
    </row>
    <row r="547" spans="1:7" x14ac:dyDescent="0.2">
      <c r="A547" s="3">
        <v>1383</v>
      </c>
      <c r="B547" s="4" t="s">
        <v>1578</v>
      </c>
      <c r="C547" s="7" t="s">
        <v>1579</v>
      </c>
      <c r="D547" s="3" t="s">
        <v>10</v>
      </c>
      <c r="E547" s="6">
        <v>0.48899999999999999</v>
      </c>
      <c r="F547" s="3" t="s">
        <v>22</v>
      </c>
      <c r="G547" s="3" t="s">
        <v>1580</v>
      </c>
    </row>
    <row r="548" spans="1:7" x14ac:dyDescent="0.2">
      <c r="A548" s="3">
        <v>1396</v>
      </c>
      <c r="B548" s="4" t="s">
        <v>1581</v>
      </c>
      <c r="C548" s="7" t="s">
        <v>1582</v>
      </c>
      <c r="D548" s="3" t="s">
        <v>10</v>
      </c>
      <c r="E548" s="6">
        <v>0.73699999999999999</v>
      </c>
      <c r="F548" s="3" t="s">
        <v>15</v>
      </c>
      <c r="G548" s="3" t="s">
        <v>654</v>
      </c>
    </row>
    <row r="549" spans="1:7" x14ac:dyDescent="0.2">
      <c r="A549" s="3">
        <v>1408</v>
      </c>
      <c r="B549" s="4" t="s">
        <v>1583</v>
      </c>
      <c r="C549" s="7" t="s">
        <v>1584</v>
      </c>
      <c r="D549" s="3" t="s">
        <v>10</v>
      </c>
      <c r="E549" s="6">
        <v>0.63900000000000001</v>
      </c>
      <c r="F549" s="3" t="s">
        <v>11</v>
      </c>
      <c r="G549" s="3" t="s">
        <v>941</v>
      </c>
    </row>
    <row r="550" spans="1:7" x14ac:dyDescent="0.2">
      <c r="A550" s="3">
        <v>1431</v>
      </c>
      <c r="B550" s="4" t="s">
        <v>1585</v>
      </c>
      <c r="C550" s="7" t="s">
        <v>1586</v>
      </c>
      <c r="D550" s="3" t="s">
        <v>10</v>
      </c>
      <c r="E550" s="6">
        <v>0.875</v>
      </c>
      <c r="F550" s="3" t="s">
        <v>11</v>
      </c>
      <c r="G550" s="3" t="s">
        <v>1587</v>
      </c>
    </row>
    <row r="551" spans="1:7" x14ac:dyDescent="0.2">
      <c r="A551" s="3">
        <v>1423</v>
      </c>
      <c r="B551" s="4" t="s">
        <v>1588</v>
      </c>
      <c r="C551" s="7" t="s">
        <v>1589</v>
      </c>
      <c r="D551" s="3" t="s">
        <v>10</v>
      </c>
      <c r="E551" s="6">
        <v>0.52300000000000002</v>
      </c>
      <c r="F551" s="3" t="s">
        <v>15</v>
      </c>
      <c r="G551" s="3" t="s">
        <v>1590</v>
      </c>
    </row>
    <row r="552" spans="1:7" x14ac:dyDescent="0.2">
      <c r="A552" s="3">
        <v>1448</v>
      </c>
      <c r="B552" s="4" t="s">
        <v>1591</v>
      </c>
      <c r="C552" s="7" t="s">
        <v>1592</v>
      </c>
      <c r="D552" s="3" t="s">
        <v>10</v>
      </c>
      <c r="E552" s="6">
        <v>0.746</v>
      </c>
      <c r="F552" s="3" t="s">
        <v>15</v>
      </c>
      <c r="G552" s="3" t="s">
        <v>1593</v>
      </c>
    </row>
    <row r="553" spans="1:7" x14ac:dyDescent="0.2">
      <c r="A553" s="3">
        <v>1436</v>
      </c>
      <c r="B553" s="4" t="s">
        <v>1594</v>
      </c>
      <c r="C553" s="7" t="s">
        <v>1595</v>
      </c>
      <c r="D553" s="3" t="s">
        <v>10</v>
      </c>
      <c r="E553" s="6">
        <v>0.77600000000000002</v>
      </c>
      <c r="F553" s="3" t="s">
        <v>11</v>
      </c>
      <c r="G553" s="3" t="s">
        <v>1596</v>
      </c>
    </row>
    <row r="554" spans="1:7" x14ac:dyDescent="0.2">
      <c r="A554" s="3">
        <v>1461</v>
      </c>
      <c r="B554" s="4" t="s">
        <v>1597</v>
      </c>
      <c r="C554" s="7" t="s">
        <v>1598</v>
      </c>
      <c r="D554" s="3" t="s">
        <v>10</v>
      </c>
      <c r="E554" s="6">
        <v>0.56799999999999995</v>
      </c>
      <c r="F554" s="3" t="s">
        <v>15</v>
      </c>
      <c r="G554" s="3" t="s">
        <v>1599</v>
      </c>
    </row>
    <row r="555" spans="1:7" x14ac:dyDescent="0.2">
      <c r="A555" s="3">
        <v>1464</v>
      </c>
      <c r="B555" s="4" t="s">
        <v>1600</v>
      </c>
      <c r="C555" s="7" t="s">
        <v>1601</v>
      </c>
      <c r="D555" s="3" t="s">
        <v>10</v>
      </c>
      <c r="E555" s="6">
        <v>0.79300000000000004</v>
      </c>
      <c r="F555" s="3" t="s">
        <v>11</v>
      </c>
      <c r="G555" s="3" t="s">
        <v>713</v>
      </c>
    </row>
    <row r="556" spans="1:7" x14ac:dyDescent="0.2">
      <c r="A556" s="3">
        <v>1465</v>
      </c>
      <c r="B556" s="4" t="s">
        <v>1602</v>
      </c>
      <c r="C556" s="7" t="s">
        <v>1603</v>
      </c>
      <c r="D556" s="3" t="s">
        <v>10</v>
      </c>
      <c r="E556" s="6">
        <v>0.40899999999999997</v>
      </c>
      <c r="F556" s="3" t="s">
        <v>15</v>
      </c>
      <c r="G556" s="3" t="s">
        <v>1226</v>
      </c>
    </row>
    <row r="557" spans="1:7" x14ac:dyDescent="0.2">
      <c r="A557" s="3">
        <v>1454</v>
      </c>
      <c r="B557" s="4" t="s">
        <v>1604</v>
      </c>
      <c r="C557" s="7" t="s">
        <v>1605</v>
      </c>
      <c r="D557" s="3" t="s">
        <v>431</v>
      </c>
      <c r="E557" s="6">
        <v>0.38400000000000001</v>
      </c>
      <c r="F557" s="3" t="s">
        <v>15</v>
      </c>
      <c r="G557" s="3" t="s">
        <v>1028</v>
      </c>
    </row>
    <row r="558" spans="1:7" x14ac:dyDescent="0.2">
      <c r="A558" s="3">
        <v>1470</v>
      </c>
      <c r="B558" s="4" t="s">
        <v>1606</v>
      </c>
      <c r="C558" s="7" t="s">
        <v>1607</v>
      </c>
      <c r="D558" s="3" t="s">
        <v>10</v>
      </c>
      <c r="E558" s="6">
        <v>0.88500000000000001</v>
      </c>
      <c r="F558" s="3" t="s">
        <v>11</v>
      </c>
      <c r="G558" s="3" t="s">
        <v>1608</v>
      </c>
    </row>
    <row r="559" spans="1:7" x14ac:dyDescent="0.2">
      <c r="A559" s="3">
        <v>1472</v>
      </c>
      <c r="B559" s="4" t="s">
        <v>1609</v>
      </c>
      <c r="C559" s="7" t="s">
        <v>1610</v>
      </c>
      <c r="D559" s="3" t="s">
        <v>10</v>
      </c>
      <c r="E559" s="6">
        <v>0.76100000000000001</v>
      </c>
      <c r="F559" s="3" t="s">
        <v>15</v>
      </c>
      <c r="G559" s="3" t="s">
        <v>1611</v>
      </c>
    </row>
    <row r="560" spans="1:7" x14ac:dyDescent="0.2">
      <c r="A560" s="3">
        <v>1492</v>
      </c>
      <c r="B560" s="4" t="s">
        <v>1612</v>
      </c>
      <c r="C560" s="7" t="s">
        <v>1613</v>
      </c>
      <c r="D560" s="3" t="s">
        <v>10</v>
      </c>
      <c r="E560" s="6">
        <v>0.624</v>
      </c>
      <c r="F560" s="3" t="s">
        <v>15</v>
      </c>
      <c r="G560" s="3" t="s">
        <v>615</v>
      </c>
    </row>
    <row r="561" spans="1:7" x14ac:dyDescent="0.2">
      <c r="A561" s="3">
        <v>1480</v>
      </c>
      <c r="B561" s="4" t="s">
        <v>1614</v>
      </c>
      <c r="C561" s="7" t="s">
        <v>1615</v>
      </c>
      <c r="D561" s="3" t="s">
        <v>10</v>
      </c>
      <c r="E561" s="6">
        <v>0.89300000000000002</v>
      </c>
      <c r="F561" s="3" t="s">
        <v>11</v>
      </c>
      <c r="G561" s="3" t="s">
        <v>1616</v>
      </c>
    </row>
    <row r="562" spans="1:7" x14ac:dyDescent="0.2">
      <c r="A562" s="3">
        <v>1482</v>
      </c>
      <c r="B562" s="4" t="s">
        <v>1617</v>
      </c>
      <c r="C562" s="7" t="s">
        <v>1618</v>
      </c>
      <c r="D562" s="3" t="s">
        <v>10</v>
      </c>
      <c r="E562" s="6">
        <v>0.55800000000000005</v>
      </c>
      <c r="F562" s="3" t="s">
        <v>15</v>
      </c>
      <c r="G562" s="3" t="s">
        <v>1619</v>
      </c>
    </row>
    <row r="563" spans="1:7" x14ac:dyDescent="0.2">
      <c r="A563" s="3">
        <v>1488</v>
      </c>
      <c r="B563" s="4" t="s">
        <v>1620</v>
      </c>
      <c r="C563" s="7" t="s">
        <v>1621</v>
      </c>
      <c r="D563" s="3" t="s">
        <v>10</v>
      </c>
      <c r="E563" s="6">
        <v>0.26100000000000001</v>
      </c>
      <c r="F563" s="3" t="s">
        <v>15</v>
      </c>
      <c r="G563" s="3" t="s">
        <v>1336</v>
      </c>
    </row>
    <row r="564" spans="1:7" x14ac:dyDescent="0.2">
      <c r="A564" s="3">
        <v>1497</v>
      </c>
      <c r="B564" s="4" t="s">
        <v>1622</v>
      </c>
      <c r="C564" s="7" t="s">
        <v>1623</v>
      </c>
      <c r="D564" s="3" t="s">
        <v>10</v>
      </c>
      <c r="E564" s="6">
        <v>0.39700000000000002</v>
      </c>
      <c r="F564" s="3" t="s">
        <v>15</v>
      </c>
      <c r="G564" s="3" t="s">
        <v>305</v>
      </c>
    </row>
    <row r="565" spans="1:7" x14ac:dyDescent="0.2">
      <c r="A565" s="3">
        <v>1523</v>
      </c>
      <c r="B565" s="4" t="s">
        <v>1624</v>
      </c>
      <c r="C565" s="7" t="s">
        <v>1625</v>
      </c>
      <c r="D565" s="3" t="s">
        <v>10</v>
      </c>
      <c r="E565" s="6">
        <v>0.46200000000000002</v>
      </c>
      <c r="F565" s="3" t="s">
        <v>11</v>
      </c>
      <c r="G565" s="3" t="s">
        <v>1626</v>
      </c>
    </row>
    <row r="566" spans="1:7" x14ac:dyDescent="0.2">
      <c r="A566" s="3">
        <v>1525</v>
      </c>
      <c r="B566" s="4" t="s">
        <v>1627</v>
      </c>
      <c r="C566" s="7" t="s">
        <v>1628</v>
      </c>
      <c r="D566" s="3" t="s">
        <v>10</v>
      </c>
      <c r="E566" s="6">
        <v>0.69399999999999995</v>
      </c>
      <c r="F566" s="3" t="s">
        <v>15</v>
      </c>
      <c r="G566" s="3" t="s">
        <v>927</v>
      </c>
    </row>
    <row r="567" spans="1:7" x14ac:dyDescent="0.2">
      <c r="A567" s="3">
        <v>1512</v>
      </c>
      <c r="B567" s="4" t="s">
        <v>1629</v>
      </c>
      <c r="C567" s="7" t="s">
        <v>1630</v>
      </c>
      <c r="D567" s="3" t="s">
        <v>10</v>
      </c>
      <c r="E567" s="6">
        <v>0.88200000000000001</v>
      </c>
      <c r="F567" s="3" t="s">
        <v>11</v>
      </c>
      <c r="G567" s="3" t="s">
        <v>1631</v>
      </c>
    </row>
    <row r="568" spans="1:7" x14ac:dyDescent="0.2">
      <c r="A568" s="3">
        <v>1539</v>
      </c>
      <c r="B568" s="4" t="s">
        <v>1632</v>
      </c>
      <c r="C568" s="7" t="s">
        <v>1633</v>
      </c>
      <c r="D568" s="3" t="s">
        <v>10</v>
      </c>
      <c r="E568" s="6">
        <v>0.55900000000000005</v>
      </c>
      <c r="F568" s="3" t="s">
        <v>11</v>
      </c>
      <c r="G568" s="3" t="s">
        <v>1634</v>
      </c>
    </row>
    <row r="569" spans="1:7" x14ac:dyDescent="0.2">
      <c r="A569" s="3">
        <v>1547</v>
      </c>
      <c r="B569" s="4" t="s">
        <v>1635</v>
      </c>
      <c r="C569" s="7" t="s">
        <v>1636</v>
      </c>
      <c r="D569" s="3" t="s">
        <v>10</v>
      </c>
      <c r="E569" s="6">
        <v>0.56899999999999995</v>
      </c>
      <c r="F569" s="3" t="s">
        <v>22</v>
      </c>
      <c r="G569" s="3" t="s">
        <v>1637</v>
      </c>
    </row>
    <row r="570" spans="1:7" x14ac:dyDescent="0.2">
      <c r="A570" s="3">
        <v>1563</v>
      </c>
      <c r="B570" s="4" t="s">
        <v>1638</v>
      </c>
      <c r="C570" s="7" t="s">
        <v>1639</v>
      </c>
      <c r="D570" s="3" t="s">
        <v>10</v>
      </c>
      <c r="E570" s="6">
        <v>0.40600000000000003</v>
      </c>
      <c r="F570" s="3" t="s">
        <v>22</v>
      </c>
      <c r="G570" s="3" t="s">
        <v>1640</v>
      </c>
    </row>
    <row r="571" spans="1:7" x14ac:dyDescent="0.2">
      <c r="A571" s="3">
        <v>1567</v>
      </c>
      <c r="B571" s="4" t="s">
        <v>1641</v>
      </c>
      <c r="C571" s="7" t="s">
        <v>1642</v>
      </c>
      <c r="D571" s="3" t="s">
        <v>10</v>
      </c>
      <c r="E571" s="6">
        <v>0.438</v>
      </c>
      <c r="F571" s="3" t="s">
        <v>15</v>
      </c>
      <c r="G571" s="3" t="s">
        <v>1643</v>
      </c>
    </row>
    <row r="572" spans="1:7" x14ac:dyDescent="0.2">
      <c r="A572" s="3">
        <v>1603</v>
      </c>
      <c r="B572" s="4" t="s">
        <v>1644</v>
      </c>
      <c r="C572" s="7" t="s">
        <v>1645</v>
      </c>
      <c r="D572" s="3" t="s">
        <v>10</v>
      </c>
      <c r="E572" s="6">
        <v>0.88</v>
      </c>
      <c r="F572" s="3" t="s">
        <v>11</v>
      </c>
      <c r="G572" s="3" t="s">
        <v>1646</v>
      </c>
    </row>
    <row r="573" spans="1:7" x14ac:dyDescent="0.2">
      <c r="A573" s="3">
        <v>1570</v>
      </c>
      <c r="B573" s="4" t="s">
        <v>1647</v>
      </c>
      <c r="C573" s="7" t="s">
        <v>1648</v>
      </c>
      <c r="D573" s="3" t="s">
        <v>431</v>
      </c>
      <c r="E573" s="6">
        <v>0.90300000000000002</v>
      </c>
      <c r="F573" s="3" t="s">
        <v>15</v>
      </c>
      <c r="G573" s="3" t="s">
        <v>1649</v>
      </c>
    </row>
    <row r="574" spans="1:7" x14ac:dyDescent="0.2">
      <c r="A574" s="3">
        <v>1581</v>
      </c>
      <c r="B574" s="4" t="s">
        <v>1650</v>
      </c>
      <c r="C574" s="7" t="s">
        <v>1651</v>
      </c>
      <c r="D574" s="3" t="s">
        <v>10</v>
      </c>
      <c r="E574" s="6">
        <v>0.88300000000000001</v>
      </c>
      <c r="F574" s="3" t="s">
        <v>11</v>
      </c>
      <c r="G574" s="3" t="s">
        <v>1652</v>
      </c>
    </row>
    <row r="575" spans="1:7" x14ac:dyDescent="0.2">
      <c r="A575" s="3">
        <v>1609</v>
      </c>
      <c r="B575" s="4" t="s">
        <v>1653</v>
      </c>
      <c r="C575" s="7" t="s">
        <v>1654</v>
      </c>
      <c r="D575" s="3" t="s">
        <v>10</v>
      </c>
      <c r="E575" s="6">
        <v>0.53800000000000003</v>
      </c>
      <c r="F575" s="3" t="s">
        <v>15</v>
      </c>
      <c r="G575" s="3" t="s">
        <v>1655</v>
      </c>
    </row>
    <row r="576" spans="1:7" x14ac:dyDescent="0.2">
      <c r="A576" s="3">
        <v>1597</v>
      </c>
      <c r="B576" s="4" t="s">
        <v>1656</v>
      </c>
      <c r="C576" s="7" t="s">
        <v>1657</v>
      </c>
      <c r="D576" s="3" t="s">
        <v>431</v>
      </c>
      <c r="E576" s="6">
        <v>0.623</v>
      </c>
      <c r="F576" s="3" t="s">
        <v>22</v>
      </c>
      <c r="G576" s="3" t="s">
        <v>1658</v>
      </c>
    </row>
    <row r="577" spans="1:7" x14ac:dyDescent="0.2">
      <c r="A577" s="3">
        <v>1642</v>
      </c>
      <c r="B577" s="4" t="s">
        <v>1659</v>
      </c>
      <c r="C577" s="7" t="s">
        <v>1660</v>
      </c>
      <c r="D577" s="3" t="s">
        <v>10</v>
      </c>
      <c r="E577" s="6">
        <v>0.48299999999999998</v>
      </c>
      <c r="F577" s="3" t="s">
        <v>15</v>
      </c>
      <c r="G577" s="3" t="s">
        <v>1661</v>
      </c>
    </row>
    <row r="578" spans="1:7" x14ac:dyDescent="0.2">
      <c r="A578" s="3">
        <v>1628</v>
      </c>
      <c r="B578" s="4" t="s">
        <v>1662</v>
      </c>
      <c r="C578" s="7" t="s">
        <v>1663</v>
      </c>
      <c r="D578" s="3" t="s">
        <v>431</v>
      </c>
      <c r="E578" s="6">
        <v>0.82699999999999996</v>
      </c>
      <c r="F578" s="3" t="s">
        <v>15</v>
      </c>
      <c r="G578" s="3" t="s">
        <v>1664</v>
      </c>
    </row>
    <row r="579" spans="1:7" x14ac:dyDescent="0.2">
      <c r="A579" s="3">
        <v>1650</v>
      </c>
      <c r="B579" s="4" t="s">
        <v>1665</v>
      </c>
      <c r="C579" s="7" t="s">
        <v>1666</v>
      </c>
      <c r="D579" s="3" t="s">
        <v>431</v>
      </c>
      <c r="E579" s="6">
        <v>0.77300000000000002</v>
      </c>
      <c r="F579" s="3" t="s">
        <v>15</v>
      </c>
      <c r="G579" s="3" t="s">
        <v>1667</v>
      </c>
    </row>
    <row r="580" spans="1:7" x14ac:dyDescent="0.2">
      <c r="A580" s="3">
        <v>1672</v>
      </c>
      <c r="B580" s="4" t="s">
        <v>1668</v>
      </c>
      <c r="C580" s="7" t="s">
        <v>1669</v>
      </c>
      <c r="D580" s="3" t="s">
        <v>10</v>
      </c>
      <c r="E580" s="6">
        <v>0.88200000000000001</v>
      </c>
      <c r="F580" s="3" t="s">
        <v>11</v>
      </c>
      <c r="G580" s="3" t="s">
        <v>1670</v>
      </c>
    </row>
    <row r="581" spans="1:7" x14ac:dyDescent="0.2">
      <c r="A581" s="3">
        <v>1673</v>
      </c>
      <c r="B581" s="4" t="s">
        <v>1671</v>
      </c>
      <c r="C581" s="7" t="s">
        <v>1672</v>
      </c>
      <c r="D581" s="3" t="s">
        <v>10</v>
      </c>
      <c r="E581" s="6">
        <v>0.49399999999999999</v>
      </c>
      <c r="F581" s="3" t="s">
        <v>15</v>
      </c>
      <c r="G581" s="3" t="s">
        <v>1226</v>
      </c>
    </row>
    <row r="582" spans="1:7" x14ac:dyDescent="0.2">
      <c r="A582" s="3">
        <v>1680</v>
      </c>
      <c r="B582" s="4" t="s">
        <v>1673</v>
      </c>
      <c r="C582" s="7" t="s">
        <v>1674</v>
      </c>
      <c r="D582" s="3" t="s">
        <v>10</v>
      </c>
      <c r="E582" s="6">
        <v>0.56999999999999995</v>
      </c>
      <c r="F582" s="3" t="s">
        <v>15</v>
      </c>
      <c r="G582" s="3" t="s">
        <v>1675</v>
      </c>
    </row>
    <row r="583" spans="1:7" x14ac:dyDescent="0.2">
      <c r="A583" s="3">
        <v>1689</v>
      </c>
      <c r="B583" s="4" t="s">
        <v>1676</v>
      </c>
      <c r="C583" s="7" t="s">
        <v>1677</v>
      </c>
      <c r="D583" s="3" t="s">
        <v>10</v>
      </c>
      <c r="E583" s="6">
        <v>0.89600000000000002</v>
      </c>
      <c r="F583" s="3" t="s">
        <v>15</v>
      </c>
      <c r="G583" s="3" t="s">
        <v>1678</v>
      </c>
    </row>
    <row r="584" spans="1:7" x14ac:dyDescent="0.2">
      <c r="A584" s="3">
        <v>1696</v>
      </c>
      <c r="B584" s="4" t="s">
        <v>1679</v>
      </c>
      <c r="C584" s="7" t="s">
        <v>1680</v>
      </c>
      <c r="D584" s="3" t="s">
        <v>10</v>
      </c>
      <c r="E584" s="6">
        <v>0.46300000000000002</v>
      </c>
      <c r="F584" s="3" t="s">
        <v>15</v>
      </c>
      <c r="G584" s="3" t="s">
        <v>1681</v>
      </c>
    </row>
    <row r="585" spans="1:7" x14ac:dyDescent="0.2">
      <c r="A585" s="3">
        <v>1705</v>
      </c>
      <c r="B585" s="4" t="s">
        <v>1682</v>
      </c>
      <c r="C585" s="7" t="s">
        <v>1683</v>
      </c>
      <c r="D585" s="3" t="s">
        <v>10</v>
      </c>
      <c r="E585" s="6">
        <v>0.38100000000000001</v>
      </c>
      <c r="F585" s="3" t="s">
        <v>15</v>
      </c>
      <c r="G585" s="3" t="s">
        <v>978</v>
      </c>
    </row>
    <row r="586" spans="1:7" x14ac:dyDescent="0.2">
      <c r="A586" s="3">
        <v>1723</v>
      </c>
      <c r="B586" s="4" t="s">
        <v>1684</v>
      </c>
      <c r="C586" s="7" t="s">
        <v>1685</v>
      </c>
      <c r="D586" s="3" t="s">
        <v>10</v>
      </c>
      <c r="E586" s="6">
        <v>0.42699999999999999</v>
      </c>
      <c r="F586" s="3" t="s">
        <v>22</v>
      </c>
      <c r="G586" s="3" t="s">
        <v>866</v>
      </c>
    </row>
    <row r="587" spans="1:7" x14ac:dyDescent="0.2">
      <c r="A587" s="3">
        <v>1710</v>
      </c>
      <c r="B587" s="4" t="s">
        <v>1686</v>
      </c>
      <c r="C587" s="7" t="s">
        <v>1687</v>
      </c>
      <c r="D587" s="3" t="s">
        <v>10</v>
      </c>
      <c r="E587" s="6">
        <v>0.73899999999999999</v>
      </c>
      <c r="F587" s="3" t="s">
        <v>11</v>
      </c>
      <c r="G587" s="3" t="s">
        <v>1688</v>
      </c>
    </row>
    <row r="588" spans="1:7" x14ac:dyDescent="0.2">
      <c r="A588" s="3">
        <v>1752</v>
      </c>
      <c r="B588" s="4" t="s">
        <v>1689</v>
      </c>
      <c r="C588" s="7" t="s">
        <v>1690</v>
      </c>
      <c r="D588" s="3" t="s">
        <v>10</v>
      </c>
      <c r="E588" s="6">
        <v>0.49299999999999999</v>
      </c>
      <c r="F588" s="3" t="s">
        <v>11</v>
      </c>
      <c r="G588" s="3" t="s">
        <v>570</v>
      </c>
    </row>
    <row r="589" spans="1:7" x14ac:dyDescent="0.2">
      <c r="A589" s="3">
        <v>1740</v>
      </c>
      <c r="B589" s="4" t="s">
        <v>1691</v>
      </c>
      <c r="C589" s="7" t="s">
        <v>1692</v>
      </c>
      <c r="D589" s="3" t="s">
        <v>431</v>
      </c>
      <c r="E589" s="6">
        <v>0.68799999999999994</v>
      </c>
      <c r="F589" s="3" t="s">
        <v>15</v>
      </c>
      <c r="G589" s="3" t="s">
        <v>1693</v>
      </c>
    </row>
    <row r="590" spans="1:7" x14ac:dyDescent="0.2">
      <c r="A590" s="3">
        <v>1757</v>
      </c>
      <c r="B590" s="4" t="s">
        <v>1694</v>
      </c>
      <c r="C590" s="7" t="s">
        <v>1695</v>
      </c>
      <c r="D590" s="3" t="s">
        <v>10</v>
      </c>
      <c r="E590" s="6">
        <v>0.93600000000000005</v>
      </c>
      <c r="F590" s="3" t="s">
        <v>11</v>
      </c>
      <c r="G590" s="3" t="s">
        <v>1696</v>
      </c>
    </row>
    <row r="591" spans="1:7" x14ac:dyDescent="0.2">
      <c r="A591" s="3">
        <v>1762</v>
      </c>
      <c r="B591" s="4" t="s">
        <v>1697</v>
      </c>
      <c r="C591" s="7" t="s">
        <v>1698</v>
      </c>
      <c r="D591" s="3" t="s">
        <v>431</v>
      </c>
      <c r="E591" s="6">
        <v>0.79200000000000004</v>
      </c>
      <c r="F591" s="3" t="s">
        <v>15</v>
      </c>
      <c r="G591" s="3" t="s">
        <v>1699</v>
      </c>
    </row>
    <row r="592" spans="1:7" x14ac:dyDescent="0.2">
      <c r="A592" s="3">
        <v>1834</v>
      </c>
      <c r="B592" s="4" t="s">
        <v>1700</v>
      </c>
      <c r="C592" s="7" t="s">
        <v>1701</v>
      </c>
      <c r="D592" s="3" t="s">
        <v>10</v>
      </c>
      <c r="E592" s="6">
        <v>0.42</v>
      </c>
      <c r="F592" s="3" t="s">
        <v>15</v>
      </c>
      <c r="G592" s="3" t="s">
        <v>621</v>
      </c>
    </row>
    <row r="593" spans="1:7" x14ac:dyDescent="0.2">
      <c r="A593" s="3">
        <v>1856</v>
      </c>
      <c r="B593" s="4" t="s">
        <v>1702</v>
      </c>
      <c r="C593" s="7" t="s">
        <v>1703</v>
      </c>
      <c r="D593" s="3" t="s">
        <v>10</v>
      </c>
      <c r="E593" s="6">
        <v>0.377</v>
      </c>
      <c r="F593" s="3" t="s">
        <v>15</v>
      </c>
      <c r="G593" s="3" t="s">
        <v>1336</v>
      </c>
    </row>
    <row r="594" spans="1:7" x14ac:dyDescent="0.2">
      <c r="A594" s="3">
        <v>1876</v>
      </c>
      <c r="B594" s="4" t="s">
        <v>1704</v>
      </c>
      <c r="C594" s="7" t="s">
        <v>1705</v>
      </c>
      <c r="D594" s="3" t="s">
        <v>10</v>
      </c>
      <c r="E594" s="6">
        <v>0.70299999999999996</v>
      </c>
      <c r="F594" s="3" t="s">
        <v>11</v>
      </c>
      <c r="G594" s="3" t="s">
        <v>1706</v>
      </c>
    </row>
    <row r="595" spans="1:7" x14ac:dyDescent="0.2">
      <c r="A595" s="3">
        <v>1863</v>
      </c>
      <c r="B595" s="4" t="s">
        <v>1707</v>
      </c>
      <c r="C595" s="7" t="s">
        <v>1708</v>
      </c>
      <c r="D595" s="3" t="s">
        <v>10</v>
      </c>
      <c r="E595" s="6">
        <v>0.79</v>
      </c>
      <c r="F595" s="3" t="s">
        <v>11</v>
      </c>
      <c r="G595" s="3" t="s">
        <v>1570</v>
      </c>
    </row>
    <row r="596" spans="1:7" x14ac:dyDescent="0.2">
      <c r="A596" s="3">
        <v>1864</v>
      </c>
      <c r="B596" s="4" t="s">
        <v>1709</v>
      </c>
      <c r="C596" s="7" t="s">
        <v>1710</v>
      </c>
      <c r="D596" s="3" t="s">
        <v>10</v>
      </c>
      <c r="E596" s="6">
        <v>0.42499999999999999</v>
      </c>
      <c r="F596" s="3" t="s">
        <v>15</v>
      </c>
      <c r="G596" s="3" t="s">
        <v>1711</v>
      </c>
    </row>
    <row r="597" spans="1:7" x14ac:dyDescent="0.2">
      <c r="A597" s="3">
        <v>1882</v>
      </c>
      <c r="B597" s="4" t="s">
        <v>1712</v>
      </c>
      <c r="C597" s="7" t="s">
        <v>1713</v>
      </c>
      <c r="D597" s="3" t="s">
        <v>10</v>
      </c>
      <c r="E597" s="6">
        <v>0.39600000000000002</v>
      </c>
      <c r="F597" s="3" t="s">
        <v>15</v>
      </c>
      <c r="G597" s="3" t="s">
        <v>1336</v>
      </c>
    </row>
    <row r="598" spans="1:7" x14ac:dyDescent="0.2">
      <c r="A598" s="3">
        <v>1926</v>
      </c>
      <c r="B598" s="4" t="s">
        <v>1714</v>
      </c>
      <c r="C598" s="7" t="s">
        <v>1715</v>
      </c>
      <c r="D598" s="3" t="s">
        <v>10</v>
      </c>
      <c r="E598" s="6">
        <v>0.43099999999999999</v>
      </c>
      <c r="F598" s="3" t="s">
        <v>15</v>
      </c>
      <c r="G598" s="3" t="s">
        <v>1362</v>
      </c>
    </row>
    <row r="599" spans="1:7" x14ac:dyDescent="0.2">
      <c r="A599" s="3">
        <v>1962</v>
      </c>
      <c r="B599" s="4" t="s">
        <v>1716</v>
      </c>
      <c r="C599" s="7" t="s">
        <v>1717</v>
      </c>
      <c r="D599" s="3" t="s">
        <v>10</v>
      </c>
      <c r="E599" s="6">
        <v>0.59199999999999997</v>
      </c>
      <c r="F599" s="3" t="s">
        <v>15</v>
      </c>
      <c r="G599" s="3" t="s">
        <v>1168</v>
      </c>
    </row>
    <row r="600" spans="1:7" x14ac:dyDescent="0.2">
      <c r="A600" s="3">
        <v>2007</v>
      </c>
      <c r="B600" s="4" t="s">
        <v>1718</v>
      </c>
      <c r="C600" s="7" t="s">
        <v>1719</v>
      </c>
      <c r="D600" s="3" t="s">
        <v>10</v>
      </c>
      <c r="E600" s="6">
        <v>0.40899999999999997</v>
      </c>
      <c r="F600" s="3" t="s">
        <v>15</v>
      </c>
      <c r="G600" s="3" t="s">
        <v>1168</v>
      </c>
    </row>
    <row r="601" spans="1:7" x14ac:dyDescent="0.2">
      <c r="A601" s="3">
        <v>1972</v>
      </c>
      <c r="B601" s="4" t="s">
        <v>1720</v>
      </c>
      <c r="C601" s="7" t="s">
        <v>1721</v>
      </c>
      <c r="D601" s="3" t="s">
        <v>431</v>
      </c>
      <c r="E601" s="6">
        <v>0.53400000000000003</v>
      </c>
      <c r="F601" s="3" t="s">
        <v>22</v>
      </c>
      <c r="G601" s="3" t="s">
        <v>1580</v>
      </c>
    </row>
    <row r="602" spans="1:7" x14ac:dyDescent="0.2">
      <c r="A602" s="3">
        <v>2035</v>
      </c>
      <c r="B602" s="4" t="s">
        <v>1722</v>
      </c>
      <c r="C602" s="7" t="s">
        <v>1723</v>
      </c>
      <c r="D602" s="3" t="s">
        <v>10</v>
      </c>
      <c r="E602" s="6">
        <v>0.183</v>
      </c>
      <c r="F602" s="3" t="s">
        <v>22</v>
      </c>
      <c r="G602" s="3" t="s">
        <v>919</v>
      </c>
    </row>
    <row r="603" spans="1:7" x14ac:dyDescent="0.2">
      <c r="A603" s="3">
        <v>2055</v>
      </c>
      <c r="B603" s="4" t="s">
        <v>1724</v>
      </c>
      <c r="C603" s="7" t="s">
        <v>1725</v>
      </c>
      <c r="D603" s="3" t="s">
        <v>10</v>
      </c>
      <c r="E603" s="6">
        <v>0.44400000000000001</v>
      </c>
      <c r="F603" s="3" t="s">
        <v>15</v>
      </c>
      <c r="G603" s="3" t="s">
        <v>1726</v>
      </c>
    </row>
    <row r="604" spans="1:7" x14ac:dyDescent="0.2">
      <c r="A604" s="3">
        <v>2070</v>
      </c>
      <c r="B604" s="4" t="s">
        <v>1727</v>
      </c>
      <c r="C604" s="7" t="s">
        <v>1728</v>
      </c>
      <c r="D604" s="3" t="s">
        <v>10</v>
      </c>
      <c r="E604" s="6">
        <v>0.497</v>
      </c>
      <c r="F604" s="3" t="s">
        <v>15</v>
      </c>
      <c r="G604" s="3" t="s">
        <v>1729</v>
      </c>
    </row>
    <row r="605" spans="1:7" x14ac:dyDescent="0.2">
      <c r="A605" s="3">
        <v>2075</v>
      </c>
      <c r="B605" s="4" t="s">
        <v>1730</v>
      </c>
      <c r="C605" s="7" t="s">
        <v>1731</v>
      </c>
      <c r="D605" s="3" t="s">
        <v>10</v>
      </c>
      <c r="E605" s="6">
        <v>0.502</v>
      </c>
      <c r="F605" s="3" t="s">
        <v>15</v>
      </c>
      <c r="G605" s="3" t="s">
        <v>1729</v>
      </c>
    </row>
    <row r="606" spans="1:7" x14ac:dyDescent="0.2">
      <c r="A606" s="3">
        <v>2100</v>
      </c>
      <c r="B606" s="4" t="s">
        <v>1732</v>
      </c>
      <c r="C606" s="7" t="s">
        <v>1733</v>
      </c>
      <c r="D606" s="3" t="s">
        <v>10</v>
      </c>
      <c r="E606" s="6">
        <v>0.49199999999999999</v>
      </c>
      <c r="F606" s="3" t="s">
        <v>15</v>
      </c>
      <c r="G606" s="3" t="s">
        <v>1442</v>
      </c>
    </row>
    <row r="607" spans="1:7" x14ac:dyDescent="0.2">
      <c r="A607" s="3">
        <v>2102</v>
      </c>
      <c r="B607" s="4" t="s">
        <v>1734</v>
      </c>
      <c r="C607" s="7" t="s">
        <v>1735</v>
      </c>
      <c r="D607" s="3" t="s">
        <v>10</v>
      </c>
      <c r="E607" s="6">
        <v>0.66300000000000003</v>
      </c>
      <c r="F607" s="3" t="s">
        <v>22</v>
      </c>
      <c r="G607" s="3" t="s">
        <v>1736</v>
      </c>
    </row>
    <row r="608" spans="1:7" x14ac:dyDescent="0.2">
      <c r="A608" s="3">
        <v>2096</v>
      </c>
      <c r="B608" s="4" t="s">
        <v>1737</v>
      </c>
      <c r="C608" s="7" t="s">
        <v>1738</v>
      </c>
      <c r="D608" s="3" t="s">
        <v>10</v>
      </c>
      <c r="E608" s="6">
        <v>0.48799999999999999</v>
      </c>
      <c r="F608" s="3" t="s">
        <v>15</v>
      </c>
      <c r="G608" s="3" t="s">
        <v>1739</v>
      </c>
    </row>
    <row r="609" spans="1:7" x14ac:dyDescent="0.2">
      <c r="A609" s="3">
        <v>2115</v>
      </c>
      <c r="B609" s="4" t="s">
        <v>1740</v>
      </c>
      <c r="C609" s="7" t="s">
        <v>1741</v>
      </c>
      <c r="D609" s="3" t="s">
        <v>10</v>
      </c>
      <c r="E609" s="6">
        <v>0.48499999999999999</v>
      </c>
      <c r="F609" s="3" t="s">
        <v>15</v>
      </c>
      <c r="G609" s="3" t="s">
        <v>1742</v>
      </c>
    </row>
    <row r="610" spans="1:7" x14ac:dyDescent="0.2">
      <c r="A610" s="3">
        <v>2104</v>
      </c>
      <c r="B610" s="4" t="s">
        <v>1743</v>
      </c>
      <c r="C610" s="7" t="s">
        <v>1744</v>
      </c>
      <c r="D610" s="3" t="s">
        <v>10</v>
      </c>
      <c r="E610" s="6">
        <v>0.60199999999999998</v>
      </c>
      <c r="F610" s="3" t="s">
        <v>15</v>
      </c>
      <c r="G610" s="3" t="s">
        <v>1745</v>
      </c>
    </row>
    <row r="611" spans="1:7" x14ac:dyDescent="0.2">
      <c r="A611" s="3">
        <v>2109</v>
      </c>
      <c r="B611" s="4" t="s">
        <v>1746</v>
      </c>
      <c r="C611" s="7" t="s">
        <v>1747</v>
      </c>
      <c r="D611" s="3" t="s">
        <v>10</v>
      </c>
      <c r="E611" s="6">
        <v>0.56299999999999994</v>
      </c>
      <c r="F611" s="3" t="s">
        <v>15</v>
      </c>
      <c r="G611" s="3" t="s">
        <v>1748</v>
      </c>
    </row>
    <row r="612" spans="1:7" x14ac:dyDescent="0.2">
      <c r="A612" s="3">
        <v>2110</v>
      </c>
      <c r="B612" s="4" t="s">
        <v>1749</v>
      </c>
      <c r="C612" s="7" t="s">
        <v>1750</v>
      </c>
      <c r="D612" s="3" t="s">
        <v>10</v>
      </c>
      <c r="E612" s="6">
        <v>0.57599999999999996</v>
      </c>
      <c r="F612" s="3" t="s">
        <v>15</v>
      </c>
      <c r="G612" s="3" t="s">
        <v>1459</v>
      </c>
    </row>
    <row r="613" spans="1:7" x14ac:dyDescent="0.2">
      <c r="A613" s="3">
        <v>2130</v>
      </c>
      <c r="B613" s="4" t="s">
        <v>1751</v>
      </c>
      <c r="C613" s="7" t="s">
        <v>1752</v>
      </c>
      <c r="D613" s="3" t="s">
        <v>10</v>
      </c>
      <c r="E613" s="6">
        <v>0.81299999999999994</v>
      </c>
      <c r="F613" s="3" t="s">
        <v>15</v>
      </c>
      <c r="G613" s="3" t="s">
        <v>1073</v>
      </c>
    </row>
    <row r="614" spans="1:7" x14ac:dyDescent="0.2">
      <c r="A614" s="3">
        <v>2163</v>
      </c>
      <c r="B614" s="4" t="s">
        <v>1753</v>
      </c>
      <c r="C614" s="7" t="s">
        <v>1754</v>
      </c>
      <c r="D614" s="3" t="s">
        <v>10</v>
      </c>
      <c r="E614" s="6">
        <v>0.46600000000000003</v>
      </c>
      <c r="F614" s="3" t="s">
        <v>22</v>
      </c>
      <c r="G614" s="3" t="s">
        <v>1755</v>
      </c>
    </row>
    <row r="615" spans="1:7" x14ac:dyDescent="0.2">
      <c r="A615" s="3">
        <v>2195</v>
      </c>
      <c r="B615" s="4" t="s">
        <v>1756</v>
      </c>
      <c r="C615" s="7" t="s">
        <v>1757</v>
      </c>
      <c r="D615" s="3" t="s">
        <v>10</v>
      </c>
      <c r="E615" s="6">
        <v>0.25</v>
      </c>
      <c r="F615" s="3" t="s">
        <v>15</v>
      </c>
      <c r="G615" s="3" t="s">
        <v>1758</v>
      </c>
    </row>
    <row r="616" spans="1:7" x14ac:dyDescent="0.2">
      <c r="A616" s="3">
        <v>2221</v>
      </c>
      <c r="B616" s="4" t="s">
        <v>1759</v>
      </c>
      <c r="C616" s="7" t="s">
        <v>1760</v>
      </c>
      <c r="D616" s="3" t="s">
        <v>10</v>
      </c>
      <c r="E616" s="6">
        <v>0.79</v>
      </c>
      <c r="F616" s="3" t="s">
        <v>15</v>
      </c>
      <c r="G616" s="3" t="s">
        <v>1761</v>
      </c>
    </row>
    <row r="617" spans="1:7" x14ac:dyDescent="0.2">
      <c r="A617" s="3">
        <v>2222</v>
      </c>
      <c r="B617" s="4" t="s">
        <v>1762</v>
      </c>
      <c r="C617" s="7" t="s">
        <v>1763</v>
      </c>
      <c r="D617" s="3" t="s">
        <v>10</v>
      </c>
      <c r="E617" s="6">
        <v>0.51300000000000001</v>
      </c>
      <c r="F617" s="3" t="s">
        <v>15</v>
      </c>
      <c r="G617" s="3" t="s">
        <v>1764</v>
      </c>
    </row>
    <row r="618" spans="1:7" x14ac:dyDescent="0.2">
      <c r="A618" s="3">
        <v>2234</v>
      </c>
      <c r="B618" s="4" t="s">
        <v>1765</v>
      </c>
      <c r="C618" s="7" t="s">
        <v>1766</v>
      </c>
      <c r="D618" s="3" t="s">
        <v>10</v>
      </c>
      <c r="E618" s="6">
        <v>0.28199999999999997</v>
      </c>
      <c r="F618" s="3" t="s">
        <v>22</v>
      </c>
      <c r="G618" s="3" t="s">
        <v>1442</v>
      </c>
    </row>
    <row r="619" spans="1:7" x14ac:dyDescent="0.2">
      <c r="A619" s="3">
        <v>2262</v>
      </c>
      <c r="B619" s="4" t="s">
        <v>1767</v>
      </c>
      <c r="C619" s="7" t="s">
        <v>1768</v>
      </c>
      <c r="D619" s="3" t="s">
        <v>10</v>
      </c>
      <c r="E619" s="6">
        <v>0.58299999999999996</v>
      </c>
      <c r="F619" s="3" t="s">
        <v>22</v>
      </c>
      <c r="G619" s="3" t="s">
        <v>1769</v>
      </c>
    </row>
    <row r="620" spans="1:7" x14ac:dyDescent="0.2">
      <c r="A620" s="3">
        <v>2256</v>
      </c>
      <c r="B620" s="4" t="s">
        <v>1770</v>
      </c>
      <c r="C620" s="7" t="s">
        <v>1771</v>
      </c>
      <c r="D620" s="3" t="s">
        <v>10</v>
      </c>
      <c r="E620" s="6">
        <v>0.35899999999999999</v>
      </c>
      <c r="F620" s="3" t="s">
        <v>15</v>
      </c>
      <c r="G620" s="3" t="s">
        <v>1772</v>
      </c>
    </row>
    <row r="621" spans="1:7" x14ac:dyDescent="0.2">
      <c r="A621" s="3">
        <v>2265</v>
      </c>
      <c r="B621" s="4" t="s">
        <v>1773</v>
      </c>
      <c r="C621" s="7" t="s">
        <v>1774</v>
      </c>
      <c r="D621" s="3" t="s">
        <v>10</v>
      </c>
      <c r="E621" s="6">
        <v>0.85599999999999998</v>
      </c>
      <c r="F621" s="3" t="s">
        <v>15</v>
      </c>
      <c r="G621" s="3" t="s">
        <v>1775</v>
      </c>
    </row>
    <row r="622" spans="1:7" x14ac:dyDescent="0.2">
      <c r="A622" s="3">
        <v>2214</v>
      </c>
      <c r="B622" s="4" t="s">
        <v>1776</v>
      </c>
      <c r="C622" s="7" t="s">
        <v>1777</v>
      </c>
      <c r="D622" s="3" t="s">
        <v>431</v>
      </c>
      <c r="E622" s="6">
        <v>0.57499999999999996</v>
      </c>
      <c r="F622" s="3" t="s">
        <v>15</v>
      </c>
      <c r="G622" s="3" t="s">
        <v>1778</v>
      </c>
    </row>
    <row r="623" spans="1:7" x14ac:dyDescent="0.2">
      <c r="A623" s="3">
        <v>2272</v>
      </c>
      <c r="B623" s="4" t="s">
        <v>1779</v>
      </c>
      <c r="C623" s="7" t="s">
        <v>1780</v>
      </c>
      <c r="D623" s="3" t="s">
        <v>10</v>
      </c>
      <c r="E623" s="6">
        <v>0.375</v>
      </c>
      <c r="F623" s="3" t="s">
        <v>22</v>
      </c>
      <c r="G623" s="3" t="s">
        <v>1781</v>
      </c>
    </row>
    <row r="624" spans="1:7" x14ac:dyDescent="0.2">
      <c r="A624" s="3">
        <v>2244</v>
      </c>
      <c r="B624" s="4" t="s">
        <v>1782</v>
      </c>
      <c r="C624" s="7" t="s">
        <v>1783</v>
      </c>
      <c r="D624" s="3" t="s">
        <v>10</v>
      </c>
      <c r="E624" s="6">
        <v>0.57399999999999995</v>
      </c>
      <c r="F624" s="3" t="s">
        <v>15</v>
      </c>
      <c r="G624" s="3" t="s">
        <v>1784</v>
      </c>
    </row>
    <row r="625" spans="1:7" x14ac:dyDescent="0.2">
      <c r="A625" s="3">
        <v>2281</v>
      </c>
      <c r="B625" s="4" t="s">
        <v>1785</v>
      </c>
      <c r="C625" s="7" t="s">
        <v>1786</v>
      </c>
      <c r="D625" s="3" t="s">
        <v>10</v>
      </c>
      <c r="E625" s="6">
        <v>0.27900000000000003</v>
      </c>
      <c r="F625" s="3" t="s">
        <v>22</v>
      </c>
      <c r="G625" s="3" t="s">
        <v>1787</v>
      </c>
    </row>
    <row r="626" spans="1:7" x14ac:dyDescent="0.2">
      <c r="A626" s="3">
        <v>2287</v>
      </c>
      <c r="B626" s="4" t="s">
        <v>1788</v>
      </c>
      <c r="C626" s="7" t="s">
        <v>1789</v>
      </c>
      <c r="D626" s="3" t="s">
        <v>10</v>
      </c>
      <c r="E626" s="6">
        <v>0.57799999999999996</v>
      </c>
      <c r="F626" s="3" t="s">
        <v>11</v>
      </c>
      <c r="G626" s="3" t="s">
        <v>615</v>
      </c>
    </row>
    <row r="627" spans="1:7" x14ac:dyDescent="0.2">
      <c r="A627" s="3">
        <v>2288</v>
      </c>
      <c r="B627" s="4" t="s">
        <v>1790</v>
      </c>
      <c r="C627" s="7" t="s">
        <v>1791</v>
      </c>
      <c r="D627" s="3" t="s">
        <v>10</v>
      </c>
      <c r="E627" s="6">
        <v>0.27400000000000002</v>
      </c>
      <c r="F627" s="3" t="s">
        <v>15</v>
      </c>
      <c r="G627" s="3" t="s">
        <v>1792</v>
      </c>
    </row>
    <row r="628" spans="1:7" x14ac:dyDescent="0.2">
      <c r="A628" s="3">
        <v>2289</v>
      </c>
      <c r="B628" s="4" t="s">
        <v>1793</v>
      </c>
      <c r="C628" s="7" t="s">
        <v>1794</v>
      </c>
      <c r="D628" s="3" t="s">
        <v>10</v>
      </c>
      <c r="E628" s="6">
        <v>0.214</v>
      </c>
      <c r="F628" s="3" t="s">
        <v>15</v>
      </c>
      <c r="G628" s="3" t="s">
        <v>1292</v>
      </c>
    </row>
    <row r="629" spans="1:7" x14ac:dyDescent="0.2">
      <c r="A629" s="3">
        <v>2235</v>
      </c>
      <c r="B629" s="4" t="s">
        <v>1795</v>
      </c>
      <c r="C629" s="7" t="s">
        <v>1796</v>
      </c>
      <c r="D629" s="3" t="s">
        <v>10</v>
      </c>
      <c r="E629" s="6">
        <v>0.89500000000000002</v>
      </c>
      <c r="F629" s="3" t="s">
        <v>11</v>
      </c>
      <c r="G629" s="3" t="s">
        <v>1797</v>
      </c>
    </row>
    <row r="630" spans="1:7" x14ac:dyDescent="0.2">
      <c r="A630" s="3">
        <v>2294</v>
      </c>
      <c r="B630" s="4" t="s">
        <v>1798</v>
      </c>
      <c r="C630" s="7" t="s">
        <v>1799</v>
      </c>
      <c r="D630" s="3" t="s">
        <v>10</v>
      </c>
      <c r="E630" s="6">
        <v>0.72599999999999998</v>
      </c>
      <c r="F630" s="3" t="s">
        <v>15</v>
      </c>
      <c r="G630" s="3" t="s">
        <v>1442</v>
      </c>
    </row>
    <row r="631" spans="1:7" x14ac:dyDescent="0.2">
      <c r="A631" s="3">
        <v>2302</v>
      </c>
      <c r="B631" s="4" t="s">
        <v>1800</v>
      </c>
      <c r="C631" s="7" t="s">
        <v>1801</v>
      </c>
      <c r="D631" s="3" t="s">
        <v>10</v>
      </c>
      <c r="E631" s="6">
        <v>0.52100000000000002</v>
      </c>
      <c r="F631" s="3" t="s">
        <v>22</v>
      </c>
      <c r="G631" s="3" t="s">
        <v>1336</v>
      </c>
    </row>
    <row r="632" spans="1:7" x14ac:dyDescent="0.2">
      <c r="A632" s="3">
        <v>2311</v>
      </c>
      <c r="B632" s="4" t="s">
        <v>1802</v>
      </c>
      <c r="C632" s="7" t="s">
        <v>1803</v>
      </c>
      <c r="D632" s="3" t="s">
        <v>10</v>
      </c>
      <c r="E632" s="6">
        <v>0.36399999999999999</v>
      </c>
      <c r="F632" s="3" t="s">
        <v>15</v>
      </c>
      <c r="G632" s="3" t="s">
        <v>1693</v>
      </c>
    </row>
    <row r="633" spans="1:7" x14ac:dyDescent="0.2">
      <c r="A633" s="3">
        <v>2268</v>
      </c>
      <c r="B633" s="4" t="s">
        <v>1804</v>
      </c>
      <c r="C633" s="7" t="s">
        <v>1805</v>
      </c>
      <c r="D633" s="3" t="s">
        <v>431</v>
      </c>
      <c r="E633" s="6">
        <v>0.74</v>
      </c>
      <c r="F633" s="3" t="s">
        <v>15</v>
      </c>
      <c r="G633" s="3" t="s">
        <v>1806</v>
      </c>
    </row>
    <row r="634" spans="1:7" x14ac:dyDescent="0.2">
      <c r="A634" s="3">
        <v>2327</v>
      </c>
      <c r="B634" s="4" t="s">
        <v>1807</v>
      </c>
      <c r="C634" s="7" t="s">
        <v>1808</v>
      </c>
      <c r="D634" s="3" t="s">
        <v>10</v>
      </c>
      <c r="E634" s="6">
        <v>0.44500000000000001</v>
      </c>
      <c r="F634" s="3" t="s">
        <v>15</v>
      </c>
      <c r="G634" s="3" t="s">
        <v>1055</v>
      </c>
    </row>
    <row r="635" spans="1:7" x14ac:dyDescent="0.2">
      <c r="A635" s="3">
        <v>2336</v>
      </c>
      <c r="B635" s="4" t="s">
        <v>1809</v>
      </c>
      <c r="C635" s="7" t="s">
        <v>1810</v>
      </c>
      <c r="D635" s="3" t="s">
        <v>10</v>
      </c>
      <c r="E635" s="6">
        <v>0.71699999999999997</v>
      </c>
      <c r="F635" s="3" t="s">
        <v>15</v>
      </c>
      <c r="G635" s="3" t="s">
        <v>826</v>
      </c>
    </row>
    <row r="636" spans="1:7" x14ac:dyDescent="0.2">
      <c r="A636" s="3">
        <v>2347</v>
      </c>
      <c r="B636" s="4" t="s">
        <v>1811</v>
      </c>
      <c r="C636" s="7" t="s">
        <v>1812</v>
      </c>
      <c r="D636" s="3" t="s">
        <v>10</v>
      </c>
      <c r="E636" s="6">
        <v>0.60599999999999998</v>
      </c>
      <c r="F636" s="3" t="s">
        <v>11</v>
      </c>
      <c r="G636" s="3" t="s">
        <v>933</v>
      </c>
    </row>
    <row r="637" spans="1:7" x14ac:dyDescent="0.2">
      <c r="A637" s="3">
        <v>2350</v>
      </c>
      <c r="B637" s="4" t="s">
        <v>1813</v>
      </c>
      <c r="C637" s="7" t="s">
        <v>1814</v>
      </c>
      <c r="D637" s="3" t="s">
        <v>10</v>
      </c>
      <c r="E637" s="6">
        <v>0.68300000000000005</v>
      </c>
      <c r="F637" s="3" t="s">
        <v>22</v>
      </c>
      <c r="G637" s="3" t="s">
        <v>1729</v>
      </c>
    </row>
    <row r="638" spans="1:7" x14ac:dyDescent="0.2">
      <c r="A638" s="3">
        <v>2357</v>
      </c>
      <c r="B638" s="4" t="s">
        <v>1815</v>
      </c>
      <c r="C638" s="7" t="s">
        <v>1816</v>
      </c>
      <c r="D638" s="3" t="s">
        <v>10</v>
      </c>
      <c r="E638" s="6">
        <v>0.72699999999999998</v>
      </c>
      <c r="F638" s="3" t="s">
        <v>11</v>
      </c>
      <c r="G638" s="3" t="s">
        <v>1817</v>
      </c>
    </row>
    <row r="639" spans="1:7" x14ac:dyDescent="0.2">
      <c r="A639" s="3">
        <v>2398</v>
      </c>
      <c r="B639" s="4" t="s">
        <v>1818</v>
      </c>
      <c r="C639" s="7" t="s">
        <v>1819</v>
      </c>
      <c r="D639" s="3" t="s">
        <v>10</v>
      </c>
      <c r="E639" s="6">
        <v>0.32200000000000001</v>
      </c>
      <c r="F639" s="3" t="s">
        <v>22</v>
      </c>
      <c r="G639" s="3" t="s">
        <v>1820</v>
      </c>
    </row>
    <row r="640" spans="1:7" x14ac:dyDescent="0.2">
      <c r="A640" s="3">
        <v>2376</v>
      </c>
      <c r="B640" s="4" t="s">
        <v>1821</v>
      </c>
      <c r="C640" s="7" t="s">
        <v>1822</v>
      </c>
      <c r="D640" s="3" t="s">
        <v>10</v>
      </c>
      <c r="E640" s="6">
        <v>0.36299999999999999</v>
      </c>
      <c r="F640" s="3" t="s">
        <v>22</v>
      </c>
      <c r="G640" s="3" t="s">
        <v>1379</v>
      </c>
    </row>
    <row r="641" spans="1:7" x14ac:dyDescent="0.2">
      <c r="A641" s="3">
        <v>2385</v>
      </c>
      <c r="B641" s="4" t="s">
        <v>1823</v>
      </c>
      <c r="C641" s="7" t="s">
        <v>1824</v>
      </c>
      <c r="D641" s="3" t="s">
        <v>10</v>
      </c>
      <c r="E641" s="6">
        <v>0.56200000000000006</v>
      </c>
      <c r="F641" s="3" t="s">
        <v>15</v>
      </c>
      <c r="G641" s="3" t="s">
        <v>751</v>
      </c>
    </row>
    <row r="642" spans="1:7" x14ac:dyDescent="0.2">
      <c r="A642" s="3">
        <v>2386</v>
      </c>
      <c r="B642" s="4" t="s">
        <v>1825</v>
      </c>
      <c r="C642" s="7" t="s">
        <v>1826</v>
      </c>
      <c r="D642" s="3" t="s">
        <v>10</v>
      </c>
      <c r="E642" s="6">
        <v>0.377</v>
      </c>
      <c r="F642" s="3" t="s">
        <v>22</v>
      </c>
      <c r="G642" s="3" t="s">
        <v>1827</v>
      </c>
    </row>
    <row r="643" spans="1:7" x14ac:dyDescent="0.2">
      <c r="A643" s="3">
        <v>2340</v>
      </c>
      <c r="B643" s="4" t="s">
        <v>1828</v>
      </c>
      <c r="C643" s="7" t="s">
        <v>1829</v>
      </c>
      <c r="D643" s="3" t="s">
        <v>431</v>
      </c>
      <c r="E643" s="6">
        <v>0.76500000000000001</v>
      </c>
      <c r="F643" s="3" t="s">
        <v>15</v>
      </c>
      <c r="G643" s="3" t="s">
        <v>1830</v>
      </c>
    </row>
    <row r="644" spans="1:7" x14ac:dyDescent="0.2">
      <c r="A644" s="3">
        <v>2405</v>
      </c>
      <c r="B644" s="4" t="s">
        <v>1831</v>
      </c>
      <c r="C644" s="7" t="s">
        <v>1832</v>
      </c>
      <c r="D644" s="3" t="s">
        <v>10</v>
      </c>
      <c r="E644" s="6">
        <v>0.74399999999999999</v>
      </c>
      <c r="F644" s="3" t="s">
        <v>15</v>
      </c>
      <c r="G644" s="3" t="s">
        <v>1833</v>
      </c>
    </row>
    <row r="645" spans="1:7" x14ac:dyDescent="0.2">
      <c r="A645" s="3">
        <v>2406</v>
      </c>
      <c r="B645" s="4" t="s">
        <v>1834</v>
      </c>
      <c r="C645" s="7" t="s">
        <v>1835</v>
      </c>
      <c r="D645" s="3" t="s">
        <v>10</v>
      </c>
      <c r="E645" s="6">
        <v>0.45400000000000001</v>
      </c>
      <c r="F645" s="3" t="s">
        <v>15</v>
      </c>
      <c r="G645" s="3" t="s">
        <v>1336</v>
      </c>
    </row>
    <row r="646" spans="1:7" x14ac:dyDescent="0.2">
      <c r="A646" s="3">
        <v>2355</v>
      </c>
      <c r="B646" s="4" t="s">
        <v>1836</v>
      </c>
      <c r="C646" s="7" t="s">
        <v>1837</v>
      </c>
      <c r="D646" s="3" t="s">
        <v>431</v>
      </c>
      <c r="E646" s="6">
        <v>0.45600000000000002</v>
      </c>
      <c r="F646" s="3" t="s">
        <v>22</v>
      </c>
      <c r="G646" s="3" t="s">
        <v>1838</v>
      </c>
    </row>
    <row r="647" spans="1:7" x14ac:dyDescent="0.2">
      <c r="B647" s="4"/>
      <c r="C647" s="4"/>
    </row>
    <row r="648" spans="1:7" x14ac:dyDescent="0.2">
      <c r="B648" s="4"/>
      <c r="C648" s="4"/>
    </row>
    <row r="649" spans="1:7" x14ac:dyDescent="0.2">
      <c r="B649" s="4"/>
      <c r="C649" s="4"/>
    </row>
    <row r="650" spans="1:7" x14ac:dyDescent="0.2">
      <c r="B650" s="4"/>
      <c r="C650" s="4"/>
    </row>
    <row r="651" spans="1:7" x14ac:dyDescent="0.2">
      <c r="B651" s="4"/>
      <c r="C651" s="4"/>
    </row>
    <row r="652" spans="1:7" x14ac:dyDescent="0.2">
      <c r="B652" s="4"/>
      <c r="C652" s="4"/>
    </row>
    <row r="653" spans="1:7" x14ac:dyDescent="0.2">
      <c r="B653" s="4"/>
      <c r="C653" s="4"/>
    </row>
    <row r="654" spans="1:7" x14ac:dyDescent="0.2">
      <c r="B654" s="4"/>
      <c r="C654" s="4"/>
    </row>
    <row r="655" spans="1:7" x14ac:dyDescent="0.2">
      <c r="B655" s="4"/>
      <c r="C655" s="4"/>
    </row>
    <row r="656" spans="1:7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33.85546875" customWidth="1"/>
    <col min="3" max="3" width="47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f ca="1">IFERROR(__xludf.DUMMYFUNCTION("FILTER(amazon!A2:G646,amazon!F2:F646 = amazon!F636)"),1)</f>
        <v>1</v>
      </c>
      <c r="B2" s="4" t="str">
        <f ca="1">IFERROR(__xludf.DUMMYFUNCTION("""COMPUTED_VALUE"""),"Two Sum")</f>
        <v>Two Sum</v>
      </c>
      <c r="C2" s="8" t="str">
        <f ca="1">IFERROR(__xludf.DUMMYFUNCTION("""COMPUTED_VALUE"""),"https://leetcode.comhttps://leetcode.com/problems/two-sum")</f>
        <v>https://leetcode.comhttps://leetcode.com/problems/two-sum</v>
      </c>
      <c r="D2" s="3" t="str">
        <f ca="1">IFERROR(__xludf.DUMMYFUNCTION("""COMPUTED_VALUE"""),"N")</f>
        <v>N</v>
      </c>
      <c r="E2" s="6">
        <f ca="1">IFERROR(__xludf.DUMMYFUNCTION("""COMPUTED_VALUE"""),0.491)</f>
        <v>0.49099999999999999</v>
      </c>
      <c r="F2" s="3" t="str">
        <f ca="1">IFERROR(__xludf.DUMMYFUNCTION("""COMPUTED_VALUE"""),"Easy")</f>
        <v>Easy</v>
      </c>
      <c r="G2" s="3" t="str">
        <f ca="1">IFERROR(__xludf.DUMMYFUNCTION("""COMPUTED_VALUE"""),"51.3461%;")</f>
        <v>51.3461%;</v>
      </c>
    </row>
    <row r="3" spans="1:7" x14ac:dyDescent="0.2">
      <c r="A3" s="3">
        <f ca="1">IFERROR(__xludf.DUMMYFUNCTION("""COMPUTED_VALUE"""),9)</f>
        <v>9</v>
      </c>
      <c r="B3" s="4" t="str">
        <f ca="1">IFERROR(__xludf.DUMMYFUNCTION("""COMPUTED_VALUE"""),"Palindrome Number")</f>
        <v>Palindrome Number</v>
      </c>
      <c r="C3" s="8" t="str">
        <f ca="1">IFERROR(__xludf.DUMMYFUNCTION("""COMPUTED_VALUE"""),"https://leetcode.com/problems/palindrome-number")</f>
        <v>https://leetcode.com/problems/palindrome-number</v>
      </c>
      <c r="D3" s="3" t="str">
        <f ca="1">IFERROR(__xludf.DUMMYFUNCTION("""COMPUTED_VALUE"""),"N")</f>
        <v>N</v>
      </c>
      <c r="E3" s="6">
        <f ca="1">IFERROR(__xludf.DUMMYFUNCTION("""COMPUTED_VALUE"""),0.529)</f>
        <v>0.52900000000000003</v>
      </c>
      <c r="F3" s="3" t="str">
        <f ca="1">IFERROR(__xludf.DUMMYFUNCTION("""COMPUTED_VALUE"""),"Easy")</f>
        <v>Easy</v>
      </c>
      <c r="G3" s="3" t="str">
        <f ca="1">IFERROR(__xludf.DUMMYFUNCTION("""COMPUTED_VALUE"""),"7.96144%;")</f>
        <v>7.96144%;</v>
      </c>
    </row>
    <row r="4" spans="1:7" x14ac:dyDescent="0.2">
      <c r="A4" s="3">
        <f ca="1">IFERROR(__xludf.DUMMYFUNCTION("""COMPUTED_VALUE"""),13)</f>
        <v>13</v>
      </c>
      <c r="B4" s="4" t="str">
        <f ca="1">IFERROR(__xludf.DUMMYFUNCTION("""COMPUTED_VALUE"""),"Roman to Integer")</f>
        <v>Roman to Integer</v>
      </c>
      <c r="C4" s="8" t="str">
        <f ca="1">IFERROR(__xludf.DUMMYFUNCTION("""COMPUTED_VALUE"""),"https://leetcode.com/problems/roman-to-integer")</f>
        <v>https://leetcode.com/problems/roman-to-integer</v>
      </c>
      <c r="D4" s="3" t="str">
        <f ca="1">IFERROR(__xludf.DUMMYFUNCTION("""COMPUTED_VALUE"""),"N")</f>
        <v>N</v>
      </c>
      <c r="E4" s="6">
        <f ca="1">IFERROR(__xludf.DUMMYFUNCTION("""COMPUTED_VALUE"""),0.582)</f>
        <v>0.58199999999999996</v>
      </c>
      <c r="F4" s="3" t="str">
        <f ca="1">IFERROR(__xludf.DUMMYFUNCTION("""COMPUTED_VALUE"""),"Easy")</f>
        <v>Easy</v>
      </c>
      <c r="G4" s="3" t="str">
        <f ca="1">IFERROR(__xludf.DUMMYFUNCTION("""COMPUTED_VALUE"""),"34.3407%;")</f>
        <v>34.3407%;</v>
      </c>
    </row>
    <row r="5" spans="1:7" x14ac:dyDescent="0.2">
      <c r="A5" s="3">
        <f ca="1">IFERROR(__xludf.DUMMYFUNCTION("""COMPUTED_VALUE"""),14)</f>
        <v>14</v>
      </c>
      <c r="B5" s="4" t="str">
        <f ca="1">IFERROR(__xludf.DUMMYFUNCTION("""COMPUTED_VALUE"""),"Longest Common Prefix")</f>
        <v>Longest Common Prefix</v>
      </c>
      <c r="C5" s="8" t="str">
        <f ca="1">IFERROR(__xludf.DUMMYFUNCTION("""COMPUTED_VALUE"""),"https://leetcode.com/problems/longest-common-prefix")</f>
        <v>https://leetcode.com/problems/longest-common-prefix</v>
      </c>
      <c r="D5" s="3" t="str">
        <f ca="1">IFERROR(__xludf.DUMMYFUNCTION("""COMPUTED_VALUE"""),"N")</f>
        <v>N</v>
      </c>
      <c r="E5" s="6">
        <f ca="1">IFERROR(__xludf.DUMMYFUNCTION("""COMPUTED_VALUE"""),0.408)</f>
        <v>0.40799999999999997</v>
      </c>
      <c r="F5" s="3" t="str">
        <f ca="1">IFERROR(__xludf.DUMMYFUNCTION("""COMPUTED_VALUE"""),"Easy")</f>
        <v>Easy</v>
      </c>
      <c r="G5" s="3" t="str">
        <f ca="1">IFERROR(__xludf.DUMMYFUNCTION("""COMPUTED_VALUE"""),"21.9424%;")</f>
        <v>21.9424%;</v>
      </c>
    </row>
    <row r="6" spans="1:7" x14ac:dyDescent="0.2">
      <c r="A6" s="3">
        <f ca="1">IFERROR(__xludf.DUMMYFUNCTION("""COMPUTED_VALUE"""),20)</f>
        <v>20</v>
      </c>
      <c r="B6" s="4" t="str">
        <f ca="1">IFERROR(__xludf.DUMMYFUNCTION("""COMPUTED_VALUE"""),"Valid Parentheses")</f>
        <v>Valid Parentheses</v>
      </c>
      <c r="C6" s="8" t="str">
        <f ca="1">IFERROR(__xludf.DUMMYFUNCTION("""COMPUTED_VALUE"""),"https://leetcode.com/problems/valid-parentheses")</f>
        <v>https://leetcode.com/problems/valid-parentheses</v>
      </c>
      <c r="D6" s="3" t="str">
        <f ca="1">IFERROR(__xludf.DUMMYFUNCTION("""COMPUTED_VALUE"""),"N")</f>
        <v>N</v>
      </c>
      <c r="E6" s="6">
        <f ca="1">IFERROR(__xludf.DUMMYFUNCTION("""COMPUTED_VALUE"""),0.406)</f>
        <v>0.40600000000000003</v>
      </c>
      <c r="F6" s="3" t="str">
        <f ca="1">IFERROR(__xludf.DUMMYFUNCTION("""COMPUTED_VALUE"""),"Easy")</f>
        <v>Easy</v>
      </c>
      <c r="G6" s="3" t="str">
        <f ca="1">IFERROR(__xludf.DUMMYFUNCTION("""COMPUTED_VALUE"""),"33.3355%;")</f>
        <v>33.3355%;</v>
      </c>
    </row>
    <row r="7" spans="1:7" x14ac:dyDescent="0.2">
      <c r="A7" s="3">
        <f ca="1">IFERROR(__xludf.DUMMYFUNCTION("""COMPUTED_VALUE"""),21)</f>
        <v>21</v>
      </c>
      <c r="B7" s="4" t="str">
        <f ca="1">IFERROR(__xludf.DUMMYFUNCTION("""COMPUTED_VALUE"""),"Merge Two Sorted Lists")</f>
        <v>Merge Two Sorted Lists</v>
      </c>
      <c r="C7" s="8" t="str">
        <f ca="1">IFERROR(__xludf.DUMMYFUNCTION("""COMPUTED_VALUE"""),"https://leetcode.com/problems/merge-two-sorted-lists")</f>
        <v>https://leetcode.com/problems/merge-two-sorted-lists</v>
      </c>
      <c r="D7" s="3" t="str">
        <f ca="1">IFERROR(__xludf.DUMMYFUNCTION("""COMPUTED_VALUE"""),"N")</f>
        <v>N</v>
      </c>
      <c r="E7" s="6">
        <f ca="1">IFERROR(__xludf.DUMMYFUNCTION("""COMPUTED_VALUE"""),0.619)</f>
        <v>0.61899999999999999</v>
      </c>
      <c r="F7" s="3" t="str">
        <f ca="1">IFERROR(__xludf.DUMMYFUNCTION("""COMPUTED_VALUE"""),"Easy")</f>
        <v>Easy</v>
      </c>
      <c r="G7" s="3" t="str">
        <f ca="1">IFERROR(__xludf.DUMMYFUNCTION("""COMPUTED_VALUE"""),"15.4432%;")</f>
        <v>15.4432%;</v>
      </c>
    </row>
    <row r="8" spans="1:7" x14ac:dyDescent="0.2">
      <c r="A8" s="3">
        <f ca="1">IFERROR(__xludf.DUMMYFUNCTION("""COMPUTED_VALUE"""),26)</f>
        <v>26</v>
      </c>
      <c r="B8" s="4" t="str">
        <f ca="1">IFERROR(__xludf.DUMMYFUNCTION("""COMPUTED_VALUE"""),"Remove Duplicates from Sorted Array")</f>
        <v>Remove Duplicates from Sorted Array</v>
      </c>
      <c r="C8" s="8" t="str">
        <f ca="1">IFERROR(__xludf.DUMMYFUNCTION("""COMPUTED_VALUE"""),"https://leetcode.com/problems/remove-duplicates-from-sorted-array")</f>
        <v>https://leetcode.com/problems/remove-duplicates-from-sorted-array</v>
      </c>
      <c r="D8" s="3" t="str">
        <f ca="1">IFERROR(__xludf.DUMMYFUNCTION("""COMPUTED_VALUE"""),"N")</f>
        <v>N</v>
      </c>
      <c r="E8" s="6">
        <f ca="1">IFERROR(__xludf.DUMMYFUNCTION("""COMPUTED_VALUE"""),0.509)</f>
        <v>0.50900000000000001</v>
      </c>
      <c r="F8" s="3" t="str">
        <f ca="1">IFERROR(__xludf.DUMMYFUNCTION("""COMPUTED_VALUE"""),"Easy")</f>
        <v>Easy</v>
      </c>
      <c r="G8" s="3" t="str">
        <f ca="1">IFERROR(__xludf.DUMMYFUNCTION("""COMPUTED_VALUE"""),"3.1666%;")</f>
        <v>3.1666%;</v>
      </c>
    </row>
    <row r="9" spans="1:7" x14ac:dyDescent="0.2">
      <c r="A9" s="3">
        <f ca="1">IFERROR(__xludf.DUMMYFUNCTION("""COMPUTED_VALUE"""),27)</f>
        <v>27</v>
      </c>
      <c r="B9" s="4" t="str">
        <f ca="1">IFERROR(__xludf.DUMMYFUNCTION("""COMPUTED_VALUE"""),"Remove Element")</f>
        <v>Remove Element</v>
      </c>
      <c r="C9" s="8" t="str">
        <f ca="1">IFERROR(__xludf.DUMMYFUNCTION("""COMPUTED_VALUE"""),"https://leetcode.com/problems/remove-element")</f>
        <v>https://leetcode.com/problems/remove-element</v>
      </c>
      <c r="D9" s="3" t="str">
        <f ca="1">IFERROR(__xludf.DUMMYFUNCTION("""COMPUTED_VALUE"""),"N")</f>
        <v>N</v>
      </c>
      <c r="E9" s="6">
        <f ca="1">IFERROR(__xludf.DUMMYFUNCTION("""COMPUTED_VALUE"""),0.522)</f>
        <v>0.52200000000000002</v>
      </c>
      <c r="F9" s="3" t="str">
        <f ca="1">IFERROR(__xludf.DUMMYFUNCTION("""COMPUTED_VALUE"""),"Easy")</f>
        <v>Easy</v>
      </c>
      <c r="G9" s="3" t="str">
        <f ca="1">IFERROR(__xludf.DUMMYFUNCTION("""COMPUTED_VALUE"""),"0.91574%;")</f>
        <v>0.91574%;</v>
      </c>
    </row>
    <row r="10" spans="1:7" x14ac:dyDescent="0.2">
      <c r="A10" s="3">
        <f ca="1">IFERROR(__xludf.DUMMYFUNCTION("""COMPUTED_VALUE"""),35)</f>
        <v>35</v>
      </c>
      <c r="B10" s="4" t="str">
        <f ca="1">IFERROR(__xludf.DUMMYFUNCTION("""COMPUTED_VALUE"""),"Search Insert Position")</f>
        <v>Search Insert Position</v>
      </c>
      <c r="C10" s="8" t="str">
        <f ca="1">IFERROR(__xludf.DUMMYFUNCTION("""COMPUTED_VALUE"""),"https://leetcode.com/problems/search-insert-position")</f>
        <v>https://leetcode.com/problems/search-insert-position</v>
      </c>
      <c r="D10" s="3" t="str">
        <f ca="1">IFERROR(__xludf.DUMMYFUNCTION("""COMPUTED_VALUE"""),"N")</f>
        <v>N</v>
      </c>
      <c r="E10" s="6">
        <f ca="1">IFERROR(__xludf.DUMMYFUNCTION("""COMPUTED_VALUE"""),0.42)</f>
        <v>0.42</v>
      </c>
      <c r="F10" s="3" t="str">
        <f ca="1">IFERROR(__xludf.DUMMYFUNCTION("""COMPUTED_VALUE"""),"Easy")</f>
        <v>Easy</v>
      </c>
      <c r="G10" s="3" t="str">
        <f ca="1">IFERROR(__xludf.DUMMYFUNCTION("""COMPUTED_VALUE"""),"1.86362%;")</f>
        <v>1.86362%;</v>
      </c>
    </row>
    <row r="11" spans="1:7" x14ac:dyDescent="0.2">
      <c r="A11" s="3">
        <f ca="1">IFERROR(__xludf.DUMMYFUNCTION("""COMPUTED_VALUE"""),58)</f>
        <v>58</v>
      </c>
      <c r="B11" s="4" t="str">
        <f ca="1">IFERROR(__xludf.DUMMYFUNCTION("""COMPUTED_VALUE"""),"Length of Last Word")</f>
        <v>Length of Last Word</v>
      </c>
      <c r="C11" s="8" t="str">
        <f ca="1">IFERROR(__xludf.DUMMYFUNCTION("""COMPUTED_VALUE"""),"https://leetcode.com/problems/length-of-last-word")</f>
        <v>https://leetcode.com/problems/length-of-last-word</v>
      </c>
      <c r="D11" s="3" t="str">
        <f ca="1">IFERROR(__xludf.DUMMYFUNCTION("""COMPUTED_VALUE"""),"N")</f>
        <v>N</v>
      </c>
      <c r="E11" s="6">
        <f ca="1">IFERROR(__xludf.DUMMYFUNCTION("""COMPUTED_VALUE"""),0.408)</f>
        <v>0.40799999999999997</v>
      </c>
      <c r="F11" s="3" t="str">
        <f ca="1">IFERROR(__xludf.DUMMYFUNCTION("""COMPUTED_VALUE"""),"Easy")</f>
        <v>Easy</v>
      </c>
      <c r="G11" s="3" t="str">
        <f ca="1">IFERROR(__xludf.DUMMYFUNCTION("""COMPUTED_VALUE"""),"1.146%;")</f>
        <v>1.146%;</v>
      </c>
    </row>
    <row r="12" spans="1:7" x14ac:dyDescent="0.2">
      <c r="A12" s="3">
        <f ca="1">IFERROR(__xludf.DUMMYFUNCTION("""COMPUTED_VALUE"""),66)</f>
        <v>66</v>
      </c>
      <c r="B12" s="4" t="str">
        <f ca="1">IFERROR(__xludf.DUMMYFUNCTION("""COMPUTED_VALUE"""),"Plus One")</f>
        <v>Plus One</v>
      </c>
      <c r="C12" s="8" t="str">
        <f ca="1">IFERROR(__xludf.DUMMYFUNCTION("""COMPUTED_VALUE"""),"https://leetcode.com/problems/plus-one")</f>
        <v>https://leetcode.com/problems/plus-one</v>
      </c>
      <c r="D12" s="3" t="str">
        <f ca="1">IFERROR(__xludf.DUMMYFUNCTION("""COMPUTED_VALUE"""),"N")</f>
        <v>N</v>
      </c>
      <c r="E12" s="6">
        <f ca="1">IFERROR(__xludf.DUMMYFUNCTION("""COMPUTED_VALUE"""),0.434)</f>
        <v>0.434</v>
      </c>
      <c r="F12" s="3" t="str">
        <f ca="1">IFERROR(__xludf.DUMMYFUNCTION("""COMPUTED_VALUE"""),"Easy")</f>
        <v>Easy</v>
      </c>
      <c r="G12" s="3" t="str">
        <f ca="1">IFERROR(__xludf.DUMMYFUNCTION("""COMPUTED_VALUE"""),"1.48831%;")</f>
        <v>1.48831%;</v>
      </c>
    </row>
    <row r="13" spans="1:7" x14ac:dyDescent="0.2">
      <c r="A13" s="3">
        <f ca="1">IFERROR(__xludf.DUMMYFUNCTION("""COMPUTED_VALUE"""),67)</f>
        <v>67</v>
      </c>
      <c r="B13" s="4" t="str">
        <f ca="1">IFERROR(__xludf.DUMMYFUNCTION("""COMPUTED_VALUE"""),"Add Binary")</f>
        <v>Add Binary</v>
      </c>
      <c r="C13" s="8" t="str">
        <f ca="1">IFERROR(__xludf.DUMMYFUNCTION("""COMPUTED_VALUE"""),"https://leetcode.com/problems/add-binary")</f>
        <v>https://leetcode.com/problems/add-binary</v>
      </c>
      <c r="D13" s="3" t="str">
        <f ca="1">IFERROR(__xludf.DUMMYFUNCTION("""COMPUTED_VALUE"""),"N")</f>
        <v>N</v>
      </c>
      <c r="E13" s="6">
        <f ca="1">IFERROR(__xludf.DUMMYFUNCTION("""COMPUTED_VALUE"""),0.514)</f>
        <v>0.51400000000000001</v>
      </c>
      <c r="F13" s="3" t="str">
        <f ca="1">IFERROR(__xludf.DUMMYFUNCTION("""COMPUTED_VALUE"""),"Easy")</f>
        <v>Easy</v>
      </c>
      <c r="G13" s="3" t="str">
        <f ca="1">IFERROR(__xludf.DUMMYFUNCTION("""COMPUTED_VALUE"""),"2.95509%;")</f>
        <v>2.95509%;</v>
      </c>
    </row>
    <row r="14" spans="1:7" x14ac:dyDescent="0.2">
      <c r="A14" s="3">
        <f ca="1">IFERROR(__xludf.DUMMYFUNCTION("""COMPUTED_VALUE"""),69)</f>
        <v>69</v>
      </c>
      <c r="B14" s="4" t="str">
        <f ca="1">IFERROR(__xludf.DUMMYFUNCTION("""COMPUTED_VALUE"""),"Sqrt(x)")</f>
        <v>Sqrt(x)</v>
      </c>
      <c r="C14" s="8" t="str">
        <f ca="1">IFERROR(__xludf.DUMMYFUNCTION("""COMPUTED_VALUE"""),"https://leetcode.com/problems/sqrtx")</f>
        <v>https://leetcode.com/problems/sqrtx</v>
      </c>
      <c r="D14" s="3" t="str">
        <f ca="1">IFERROR(__xludf.DUMMYFUNCTION("""COMPUTED_VALUE"""),"N")</f>
        <v>N</v>
      </c>
      <c r="E14" s="6">
        <f ca="1">IFERROR(__xludf.DUMMYFUNCTION("""COMPUTED_VALUE"""),0.371)</f>
        <v>0.371</v>
      </c>
      <c r="F14" s="3" t="str">
        <f ca="1">IFERROR(__xludf.DUMMYFUNCTION("""COMPUTED_VALUE"""),"Easy")</f>
        <v>Easy</v>
      </c>
      <c r="G14" s="3" t="str">
        <f ca="1">IFERROR(__xludf.DUMMYFUNCTION("""COMPUTED_VALUE"""),"1.7813%;")</f>
        <v>1.7813%;</v>
      </c>
    </row>
    <row r="15" spans="1:7" x14ac:dyDescent="0.2">
      <c r="A15" s="3">
        <f ca="1">IFERROR(__xludf.DUMMYFUNCTION("""COMPUTED_VALUE"""),70)</f>
        <v>70</v>
      </c>
      <c r="B15" s="4" t="str">
        <f ca="1">IFERROR(__xludf.DUMMYFUNCTION("""COMPUTED_VALUE"""),"Climbing Stairs")</f>
        <v>Climbing Stairs</v>
      </c>
      <c r="C15" s="8" t="str">
        <f ca="1">IFERROR(__xludf.DUMMYFUNCTION("""COMPUTED_VALUE"""),"https://leetcode.com/problems/climbing-stairs")</f>
        <v>https://leetcode.com/problems/climbing-stairs</v>
      </c>
      <c r="D15" s="3" t="str">
        <f ca="1">IFERROR(__xludf.DUMMYFUNCTION("""COMPUTED_VALUE"""),"N")</f>
        <v>N</v>
      </c>
      <c r="E15" s="6">
        <f ca="1">IFERROR(__xludf.DUMMYFUNCTION("""COMPUTED_VALUE"""),0.518)</f>
        <v>0.51800000000000002</v>
      </c>
      <c r="F15" s="3" t="str">
        <f ca="1">IFERROR(__xludf.DUMMYFUNCTION("""COMPUTED_VALUE"""),"Easy")</f>
        <v>Easy</v>
      </c>
      <c r="G15" s="3" t="str">
        <f ca="1">IFERROR(__xludf.DUMMYFUNCTION("""COMPUTED_VALUE"""),"14.596%;")</f>
        <v>14.596%;</v>
      </c>
    </row>
    <row r="16" spans="1:7" x14ac:dyDescent="0.2">
      <c r="A16" s="3">
        <f ca="1">IFERROR(__xludf.DUMMYFUNCTION("""COMPUTED_VALUE"""),83)</f>
        <v>83</v>
      </c>
      <c r="B16" s="4" t="str">
        <f ca="1">IFERROR(__xludf.DUMMYFUNCTION("""COMPUTED_VALUE"""),"Remove Duplicates from Sorted List")</f>
        <v>Remove Duplicates from Sorted List</v>
      </c>
      <c r="C16" s="8" t="str">
        <f ca="1">IFERROR(__xludf.DUMMYFUNCTION("""COMPUTED_VALUE"""),"https://leetcode.com/problems/remove-duplicates-from-sorted-list")</f>
        <v>https://leetcode.com/problems/remove-duplicates-from-sorted-list</v>
      </c>
      <c r="D16" s="3" t="str">
        <f ca="1">IFERROR(__xludf.DUMMYFUNCTION("""COMPUTED_VALUE"""),"N")</f>
        <v>N</v>
      </c>
      <c r="E16" s="6">
        <f ca="1">IFERROR(__xludf.DUMMYFUNCTION("""COMPUTED_VALUE"""),0.499)</f>
        <v>0.499</v>
      </c>
      <c r="F16" s="3" t="str">
        <f ca="1">IFERROR(__xludf.DUMMYFUNCTION("""COMPUTED_VALUE"""),"Easy")</f>
        <v>Easy</v>
      </c>
      <c r="G16" s="3" t="str">
        <f ca="1">IFERROR(__xludf.DUMMYFUNCTION("""COMPUTED_VALUE"""),"1.63519%;")</f>
        <v>1.63519%;</v>
      </c>
    </row>
    <row r="17" spans="1:7" x14ac:dyDescent="0.2">
      <c r="A17" s="3">
        <f ca="1">IFERROR(__xludf.DUMMYFUNCTION("""COMPUTED_VALUE"""),88)</f>
        <v>88</v>
      </c>
      <c r="B17" s="4" t="str">
        <f ca="1">IFERROR(__xludf.DUMMYFUNCTION("""COMPUTED_VALUE"""),"Merge Sorted Array")</f>
        <v>Merge Sorted Array</v>
      </c>
      <c r="C17" s="8" t="str">
        <f ca="1">IFERROR(__xludf.DUMMYFUNCTION("""COMPUTED_VALUE"""),"https://leetcode.com/problems/merge-sorted-array")</f>
        <v>https://leetcode.com/problems/merge-sorted-array</v>
      </c>
      <c r="D17" s="3" t="str">
        <f ca="1">IFERROR(__xludf.DUMMYFUNCTION("""COMPUTED_VALUE"""),"N")</f>
        <v>N</v>
      </c>
      <c r="E17" s="6">
        <f ca="1">IFERROR(__xludf.DUMMYFUNCTION("""COMPUTED_VALUE"""),0.458)</f>
        <v>0.45800000000000002</v>
      </c>
      <c r="F17" s="3" t="str">
        <f ca="1">IFERROR(__xludf.DUMMYFUNCTION("""COMPUTED_VALUE"""),"Easy")</f>
        <v>Easy</v>
      </c>
      <c r="G17" s="3" t="str">
        <f ca="1">IFERROR(__xludf.DUMMYFUNCTION("""COMPUTED_VALUE"""),"7.7498%;")</f>
        <v>7.7498%;</v>
      </c>
    </row>
    <row r="18" spans="1:7" x14ac:dyDescent="0.2">
      <c r="A18" s="3">
        <f ca="1">IFERROR(__xludf.DUMMYFUNCTION("""COMPUTED_VALUE"""),94)</f>
        <v>94</v>
      </c>
      <c r="B18" s="4" t="str">
        <f ca="1">IFERROR(__xludf.DUMMYFUNCTION("""COMPUTED_VALUE"""),"Binary Tree Inorder Traversal")</f>
        <v>Binary Tree Inorder Traversal</v>
      </c>
      <c r="C18" s="8" t="str">
        <f ca="1">IFERROR(__xludf.DUMMYFUNCTION("""COMPUTED_VALUE"""),"https://leetcode.com/problems/binary-tree-inorder-traversal")</f>
        <v>https://leetcode.com/problems/binary-tree-inorder-traversal</v>
      </c>
      <c r="D18" s="3" t="str">
        <f ca="1">IFERROR(__xludf.DUMMYFUNCTION("""COMPUTED_VALUE"""),"N")</f>
        <v>N</v>
      </c>
      <c r="E18" s="6">
        <f ca="1">IFERROR(__xludf.DUMMYFUNCTION("""COMPUTED_VALUE"""),0.731)</f>
        <v>0.73099999999999998</v>
      </c>
      <c r="F18" s="3" t="str">
        <f ca="1">IFERROR(__xludf.DUMMYFUNCTION("""COMPUTED_VALUE"""),"Easy")</f>
        <v>Easy</v>
      </c>
      <c r="G18" s="3" t="str">
        <f ca="1">IFERROR(__xludf.DUMMYFUNCTION("""COMPUTED_VALUE"""),"6.36691%;")</f>
        <v>6.36691%;</v>
      </c>
    </row>
    <row r="19" spans="1:7" x14ac:dyDescent="0.2">
      <c r="A19" s="3">
        <f ca="1">IFERROR(__xludf.DUMMYFUNCTION("""COMPUTED_VALUE"""),100)</f>
        <v>100</v>
      </c>
      <c r="B19" s="4" t="str">
        <f ca="1">IFERROR(__xludf.DUMMYFUNCTION("""COMPUTED_VALUE"""),"Same Tree")</f>
        <v>Same Tree</v>
      </c>
      <c r="C19" s="8" t="str">
        <f ca="1">IFERROR(__xludf.DUMMYFUNCTION("""COMPUTED_VALUE"""),"https://leetcode.com/problems/same-tree")</f>
        <v>https://leetcode.com/problems/same-tree</v>
      </c>
      <c r="D19" s="3" t="str">
        <f ca="1">IFERROR(__xludf.DUMMYFUNCTION("""COMPUTED_VALUE"""),"N")</f>
        <v>N</v>
      </c>
      <c r="E19" s="6">
        <f ca="1">IFERROR(__xludf.DUMMYFUNCTION("""COMPUTED_VALUE"""),0.564)</f>
        <v>0.56399999999999995</v>
      </c>
      <c r="F19" s="3" t="str">
        <f ca="1">IFERROR(__xludf.DUMMYFUNCTION("""COMPUTED_VALUE"""),"Easy")</f>
        <v>Easy</v>
      </c>
      <c r="G19" s="3" t="str">
        <f ca="1">IFERROR(__xludf.DUMMYFUNCTION("""COMPUTED_VALUE"""),"5.60157%;")</f>
        <v>5.60157%;</v>
      </c>
    </row>
    <row r="20" spans="1:7" x14ac:dyDescent="0.2">
      <c r="A20" s="3">
        <f ca="1">IFERROR(__xludf.DUMMYFUNCTION("""COMPUTED_VALUE"""),101)</f>
        <v>101</v>
      </c>
      <c r="B20" s="4" t="str">
        <f ca="1">IFERROR(__xludf.DUMMYFUNCTION("""COMPUTED_VALUE"""),"Symmetric Tree")</f>
        <v>Symmetric Tree</v>
      </c>
      <c r="C20" s="8" t="str">
        <f ca="1">IFERROR(__xludf.DUMMYFUNCTION("""COMPUTED_VALUE"""),"https://leetcode.com/problems/symmetric-tree")</f>
        <v>https://leetcode.com/problems/symmetric-tree</v>
      </c>
      <c r="D20" s="3" t="str">
        <f ca="1">IFERROR(__xludf.DUMMYFUNCTION("""COMPUTED_VALUE"""),"N")</f>
        <v>N</v>
      </c>
      <c r="E20" s="6">
        <f ca="1">IFERROR(__xludf.DUMMYFUNCTION("""COMPUTED_VALUE"""),0.53)</f>
        <v>0.53</v>
      </c>
      <c r="F20" s="3" t="str">
        <f ca="1">IFERROR(__xludf.DUMMYFUNCTION("""COMPUTED_VALUE"""),"Easy")</f>
        <v>Easy</v>
      </c>
      <c r="G20" s="3" t="str">
        <f ca="1">IFERROR(__xludf.DUMMYFUNCTION("""COMPUTED_VALUE"""),"8.25677%;")</f>
        <v>8.25677%;</v>
      </c>
    </row>
    <row r="21" spans="1:7" x14ac:dyDescent="0.2">
      <c r="A21" s="3">
        <f ca="1">IFERROR(__xludf.DUMMYFUNCTION("""COMPUTED_VALUE"""),104)</f>
        <v>104</v>
      </c>
      <c r="B21" s="4" t="str">
        <f ca="1">IFERROR(__xludf.DUMMYFUNCTION("""COMPUTED_VALUE"""),"Maximum Depth of Binary Tree")</f>
        <v>Maximum Depth of Binary Tree</v>
      </c>
      <c r="C21" s="8" t="str">
        <f ca="1">IFERROR(__xludf.DUMMYFUNCTION("""COMPUTED_VALUE"""),"https://leetcode.com/problems/maximum-depth-of-binary-tree")</f>
        <v>https://leetcode.com/problems/maximum-depth-of-binary-tree</v>
      </c>
      <c r="D21" s="3" t="str">
        <f ca="1">IFERROR(__xludf.DUMMYFUNCTION("""COMPUTED_VALUE"""),"N")</f>
        <v>N</v>
      </c>
      <c r="E21" s="6">
        <f ca="1">IFERROR(__xludf.DUMMYFUNCTION("""COMPUTED_VALUE"""),0.732)</f>
        <v>0.73199999999999998</v>
      </c>
      <c r="F21" s="3" t="str">
        <f ca="1">IFERROR(__xludf.DUMMYFUNCTION("""COMPUTED_VALUE"""),"Easy")</f>
        <v>Easy</v>
      </c>
      <c r="G21" s="3" t="str">
        <f ca="1">IFERROR(__xludf.DUMMYFUNCTION("""COMPUTED_VALUE"""),"3.41217%;")</f>
        <v>3.41217%;</v>
      </c>
    </row>
    <row r="22" spans="1:7" x14ac:dyDescent="0.2">
      <c r="A22" s="3">
        <f ca="1">IFERROR(__xludf.DUMMYFUNCTION("""COMPUTED_VALUE"""),108)</f>
        <v>108</v>
      </c>
      <c r="B22" s="4" t="str">
        <f ca="1">IFERROR(__xludf.DUMMYFUNCTION("""COMPUTED_VALUE"""),"Convert Sorted Array to Binary Search Tree")</f>
        <v>Convert Sorted Array to Binary Search Tree</v>
      </c>
      <c r="C22" s="8" t="str">
        <f ca="1">IFERROR(__xludf.DUMMYFUNCTION("""COMPUTED_VALUE"""),"https://leetcode.com/problems/convert-sorted-array-to-binary-search-tree")</f>
        <v>https://leetcode.com/problems/convert-sorted-array-to-binary-search-tree</v>
      </c>
      <c r="D22" s="3" t="str">
        <f ca="1">IFERROR(__xludf.DUMMYFUNCTION("""COMPUTED_VALUE"""),"N")</f>
        <v>N</v>
      </c>
      <c r="E22" s="6">
        <f ca="1">IFERROR(__xludf.DUMMYFUNCTION("""COMPUTED_VALUE"""),0.691)</f>
        <v>0.69099999999999995</v>
      </c>
      <c r="F22" s="3" t="str">
        <f ca="1">IFERROR(__xludf.DUMMYFUNCTION("""COMPUTED_VALUE"""),"Easy")</f>
        <v>Easy</v>
      </c>
      <c r="G22" s="3" t="str">
        <f ca="1">IFERROR(__xludf.DUMMYFUNCTION("""COMPUTED_VALUE"""),"5.35869%;")</f>
        <v>5.35869%;</v>
      </c>
    </row>
    <row r="23" spans="1:7" x14ac:dyDescent="0.2">
      <c r="A23" s="3">
        <f ca="1">IFERROR(__xludf.DUMMYFUNCTION("""COMPUTED_VALUE"""),111)</f>
        <v>111</v>
      </c>
      <c r="B23" s="4" t="str">
        <f ca="1">IFERROR(__xludf.DUMMYFUNCTION("""COMPUTED_VALUE"""),"Minimum Depth of Binary Tree")</f>
        <v>Minimum Depth of Binary Tree</v>
      </c>
      <c r="C23" s="8" t="str">
        <f ca="1">IFERROR(__xludf.DUMMYFUNCTION("""COMPUTED_VALUE"""),"https://leetcode.com/problems/minimum-depth-of-binary-tree")</f>
        <v>https://leetcode.com/problems/minimum-depth-of-binary-tree</v>
      </c>
      <c r="D23" s="3" t="str">
        <f ca="1">IFERROR(__xludf.DUMMYFUNCTION("""COMPUTED_VALUE"""),"N")</f>
        <v>N</v>
      </c>
      <c r="E23" s="6">
        <f ca="1">IFERROR(__xludf.DUMMYFUNCTION("""COMPUTED_VALUE"""),0.436)</f>
        <v>0.436</v>
      </c>
      <c r="F23" s="3" t="str">
        <f ca="1">IFERROR(__xludf.DUMMYFUNCTION("""COMPUTED_VALUE"""),"Easy")</f>
        <v>Easy</v>
      </c>
      <c r="G23" s="3" t="str">
        <f ca="1">IFERROR(__xludf.DUMMYFUNCTION("""COMPUTED_VALUE"""),"2.68755%;")</f>
        <v>2.68755%;</v>
      </c>
    </row>
    <row r="24" spans="1:7" x14ac:dyDescent="0.2">
      <c r="A24" s="3">
        <f ca="1">IFERROR(__xludf.DUMMYFUNCTION("""COMPUTED_VALUE"""),112)</f>
        <v>112</v>
      </c>
      <c r="B24" s="4" t="str">
        <f ca="1">IFERROR(__xludf.DUMMYFUNCTION("""COMPUTED_VALUE"""),"Path Sum")</f>
        <v>Path Sum</v>
      </c>
      <c r="C24" s="8" t="str">
        <f ca="1">IFERROR(__xludf.DUMMYFUNCTION("""COMPUTED_VALUE"""),"https://leetcode.com/problems/path-sum")</f>
        <v>https://leetcode.com/problems/path-sum</v>
      </c>
      <c r="D24" s="3" t="str">
        <f ca="1">IFERROR(__xludf.DUMMYFUNCTION("""COMPUTED_VALUE"""),"N")</f>
        <v>N</v>
      </c>
      <c r="E24" s="6">
        <f ca="1">IFERROR(__xludf.DUMMYFUNCTION("""COMPUTED_VALUE"""),0.477)</f>
        <v>0.47699999999999998</v>
      </c>
      <c r="F24" s="3" t="str">
        <f ca="1">IFERROR(__xludf.DUMMYFUNCTION("""COMPUTED_VALUE"""),"Easy")</f>
        <v>Easy</v>
      </c>
      <c r="G24" s="3" t="str">
        <f ca="1">IFERROR(__xludf.DUMMYFUNCTION("""COMPUTED_VALUE"""),"7.29483%;")</f>
        <v>7.29483%;</v>
      </c>
    </row>
    <row r="25" spans="1:7" x14ac:dyDescent="0.2">
      <c r="A25" s="3">
        <f ca="1">IFERROR(__xludf.DUMMYFUNCTION("""COMPUTED_VALUE"""),118)</f>
        <v>118</v>
      </c>
      <c r="B25" s="4" t="str">
        <f ca="1">IFERROR(__xludf.DUMMYFUNCTION("""COMPUTED_VALUE"""),"Pascal's Triangle")</f>
        <v>Pascal's Triangle</v>
      </c>
      <c r="C25" s="8" t="str">
        <f ca="1">IFERROR(__xludf.DUMMYFUNCTION("""COMPUTED_VALUE"""),"https://leetcode.com/problems/pascals-triangle")</f>
        <v>https://leetcode.com/problems/pascals-triangle</v>
      </c>
      <c r="D25" s="3" t="str">
        <f ca="1">IFERROR(__xludf.DUMMYFUNCTION("""COMPUTED_VALUE"""),"N")</f>
        <v>N</v>
      </c>
      <c r="E25" s="6">
        <f ca="1">IFERROR(__xludf.DUMMYFUNCTION("""COMPUTED_VALUE"""),0.693)</f>
        <v>0.69299999999999995</v>
      </c>
      <c r="F25" s="3" t="str">
        <f ca="1">IFERROR(__xludf.DUMMYFUNCTION("""COMPUTED_VALUE"""),"Easy")</f>
        <v>Easy</v>
      </c>
      <c r="G25" s="3" t="str">
        <f ca="1">IFERROR(__xludf.DUMMYFUNCTION("""COMPUTED_VALUE"""),"17.5763%;")</f>
        <v>17.5763%;</v>
      </c>
    </row>
    <row r="26" spans="1:7" x14ac:dyDescent="0.2">
      <c r="A26" s="3">
        <f ca="1">IFERROR(__xludf.DUMMYFUNCTION("""COMPUTED_VALUE"""),119)</f>
        <v>119</v>
      </c>
      <c r="B26" s="4" t="str">
        <f ca="1">IFERROR(__xludf.DUMMYFUNCTION("""COMPUTED_VALUE"""),"Pascal's Triangle II")</f>
        <v>Pascal's Triangle II</v>
      </c>
      <c r="C26" s="8" t="str">
        <f ca="1">IFERROR(__xludf.DUMMYFUNCTION("""COMPUTED_VALUE"""),"https://leetcode.com/problems/pascals-triangle-ii")</f>
        <v>https://leetcode.com/problems/pascals-triangle-ii</v>
      </c>
      <c r="D26" s="3" t="str">
        <f ca="1">IFERROR(__xludf.DUMMYFUNCTION("""COMPUTED_VALUE"""),"N")</f>
        <v>N</v>
      </c>
      <c r="E26" s="6">
        <f ca="1">IFERROR(__xludf.DUMMYFUNCTION("""COMPUTED_VALUE"""),0.598)</f>
        <v>0.59799999999999998</v>
      </c>
      <c r="F26" s="3" t="str">
        <f ca="1">IFERROR(__xludf.DUMMYFUNCTION("""COMPUTED_VALUE"""),"Easy")</f>
        <v>Easy</v>
      </c>
      <c r="G26" s="3" t="str">
        <f ca="1">IFERROR(__xludf.DUMMYFUNCTION("""COMPUTED_VALUE"""),"3.35164%;")</f>
        <v>3.35164%;</v>
      </c>
    </row>
    <row r="27" spans="1:7" x14ac:dyDescent="0.2">
      <c r="A27" s="3">
        <f ca="1">IFERROR(__xludf.DUMMYFUNCTION("""COMPUTED_VALUE"""),121)</f>
        <v>121</v>
      </c>
      <c r="B27" s="4" t="str">
        <f ca="1">IFERROR(__xludf.DUMMYFUNCTION("""COMPUTED_VALUE"""),"Best Time to Buy and Sell Stock")</f>
        <v>Best Time to Buy and Sell Stock</v>
      </c>
      <c r="C27" s="8" t="str">
        <f ca="1">IFERROR(__xludf.DUMMYFUNCTION("""COMPUTED_VALUE"""),"https://leetcode.com/problems/best-time-to-buy-and-sell-stock")</f>
        <v>https://leetcode.com/problems/best-time-to-buy-and-sell-stock</v>
      </c>
      <c r="D27" s="3" t="str">
        <f ca="1">IFERROR(__xludf.DUMMYFUNCTION("""COMPUTED_VALUE"""),"N")</f>
        <v>N</v>
      </c>
      <c r="E27" s="6">
        <f ca="1">IFERROR(__xludf.DUMMYFUNCTION("""COMPUTED_VALUE"""),0.544)</f>
        <v>0.54400000000000004</v>
      </c>
      <c r="F27" s="3" t="str">
        <f ca="1">IFERROR(__xludf.DUMMYFUNCTION("""COMPUTED_VALUE"""),"Easy")</f>
        <v>Easy</v>
      </c>
      <c r="G27" s="3" t="str">
        <f ca="1">IFERROR(__xludf.DUMMYFUNCTION("""COMPUTED_VALUE"""),"38.0873%;")</f>
        <v>38.0873%;</v>
      </c>
    </row>
    <row r="28" spans="1:7" x14ac:dyDescent="0.2">
      <c r="A28" s="3">
        <f ca="1">IFERROR(__xludf.DUMMYFUNCTION("""COMPUTED_VALUE"""),125)</f>
        <v>125</v>
      </c>
      <c r="B28" s="4" t="str">
        <f ca="1">IFERROR(__xludf.DUMMYFUNCTION("""COMPUTED_VALUE"""),"Valid Palindrome")</f>
        <v>Valid Palindrome</v>
      </c>
      <c r="C28" s="8" t="str">
        <f ca="1">IFERROR(__xludf.DUMMYFUNCTION("""COMPUTED_VALUE"""),"https://leetcode.com/problems/valid-palindrome")</f>
        <v>https://leetcode.com/problems/valid-palindrome</v>
      </c>
      <c r="D28" s="3" t="str">
        <f ca="1">IFERROR(__xludf.DUMMYFUNCTION("""COMPUTED_VALUE"""),"N")</f>
        <v>N</v>
      </c>
      <c r="E28" s="6">
        <f ca="1">IFERROR(__xludf.DUMMYFUNCTION("""COMPUTED_VALUE"""),0.437)</f>
        <v>0.437</v>
      </c>
      <c r="F28" s="3" t="str">
        <f ca="1">IFERROR(__xludf.DUMMYFUNCTION("""COMPUTED_VALUE"""),"Easy")</f>
        <v>Easy</v>
      </c>
      <c r="G28" s="3" t="str">
        <f ca="1">IFERROR(__xludf.DUMMYFUNCTION("""COMPUTED_VALUE"""),"0.355141%;")</f>
        <v>0.355141%;</v>
      </c>
    </row>
    <row r="29" spans="1:7" x14ac:dyDescent="0.2">
      <c r="A29" s="3">
        <f ca="1">IFERROR(__xludf.DUMMYFUNCTION("""COMPUTED_VALUE"""),136)</f>
        <v>136</v>
      </c>
      <c r="B29" s="4" t="str">
        <f ca="1">IFERROR(__xludf.DUMMYFUNCTION("""COMPUTED_VALUE"""),"Single Number")</f>
        <v>Single Number</v>
      </c>
      <c r="C29" s="8" t="str">
        <f ca="1">IFERROR(__xludf.DUMMYFUNCTION("""COMPUTED_VALUE"""),"https://leetcode.com/problems/single-number")</f>
        <v>https://leetcode.com/problems/single-number</v>
      </c>
      <c r="D29" s="3" t="str">
        <f ca="1">IFERROR(__xludf.DUMMYFUNCTION("""COMPUTED_VALUE"""),"N")</f>
        <v>N</v>
      </c>
      <c r="E29" s="6">
        <f ca="1">IFERROR(__xludf.DUMMYFUNCTION("""COMPUTED_VALUE"""),0.701)</f>
        <v>0.70099999999999996</v>
      </c>
      <c r="F29" s="3" t="str">
        <f ca="1">IFERROR(__xludf.DUMMYFUNCTION("""COMPUTED_VALUE"""),"Easy")</f>
        <v>Easy</v>
      </c>
      <c r="G29" s="3" t="str">
        <f ca="1">IFERROR(__xludf.DUMMYFUNCTION("""COMPUTED_VALUE"""),"10.5866%;")</f>
        <v>10.5866%;</v>
      </c>
    </row>
    <row r="30" spans="1:7" x14ac:dyDescent="0.2">
      <c r="A30" s="3">
        <f ca="1">IFERROR(__xludf.DUMMYFUNCTION("""COMPUTED_VALUE"""),141)</f>
        <v>141</v>
      </c>
      <c r="B30" s="4" t="str">
        <f ca="1">IFERROR(__xludf.DUMMYFUNCTION("""COMPUTED_VALUE"""),"Linked List Cycle")</f>
        <v>Linked List Cycle</v>
      </c>
      <c r="C30" s="8" t="str">
        <f ca="1">IFERROR(__xludf.DUMMYFUNCTION("""COMPUTED_VALUE"""),"https://leetcode.com/problems/linked-list-cycle")</f>
        <v>https://leetcode.com/problems/linked-list-cycle</v>
      </c>
      <c r="D30" s="3" t="str">
        <f ca="1">IFERROR(__xludf.DUMMYFUNCTION("""COMPUTED_VALUE"""),"N")</f>
        <v>N</v>
      </c>
      <c r="E30" s="6">
        <f ca="1">IFERROR(__xludf.DUMMYFUNCTION("""COMPUTED_VALUE"""),0.469)</f>
        <v>0.46899999999999997</v>
      </c>
      <c r="F30" s="3" t="str">
        <f ca="1">IFERROR(__xludf.DUMMYFUNCTION("""COMPUTED_VALUE"""),"Easy")</f>
        <v>Easy</v>
      </c>
      <c r="G30" s="3" t="str">
        <f ca="1">IFERROR(__xludf.DUMMYFUNCTION("""COMPUTED_VALUE"""),"5.56001%;")</f>
        <v>5.56001%;</v>
      </c>
    </row>
    <row r="31" spans="1:7" x14ac:dyDescent="0.2">
      <c r="A31" s="3">
        <f ca="1">IFERROR(__xludf.DUMMYFUNCTION("""COMPUTED_VALUE"""),160)</f>
        <v>160</v>
      </c>
      <c r="B31" s="4" t="str">
        <f ca="1">IFERROR(__xludf.DUMMYFUNCTION("""COMPUTED_VALUE"""),"Intersection of Two Linked Lists")</f>
        <v>Intersection of Two Linked Lists</v>
      </c>
      <c r="C31" s="8" t="str">
        <f ca="1">IFERROR(__xludf.DUMMYFUNCTION("""COMPUTED_VALUE"""),"https://leetcode.com/problems/intersection-of-two-linked-lists")</f>
        <v>https://leetcode.com/problems/intersection-of-two-linked-lists</v>
      </c>
      <c r="D31" s="3" t="str">
        <f ca="1">IFERROR(__xludf.DUMMYFUNCTION("""COMPUTED_VALUE"""),"N")</f>
        <v>N</v>
      </c>
      <c r="E31" s="6">
        <f ca="1">IFERROR(__xludf.DUMMYFUNCTION("""COMPUTED_VALUE"""),0.534)</f>
        <v>0.53400000000000003</v>
      </c>
      <c r="F31" s="3" t="str">
        <f ca="1">IFERROR(__xludf.DUMMYFUNCTION("""COMPUTED_VALUE"""),"Easy")</f>
        <v>Easy</v>
      </c>
      <c r="G31" s="3" t="str">
        <f ca="1">IFERROR(__xludf.DUMMYFUNCTION("""COMPUTED_VALUE"""),"0.858184%;")</f>
        <v>0.858184%;</v>
      </c>
    </row>
    <row r="32" spans="1:7" x14ac:dyDescent="0.2">
      <c r="A32" s="3">
        <f ca="1">IFERROR(__xludf.DUMMYFUNCTION("""COMPUTED_VALUE"""),168)</f>
        <v>168</v>
      </c>
      <c r="B32" s="4" t="str">
        <f ca="1">IFERROR(__xludf.DUMMYFUNCTION("""COMPUTED_VALUE"""),"Excel Sheet Column Title")</f>
        <v>Excel Sheet Column Title</v>
      </c>
      <c r="C32" s="8" t="str">
        <f ca="1">IFERROR(__xludf.DUMMYFUNCTION("""COMPUTED_VALUE"""),"https://leetcode.com/problems/excel-sheet-column-title")</f>
        <v>https://leetcode.com/problems/excel-sheet-column-title</v>
      </c>
      <c r="D32" s="3" t="str">
        <f ca="1">IFERROR(__xludf.DUMMYFUNCTION("""COMPUTED_VALUE"""),"N")</f>
        <v>N</v>
      </c>
      <c r="E32" s="6">
        <f ca="1">IFERROR(__xludf.DUMMYFUNCTION("""COMPUTED_VALUE"""),0.348)</f>
        <v>0.34799999999999998</v>
      </c>
      <c r="F32" s="3" t="str">
        <f ca="1">IFERROR(__xludf.DUMMYFUNCTION("""COMPUTED_VALUE"""),"Easy")</f>
        <v>Easy</v>
      </c>
      <c r="G32" s="3" t="str">
        <f ca="1">IFERROR(__xludf.DUMMYFUNCTION("""COMPUTED_VALUE"""),"2.5692%;")</f>
        <v>2.5692%;</v>
      </c>
    </row>
    <row r="33" spans="1:7" x14ac:dyDescent="0.2">
      <c r="A33" s="3">
        <f ca="1">IFERROR(__xludf.DUMMYFUNCTION("""COMPUTED_VALUE"""),169)</f>
        <v>169</v>
      </c>
      <c r="B33" s="4" t="str">
        <f ca="1">IFERROR(__xludf.DUMMYFUNCTION("""COMPUTED_VALUE"""),"Majority Element")</f>
        <v>Majority Element</v>
      </c>
      <c r="C33" s="8" t="str">
        <f ca="1">IFERROR(__xludf.DUMMYFUNCTION("""COMPUTED_VALUE"""),"https://leetcode.com/problems/majority-element")</f>
        <v>https://leetcode.com/problems/majority-element</v>
      </c>
      <c r="D33" s="3" t="str">
        <f ca="1">IFERROR(__xludf.DUMMYFUNCTION("""COMPUTED_VALUE"""),"N")</f>
        <v>N</v>
      </c>
      <c r="E33" s="6">
        <f ca="1">IFERROR(__xludf.DUMMYFUNCTION("""COMPUTED_VALUE"""),0.639)</f>
        <v>0.63900000000000001</v>
      </c>
      <c r="F33" s="3" t="str">
        <f ca="1">IFERROR(__xludf.DUMMYFUNCTION("""COMPUTED_VALUE"""),"Easy")</f>
        <v>Easy</v>
      </c>
      <c r="G33" s="3" t="str">
        <f ca="1">IFERROR(__xludf.DUMMYFUNCTION("""COMPUTED_VALUE"""),"9.48009%;")</f>
        <v>9.48009%;</v>
      </c>
    </row>
    <row r="34" spans="1:7" x14ac:dyDescent="0.2">
      <c r="A34" s="3">
        <f ca="1">IFERROR(__xludf.DUMMYFUNCTION("""COMPUTED_VALUE"""),175)</f>
        <v>175</v>
      </c>
      <c r="B34" s="4" t="str">
        <f ca="1">IFERROR(__xludf.DUMMYFUNCTION("""COMPUTED_VALUE"""),"Combine Two Tables")</f>
        <v>Combine Two Tables</v>
      </c>
      <c r="C34" s="8" t="str">
        <f ca="1">IFERROR(__xludf.DUMMYFUNCTION("""COMPUTED_VALUE"""),"https://leetcode.com/problems/combine-two-tables")</f>
        <v>https://leetcode.com/problems/combine-two-tables</v>
      </c>
      <c r="D34" s="3" t="str">
        <f ca="1">IFERROR(__xludf.DUMMYFUNCTION("""COMPUTED_VALUE"""),"N")</f>
        <v>N</v>
      </c>
      <c r="E34" s="6">
        <f ca="1">IFERROR(__xludf.DUMMYFUNCTION("""COMPUTED_VALUE"""),0.731)</f>
        <v>0.73099999999999998</v>
      </c>
      <c r="F34" s="3" t="str">
        <f ca="1">IFERROR(__xludf.DUMMYFUNCTION("""COMPUTED_VALUE"""),"Easy")</f>
        <v>Easy</v>
      </c>
      <c r="G34" s="3" t="str">
        <f ca="1">IFERROR(__xludf.DUMMYFUNCTION("""COMPUTED_VALUE"""),"3.25329%;")</f>
        <v>3.25329%;</v>
      </c>
    </row>
    <row r="35" spans="1:7" x14ac:dyDescent="0.2">
      <c r="A35" s="3">
        <f ca="1">IFERROR(__xludf.DUMMYFUNCTION("""COMPUTED_VALUE"""),181)</f>
        <v>181</v>
      </c>
      <c r="B35" s="4" t="str">
        <f ca="1">IFERROR(__xludf.DUMMYFUNCTION("""COMPUTED_VALUE"""),"Employees Earning More Than Their Managers")</f>
        <v>Employees Earning More Than Their Managers</v>
      </c>
      <c r="C35" s="8" t="str">
        <f ca="1">IFERROR(__xludf.DUMMYFUNCTION("""COMPUTED_VALUE"""),"https://leetcode.com/problems/employees-earning-more-than-their-managers")</f>
        <v>https://leetcode.com/problems/employees-earning-more-than-their-managers</v>
      </c>
      <c r="D35" s="3" t="str">
        <f ca="1">IFERROR(__xludf.DUMMYFUNCTION("""COMPUTED_VALUE"""),"N")</f>
        <v>N</v>
      </c>
      <c r="E35" s="6">
        <f ca="1">IFERROR(__xludf.DUMMYFUNCTION("""COMPUTED_VALUE"""),0.686)</f>
        <v>0.68600000000000005</v>
      </c>
      <c r="F35" s="3" t="str">
        <f ca="1">IFERROR(__xludf.DUMMYFUNCTION("""COMPUTED_VALUE"""),"Easy")</f>
        <v>Easy</v>
      </c>
      <c r="G35" s="3" t="str">
        <f ca="1">IFERROR(__xludf.DUMMYFUNCTION("""COMPUTED_VALUE"""),"1.57702%;")</f>
        <v>1.57702%;</v>
      </c>
    </row>
    <row r="36" spans="1:7" x14ac:dyDescent="0.2">
      <c r="A36" s="3">
        <f ca="1">IFERROR(__xludf.DUMMYFUNCTION("""COMPUTED_VALUE"""),183)</f>
        <v>183</v>
      </c>
      <c r="B36" s="4" t="str">
        <f ca="1">IFERROR(__xludf.DUMMYFUNCTION("""COMPUTED_VALUE"""),"Customers Who Never Order")</f>
        <v>Customers Who Never Order</v>
      </c>
      <c r="C36" s="8" t="str">
        <f ca="1">IFERROR(__xludf.DUMMYFUNCTION("""COMPUTED_VALUE"""),"https://leetcode.com/problems/customers-who-never-order")</f>
        <v>https://leetcode.com/problems/customers-who-never-order</v>
      </c>
      <c r="D36" s="3" t="str">
        <f ca="1">IFERROR(__xludf.DUMMYFUNCTION("""COMPUTED_VALUE"""),"N")</f>
        <v>N</v>
      </c>
      <c r="E36" s="6">
        <f ca="1">IFERROR(__xludf.DUMMYFUNCTION("""COMPUTED_VALUE"""),0.681)</f>
        <v>0.68100000000000005</v>
      </c>
      <c r="F36" s="3" t="str">
        <f ca="1">IFERROR(__xludf.DUMMYFUNCTION("""COMPUTED_VALUE"""),"Easy")</f>
        <v>Easy</v>
      </c>
      <c r="G36" s="3" t="str">
        <f ca="1">IFERROR(__xludf.DUMMYFUNCTION("""COMPUTED_VALUE"""),"0.688879%;")</f>
        <v>0.688879%;</v>
      </c>
    </row>
    <row r="37" spans="1:7" x14ac:dyDescent="0.2">
      <c r="A37" s="3">
        <f ca="1">IFERROR(__xludf.DUMMYFUNCTION("""COMPUTED_VALUE"""),190)</f>
        <v>190</v>
      </c>
      <c r="B37" s="4" t="str">
        <f ca="1">IFERROR(__xludf.DUMMYFUNCTION("""COMPUTED_VALUE"""),"Reverse Bits")</f>
        <v>Reverse Bits</v>
      </c>
      <c r="C37" s="8" t="str">
        <f ca="1">IFERROR(__xludf.DUMMYFUNCTION("""COMPUTED_VALUE"""),"https://leetcode.com/problems/reverse-bits")</f>
        <v>https://leetcode.com/problems/reverse-bits</v>
      </c>
      <c r="D37" s="3" t="str">
        <f ca="1">IFERROR(__xludf.DUMMYFUNCTION("""COMPUTED_VALUE"""),"N")</f>
        <v>N</v>
      </c>
      <c r="E37" s="6">
        <f ca="1">IFERROR(__xludf.DUMMYFUNCTION("""COMPUTED_VALUE"""),0.524)</f>
        <v>0.52400000000000002</v>
      </c>
      <c r="F37" s="3" t="str">
        <f ca="1">IFERROR(__xludf.DUMMYFUNCTION("""COMPUTED_VALUE"""),"Easy")</f>
        <v>Easy</v>
      </c>
      <c r="G37" s="3" t="str">
        <f ca="1">IFERROR(__xludf.DUMMYFUNCTION("""COMPUTED_VALUE"""),"7.88937%;")</f>
        <v>7.88937%;</v>
      </c>
    </row>
    <row r="38" spans="1:7" x14ac:dyDescent="0.2">
      <c r="A38" s="3">
        <f ca="1">IFERROR(__xludf.DUMMYFUNCTION("""COMPUTED_VALUE"""),191)</f>
        <v>191</v>
      </c>
      <c r="B38" s="4" t="str">
        <f ca="1">IFERROR(__xludf.DUMMYFUNCTION("""COMPUTED_VALUE"""),"Number of 1 Bits")</f>
        <v>Number of 1 Bits</v>
      </c>
      <c r="C38" s="8" t="str">
        <f ca="1">IFERROR(__xludf.DUMMYFUNCTION("""COMPUTED_VALUE"""),"https://leetcode.com/problems/number-of-1-bits")</f>
        <v>https://leetcode.com/problems/number-of-1-bits</v>
      </c>
      <c r="D38" s="3" t="str">
        <f ca="1">IFERROR(__xludf.DUMMYFUNCTION("""COMPUTED_VALUE"""),"N")</f>
        <v>N</v>
      </c>
      <c r="E38" s="6">
        <f ca="1">IFERROR(__xludf.DUMMYFUNCTION("""COMPUTED_VALUE"""),0.65)</f>
        <v>0.65</v>
      </c>
      <c r="F38" s="3" t="str">
        <f ca="1">IFERROR(__xludf.DUMMYFUNCTION("""COMPUTED_VALUE"""),"Easy")</f>
        <v>Easy</v>
      </c>
      <c r="G38" s="3" t="str">
        <f ca="1">IFERROR(__xludf.DUMMYFUNCTION("""COMPUTED_VALUE"""),"8.67044%;")</f>
        <v>8.67044%;</v>
      </c>
    </row>
    <row r="39" spans="1:7" x14ac:dyDescent="0.2">
      <c r="A39" s="3">
        <f ca="1">IFERROR(__xludf.DUMMYFUNCTION("""COMPUTED_VALUE"""),193)</f>
        <v>193</v>
      </c>
      <c r="B39" s="4" t="str">
        <f ca="1">IFERROR(__xludf.DUMMYFUNCTION("""COMPUTED_VALUE"""),"Valid Phone Numbers")</f>
        <v>Valid Phone Numbers</v>
      </c>
      <c r="C39" s="8" t="str">
        <f ca="1">IFERROR(__xludf.DUMMYFUNCTION("""COMPUTED_VALUE"""),"https://leetcode.com/problems/valid-phone-numbers")</f>
        <v>https://leetcode.com/problems/valid-phone-numbers</v>
      </c>
      <c r="D39" s="3" t="str">
        <f ca="1">IFERROR(__xludf.DUMMYFUNCTION("""COMPUTED_VALUE"""),"N")</f>
        <v>N</v>
      </c>
      <c r="E39" s="6">
        <f ca="1">IFERROR(__xludf.DUMMYFUNCTION("""COMPUTED_VALUE"""),0.26)</f>
        <v>0.26</v>
      </c>
      <c r="F39" s="3" t="str">
        <f ca="1">IFERROR(__xludf.DUMMYFUNCTION("""COMPUTED_VALUE"""),"Easy")</f>
        <v>Easy</v>
      </c>
      <c r="G39" s="3" t="str">
        <f ca="1">IFERROR(__xludf.DUMMYFUNCTION("""COMPUTED_VALUE"""),"9.23742%;")</f>
        <v>9.23742%;</v>
      </c>
    </row>
    <row r="40" spans="1:7" x14ac:dyDescent="0.2">
      <c r="A40" s="3">
        <f ca="1">IFERROR(__xludf.DUMMYFUNCTION("""COMPUTED_VALUE"""),196)</f>
        <v>196</v>
      </c>
      <c r="B40" s="4" t="str">
        <f ca="1">IFERROR(__xludf.DUMMYFUNCTION("""COMPUTED_VALUE"""),"Delete Duplicate Emails")</f>
        <v>Delete Duplicate Emails</v>
      </c>
      <c r="C40" s="8" t="str">
        <f ca="1">IFERROR(__xludf.DUMMYFUNCTION("""COMPUTED_VALUE"""),"https://leetcode.com/problems/delete-duplicate-emails")</f>
        <v>https://leetcode.com/problems/delete-duplicate-emails</v>
      </c>
      <c r="D40" s="3" t="str">
        <f ca="1">IFERROR(__xludf.DUMMYFUNCTION("""COMPUTED_VALUE"""),"N")</f>
        <v>N</v>
      </c>
      <c r="E40" s="6">
        <f ca="1">IFERROR(__xludf.DUMMYFUNCTION("""COMPUTED_VALUE"""),0.59)</f>
        <v>0.59</v>
      </c>
      <c r="F40" s="3" t="str">
        <f ca="1">IFERROR(__xludf.DUMMYFUNCTION("""COMPUTED_VALUE"""),"Easy")</f>
        <v>Easy</v>
      </c>
      <c r="G40" s="3" t="str">
        <f ca="1">IFERROR(__xludf.DUMMYFUNCTION("""COMPUTED_VALUE"""),"4.29197%;")</f>
        <v>4.29197%;</v>
      </c>
    </row>
    <row r="41" spans="1:7" x14ac:dyDescent="0.2">
      <c r="A41" s="3">
        <f ca="1">IFERROR(__xludf.DUMMYFUNCTION("""COMPUTED_VALUE"""),197)</f>
        <v>197</v>
      </c>
      <c r="B41" s="4" t="str">
        <f ca="1">IFERROR(__xludf.DUMMYFUNCTION("""COMPUTED_VALUE"""),"Rising Temperature")</f>
        <v>Rising Temperature</v>
      </c>
      <c r="C41" s="8" t="str">
        <f ca="1">IFERROR(__xludf.DUMMYFUNCTION("""COMPUTED_VALUE"""),"https://leetcode.com/problems/rising-temperature")</f>
        <v>https://leetcode.com/problems/rising-temperature</v>
      </c>
      <c r="D41" s="3" t="str">
        <f ca="1">IFERROR(__xludf.DUMMYFUNCTION("""COMPUTED_VALUE"""),"N")</f>
        <v>N</v>
      </c>
      <c r="E41" s="6">
        <f ca="1">IFERROR(__xludf.DUMMYFUNCTION("""COMPUTED_VALUE"""),0.446)</f>
        <v>0.44600000000000001</v>
      </c>
      <c r="F41" s="3" t="str">
        <f ca="1">IFERROR(__xludf.DUMMYFUNCTION("""COMPUTED_VALUE"""),"Easy")</f>
        <v>Easy</v>
      </c>
      <c r="G41" s="3" t="str">
        <f ca="1">IFERROR(__xludf.DUMMYFUNCTION("""COMPUTED_VALUE"""),"3.93585%;")</f>
        <v>3.93585%;</v>
      </c>
    </row>
    <row r="42" spans="1:7" x14ac:dyDescent="0.2">
      <c r="A42" s="3">
        <f ca="1">IFERROR(__xludf.DUMMYFUNCTION("""COMPUTED_VALUE"""),202)</f>
        <v>202</v>
      </c>
      <c r="B42" s="4" t="str">
        <f ca="1">IFERROR(__xludf.DUMMYFUNCTION("""COMPUTED_VALUE"""),"Happy Number")</f>
        <v>Happy Number</v>
      </c>
      <c r="C42" s="8" t="str">
        <f ca="1">IFERROR(__xludf.DUMMYFUNCTION("""COMPUTED_VALUE"""),"https://leetcode.com/problems/happy-number")</f>
        <v>https://leetcode.com/problems/happy-number</v>
      </c>
      <c r="D42" s="3" t="str">
        <f ca="1">IFERROR(__xludf.DUMMYFUNCTION("""COMPUTED_VALUE"""),"N")</f>
        <v>N</v>
      </c>
      <c r="E42" s="6">
        <f ca="1">IFERROR(__xludf.DUMMYFUNCTION("""COMPUTED_VALUE"""),0.544)</f>
        <v>0.54400000000000004</v>
      </c>
      <c r="F42" s="3" t="str">
        <f ca="1">IFERROR(__xludf.DUMMYFUNCTION("""COMPUTED_VALUE"""),"Easy")</f>
        <v>Easy</v>
      </c>
      <c r="G42" s="3" t="str">
        <f ca="1">IFERROR(__xludf.DUMMYFUNCTION("""COMPUTED_VALUE"""),"6.49479%;")</f>
        <v>6.49479%;</v>
      </c>
    </row>
    <row r="43" spans="1:7" x14ac:dyDescent="0.2">
      <c r="A43" s="3">
        <f ca="1">IFERROR(__xludf.DUMMYFUNCTION("""COMPUTED_VALUE"""),203)</f>
        <v>203</v>
      </c>
      <c r="B43" s="4" t="str">
        <f ca="1">IFERROR(__xludf.DUMMYFUNCTION("""COMPUTED_VALUE"""),"Remove Linked List Elements")</f>
        <v>Remove Linked List Elements</v>
      </c>
      <c r="C43" s="8" t="str">
        <f ca="1">IFERROR(__xludf.DUMMYFUNCTION("""COMPUTED_VALUE"""),"https://leetcode.com/problems/remove-linked-list-elements")</f>
        <v>https://leetcode.com/problems/remove-linked-list-elements</v>
      </c>
      <c r="D43" s="3" t="str">
        <f ca="1">IFERROR(__xludf.DUMMYFUNCTION("""COMPUTED_VALUE"""),"N")</f>
        <v>N</v>
      </c>
      <c r="E43" s="6">
        <f ca="1">IFERROR(__xludf.DUMMYFUNCTION("""COMPUTED_VALUE"""),0.449)</f>
        <v>0.44900000000000001</v>
      </c>
      <c r="F43" s="3" t="str">
        <f ca="1">IFERROR(__xludf.DUMMYFUNCTION("""COMPUTED_VALUE"""),"Easy")</f>
        <v>Easy</v>
      </c>
      <c r="G43" s="3" t="str">
        <f ca="1">IFERROR(__xludf.DUMMYFUNCTION("""COMPUTED_VALUE"""),"0.857125%;")</f>
        <v>0.857125%;</v>
      </c>
    </row>
    <row r="44" spans="1:7" x14ac:dyDescent="0.2">
      <c r="A44" s="3">
        <f ca="1">IFERROR(__xludf.DUMMYFUNCTION("""COMPUTED_VALUE"""),205)</f>
        <v>205</v>
      </c>
      <c r="B44" s="4" t="str">
        <f ca="1">IFERROR(__xludf.DUMMYFUNCTION("""COMPUTED_VALUE"""),"Isomorphic Strings")</f>
        <v>Isomorphic Strings</v>
      </c>
      <c r="C44" s="8" t="str">
        <f ca="1">IFERROR(__xludf.DUMMYFUNCTION("""COMPUTED_VALUE"""),"https://leetcode.com/problems/isomorphic-strings")</f>
        <v>https://leetcode.com/problems/isomorphic-strings</v>
      </c>
      <c r="D44" s="3" t="str">
        <f ca="1">IFERROR(__xludf.DUMMYFUNCTION("""COMPUTED_VALUE"""),"N")</f>
        <v>N</v>
      </c>
      <c r="E44" s="6">
        <f ca="1">IFERROR(__xludf.DUMMYFUNCTION("""COMPUTED_VALUE"""),0.426)</f>
        <v>0.42599999999999999</v>
      </c>
      <c r="F44" s="3" t="str">
        <f ca="1">IFERROR(__xludf.DUMMYFUNCTION("""COMPUTED_VALUE"""),"Easy")</f>
        <v>Easy</v>
      </c>
      <c r="G44" s="3" t="str">
        <f ca="1">IFERROR(__xludf.DUMMYFUNCTION("""COMPUTED_VALUE"""),"4.7513%;")</f>
        <v>4.7513%;</v>
      </c>
    </row>
    <row r="45" spans="1:7" x14ac:dyDescent="0.2">
      <c r="A45" s="3">
        <f ca="1">IFERROR(__xludf.DUMMYFUNCTION("""COMPUTED_VALUE"""),206)</f>
        <v>206</v>
      </c>
      <c r="B45" s="4" t="str">
        <f ca="1">IFERROR(__xludf.DUMMYFUNCTION("""COMPUTED_VALUE"""),"Reverse Linked List")</f>
        <v>Reverse Linked List</v>
      </c>
      <c r="C45" s="8" t="str">
        <f ca="1">IFERROR(__xludf.DUMMYFUNCTION("""COMPUTED_VALUE"""),"https://leetcode.com/problems/reverse-linked-list")</f>
        <v>https://leetcode.com/problems/reverse-linked-list</v>
      </c>
      <c r="D45" s="3" t="str">
        <f ca="1">IFERROR(__xludf.DUMMYFUNCTION("""COMPUTED_VALUE"""),"N")</f>
        <v>N</v>
      </c>
      <c r="E45" s="6">
        <f ca="1">IFERROR(__xludf.DUMMYFUNCTION("""COMPUTED_VALUE"""),0.725)</f>
        <v>0.72499999999999998</v>
      </c>
      <c r="F45" s="3" t="str">
        <f ca="1">IFERROR(__xludf.DUMMYFUNCTION("""COMPUTED_VALUE"""),"Easy")</f>
        <v>Easy</v>
      </c>
      <c r="G45" s="3" t="str">
        <f ca="1">IFERROR(__xludf.DUMMYFUNCTION("""COMPUTED_VALUE"""),"7.12827%;")</f>
        <v>7.12827%;</v>
      </c>
    </row>
    <row r="46" spans="1:7" x14ac:dyDescent="0.2">
      <c r="A46" s="3">
        <f ca="1">IFERROR(__xludf.DUMMYFUNCTION("""COMPUTED_VALUE"""),217)</f>
        <v>217</v>
      </c>
      <c r="B46" s="4" t="str">
        <f ca="1">IFERROR(__xludf.DUMMYFUNCTION("""COMPUTED_VALUE"""),"Contains Duplicate")</f>
        <v>Contains Duplicate</v>
      </c>
      <c r="C46" s="8" t="str">
        <f ca="1">IFERROR(__xludf.DUMMYFUNCTION("""COMPUTED_VALUE"""),"https://leetcode.com/problems/contains-duplicate")</f>
        <v>https://leetcode.com/problems/contains-duplicate</v>
      </c>
      <c r="D46" s="3" t="str">
        <f ca="1">IFERROR(__xludf.DUMMYFUNCTION("""COMPUTED_VALUE"""),"N")</f>
        <v>N</v>
      </c>
      <c r="E46" s="6">
        <f ca="1">IFERROR(__xludf.DUMMYFUNCTION("""COMPUTED_VALUE"""),0.613)</f>
        <v>0.61299999999999999</v>
      </c>
      <c r="F46" s="3" t="str">
        <f ca="1">IFERROR(__xludf.DUMMYFUNCTION("""COMPUTED_VALUE"""),"Easy")</f>
        <v>Easy</v>
      </c>
      <c r="G46" s="3" t="str">
        <f ca="1">IFERROR(__xludf.DUMMYFUNCTION("""COMPUTED_VALUE"""),"15.6385%;")</f>
        <v>15.6385%;</v>
      </c>
    </row>
    <row r="47" spans="1:7" x14ac:dyDescent="0.2">
      <c r="A47" s="3">
        <f ca="1">IFERROR(__xludf.DUMMYFUNCTION("""COMPUTED_VALUE"""),219)</f>
        <v>219</v>
      </c>
      <c r="B47" s="4" t="str">
        <f ca="1">IFERROR(__xludf.DUMMYFUNCTION("""COMPUTED_VALUE"""),"Contains Duplicate II")</f>
        <v>Contains Duplicate II</v>
      </c>
      <c r="C47" s="8" t="str">
        <f ca="1">IFERROR(__xludf.DUMMYFUNCTION("""COMPUTED_VALUE"""),"https://leetcode.com/problems/contains-duplicate-ii")</f>
        <v>https://leetcode.com/problems/contains-duplicate-ii</v>
      </c>
      <c r="D47" s="3" t="str">
        <f ca="1">IFERROR(__xludf.DUMMYFUNCTION("""COMPUTED_VALUE"""),"N")</f>
        <v>N</v>
      </c>
      <c r="E47" s="6">
        <f ca="1">IFERROR(__xludf.DUMMYFUNCTION("""COMPUTED_VALUE"""),0.423)</f>
        <v>0.42299999999999999</v>
      </c>
      <c r="F47" s="3" t="str">
        <f ca="1">IFERROR(__xludf.DUMMYFUNCTION("""COMPUTED_VALUE"""),"Easy")</f>
        <v>Easy</v>
      </c>
      <c r="G47" s="3" t="str">
        <f ca="1">IFERROR(__xludf.DUMMYFUNCTION("""COMPUTED_VALUE"""),"11.8172%;")</f>
        <v>11.8172%;</v>
      </c>
    </row>
    <row r="48" spans="1:7" x14ac:dyDescent="0.2">
      <c r="A48" s="3">
        <f ca="1">IFERROR(__xludf.DUMMYFUNCTION("""COMPUTED_VALUE"""),226)</f>
        <v>226</v>
      </c>
      <c r="B48" s="4" t="str">
        <f ca="1">IFERROR(__xludf.DUMMYFUNCTION("""COMPUTED_VALUE"""),"Invert Binary Tree")</f>
        <v>Invert Binary Tree</v>
      </c>
      <c r="C48" s="8" t="str">
        <f ca="1">IFERROR(__xludf.DUMMYFUNCTION("""COMPUTED_VALUE"""),"https://leetcode.com/problems/invert-binary-tree")</f>
        <v>https://leetcode.com/problems/invert-binary-tree</v>
      </c>
      <c r="D48" s="3" t="str">
        <f ca="1">IFERROR(__xludf.DUMMYFUNCTION("""COMPUTED_VALUE"""),"N")</f>
        <v>N</v>
      </c>
      <c r="E48" s="6">
        <f ca="1">IFERROR(__xludf.DUMMYFUNCTION("""COMPUTED_VALUE"""),0.733)</f>
        <v>0.73299999999999998</v>
      </c>
      <c r="F48" s="3" t="str">
        <f ca="1">IFERROR(__xludf.DUMMYFUNCTION("""COMPUTED_VALUE"""),"Easy")</f>
        <v>Easy</v>
      </c>
      <c r="G48" s="3" t="str">
        <f ca="1">IFERROR(__xludf.DUMMYFUNCTION("""COMPUTED_VALUE"""),"8.37921%;")</f>
        <v>8.37921%;</v>
      </c>
    </row>
    <row r="49" spans="1:7" x14ac:dyDescent="0.2">
      <c r="A49" s="3">
        <f ca="1">IFERROR(__xludf.DUMMYFUNCTION("""COMPUTED_VALUE"""),231)</f>
        <v>231</v>
      </c>
      <c r="B49" s="4" t="str">
        <f ca="1">IFERROR(__xludf.DUMMYFUNCTION("""COMPUTED_VALUE"""),"Power of Two")</f>
        <v>Power of Two</v>
      </c>
      <c r="C49" s="8" t="str">
        <f ca="1">IFERROR(__xludf.DUMMYFUNCTION("""COMPUTED_VALUE"""),"https://leetcode.com/problems/power-of-two")</f>
        <v>https://leetcode.com/problems/power-of-two</v>
      </c>
      <c r="D49" s="3" t="str">
        <f ca="1">IFERROR(__xludf.DUMMYFUNCTION("""COMPUTED_VALUE"""),"N")</f>
        <v>N</v>
      </c>
      <c r="E49" s="6">
        <f ca="1">IFERROR(__xludf.DUMMYFUNCTION("""COMPUTED_VALUE"""),0.457)</f>
        <v>0.45700000000000002</v>
      </c>
      <c r="F49" s="3" t="str">
        <f ca="1">IFERROR(__xludf.DUMMYFUNCTION("""COMPUTED_VALUE"""),"Easy")</f>
        <v>Easy</v>
      </c>
      <c r="G49" s="3" t="str">
        <f ca="1">IFERROR(__xludf.DUMMYFUNCTION("""COMPUTED_VALUE"""),"2.07361%;")</f>
        <v>2.07361%;</v>
      </c>
    </row>
    <row r="50" spans="1:7" x14ac:dyDescent="0.2">
      <c r="A50" s="3">
        <f ca="1">IFERROR(__xludf.DUMMYFUNCTION("""COMPUTED_VALUE"""),232)</f>
        <v>232</v>
      </c>
      <c r="B50" s="4" t="str">
        <f ca="1">IFERROR(__xludf.DUMMYFUNCTION("""COMPUTED_VALUE"""),"Implement Queue using Stacks")</f>
        <v>Implement Queue using Stacks</v>
      </c>
      <c r="C50" s="8" t="str">
        <f ca="1">IFERROR(__xludf.DUMMYFUNCTION("""COMPUTED_VALUE"""),"https://leetcode.com/problems/implement-queue-using-stacks")</f>
        <v>https://leetcode.com/problems/implement-queue-using-stacks</v>
      </c>
      <c r="D50" s="3" t="str">
        <f ca="1">IFERROR(__xludf.DUMMYFUNCTION("""COMPUTED_VALUE"""),"N")</f>
        <v>N</v>
      </c>
      <c r="E50" s="6">
        <f ca="1">IFERROR(__xludf.DUMMYFUNCTION("""COMPUTED_VALUE"""),0.613)</f>
        <v>0.61299999999999999</v>
      </c>
      <c r="F50" s="3" t="str">
        <f ca="1">IFERROR(__xludf.DUMMYFUNCTION("""COMPUTED_VALUE"""),"Easy")</f>
        <v>Easy</v>
      </c>
      <c r="G50" s="3" t="str">
        <f ca="1">IFERROR(__xludf.DUMMYFUNCTION("""COMPUTED_VALUE"""),"8.74861%;")</f>
        <v>8.74861%;</v>
      </c>
    </row>
    <row r="51" spans="1:7" x14ac:dyDescent="0.2">
      <c r="A51" s="3">
        <f ca="1">IFERROR(__xludf.DUMMYFUNCTION("""COMPUTED_VALUE"""),234)</f>
        <v>234</v>
      </c>
      <c r="B51" s="4" t="str">
        <f ca="1">IFERROR(__xludf.DUMMYFUNCTION("""COMPUTED_VALUE"""),"Palindrome Linked List")</f>
        <v>Palindrome Linked List</v>
      </c>
      <c r="C51" s="8" t="str">
        <f ca="1">IFERROR(__xludf.DUMMYFUNCTION("""COMPUTED_VALUE"""),"https://leetcode.com/problems/palindrome-linked-list")</f>
        <v>https://leetcode.com/problems/palindrome-linked-list</v>
      </c>
      <c r="D51" s="3" t="str">
        <f ca="1">IFERROR(__xludf.DUMMYFUNCTION("""COMPUTED_VALUE"""),"N")</f>
        <v>N</v>
      </c>
      <c r="E51" s="6">
        <f ca="1">IFERROR(__xludf.DUMMYFUNCTION("""COMPUTED_VALUE"""),0.496)</f>
        <v>0.496</v>
      </c>
      <c r="F51" s="3" t="str">
        <f ca="1">IFERROR(__xludf.DUMMYFUNCTION("""COMPUTED_VALUE"""),"Easy")</f>
        <v>Easy</v>
      </c>
      <c r="G51" s="3" t="str">
        <f ca="1">IFERROR(__xludf.DUMMYFUNCTION("""COMPUTED_VALUE"""),"14.3147%;")</f>
        <v>14.3147%;</v>
      </c>
    </row>
    <row r="52" spans="1:7" x14ac:dyDescent="0.2">
      <c r="A52" s="3">
        <f ca="1">IFERROR(__xludf.DUMMYFUNCTION("""COMPUTED_VALUE"""),242)</f>
        <v>242</v>
      </c>
      <c r="B52" s="4" t="str">
        <f ca="1">IFERROR(__xludf.DUMMYFUNCTION("""COMPUTED_VALUE"""),"Valid Anagram")</f>
        <v>Valid Anagram</v>
      </c>
      <c r="C52" s="8" t="str">
        <f ca="1">IFERROR(__xludf.DUMMYFUNCTION("""COMPUTED_VALUE"""),"https://leetcode.com/problems/valid-anagram")</f>
        <v>https://leetcode.com/problems/valid-anagram</v>
      </c>
      <c r="D52" s="3" t="str">
        <f ca="1">IFERROR(__xludf.DUMMYFUNCTION("""COMPUTED_VALUE"""),"N")</f>
        <v>N</v>
      </c>
      <c r="E52" s="6">
        <f ca="1">IFERROR(__xludf.DUMMYFUNCTION("""COMPUTED_VALUE"""),0.628)</f>
        <v>0.628</v>
      </c>
      <c r="F52" s="3" t="str">
        <f ca="1">IFERROR(__xludf.DUMMYFUNCTION("""COMPUTED_VALUE"""),"Easy")</f>
        <v>Easy</v>
      </c>
      <c r="G52" s="3" t="str">
        <f ca="1">IFERROR(__xludf.DUMMYFUNCTION("""COMPUTED_VALUE"""),"22.6983%;")</f>
        <v>22.6983%;</v>
      </c>
    </row>
    <row r="53" spans="1:7" x14ac:dyDescent="0.2">
      <c r="A53" s="3">
        <f ca="1">IFERROR(__xludf.DUMMYFUNCTION("""COMPUTED_VALUE"""),243)</f>
        <v>243</v>
      </c>
      <c r="B53" s="4" t="str">
        <f ca="1">IFERROR(__xludf.DUMMYFUNCTION("""COMPUTED_VALUE"""),"Shortest Word Distance")</f>
        <v>Shortest Word Distance</v>
      </c>
      <c r="C53" s="8" t="str">
        <f ca="1">IFERROR(__xludf.DUMMYFUNCTION("""COMPUTED_VALUE"""),"https://leetcode.com/problems/shortest-word-distance")</f>
        <v>https://leetcode.com/problems/shortest-word-distance</v>
      </c>
      <c r="D53" s="3" t="str">
        <f ca="1">IFERROR(__xludf.DUMMYFUNCTION("""COMPUTED_VALUE"""),"Y")</f>
        <v>Y</v>
      </c>
      <c r="E53" s="6">
        <f ca="1">IFERROR(__xludf.DUMMYFUNCTION("""COMPUTED_VALUE"""),0.649)</f>
        <v>0.64900000000000002</v>
      </c>
      <c r="F53" s="3" t="str">
        <f ca="1">IFERROR(__xludf.DUMMYFUNCTION("""COMPUTED_VALUE"""),"Easy")</f>
        <v>Easy</v>
      </c>
      <c r="G53" s="3" t="str">
        <f ca="1">IFERROR(__xludf.DUMMYFUNCTION("""COMPUTED_VALUE"""),"25.7592%;")</f>
        <v>25.7592%;</v>
      </c>
    </row>
    <row r="54" spans="1:7" x14ac:dyDescent="0.2">
      <c r="A54" s="3">
        <f ca="1">IFERROR(__xludf.DUMMYFUNCTION("""COMPUTED_VALUE"""),252)</f>
        <v>252</v>
      </c>
      <c r="B54" s="4" t="str">
        <f ca="1">IFERROR(__xludf.DUMMYFUNCTION("""COMPUTED_VALUE"""),"Meeting Rooms")</f>
        <v>Meeting Rooms</v>
      </c>
      <c r="C54" s="8" t="str">
        <f ca="1">IFERROR(__xludf.DUMMYFUNCTION("""COMPUTED_VALUE"""),"https://leetcode.com/problems/meeting-rooms")</f>
        <v>https://leetcode.com/problems/meeting-rooms</v>
      </c>
      <c r="D54" s="3" t="str">
        <f ca="1">IFERROR(__xludf.DUMMYFUNCTION("""COMPUTED_VALUE"""),"Y")</f>
        <v>Y</v>
      </c>
      <c r="E54" s="6">
        <f ca="1">IFERROR(__xludf.DUMMYFUNCTION("""COMPUTED_VALUE"""),0.571)</f>
        <v>0.57099999999999995</v>
      </c>
      <c r="F54" s="3" t="str">
        <f ca="1">IFERROR(__xludf.DUMMYFUNCTION("""COMPUTED_VALUE"""),"Easy")</f>
        <v>Easy</v>
      </c>
      <c r="G54" s="3" t="str">
        <f ca="1">IFERROR(__xludf.DUMMYFUNCTION("""COMPUTED_VALUE"""),"2.93943%;")</f>
        <v>2.93943%;</v>
      </c>
    </row>
    <row r="55" spans="1:7" x14ac:dyDescent="0.2">
      <c r="A55" s="3">
        <f ca="1">IFERROR(__xludf.DUMMYFUNCTION("""COMPUTED_VALUE"""),257)</f>
        <v>257</v>
      </c>
      <c r="B55" s="4" t="str">
        <f ca="1">IFERROR(__xludf.DUMMYFUNCTION("""COMPUTED_VALUE"""),"Binary Tree Paths")</f>
        <v>Binary Tree Paths</v>
      </c>
      <c r="C55" s="8" t="str">
        <f ca="1">IFERROR(__xludf.DUMMYFUNCTION("""COMPUTED_VALUE"""),"https://leetcode.com/problems/binary-tree-paths")</f>
        <v>https://leetcode.com/problems/binary-tree-paths</v>
      </c>
      <c r="D55" s="3" t="str">
        <f ca="1">IFERROR(__xludf.DUMMYFUNCTION("""COMPUTED_VALUE"""),"N")</f>
        <v>N</v>
      </c>
      <c r="E55" s="6">
        <f ca="1">IFERROR(__xludf.DUMMYFUNCTION("""COMPUTED_VALUE"""),0.607)</f>
        <v>0.60699999999999998</v>
      </c>
      <c r="F55" s="3" t="str">
        <f ca="1">IFERROR(__xludf.DUMMYFUNCTION("""COMPUTED_VALUE"""),"Easy")</f>
        <v>Easy</v>
      </c>
      <c r="G55" s="3" t="str">
        <f ca="1">IFERROR(__xludf.DUMMYFUNCTION("""COMPUTED_VALUE"""),"4.8577%;")</f>
        <v>4.8577%;</v>
      </c>
    </row>
    <row r="56" spans="1:7" x14ac:dyDescent="0.2">
      <c r="A56" s="3">
        <f ca="1">IFERROR(__xludf.DUMMYFUNCTION("""COMPUTED_VALUE"""),258)</f>
        <v>258</v>
      </c>
      <c r="B56" s="4" t="str">
        <f ca="1">IFERROR(__xludf.DUMMYFUNCTION("""COMPUTED_VALUE"""),"Add Digits")</f>
        <v>Add Digits</v>
      </c>
      <c r="C56" s="8" t="str">
        <f ca="1">IFERROR(__xludf.DUMMYFUNCTION("""COMPUTED_VALUE"""),"https://leetcode.com/problems/add-digits")</f>
        <v>https://leetcode.com/problems/add-digits</v>
      </c>
      <c r="D56" s="3" t="str">
        <f ca="1">IFERROR(__xludf.DUMMYFUNCTION("""COMPUTED_VALUE"""),"N")</f>
        <v>N</v>
      </c>
      <c r="E56" s="6">
        <f ca="1">IFERROR(__xludf.DUMMYFUNCTION("""COMPUTED_VALUE"""),0.635)</f>
        <v>0.63500000000000001</v>
      </c>
      <c r="F56" s="3" t="str">
        <f ca="1">IFERROR(__xludf.DUMMYFUNCTION("""COMPUTED_VALUE"""),"Easy")</f>
        <v>Easy</v>
      </c>
      <c r="G56" s="3" t="str">
        <f ca="1">IFERROR(__xludf.DUMMYFUNCTION("""COMPUTED_VALUE"""),"3.82938%;")</f>
        <v>3.82938%;</v>
      </c>
    </row>
    <row r="57" spans="1:7" x14ac:dyDescent="0.2">
      <c r="A57" s="3">
        <f ca="1">IFERROR(__xludf.DUMMYFUNCTION("""COMPUTED_VALUE"""),268)</f>
        <v>268</v>
      </c>
      <c r="B57" s="4" t="str">
        <f ca="1">IFERROR(__xludf.DUMMYFUNCTION("""COMPUTED_VALUE"""),"Missing Number")</f>
        <v>Missing Number</v>
      </c>
      <c r="C57" s="8" t="str">
        <f ca="1">IFERROR(__xludf.DUMMYFUNCTION("""COMPUTED_VALUE"""),"https://leetcode.com/problems/missing-number")</f>
        <v>https://leetcode.com/problems/missing-number</v>
      </c>
      <c r="D57" s="3" t="str">
        <f ca="1">IFERROR(__xludf.DUMMYFUNCTION("""COMPUTED_VALUE"""),"N")</f>
        <v>N</v>
      </c>
      <c r="E57" s="6">
        <f ca="1">IFERROR(__xludf.DUMMYFUNCTION("""COMPUTED_VALUE"""),0.617)</f>
        <v>0.61699999999999999</v>
      </c>
      <c r="F57" s="3" t="str">
        <f ca="1">IFERROR(__xludf.DUMMYFUNCTION("""COMPUTED_VALUE"""),"Easy")</f>
        <v>Easy</v>
      </c>
      <c r="G57" s="3" t="str">
        <f ca="1">IFERROR(__xludf.DUMMYFUNCTION("""COMPUTED_VALUE"""),"12.2701%;")</f>
        <v>12.2701%;</v>
      </c>
    </row>
    <row r="58" spans="1:7" x14ac:dyDescent="0.2">
      <c r="A58" s="3">
        <f ca="1">IFERROR(__xludf.DUMMYFUNCTION("""COMPUTED_VALUE"""),278)</f>
        <v>278</v>
      </c>
      <c r="B58" s="4" t="str">
        <f ca="1">IFERROR(__xludf.DUMMYFUNCTION("""COMPUTED_VALUE"""),"First Bad Version")</f>
        <v>First Bad Version</v>
      </c>
      <c r="C58" s="8" t="str">
        <f ca="1">IFERROR(__xludf.DUMMYFUNCTION("""COMPUTED_VALUE"""),"https://leetcode.com/problems/first-bad-version")</f>
        <v>https://leetcode.com/problems/first-bad-version</v>
      </c>
      <c r="D58" s="3" t="str">
        <f ca="1">IFERROR(__xludf.DUMMYFUNCTION("""COMPUTED_VALUE"""),"N")</f>
        <v>N</v>
      </c>
      <c r="E58" s="6">
        <f ca="1">IFERROR(__xludf.DUMMYFUNCTION("""COMPUTED_VALUE"""),0.43)</f>
        <v>0.43</v>
      </c>
      <c r="F58" s="3" t="str">
        <f ca="1">IFERROR(__xludf.DUMMYFUNCTION("""COMPUTED_VALUE"""),"Easy")</f>
        <v>Easy</v>
      </c>
      <c r="G58" s="3" t="str">
        <f ca="1">IFERROR(__xludf.DUMMYFUNCTION("""COMPUTED_VALUE"""),"5.96322%;")</f>
        <v>5.96322%;</v>
      </c>
    </row>
    <row r="59" spans="1:7" x14ac:dyDescent="0.2">
      <c r="A59" s="3">
        <f ca="1">IFERROR(__xludf.DUMMYFUNCTION("""COMPUTED_VALUE"""),283)</f>
        <v>283</v>
      </c>
      <c r="B59" s="4" t="str">
        <f ca="1">IFERROR(__xludf.DUMMYFUNCTION("""COMPUTED_VALUE"""),"Move Zeroes")</f>
        <v>Move Zeroes</v>
      </c>
      <c r="C59" s="8" t="str">
        <f ca="1">IFERROR(__xludf.DUMMYFUNCTION("""COMPUTED_VALUE"""),"https://leetcode.com/problems/move-zeroes")</f>
        <v>https://leetcode.com/problems/move-zeroes</v>
      </c>
      <c r="D59" s="3" t="str">
        <f ca="1">IFERROR(__xludf.DUMMYFUNCTION("""COMPUTED_VALUE"""),"N")</f>
        <v>N</v>
      </c>
      <c r="E59" s="6">
        <f ca="1">IFERROR(__xludf.DUMMYFUNCTION("""COMPUTED_VALUE"""),0.614)</f>
        <v>0.61399999999999999</v>
      </c>
      <c r="F59" s="3" t="str">
        <f ca="1">IFERROR(__xludf.DUMMYFUNCTION("""COMPUTED_VALUE"""),"Easy")</f>
        <v>Easy</v>
      </c>
      <c r="G59" s="3" t="str">
        <f ca="1">IFERROR(__xludf.DUMMYFUNCTION("""COMPUTED_VALUE"""),"3.58278%;")</f>
        <v>3.58278%;</v>
      </c>
    </row>
    <row r="60" spans="1:7" x14ac:dyDescent="0.2">
      <c r="A60" s="3">
        <f ca="1">IFERROR(__xludf.DUMMYFUNCTION("""COMPUTED_VALUE"""),342)</f>
        <v>342</v>
      </c>
      <c r="B60" s="4" t="str">
        <f ca="1">IFERROR(__xludf.DUMMYFUNCTION("""COMPUTED_VALUE"""),"Power of Four")</f>
        <v>Power of Four</v>
      </c>
      <c r="C60" s="8" t="str">
        <f ca="1">IFERROR(__xludf.DUMMYFUNCTION("""COMPUTED_VALUE"""),"https://leetcode.com/problems/power-of-four")</f>
        <v>https://leetcode.com/problems/power-of-four</v>
      </c>
      <c r="D60" s="3" t="str">
        <f ca="1">IFERROR(__xludf.DUMMYFUNCTION("""COMPUTED_VALUE"""),"N")</f>
        <v>N</v>
      </c>
      <c r="E60" s="6">
        <f ca="1">IFERROR(__xludf.DUMMYFUNCTION("""COMPUTED_VALUE"""),0.457)</f>
        <v>0.45700000000000002</v>
      </c>
      <c r="F60" s="3" t="str">
        <f ca="1">IFERROR(__xludf.DUMMYFUNCTION("""COMPUTED_VALUE"""),"Easy")</f>
        <v>Easy</v>
      </c>
      <c r="G60" s="3" t="str">
        <f ca="1">IFERROR(__xludf.DUMMYFUNCTION("""COMPUTED_VALUE"""),"1.98784%;")</f>
        <v>1.98784%;</v>
      </c>
    </row>
    <row r="61" spans="1:7" x14ac:dyDescent="0.2">
      <c r="A61" s="3">
        <f ca="1">IFERROR(__xludf.DUMMYFUNCTION("""COMPUTED_VALUE"""),344)</f>
        <v>344</v>
      </c>
      <c r="B61" s="4" t="str">
        <f ca="1">IFERROR(__xludf.DUMMYFUNCTION("""COMPUTED_VALUE"""),"Reverse String")</f>
        <v>Reverse String</v>
      </c>
      <c r="C61" s="8" t="str">
        <f ca="1">IFERROR(__xludf.DUMMYFUNCTION("""COMPUTED_VALUE"""),"https://leetcode.com/problems/reverse-string")</f>
        <v>https://leetcode.com/problems/reverse-string</v>
      </c>
      <c r="D61" s="3" t="str">
        <f ca="1">IFERROR(__xludf.DUMMYFUNCTION("""COMPUTED_VALUE"""),"N")</f>
        <v>N</v>
      </c>
      <c r="E61" s="6">
        <f ca="1">IFERROR(__xludf.DUMMYFUNCTION("""COMPUTED_VALUE"""),0.762)</f>
        <v>0.76200000000000001</v>
      </c>
      <c r="F61" s="3" t="str">
        <f ca="1">IFERROR(__xludf.DUMMYFUNCTION("""COMPUTED_VALUE"""),"Easy")</f>
        <v>Easy</v>
      </c>
      <c r="G61" s="3" t="str">
        <f ca="1">IFERROR(__xludf.DUMMYFUNCTION("""COMPUTED_VALUE"""),"2.67007%;")</f>
        <v>2.67007%;</v>
      </c>
    </row>
    <row r="62" spans="1:7" x14ac:dyDescent="0.2">
      <c r="A62" s="3">
        <f ca="1">IFERROR(__xludf.DUMMYFUNCTION("""COMPUTED_VALUE"""),346)</f>
        <v>346</v>
      </c>
      <c r="B62" s="4" t="str">
        <f ca="1">IFERROR(__xludf.DUMMYFUNCTION("""COMPUTED_VALUE"""),"Moving Average from Data Stream")</f>
        <v>Moving Average from Data Stream</v>
      </c>
      <c r="C62" s="8" t="str">
        <f ca="1">IFERROR(__xludf.DUMMYFUNCTION("""COMPUTED_VALUE"""),"https://leetcode.com/problems/moving-average-from-data-stream")</f>
        <v>https://leetcode.com/problems/moving-average-from-data-stream</v>
      </c>
      <c r="D62" s="3" t="str">
        <f ca="1">IFERROR(__xludf.DUMMYFUNCTION("""COMPUTED_VALUE"""),"Y")</f>
        <v>Y</v>
      </c>
      <c r="E62" s="6">
        <f ca="1">IFERROR(__xludf.DUMMYFUNCTION("""COMPUTED_VALUE"""),0.771)</f>
        <v>0.77100000000000002</v>
      </c>
      <c r="F62" s="3" t="str">
        <f ca="1">IFERROR(__xludf.DUMMYFUNCTION("""COMPUTED_VALUE"""),"Easy")</f>
        <v>Easy</v>
      </c>
      <c r="G62" s="3" t="str">
        <f ca="1">IFERROR(__xludf.DUMMYFUNCTION("""COMPUTED_VALUE"""),"12.5469%;")</f>
        <v>12.5469%;</v>
      </c>
    </row>
    <row r="63" spans="1:7" x14ac:dyDescent="0.2">
      <c r="A63" s="3">
        <f ca="1">IFERROR(__xludf.DUMMYFUNCTION("""COMPUTED_VALUE"""),349)</f>
        <v>349</v>
      </c>
      <c r="B63" s="4" t="str">
        <f ca="1">IFERROR(__xludf.DUMMYFUNCTION("""COMPUTED_VALUE"""),"Intersection of Two Arrays")</f>
        <v>Intersection of Two Arrays</v>
      </c>
      <c r="C63" s="8" t="str">
        <f ca="1">IFERROR(__xludf.DUMMYFUNCTION("""COMPUTED_VALUE"""),"https://leetcode.com/problems/intersection-of-two-arrays")</f>
        <v>https://leetcode.com/problems/intersection-of-two-arrays</v>
      </c>
      <c r="D63" s="3" t="str">
        <f ca="1">IFERROR(__xludf.DUMMYFUNCTION("""COMPUTED_VALUE"""),"N")</f>
        <v>N</v>
      </c>
      <c r="E63" s="6">
        <f ca="1">IFERROR(__xludf.DUMMYFUNCTION("""COMPUTED_VALUE"""),0.703)</f>
        <v>0.70299999999999996</v>
      </c>
      <c r="F63" s="3" t="str">
        <f ca="1">IFERROR(__xludf.DUMMYFUNCTION("""COMPUTED_VALUE"""),"Easy")</f>
        <v>Easy</v>
      </c>
      <c r="G63" s="3" t="str">
        <f ca="1">IFERROR(__xludf.DUMMYFUNCTION("""COMPUTED_VALUE"""),"6.80981%;")</f>
        <v>6.80981%;</v>
      </c>
    </row>
    <row r="64" spans="1:7" x14ac:dyDescent="0.2">
      <c r="A64" s="3">
        <f ca="1">IFERROR(__xludf.DUMMYFUNCTION("""COMPUTED_VALUE"""),350)</f>
        <v>350</v>
      </c>
      <c r="B64" s="4" t="str">
        <f ca="1">IFERROR(__xludf.DUMMYFUNCTION("""COMPUTED_VALUE"""),"Intersection of Two Arrays II")</f>
        <v>Intersection of Two Arrays II</v>
      </c>
      <c r="C64" s="8" t="str">
        <f ca="1">IFERROR(__xludf.DUMMYFUNCTION("""COMPUTED_VALUE"""),"https://leetcode.com/problems/intersection-of-two-arrays-ii")</f>
        <v>https://leetcode.com/problems/intersection-of-two-arrays-ii</v>
      </c>
      <c r="D64" s="3" t="str">
        <f ca="1">IFERROR(__xludf.DUMMYFUNCTION("""COMPUTED_VALUE"""),"N")</f>
        <v>N</v>
      </c>
      <c r="E64" s="6">
        <f ca="1">IFERROR(__xludf.DUMMYFUNCTION("""COMPUTED_VALUE"""),0.556)</f>
        <v>0.55600000000000005</v>
      </c>
      <c r="F64" s="3" t="str">
        <f ca="1">IFERROR(__xludf.DUMMYFUNCTION("""COMPUTED_VALUE"""),"Easy")</f>
        <v>Easy</v>
      </c>
      <c r="G64" s="3" t="str">
        <f ca="1">IFERROR(__xludf.DUMMYFUNCTION("""COMPUTED_VALUE"""),"2.94567%;")</f>
        <v>2.94567%;</v>
      </c>
    </row>
    <row r="65" spans="1:7" x14ac:dyDescent="0.2">
      <c r="A65" s="3">
        <f ca="1">IFERROR(__xludf.DUMMYFUNCTION("""COMPUTED_VALUE"""),367)</f>
        <v>367</v>
      </c>
      <c r="B65" s="4" t="str">
        <f ca="1">IFERROR(__xludf.DUMMYFUNCTION("""COMPUTED_VALUE"""),"Valid Perfect Square")</f>
        <v>Valid Perfect Square</v>
      </c>
      <c r="C65" s="8" t="str">
        <f ca="1">IFERROR(__xludf.DUMMYFUNCTION("""COMPUTED_VALUE"""),"https://leetcode.com/problems/valid-perfect-square")</f>
        <v>https://leetcode.com/problems/valid-perfect-square</v>
      </c>
      <c r="D65" s="3" t="str">
        <f ca="1">IFERROR(__xludf.DUMMYFUNCTION("""COMPUTED_VALUE"""),"N")</f>
        <v>N</v>
      </c>
      <c r="E65" s="6">
        <f ca="1">IFERROR(__xludf.DUMMYFUNCTION("""COMPUTED_VALUE"""),0.433)</f>
        <v>0.433</v>
      </c>
      <c r="F65" s="3" t="str">
        <f ca="1">IFERROR(__xludf.DUMMYFUNCTION("""COMPUTED_VALUE"""),"Easy")</f>
        <v>Easy</v>
      </c>
      <c r="G65" s="3" t="str">
        <f ca="1">IFERROR(__xludf.DUMMYFUNCTION("""COMPUTED_VALUE"""),"11.6922%;")</f>
        <v>11.6922%;</v>
      </c>
    </row>
    <row r="66" spans="1:7" x14ac:dyDescent="0.2">
      <c r="A66" s="3">
        <f ca="1">IFERROR(__xludf.DUMMYFUNCTION("""COMPUTED_VALUE"""),383)</f>
        <v>383</v>
      </c>
      <c r="B66" s="4" t="str">
        <f ca="1">IFERROR(__xludf.DUMMYFUNCTION("""COMPUTED_VALUE"""),"Ransom Note")</f>
        <v>Ransom Note</v>
      </c>
      <c r="C66" s="8" t="str">
        <f ca="1">IFERROR(__xludf.DUMMYFUNCTION("""COMPUTED_VALUE"""),"https://leetcode.com/problems/ransom-note")</f>
        <v>https://leetcode.com/problems/ransom-note</v>
      </c>
      <c r="D66" s="3" t="str">
        <f ca="1">IFERROR(__xludf.DUMMYFUNCTION("""COMPUTED_VALUE"""),"N")</f>
        <v>N</v>
      </c>
      <c r="E66" s="6">
        <f ca="1">IFERROR(__xludf.DUMMYFUNCTION("""COMPUTED_VALUE"""),0.576)</f>
        <v>0.57599999999999996</v>
      </c>
      <c r="F66" s="3" t="str">
        <f ca="1">IFERROR(__xludf.DUMMYFUNCTION("""COMPUTED_VALUE"""),"Easy")</f>
        <v>Easy</v>
      </c>
      <c r="G66" s="3" t="str">
        <f ca="1">IFERROR(__xludf.DUMMYFUNCTION("""COMPUTED_VALUE"""),"19.8147%;")</f>
        <v>19.8147%;</v>
      </c>
    </row>
    <row r="67" spans="1:7" x14ac:dyDescent="0.2">
      <c r="A67" s="3">
        <f ca="1">IFERROR(__xludf.DUMMYFUNCTION("""COMPUTED_VALUE"""),387)</f>
        <v>387</v>
      </c>
      <c r="B67" s="4" t="str">
        <f ca="1">IFERROR(__xludf.DUMMYFUNCTION("""COMPUTED_VALUE"""),"First Unique Character in a String")</f>
        <v>First Unique Character in a String</v>
      </c>
      <c r="C67" s="8" t="str">
        <f ca="1">IFERROR(__xludf.DUMMYFUNCTION("""COMPUTED_VALUE"""),"https://leetcode.com/problems/first-unique-character-in-a-string")</f>
        <v>https://leetcode.com/problems/first-unique-character-in-a-string</v>
      </c>
      <c r="D67" s="3" t="str">
        <f ca="1">IFERROR(__xludf.DUMMYFUNCTION("""COMPUTED_VALUE"""),"N")</f>
        <v>N</v>
      </c>
      <c r="E67" s="6">
        <f ca="1">IFERROR(__xludf.DUMMYFUNCTION("""COMPUTED_VALUE"""),0.59)</f>
        <v>0.59</v>
      </c>
      <c r="F67" s="3" t="str">
        <f ca="1">IFERROR(__xludf.DUMMYFUNCTION("""COMPUTED_VALUE"""),"Easy")</f>
        <v>Easy</v>
      </c>
      <c r="G67" s="3" t="str">
        <f ca="1">IFERROR(__xludf.DUMMYFUNCTION("""COMPUTED_VALUE"""),"20.4803%;")</f>
        <v>20.4803%;</v>
      </c>
    </row>
    <row r="68" spans="1:7" x14ac:dyDescent="0.2">
      <c r="A68" s="3">
        <f ca="1">IFERROR(__xludf.DUMMYFUNCTION("""COMPUTED_VALUE"""),392)</f>
        <v>392</v>
      </c>
      <c r="B68" s="4" t="str">
        <f ca="1">IFERROR(__xludf.DUMMYFUNCTION("""COMPUTED_VALUE"""),"Is Subsequence")</f>
        <v>Is Subsequence</v>
      </c>
      <c r="C68" s="8" t="str">
        <f ca="1">IFERROR(__xludf.DUMMYFUNCTION("""COMPUTED_VALUE"""),"https://leetcode.com/problems/is-subsequence")</f>
        <v>https://leetcode.com/problems/is-subsequence</v>
      </c>
      <c r="D68" s="3" t="str">
        <f ca="1">IFERROR(__xludf.DUMMYFUNCTION("""COMPUTED_VALUE"""),"N")</f>
        <v>N</v>
      </c>
      <c r="E68" s="6">
        <f ca="1">IFERROR(__xludf.DUMMYFUNCTION("""COMPUTED_VALUE"""),0.49)</f>
        <v>0.49</v>
      </c>
      <c r="F68" s="3" t="str">
        <f ca="1">IFERROR(__xludf.DUMMYFUNCTION("""COMPUTED_VALUE"""),"Easy")</f>
        <v>Easy</v>
      </c>
      <c r="G68" s="3" t="str">
        <f ca="1">IFERROR(__xludf.DUMMYFUNCTION("""COMPUTED_VALUE"""),"4.13721%;")</f>
        <v>4.13721%;</v>
      </c>
    </row>
    <row r="69" spans="1:7" x14ac:dyDescent="0.2">
      <c r="A69" s="3">
        <f ca="1">IFERROR(__xludf.DUMMYFUNCTION("""COMPUTED_VALUE"""),409)</f>
        <v>409</v>
      </c>
      <c r="B69" s="4" t="str">
        <f ca="1">IFERROR(__xludf.DUMMYFUNCTION("""COMPUTED_VALUE"""),"Longest Palindrome")</f>
        <v>Longest Palindrome</v>
      </c>
      <c r="C69" s="8" t="str">
        <f ca="1">IFERROR(__xludf.DUMMYFUNCTION("""COMPUTED_VALUE"""),"https://leetcode.com/problems/longest-palindrome")</f>
        <v>https://leetcode.com/problems/longest-palindrome</v>
      </c>
      <c r="D69" s="3" t="str">
        <f ca="1">IFERROR(__xludf.DUMMYFUNCTION("""COMPUTED_VALUE"""),"N")</f>
        <v>N</v>
      </c>
      <c r="E69" s="6">
        <f ca="1">IFERROR(__xludf.DUMMYFUNCTION("""COMPUTED_VALUE"""),0.546)</f>
        <v>0.54600000000000004</v>
      </c>
      <c r="F69" s="3" t="str">
        <f ca="1">IFERROR(__xludf.DUMMYFUNCTION("""COMPUTED_VALUE"""),"Easy")</f>
        <v>Easy</v>
      </c>
      <c r="G69" s="3" t="str">
        <f ca="1">IFERROR(__xludf.DUMMYFUNCTION("""COMPUTED_VALUE"""),"5.31245%;")</f>
        <v>5.31245%;</v>
      </c>
    </row>
    <row r="70" spans="1:7" x14ac:dyDescent="0.2">
      <c r="A70" s="3">
        <f ca="1">IFERROR(__xludf.DUMMYFUNCTION("""COMPUTED_VALUE"""),412)</f>
        <v>412</v>
      </c>
      <c r="B70" s="4" t="str">
        <f ca="1">IFERROR(__xludf.DUMMYFUNCTION("""COMPUTED_VALUE"""),"Fizz Buzz")</f>
        <v>Fizz Buzz</v>
      </c>
      <c r="C70" s="8" t="str">
        <f ca="1">IFERROR(__xludf.DUMMYFUNCTION("""COMPUTED_VALUE"""),"https://leetcode.com/problems/fizz-buzz")</f>
        <v>https://leetcode.com/problems/fizz-buzz</v>
      </c>
      <c r="D70" s="3" t="str">
        <f ca="1">IFERROR(__xludf.DUMMYFUNCTION("""COMPUTED_VALUE"""),"N")</f>
        <v>N</v>
      </c>
      <c r="E70" s="6">
        <f ca="1">IFERROR(__xludf.DUMMYFUNCTION("""COMPUTED_VALUE"""),0.689)</f>
        <v>0.68899999999999995</v>
      </c>
      <c r="F70" s="3" t="str">
        <f ca="1">IFERROR(__xludf.DUMMYFUNCTION("""COMPUTED_VALUE"""),"Easy")</f>
        <v>Easy</v>
      </c>
      <c r="G70" s="3" t="str">
        <f ca="1">IFERROR(__xludf.DUMMYFUNCTION("""COMPUTED_VALUE"""),"4.82002%;")</f>
        <v>4.82002%;</v>
      </c>
    </row>
    <row r="71" spans="1:7" x14ac:dyDescent="0.2">
      <c r="A71" s="3">
        <f ca="1">IFERROR(__xludf.DUMMYFUNCTION("""COMPUTED_VALUE"""),414)</f>
        <v>414</v>
      </c>
      <c r="B71" s="4" t="str">
        <f ca="1">IFERROR(__xludf.DUMMYFUNCTION("""COMPUTED_VALUE"""),"Third Maximum Number")</f>
        <v>Third Maximum Number</v>
      </c>
      <c r="C71" s="8" t="str">
        <f ca="1">IFERROR(__xludf.DUMMYFUNCTION("""COMPUTED_VALUE"""),"https://leetcode.com/problems/third-maximum-number")</f>
        <v>https://leetcode.com/problems/third-maximum-number</v>
      </c>
      <c r="D71" s="3" t="str">
        <f ca="1">IFERROR(__xludf.DUMMYFUNCTION("""COMPUTED_VALUE"""),"N")</f>
        <v>N</v>
      </c>
      <c r="E71" s="6">
        <f ca="1">IFERROR(__xludf.DUMMYFUNCTION("""COMPUTED_VALUE"""),0.326)</f>
        <v>0.32600000000000001</v>
      </c>
      <c r="F71" s="3" t="str">
        <f ca="1">IFERROR(__xludf.DUMMYFUNCTION("""COMPUTED_VALUE"""),"Easy")</f>
        <v>Easy</v>
      </c>
      <c r="G71" s="3" t="str">
        <f ca="1">IFERROR(__xludf.DUMMYFUNCTION("""COMPUTED_VALUE"""),"6.44907%;")</f>
        <v>6.44907%;</v>
      </c>
    </row>
    <row r="72" spans="1:7" x14ac:dyDescent="0.2">
      <c r="A72" s="3">
        <f ca="1">IFERROR(__xludf.DUMMYFUNCTION("""COMPUTED_VALUE"""),415)</f>
        <v>415</v>
      </c>
      <c r="B72" s="4" t="str">
        <f ca="1">IFERROR(__xludf.DUMMYFUNCTION("""COMPUTED_VALUE"""),"Add Strings")</f>
        <v>Add Strings</v>
      </c>
      <c r="C72" s="8" t="str">
        <f ca="1">IFERROR(__xludf.DUMMYFUNCTION("""COMPUTED_VALUE"""),"https://leetcode.com/problems/add-strings")</f>
        <v>https://leetcode.com/problems/add-strings</v>
      </c>
      <c r="D72" s="3" t="str">
        <f ca="1">IFERROR(__xludf.DUMMYFUNCTION("""COMPUTED_VALUE"""),"N")</f>
        <v>N</v>
      </c>
      <c r="E72" s="6">
        <f ca="1">IFERROR(__xludf.DUMMYFUNCTION("""COMPUTED_VALUE"""),0.526)</f>
        <v>0.52600000000000002</v>
      </c>
      <c r="F72" s="3" t="str">
        <f ca="1">IFERROR(__xludf.DUMMYFUNCTION("""COMPUTED_VALUE"""),"Easy")</f>
        <v>Easy</v>
      </c>
      <c r="G72" s="3" t="str">
        <f ca="1">IFERROR(__xludf.DUMMYFUNCTION("""COMPUTED_VALUE"""),"4.02748%;")</f>
        <v>4.02748%;</v>
      </c>
    </row>
    <row r="73" spans="1:7" x14ac:dyDescent="0.2">
      <c r="A73" s="3">
        <f ca="1">IFERROR(__xludf.DUMMYFUNCTION("""COMPUTED_VALUE"""),441)</f>
        <v>441</v>
      </c>
      <c r="B73" s="4" t="str">
        <f ca="1">IFERROR(__xludf.DUMMYFUNCTION("""COMPUTED_VALUE"""),"Arranging Coins")</f>
        <v>Arranging Coins</v>
      </c>
      <c r="C73" s="8" t="str">
        <f ca="1">IFERROR(__xludf.DUMMYFUNCTION("""COMPUTED_VALUE"""),"https://leetcode.com/problems/arranging-coins")</f>
        <v>https://leetcode.com/problems/arranging-coins</v>
      </c>
      <c r="D73" s="3" t="str">
        <f ca="1">IFERROR(__xludf.DUMMYFUNCTION("""COMPUTED_VALUE"""),"N")</f>
        <v>N</v>
      </c>
      <c r="E73" s="6">
        <f ca="1">IFERROR(__xludf.DUMMYFUNCTION("""COMPUTED_VALUE"""),0.461)</f>
        <v>0.46100000000000002</v>
      </c>
      <c r="F73" s="3" t="str">
        <f ca="1">IFERROR(__xludf.DUMMYFUNCTION("""COMPUTED_VALUE"""),"Easy")</f>
        <v>Easy</v>
      </c>
      <c r="G73" s="3" t="str">
        <f ca="1">IFERROR(__xludf.DUMMYFUNCTION("""COMPUTED_VALUE"""),"5.3795%;")</f>
        <v>5.3795%;</v>
      </c>
    </row>
    <row r="74" spans="1:7" x14ac:dyDescent="0.2">
      <c r="A74" s="3">
        <f ca="1">IFERROR(__xludf.DUMMYFUNCTION("""COMPUTED_VALUE"""),448)</f>
        <v>448</v>
      </c>
      <c r="B74" s="4" t="str">
        <f ca="1">IFERROR(__xludf.DUMMYFUNCTION("""COMPUTED_VALUE"""),"Find All Numbers Disappeared in an Array")</f>
        <v>Find All Numbers Disappeared in an Array</v>
      </c>
      <c r="C74" s="8" t="str">
        <f ca="1">IFERROR(__xludf.DUMMYFUNCTION("""COMPUTED_VALUE"""),"https://leetcode.com/problems/find-all-numbers-disappeared-in-an-array")</f>
        <v>https://leetcode.com/problems/find-all-numbers-disappeared-in-an-array</v>
      </c>
      <c r="D74" s="3" t="str">
        <f ca="1">IFERROR(__xludf.DUMMYFUNCTION("""COMPUTED_VALUE"""),"N")</f>
        <v>N</v>
      </c>
      <c r="E74" s="6">
        <f ca="1">IFERROR(__xludf.DUMMYFUNCTION("""COMPUTED_VALUE"""),0.597)</f>
        <v>0.59699999999999998</v>
      </c>
      <c r="F74" s="3" t="str">
        <f ca="1">IFERROR(__xludf.DUMMYFUNCTION("""COMPUTED_VALUE"""),"Easy")</f>
        <v>Easy</v>
      </c>
      <c r="G74" s="3" t="str">
        <f ca="1">IFERROR(__xludf.DUMMYFUNCTION("""COMPUTED_VALUE"""),"1.40478%;")</f>
        <v>1.40478%;</v>
      </c>
    </row>
    <row r="75" spans="1:7" x14ac:dyDescent="0.2">
      <c r="A75" s="3">
        <f ca="1">IFERROR(__xludf.DUMMYFUNCTION("""COMPUTED_VALUE"""),455)</f>
        <v>455</v>
      </c>
      <c r="B75" s="4" t="str">
        <f ca="1">IFERROR(__xludf.DUMMYFUNCTION("""COMPUTED_VALUE"""),"Assign Cookies")</f>
        <v>Assign Cookies</v>
      </c>
      <c r="C75" s="8" t="str">
        <f ca="1">IFERROR(__xludf.DUMMYFUNCTION("""COMPUTED_VALUE"""),"https://leetcode.com/problems/assign-cookies")</f>
        <v>https://leetcode.com/problems/assign-cookies</v>
      </c>
      <c r="D75" s="3" t="str">
        <f ca="1">IFERROR(__xludf.DUMMYFUNCTION("""COMPUTED_VALUE"""),"N")</f>
        <v>N</v>
      </c>
      <c r="E75" s="6">
        <f ca="1">IFERROR(__xludf.DUMMYFUNCTION("""COMPUTED_VALUE"""),0.505)</f>
        <v>0.505</v>
      </c>
      <c r="F75" s="3" t="str">
        <f ca="1">IFERROR(__xludf.DUMMYFUNCTION("""COMPUTED_VALUE"""),"Easy")</f>
        <v>Easy</v>
      </c>
      <c r="G75" s="3" t="str">
        <f ca="1">IFERROR(__xludf.DUMMYFUNCTION("""COMPUTED_VALUE"""),"3.21182%;")</f>
        <v>3.21182%;</v>
      </c>
    </row>
    <row r="76" spans="1:7" x14ac:dyDescent="0.2">
      <c r="A76" s="3">
        <f ca="1">IFERROR(__xludf.DUMMYFUNCTION("""COMPUTED_VALUE"""),463)</f>
        <v>463</v>
      </c>
      <c r="B76" s="4" t="str">
        <f ca="1">IFERROR(__xludf.DUMMYFUNCTION("""COMPUTED_VALUE"""),"Island Perimeter")</f>
        <v>Island Perimeter</v>
      </c>
      <c r="C76" s="8" t="str">
        <f ca="1">IFERROR(__xludf.DUMMYFUNCTION("""COMPUTED_VALUE"""),"https://leetcode.com/problems/island-perimeter")</f>
        <v>https://leetcode.com/problems/island-perimeter</v>
      </c>
      <c r="D76" s="3" t="str">
        <f ca="1">IFERROR(__xludf.DUMMYFUNCTION("""COMPUTED_VALUE"""),"N")</f>
        <v>N</v>
      </c>
      <c r="E76" s="6">
        <f ca="1">IFERROR(__xludf.DUMMYFUNCTION("""COMPUTED_VALUE"""),0.695)</f>
        <v>0.69499999999999995</v>
      </c>
      <c r="F76" s="3" t="str">
        <f ca="1">IFERROR(__xludf.DUMMYFUNCTION("""COMPUTED_VALUE"""),"Easy")</f>
        <v>Easy</v>
      </c>
      <c r="G76" s="3" t="str">
        <f ca="1">IFERROR(__xludf.DUMMYFUNCTION("""COMPUTED_VALUE"""),"2.80847%;")</f>
        <v>2.80847%;</v>
      </c>
    </row>
    <row r="77" spans="1:7" x14ac:dyDescent="0.2">
      <c r="A77" s="3">
        <f ca="1">IFERROR(__xludf.DUMMYFUNCTION("""COMPUTED_VALUE"""),496)</f>
        <v>496</v>
      </c>
      <c r="B77" s="4" t="str">
        <f ca="1">IFERROR(__xludf.DUMMYFUNCTION("""COMPUTED_VALUE"""),"Next Greater Element I")</f>
        <v>Next Greater Element I</v>
      </c>
      <c r="C77" s="8" t="str">
        <f ca="1">IFERROR(__xludf.DUMMYFUNCTION("""COMPUTED_VALUE"""),"https://leetcode.com/problems/next-greater-element-i")</f>
        <v>https://leetcode.com/problems/next-greater-element-i</v>
      </c>
      <c r="D77" s="3" t="str">
        <f ca="1">IFERROR(__xludf.DUMMYFUNCTION("""COMPUTED_VALUE"""),"N")</f>
        <v>N</v>
      </c>
      <c r="E77" s="6">
        <f ca="1">IFERROR(__xludf.DUMMYFUNCTION("""COMPUTED_VALUE"""),0.714)</f>
        <v>0.71399999999999997</v>
      </c>
      <c r="F77" s="3" t="str">
        <f ca="1">IFERROR(__xludf.DUMMYFUNCTION("""COMPUTED_VALUE"""),"Easy")</f>
        <v>Easy</v>
      </c>
      <c r="G77" s="3" t="str">
        <f ca="1">IFERROR(__xludf.DUMMYFUNCTION("""COMPUTED_VALUE"""),"24.3059%;")</f>
        <v>24.3059%;</v>
      </c>
    </row>
    <row r="78" spans="1:7" x14ac:dyDescent="0.2">
      <c r="A78" s="3">
        <f ca="1">IFERROR(__xludf.DUMMYFUNCTION("""COMPUTED_VALUE"""),506)</f>
        <v>506</v>
      </c>
      <c r="B78" s="4" t="str">
        <f ca="1">IFERROR(__xludf.DUMMYFUNCTION("""COMPUTED_VALUE"""),"Relative Ranks")</f>
        <v>Relative Ranks</v>
      </c>
      <c r="C78" s="8" t="str">
        <f ca="1">IFERROR(__xludf.DUMMYFUNCTION("""COMPUTED_VALUE"""),"https://leetcode.com/problems/relative-ranks")</f>
        <v>https://leetcode.com/problems/relative-ranks</v>
      </c>
      <c r="D78" s="3" t="str">
        <f ca="1">IFERROR(__xludf.DUMMYFUNCTION("""COMPUTED_VALUE"""),"N")</f>
        <v>N</v>
      </c>
      <c r="E78" s="6">
        <f ca="1">IFERROR(__xludf.DUMMYFUNCTION("""COMPUTED_VALUE"""),0.591)</f>
        <v>0.59099999999999997</v>
      </c>
      <c r="F78" s="3" t="str">
        <f ca="1">IFERROR(__xludf.DUMMYFUNCTION("""COMPUTED_VALUE"""),"Easy")</f>
        <v>Easy</v>
      </c>
      <c r="G78" s="3" t="str">
        <f ca="1">IFERROR(__xludf.DUMMYFUNCTION("""COMPUTED_VALUE"""),"5.74849%;")</f>
        <v>5.74849%;</v>
      </c>
    </row>
    <row r="79" spans="1:7" x14ac:dyDescent="0.2">
      <c r="A79" s="3">
        <f ca="1">IFERROR(__xludf.DUMMYFUNCTION("""COMPUTED_VALUE"""),530)</f>
        <v>530</v>
      </c>
      <c r="B79" s="4" t="str">
        <f ca="1">IFERROR(__xludf.DUMMYFUNCTION("""COMPUTED_VALUE"""),"Minimum Absolute Difference in BST")</f>
        <v>Minimum Absolute Difference in BST</v>
      </c>
      <c r="C79" s="8" t="str">
        <f ca="1">IFERROR(__xludf.DUMMYFUNCTION("""COMPUTED_VALUE"""),"https://leetcode.com/problems/minimum-absolute-difference-in-bst")</f>
        <v>https://leetcode.com/problems/minimum-absolute-difference-in-bst</v>
      </c>
      <c r="D79" s="3" t="str">
        <f ca="1">IFERROR(__xludf.DUMMYFUNCTION("""COMPUTED_VALUE"""),"N")</f>
        <v>N</v>
      </c>
      <c r="E79" s="6">
        <f ca="1">IFERROR(__xludf.DUMMYFUNCTION("""COMPUTED_VALUE"""),0.568)</f>
        <v>0.56799999999999995</v>
      </c>
      <c r="F79" s="3" t="str">
        <f ca="1">IFERROR(__xludf.DUMMYFUNCTION("""COMPUTED_VALUE"""),"Easy")</f>
        <v>Easy</v>
      </c>
      <c r="G79" s="3" t="str">
        <f ca="1">IFERROR(__xludf.DUMMYFUNCTION("""COMPUTED_VALUE"""),"4.53854%;")</f>
        <v>4.53854%;</v>
      </c>
    </row>
    <row r="80" spans="1:7" x14ac:dyDescent="0.2">
      <c r="A80" s="3">
        <f ca="1">IFERROR(__xludf.DUMMYFUNCTION("""COMPUTED_VALUE"""),543)</f>
        <v>543</v>
      </c>
      <c r="B80" s="4" t="str">
        <f ca="1">IFERROR(__xludf.DUMMYFUNCTION("""COMPUTED_VALUE"""),"Diameter of Binary Tree")</f>
        <v>Diameter of Binary Tree</v>
      </c>
      <c r="C80" s="8" t="str">
        <f ca="1">IFERROR(__xludf.DUMMYFUNCTION("""COMPUTED_VALUE"""),"https://leetcode.com/problems/diameter-of-binary-tree")</f>
        <v>https://leetcode.com/problems/diameter-of-binary-tree</v>
      </c>
      <c r="D80" s="3" t="str">
        <f ca="1">IFERROR(__xludf.DUMMYFUNCTION("""COMPUTED_VALUE"""),"N")</f>
        <v>N</v>
      </c>
      <c r="E80" s="6">
        <f ca="1">IFERROR(__xludf.DUMMYFUNCTION("""COMPUTED_VALUE"""),0.561)</f>
        <v>0.56100000000000005</v>
      </c>
      <c r="F80" s="3" t="str">
        <f ca="1">IFERROR(__xludf.DUMMYFUNCTION("""COMPUTED_VALUE"""),"Easy")</f>
        <v>Easy</v>
      </c>
      <c r="G80" s="3" t="str">
        <f ca="1">IFERROR(__xludf.DUMMYFUNCTION("""COMPUTED_VALUE"""),"22.305%;")</f>
        <v>22.305%;</v>
      </c>
    </row>
    <row r="81" spans="1:7" x14ac:dyDescent="0.2">
      <c r="A81" s="3">
        <f ca="1">IFERROR(__xludf.DUMMYFUNCTION("""COMPUTED_VALUE"""),557)</f>
        <v>557</v>
      </c>
      <c r="B81" s="4" t="str">
        <f ca="1">IFERROR(__xludf.DUMMYFUNCTION("""COMPUTED_VALUE"""),"Reverse Words in a String III")</f>
        <v>Reverse Words in a String III</v>
      </c>
      <c r="C81" s="8" t="str">
        <f ca="1">IFERROR(__xludf.DUMMYFUNCTION("""COMPUTED_VALUE"""),"https://leetcode.com/problems/reverse-words-in-a-string-iii")</f>
        <v>https://leetcode.com/problems/reverse-words-in-a-string-iii</v>
      </c>
      <c r="D81" s="3" t="str">
        <f ca="1">IFERROR(__xludf.DUMMYFUNCTION("""COMPUTED_VALUE"""),"N")</f>
        <v>N</v>
      </c>
      <c r="E81" s="6">
        <f ca="1">IFERROR(__xludf.DUMMYFUNCTION("""COMPUTED_VALUE"""),0.816)</f>
        <v>0.81599999999999995</v>
      </c>
      <c r="F81" s="3" t="str">
        <f ca="1">IFERROR(__xludf.DUMMYFUNCTION("""COMPUTED_VALUE"""),"Easy")</f>
        <v>Easy</v>
      </c>
      <c r="G81" s="3" t="str">
        <f ca="1">IFERROR(__xludf.DUMMYFUNCTION("""COMPUTED_VALUE"""),"1.39351%;")</f>
        <v>1.39351%;</v>
      </c>
    </row>
    <row r="82" spans="1:7" x14ac:dyDescent="0.2">
      <c r="A82" s="3">
        <f ca="1">IFERROR(__xludf.DUMMYFUNCTION("""COMPUTED_VALUE"""),572)</f>
        <v>572</v>
      </c>
      <c r="B82" s="4" t="str">
        <f ca="1">IFERROR(__xludf.DUMMYFUNCTION("""COMPUTED_VALUE"""),"Subtree of Another Tree")</f>
        <v>Subtree of Another Tree</v>
      </c>
      <c r="C82" s="8" t="str">
        <f ca="1">IFERROR(__xludf.DUMMYFUNCTION("""COMPUTED_VALUE"""),"https://leetcode.com/problems/subtree-of-another-tree")</f>
        <v>https://leetcode.com/problems/subtree-of-another-tree</v>
      </c>
      <c r="D82" s="3" t="str">
        <f ca="1">IFERROR(__xludf.DUMMYFUNCTION("""COMPUTED_VALUE"""),"N")</f>
        <v>N</v>
      </c>
      <c r="E82" s="6">
        <f ca="1">IFERROR(__xludf.DUMMYFUNCTION("""COMPUTED_VALUE"""),0.46)</f>
        <v>0.46</v>
      </c>
      <c r="F82" s="3" t="str">
        <f ca="1">IFERROR(__xludf.DUMMYFUNCTION("""COMPUTED_VALUE"""),"Easy")</f>
        <v>Easy</v>
      </c>
      <c r="G82" s="3" t="str">
        <f ca="1">IFERROR(__xludf.DUMMYFUNCTION("""COMPUTED_VALUE"""),"9.94543%;")</f>
        <v>9.94543%;</v>
      </c>
    </row>
    <row r="83" spans="1:7" x14ac:dyDescent="0.2">
      <c r="A83" s="3">
        <f ca="1">IFERROR(__xludf.DUMMYFUNCTION("""COMPUTED_VALUE"""),584)</f>
        <v>584</v>
      </c>
      <c r="B83" s="4" t="str">
        <f ca="1">IFERROR(__xludf.DUMMYFUNCTION("""COMPUTED_VALUE"""),"Find Customer Referee")</f>
        <v>Find Customer Referee</v>
      </c>
      <c r="C83" s="8" t="str">
        <f ca="1">IFERROR(__xludf.DUMMYFUNCTION("""COMPUTED_VALUE"""),"https://leetcode.com/problems/find-customer-referee")</f>
        <v>https://leetcode.com/problems/find-customer-referee</v>
      </c>
      <c r="D83" s="3" t="str">
        <f ca="1">IFERROR(__xludf.DUMMYFUNCTION("""COMPUTED_VALUE"""),"N")</f>
        <v>N</v>
      </c>
      <c r="E83" s="6">
        <f ca="1">IFERROR(__xludf.DUMMYFUNCTION("""COMPUTED_VALUE"""),0.73)</f>
        <v>0.73</v>
      </c>
      <c r="F83" s="3" t="str">
        <f ca="1">IFERROR(__xludf.DUMMYFUNCTION("""COMPUTED_VALUE"""),"Easy")</f>
        <v>Easy</v>
      </c>
      <c r="G83" s="3" t="str">
        <f ca="1">IFERROR(__xludf.DUMMYFUNCTION("""COMPUTED_VALUE"""),"1.6369%;")</f>
        <v>1.6369%;</v>
      </c>
    </row>
    <row r="84" spans="1:7" x14ac:dyDescent="0.2">
      <c r="A84" s="3">
        <f ca="1">IFERROR(__xludf.DUMMYFUNCTION("""COMPUTED_VALUE"""),595)</f>
        <v>595</v>
      </c>
      <c r="B84" s="4" t="str">
        <f ca="1">IFERROR(__xludf.DUMMYFUNCTION("""COMPUTED_VALUE"""),"Big Countries")</f>
        <v>Big Countries</v>
      </c>
      <c r="C84" s="8" t="str">
        <f ca="1">IFERROR(__xludf.DUMMYFUNCTION("""COMPUTED_VALUE"""),"https://leetcode.com/problems/big-countries")</f>
        <v>https://leetcode.com/problems/big-countries</v>
      </c>
      <c r="D84" s="3" t="str">
        <f ca="1">IFERROR(__xludf.DUMMYFUNCTION("""COMPUTED_VALUE"""),"N")</f>
        <v>N</v>
      </c>
      <c r="E84" s="6">
        <f ca="1">IFERROR(__xludf.DUMMYFUNCTION("""COMPUTED_VALUE"""),0.733)</f>
        <v>0.73299999999999998</v>
      </c>
      <c r="F84" s="3" t="str">
        <f ca="1">IFERROR(__xludf.DUMMYFUNCTION("""COMPUTED_VALUE"""),"Easy")</f>
        <v>Easy</v>
      </c>
      <c r="G84" s="3" t="str">
        <f ca="1">IFERROR(__xludf.DUMMYFUNCTION("""COMPUTED_VALUE"""),"3.40434%;")</f>
        <v>3.40434%;</v>
      </c>
    </row>
    <row r="85" spans="1:7" x14ac:dyDescent="0.2">
      <c r="A85" s="3">
        <f ca="1">IFERROR(__xludf.DUMMYFUNCTION("""COMPUTED_VALUE"""),603)</f>
        <v>603</v>
      </c>
      <c r="B85" s="4" t="str">
        <f ca="1">IFERROR(__xludf.DUMMYFUNCTION("""COMPUTED_VALUE"""),"Consecutive Available Seats")</f>
        <v>Consecutive Available Seats</v>
      </c>
      <c r="C85" s="8" t="str">
        <f ca="1">IFERROR(__xludf.DUMMYFUNCTION("""COMPUTED_VALUE"""),"https://leetcode.com/problems/consecutive-available-seats")</f>
        <v>https://leetcode.com/problems/consecutive-available-seats</v>
      </c>
      <c r="D85" s="3" t="str">
        <f ca="1">IFERROR(__xludf.DUMMYFUNCTION("""COMPUTED_VALUE"""),"Y")</f>
        <v>Y</v>
      </c>
      <c r="E85" s="6">
        <f ca="1">IFERROR(__xludf.DUMMYFUNCTION("""COMPUTED_VALUE"""),0.683)</f>
        <v>0.68300000000000005</v>
      </c>
      <c r="F85" s="3" t="str">
        <f ca="1">IFERROR(__xludf.DUMMYFUNCTION("""COMPUTED_VALUE"""),"Easy")</f>
        <v>Easy</v>
      </c>
      <c r="G85" s="3" t="str">
        <f ca="1">IFERROR(__xludf.DUMMYFUNCTION("""COMPUTED_VALUE"""),"9.49603%;")</f>
        <v>9.49603%;</v>
      </c>
    </row>
    <row r="86" spans="1:7" x14ac:dyDescent="0.2">
      <c r="A86" s="3">
        <f ca="1">IFERROR(__xludf.DUMMYFUNCTION("""COMPUTED_VALUE"""),606)</f>
        <v>606</v>
      </c>
      <c r="B86" s="4" t="str">
        <f ca="1">IFERROR(__xludf.DUMMYFUNCTION("""COMPUTED_VALUE"""),"Construct String from Binary Tree")</f>
        <v>Construct String from Binary Tree</v>
      </c>
      <c r="C86" s="8" t="str">
        <f ca="1">IFERROR(__xludf.DUMMYFUNCTION("""COMPUTED_VALUE"""),"https://leetcode.com/problems/construct-string-from-binary-tree")</f>
        <v>https://leetcode.com/problems/construct-string-from-binary-tree</v>
      </c>
      <c r="D86" s="3" t="str">
        <f ca="1">IFERROR(__xludf.DUMMYFUNCTION("""COMPUTED_VALUE"""),"N")</f>
        <v>N</v>
      </c>
      <c r="E86" s="6">
        <f ca="1">IFERROR(__xludf.DUMMYFUNCTION("""COMPUTED_VALUE"""),0.636)</f>
        <v>0.63600000000000001</v>
      </c>
      <c r="F86" s="3" t="str">
        <f ca="1">IFERROR(__xludf.DUMMYFUNCTION("""COMPUTED_VALUE"""),"Easy")</f>
        <v>Easy</v>
      </c>
      <c r="G86" s="3" t="str">
        <f ca="1">IFERROR(__xludf.DUMMYFUNCTION("""COMPUTED_VALUE"""),"6.2725%;")</f>
        <v>6.2725%;</v>
      </c>
    </row>
    <row r="87" spans="1:7" x14ac:dyDescent="0.2">
      <c r="A87" s="3">
        <f ca="1">IFERROR(__xludf.DUMMYFUNCTION("""COMPUTED_VALUE"""),628)</f>
        <v>628</v>
      </c>
      <c r="B87" s="4" t="str">
        <f ca="1">IFERROR(__xludf.DUMMYFUNCTION("""COMPUTED_VALUE"""),"Maximum Product of Three Numbers")</f>
        <v>Maximum Product of Three Numbers</v>
      </c>
      <c r="C87" s="8" t="str">
        <f ca="1">IFERROR(__xludf.DUMMYFUNCTION("""COMPUTED_VALUE"""),"https://leetcode.com/problems/maximum-product-of-three-numbers")</f>
        <v>https://leetcode.com/problems/maximum-product-of-three-numbers</v>
      </c>
      <c r="D87" s="3" t="str">
        <f ca="1">IFERROR(__xludf.DUMMYFUNCTION("""COMPUTED_VALUE"""),"N")</f>
        <v>N</v>
      </c>
      <c r="E87" s="6">
        <f ca="1">IFERROR(__xludf.DUMMYFUNCTION("""COMPUTED_VALUE"""),0.464)</f>
        <v>0.46400000000000002</v>
      </c>
      <c r="F87" s="3" t="str">
        <f ca="1">IFERROR(__xludf.DUMMYFUNCTION("""COMPUTED_VALUE"""),"Easy")</f>
        <v>Easy</v>
      </c>
      <c r="G87" s="3" t="str">
        <f ca="1">IFERROR(__xludf.DUMMYFUNCTION("""COMPUTED_VALUE"""),"6.24716%;")</f>
        <v>6.24716%;</v>
      </c>
    </row>
    <row r="88" spans="1:7" x14ac:dyDescent="0.2">
      <c r="A88" s="3">
        <f ca="1">IFERROR(__xludf.DUMMYFUNCTION("""COMPUTED_VALUE"""),645)</f>
        <v>645</v>
      </c>
      <c r="B88" s="4" t="str">
        <f ca="1">IFERROR(__xludf.DUMMYFUNCTION("""COMPUTED_VALUE"""),"Set Mismatch")</f>
        <v>Set Mismatch</v>
      </c>
      <c r="C88" s="8" t="str">
        <f ca="1">IFERROR(__xludf.DUMMYFUNCTION("""COMPUTED_VALUE"""),"https://leetcode.com/problems/set-mismatch")</f>
        <v>https://leetcode.com/problems/set-mismatch</v>
      </c>
      <c r="D88" s="3" t="str">
        <f ca="1">IFERROR(__xludf.DUMMYFUNCTION("""COMPUTED_VALUE"""),"N")</f>
        <v>N</v>
      </c>
      <c r="E88" s="6">
        <f ca="1">IFERROR(__xludf.DUMMYFUNCTION("""COMPUTED_VALUE"""),0.43)</f>
        <v>0.43</v>
      </c>
      <c r="F88" s="3" t="str">
        <f ca="1">IFERROR(__xludf.DUMMYFUNCTION("""COMPUTED_VALUE"""),"Easy")</f>
        <v>Easy</v>
      </c>
      <c r="G88" s="3" t="str">
        <f ca="1">IFERROR(__xludf.DUMMYFUNCTION("""COMPUTED_VALUE"""),"7.87321%;")</f>
        <v>7.87321%;</v>
      </c>
    </row>
    <row r="89" spans="1:7" x14ac:dyDescent="0.2">
      <c r="A89" s="3">
        <f ca="1">IFERROR(__xludf.DUMMYFUNCTION("""COMPUTED_VALUE"""),653)</f>
        <v>653</v>
      </c>
      <c r="B89" s="4" t="str">
        <f ca="1">IFERROR(__xludf.DUMMYFUNCTION("""COMPUTED_VALUE"""),"Two Sum IV - Input is a BST")</f>
        <v>Two Sum IV - Input is a BST</v>
      </c>
      <c r="C89" s="8" t="str">
        <f ca="1">IFERROR(__xludf.DUMMYFUNCTION("""COMPUTED_VALUE"""),"https://leetcode.com/problems/two-sum-iv-input-is-a-bst")</f>
        <v>https://leetcode.com/problems/two-sum-iv-input-is-a-bst</v>
      </c>
      <c r="D89" s="3" t="str">
        <f ca="1">IFERROR(__xludf.DUMMYFUNCTION("""COMPUTED_VALUE"""),"N")</f>
        <v>N</v>
      </c>
      <c r="E89" s="6">
        <f ca="1">IFERROR(__xludf.DUMMYFUNCTION("""COMPUTED_VALUE"""),0.61)</f>
        <v>0.61</v>
      </c>
      <c r="F89" s="3" t="str">
        <f ca="1">IFERROR(__xludf.DUMMYFUNCTION("""COMPUTED_VALUE"""),"Easy")</f>
        <v>Easy</v>
      </c>
      <c r="G89" s="3" t="str">
        <f ca="1">IFERROR(__xludf.DUMMYFUNCTION("""COMPUTED_VALUE"""),"21.622%;")</f>
        <v>21.622%;</v>
      </c>
    </row>
    <row r="90" spans="1:7" x14ac:dyDescent="0.2">
      <c r="A90" s="3">
        <f ca="1">IFERROR(__xludf.DUMMYFUNCTION("""COMPUTED_VALUE"""),657)</f>
        <v>657</v>
      </c>
      <c r="B90" s="4" t="str">
        <f ca="1">IFERROR(__xludf.DUMMYFUNCTION("""COMPUTED_VALUE"""),"Robot Return to Origin")</f>
        <v>Robot Return to Origin</v>
      </c>
      <c r="C90" s="8" t="str">
        <f ca="1">IFERROR(__xludf.DUMMYFUNCTION("""COMPUTED_VALUE"""),"https://leetcode.com/problems/robot-return-to-origin")</f>
        <v>https://leetcode.com/problems/robot-return-to-origin</v>
      </c>
      <c r="D90" s="3" t="str">
        <f ca="1">IFERROR(__xludf.DUMMYFUNCTION("""COMPUTED_VALUE"""),"N")</f>
        <v>N</v>
      </c>
      <c r="E90" s="6">
        <f ca="1">IFERROR(__xludf.DUMMYFUNCTION("""COMPUTED_VALUE"""),0.753)</f>
        <v>0.753</v>
      </c>
      <c r="F90" s="3" t="str">
        <f ca="1">IFERROR(__xludf.DUMMYFUNCTION("""COMPUTED_VALUE"""),"Easy")</f>
        <v>Easy</v>
      </c>
      <c r="G90" s="3" t="str">
        <f ca="1">IFERROR(__xludf.DUMMYFUNCTION("""COMPUTED_VALUE"""),"4.8577%;")</f>
        <v>4.8577%;</v>
      </c>
    </row>
    <row r="91" spans="1:7" x14ac:dyDescent="0.2">
      <c r="A91" s="3">
        <f ca="1">IFERROR(__xludf.DUMMYFUNCTION("""COMPUTED_VALUE"""),680)</f>
        <v>680</v>
      </c>
      <c r="B91" s="4" t="str">
        <f ca="1">IFERROR(__xludf.DUMMYFUNCTION("""COMPUTED_VALUE"""),"Valid Palindrome II")</f>
        <v>Valid Palindrome II</v>
      </c>
      <c r="C91" s="8" t="str">
        <f ca="1">IFERROR(__xludf.DUMMYFUNCTION("""COMPUTED_VALUE"""),"https://leetcode.com/problems/valid-palindrome-ii")</f>
        <v>https://leetcode.com/problems/valid-palindrome-ii</v>
      </c>
      <c r="D91" s="3" t="str">
        <f ca="1">IFERROR(__xludf.DUMMYFUNCTION("""COMPUTED_VALUE"""),"N")</f>
        <v>N</v>
      </c>
      <c r="E91" s="6">
        <f ca="1">IFERROR(__xludf.DUMMYFUNCTION("""COMPUTED_VALUE"""),0.393)</f>
        <v>0.39300000000000002</v>
      </c>
      <c r="F91" s="3" t="str">
        <f ca="1">IFERROR(__xludf.DUMMYFUNCTION("""COMPUTED_VALUE"""),"Easy")</f>
        <v>Easy</v>
      </c>
      <c r="G91" s="3" t="str">
        <f ca="1">IFERROR(__xludf.DUMMYFUNCTION("""COMPUTED_VALUE"""),"1.99929%;")</f>
        <v>1.99929%;</v>
      </c>
    </row>
    <row r="92" spans="1:7" x14ac:dyDescent="0.2">
      <c r="A92" s="3">
        <f ca="1">IFERROR(__xludf.DUMMYFUNCTION("""COMPUTED_VALUE"""),696)</f>
        <v>696</v>
      </c>
      <c r="B92" s="4" t="str">
        <f ca="1">IFERROR(__xludf.DUMMYFUNCTION("""COMPUTED_VALUE"""),"Count Binary Substrings")</f>
        <v>Count Binary Substrings</v>
      </c>
      <c r="C92" s="8" t="str">
        <f ca="1">IFERROR(__xludf.DUMMYFUNCTION("""COMPUTED_VALUE"""),"https://leetcode.com/problems/count-binary-substrings")</f>
        <v>https://leetcode.com/problems/count-binary-substrings</v>
      </c>
      <c r="D92" s="3" t="str">
        <f ca="1">IFERROR(__xludf.DUMMYFUNCTION("""COMPUTED_VALUE"""),"N")</f>
        <v>N</v>
      </c>
      <c r="E92" s="6">
        <f ca="1">IFERROR(__xludf.DUMMYFUNCTION("""COMPUTED_VALUE"""),0.656)</f>
        <v>0.65600000000000003</v>
      </c>
      <c r="F92" s="3" t="str">
        <f ca="1">IFERROR(__xludf.DUMMYFUNCTION("""COMPUTED_VALUE"""),"Easy")</f>
        <v>Easy</v>
      </c>
      <c r="G92" s="3" t="str">
        <f ca="1">IFERROR(__xludf.DUMMYFUNCTION("""COMPUTED_VALUE"""),"21.5744%;")</f>
        <v>21.5744%;</v>
      </c>
    </row>
    <row r="93" spans="1:7" x14ac:dyDescent="0.2">
      <c r="A93" s="3">
        <f ca="1">IFERROR(__xludf.DUMMYFUNCTION("""COMPUTED_VALUE"""),724)</f>
        <v>724</v>
      </c>
      <c r="B93" s="4" t="str">
        <f ca="1">IFERROR(__xludf.DUMMYFUNCTION("""COMPUTED_VALUE"""),"Find Pivot Index")</f>
        <v>Find Pivot Index</v>
      </c>
      <c r="C93" s="8" t="str">
        <f ca="1">IFERROR(__xludf.DUMMYFUNCTION("""COMPUTED_VALUE"""),"https://leetcode.com/problems/find-pivot-index")</f>
        <v>https://leetcode.com/problems/find-pivot-index</v>
      </c>
      <c r="D93" s="3" t="str">
        <f ca="1">IFERROR(__xludf.DUMMYFUNCTION("""COMPUTED_VALUE"""),"N")</f>
        <v>N</v>
      </c>
      <c r="E93" s="6">
        <f ca="1">IFERROR(__xludf.DUMMYFUNCTION("""COMPUTED_VALUE"""),0.534)</f>
        <v>0.53400000000000003</v>
      </c>
      <c r="F93" s="3" t="str">
        <f ca="1">IFERROR(__xludf.DUMMYFUNCTION("""COMPUTED_VALUE"""),"Easy")</f>
        <v>Easy</v>
      </c>
      <c r="G93" s="3" t="str">
        <f ca="1">IFERROR(__xludf.DUMMYFUNCTION("""COMPUTED_VALUE"""),"9.07522%;")</f>
        <v>9.07522%;</v>
      </c>
    </row>
    <row r="94" spans="1:7" x14ac:dyDescent="0.2">
      <c r="A94" s="3">
        <f ca="1">IFERROR(__xludf.DUMMYFUNCTION("""COMPUTED_VALUE"""),733)</f>
        <v>733</v>
      </c>
      <c r="B94" s="4" t="str">
        <f ca="1">IFERROR(__xludf.DUMMYFUNCTION("""COMPUTED_VALUE"""),"Flood Fill")</f>
        <v>Flood Fill</v>
      </c>
      <c r="C94" s="8" t="str">
        <f ca="1">IFERROR(__xludf.DUMMYFUNCTION("""COMPUTED_VALUE"""),"https://leetcode.com/problems/flood-fill")</f>
        <v>https://leetcode.com/problems/flood-fill</v>
      </c>
      <c r="D94" s="3" t="str">
        <f ca="1">IFERROR(__xludf.DUMMYFUNCTION("""COMPUTED_VALUE"""),"N")</f>
        <v>N</v>
      </c>
      <c r="E94" s="6">
        <f ca="1">IFERROR(__xludf.DUMMYFUNCTION("""COMPUTED_VALUE"""),0.606)</f>
        <v>0.60599999999999998</v>
      </c>
      <c r="F94" s="3" t="str">
        <f ca="1">IFERROR(__xludf.DUMMYFUNCTION("""COMPUTED_VALUE"""),"Easy")</f>
        <v>Easy</v>
      </c>
      <c r="G94" s="3" t="str">
        <f ca="1">IFERROR(__xludf.DUMMYFUNCTION("""COMPUTED_VALUE"""),"23.3166%;")</f>
        <v>23.3166%;</v>
      </c>
    </row>
    <row r="95" spans="1:7" x14ac:dyDescent="0.2">
      <c r="A95" s="3">
        <f ca="1">IFERROR(__xludf.DUMMYFUNCTION("""COMPUTED_VALUE"""),746)</f>
        <v>746</v>
      </c>
      <c r="B95" s="4" t="str">
        <f ca="1">IFERROR(__xludf.DUMMYFUNCTION("""COMPUTED_VALUE"""),"Min Cost Climbing Stairs")</f>
        <v>Min Cost Climbing Stairs</v>
      </c>
      <c r="C95" s="8" t="str">
        <f ca="1">IFERROR(__xludf.DUMMYFUNCTION("""COMPUTED_VALUE"""),"https://leetcode.com/problems/min-cost-climbing-stairs")</f>
        <v>https://leetcode.com/problems/min-cost-climbing-stairs</v>
      </c>
      <c r="D95" s="3" t="str">
        <f ca="1">IFERROR(__xludf.DUMMYFUNCTION("""COMPUTED_VALUE"""),"N")</f>
        <v>N</v>
      </c>
      <c r="E95" s="6">
        <f ca="1">IFERROR(__xludf.DUMMYFUNCTION("""COMPUTED_VALUE"""),0.625)</f>
        <v>0.625</v>
      </c>
      <c r="F95" s="3" t="str">
        <f ca="1">IFERROR(__xludf.DUMMYFUNCTION("""COMPUTED_VALUE"""),"Easy")</f>
        <v>Easy</v>
      </c>
      <c r="G95" s="3" t="str">
        <f ca="1">IFERROR(__xludf.DUMMYFUNCTION("""COMPUTED_VALUE"""),"4.84135%;")</f>
        <v>4.84135%;</v>
      </c>
    </row>
    <row r="96" spans="1:7" x14ac:dyDescent="0.2">
      <c r="A96" s="3">
        <f ca="1">IFERROR(__xludf.DUMMYFUNCTION("""COMPUTED_VALUE"""),703)</f>
        <v>703</v>
      </c>
      <c r="B96" s="4" t="str">
        <f ca="1">IFERROR(__xludf.DUMMYFUNCTION("""COMPUTED_VALUE"""),"Kth Largest Element in a Stream")</f>
        <v>Kth Largest Element in a Stream</v>
      </c>
      <c r="C96" s="8" t="str">
        <f ca="1">IFERROR(__xludf.DUMMYFUNCTION("""COMPUTED_VALUE"""),"https://leetcode.com/problems/kth-largest-element-in-a-stream")</f>
        <v>https://leetcode.com/problems/kth-largest-element-in-a-stream</v>
      </c>
      <c r="D96" s="3" t="str">
        <f ca="1">IFERROR(__xludf.DUMMYFUNCTION("""COMPUTED_VALUE"""),"N")</f>
        <v>N</v>
      </c>
      <c r="E96" s="6">
        <f ca="1">IFERROR(__xludf.DUMMYFUNCTION("""COMPUTED_VALUE"""),0.555)</f>
        <v>0.55500000000000005</v>
      </c>
      <c r="F96" s="3" t="str">
        <f ca="1">IFERROR(__xludf.DUMMYFUNCTION("""COMPUTED_VALUE"""),"Easy")</f>
        <v>Easy</v>
      </c>
      <c r="G96" s="3" t="str">
        <f ca="1">IFERROR(__xludf.DUMMYFUNCTION("""COMPUTED_VALUE"""),"8.28183%;")</f>
        <v>8.28183%;</v>
      </c>
    </row>
    <row r="97" spans="1:7" x14ac:dyDescent="0.2">
      <c r="A97" s="3">
        <f ca="1">IFERROR(__xludf.DUMMYFUNCTION("""COMPUTED_VALUE"""),704)</f>
        <v>704</v>
      </c>
      <c r="B97" s="4" t="str">
        <f ca="1">IFERROR(__xludf.DUMMYFUNCTION("""COMPUTED_VALUE"""),"Binary Search")</f>
        <v>Binary Search</v>
      </c>
      <c r="C97" s="8" t="str">
        <f ca="1">IFERROR(__xludf.DUMMYFUNCTION("""COMPUTED_VALUE"""),"https://leetcode.com/problems/binary-search")</f>
        <v>https://leetcode.com/problems/binary-search</v>
      </c>
      <c r="D97" s="3" t="str">
        <f ca="1">IFERROR(__xludf.DUMMYFUNCTION("""COMPUTED_VALUE"""),"N")</f>
        <v>N</v>
      </c>
      <c r="E97" s="6">
        <f ca="1">IFERROR(__xludf.DUMMYFUNCTION("""COMPUTED_VALUE"""),0.551)</f>
        <v>0.55100000000000005</v>
      </c>
      <c r="F97" s="3" t="str">
        <f ca="1">IFERROR(__xludf.DUMMYFUNCTION("""COMPUTED_VALUE"""),"Easy")</f>
        <v>Easy</v>
      </c>
      <c r="G97" s="3" t="str">
        <f ca="1">IFERROR(__xludf.DUMMYFUNCTION("""COMPUTED_VALUE"""),"1.16165%;")</f>
        <v>1.16165%;</v>
      </c>
    </row>
    <row r="98" spans="1:7" x14ac:dyDescent="0.2">
      <c r="A98" s="3">
        <f ca="1">IFERROR(__xludf.DUMMYFUNCTION("""COMPUTED_VALUE"""),796)</f>
        <v>796</v>
      </c>
      <c r="B98" s="4" t="str">
        <f ca="1">IFERROR(__xludf.DUMMYFUNCTION("""COMPUTED_VALUE"""),"Rotate String")</f>
        <v>Rotate String</v>
      </c>
      <c r="C98" s="8" t="str">
        <f ca="1">IFERROR(__xludf.DUMMYFUNCTION("""COMPUTED_VALUE"""),"https://leetcode.com/problems/rotate-string")</f>
        <v>https://leetcode.com/problems/rotate-string</v>
      </c>
      <c r="D98" s="3" t="str">
        <f ca="1">IFERROR(__xludf.DUMMYFUNCTION("""COMPUTED_VALUE"""),"N")</f>
        <v>N</v>
      </c>
      <c r="E98" s="6">
        <f ca="1">IFERROR(__xludf.DUMMYFUNCTION("""COMPUTED_VALUE"""),0.542)</f>
        <v>0.54200000000000004</v>
      </c>
      <c r="F98" s="3" t="str">
        <f ca="1">IFERROR(__xludf.DUMMYFUNCTION("""COMPUTED_VALUE"""),"Easy")</f>
        <v>Easy</v>
      </c>
      <c r="G98" s="3" t="str">
        <f ca="1">IFERROR(__xludf.DUMMYFUNCTION("""COMPUTED_VALUE"""),"11.6245%;")</f>
        <v>11.6245%;</v>
      </c>
    </row>
    <row r="99" spans="1:7" x14ac:dyDescent="0.2">
      <c r="A99" s="3">
        <f ca="1">IFERROR(__xludf.DUMMYFUNCTION("""COMPUTED_VALUE"""),706)</f>
        <v>706</v>
      </c>
      <c r="B99" s="4" t="str">
        <f ca="1">IFERROR(__xludf.DUMMYFUNCTION("""COMPUTED_VALUE"""),"Design HashMap")</f>
        <v>Design HashMap</v>
      </c>
      <c r="C99" s="8" t="str">
        <f ca="1">IFERROR(__xludf.DUMMYFUNCTION("""COMPUTED_VALUE"""),"https://leetcode.com/problems/design-hashmap")</f>
        <v>https://leetcode.com/problems/design-hashmap</v>
      </c>
      <c r="D99" s="3" t="str">
        <f ca="1">IFERROR(__xludf.DUMMYFUNCTION("""COMPUTED_VALUE"""),"N")</f>
        <v>N</v>
      </c>
      <c r="E99" s="6">
        <f ca="1">IFERROR(__xludf.DUMMYFUNCTION("""COMPUTED_VALUE"""),0.65)</f>
        <v>0.65</v>
      </c>
      <c r="F99" s="3" t="str">
        <f ca="1">IFERROR(__xludf.DUMMYFUNCTION("""COMPUTED_VALUE"""),"Easy")</f>
        <v>Easy</v>
      </c>
      <c r="G99" s="3" t="str">
        <f ca="1">IFERROR(__xludf.DUMMYFUNCTION("""COMPUTED_VALUE"""),"14.0897%;")</f>
        <v>14.0897%;</v>
      </c>
    </row>
    <row r="100" spans="1:7" x14ac:dyDescent="0.2">
      <c r="A100" s="3">
        <f ca="1">IFERROR(__xludf.DUMMYFUNCTION("""COMPUTED_VALUE"""),804)</f>
        <v>804</v>
      </c>
      <c r="B100" s="4" t="str">
        <f ca="1">IFERROR(__xludf.DUMMYFUNCTION("""COMPUTED_VALUE"""),"Unique Morse Code Words")</f>
        <v>Unique Morse Code Words</v>
      </c>
      <c r="C100" s="8" t="str">
        <f ca="1">IFERROR(__xludf.DUMMYFUNCTION("""COMPUTED_VALUE"""),"https://leetcode.com/problems/unique-morse-code-words")</f>
        <v>https://leetcode.com/problems/unique-morse-code-words</v>
      </c>
      <c r="D100" s="3" t="str">
        <f ca="1">IFERROR(__xludf.DUMMYFUNCTION("""COMPUTED_VALUE"""),"N")</f>
        <v>N</v>
      </c>
      <c r="E100" s="6">
        <f ca="1">IFERROR(__xludf.DUMMYFUNCTION("""COMPUTED_VALUE"""),0.827)</f>
        <v>0.82699999999999996</v>
      </c>
      <c r="F100" s="3" t="str">
        <f ca="1">IFERROR(__xludf.DUMMYFUNCTION("""COMPUTED_VALUE"""),"Easy")</f>
        <v>Easy</v>
      </c>
      <c r="G100" s="3" t="str">
        <f ca="1">IFERROR(__xludf.DUMMYFUNCTION("""COMPUTED_VALUE"""),"4.36651%;")</f>
        <v>4.36651%;</v>
      </c>
    </row>
    <row r="101" spans="1:7" x14ac:dyDescent="0.2">
      <c r="A101" s="3">
        <f ca="1">IFERROR(__xludf.DUMMYFUNCTION("""COMPUTED_VALUE"""),819)</f>
        <v>819</v>
      </c>
      <c r="B101" s="4" t="str">
        <f ca="1">IFERROR(__xludf.DUMMYFUNCTION("""COMPUTED_VALUE"""),"Most Common Word")</f>
        <v>Most Common Word</v>
      </c>
      <c r="C101" s="8" t="str">
        <f ca="1">IFERROR(__xludf.DUMMYFUNCTION("""COMPUTED_VALUE"""),"https://leetcode.com/problems/most-common-word")</f>
        <v>https://leetcode.com/problems/most-common-word</v>
      </c>
      <c r="D101" s="3" t="str">
        <f ca="1">IFERROR(__xludf.DUMMYFUNCTION("""COMPUTED_VALUE"""),"N")</f>
        <v>N</v>
      </c>
      <c r="E101" s="6">
        <f ca="1">IFERROR(__xludf.DUMMYFUNCTION("""COMPUTED_VALUE"""),0.449)</f>
        <v>0.44900000000000001</v>
      </c>
      <c r="F101" s="3" t="str">
        <f ca="1">IFERROR(__xludf.DUMMYFUNCTION("""COMPUTED_VALUE"""),"Easy")</f>
        <v>Easy</v>
      </c>
      <c r="G101" s="3" t="str">
        <f ca="1">IFERROR(__xludf.DUMMYFUNCTION("""COMPUTED_VALUE"""),"5.34705%;")</f>
        <v>5.34705%;</v>
      </c>
    </row>
    <row r="102" spans="1:7" x14ac:dyDescent="0.2">
      <c r="A102" s="3">
        <f ca="1">IFERROR(__xludf.DUMMYFUNCTION("""COMPUTED_VALUE"""),836)</f>
        <v>836</v>
      </c>
      <c r="B102" s="4" t="str">
        <f ca="1">IFERROR(__xludf.DUMMYFUNCTION("""COMPUTED_VALUE"""),"Rectangle Overlap")</f>
        <v>Rectangle Overlap</v>
      </c>
      <c r="C102" s="8" t="str">
        <f ca="1">IFERROR(__xludf.DUMMYFUNCTION("""COMPUTED_VALUE"""),"https://leetcode.com/problems/rectangle-overlap")</f>
        <v>https://leetcode.com/problems/rectangle-overlap</v>
      </c>
      <c r="D102" s="3" t="str">
        <f ca="1">IFERROR(__xludf.DUMMYFUNCTION("""COMPUTED_VALUE"""),"N")</f>
        <v>N</v>
      </c>
      <c r="E102" s="6">
        <f ca="1">IFERROR(__xludf.DUMMYFUNCTION("""COMPUTED_VALUE"""),0.436)</f>
        <v>0.436</v>
      </c>
      <c r="F102" s="3" t="str">
        <f ca="1">IFERROR(__xludf.DUMMYFUNCTION("""COMPUTED_VALUE"""),"Easy")</f>
        <v>Easy</v>
      </c>
      <c r="G102" s="3" t="str">
        <f ca="1">IFERROR(__xludf.DUMMYFUNCTION("""COMPUTED_VALUE"""),"0.590029%;")</f>
        <v>0.590029%;</v>
      </c>
    </row>
    <row r="103" spans="1:7" x14ac:dyDescent="0.2">
      <c r="A103" s="3">
        <f ca="1">IFERROR(__xludf.DUMMYFUNCTION("""COMPUTED_VALUE"""),867)</f>
        <v>867</v>
      </c>
      <c r="B103" s="4" t="str">
        <f ca="1">IFERROR(__xludf.DUMMYFUNCTION("""COMPUTED_VALUE"""),"Transpose Matrix")</f>
        <v>Transpose Matrix</v>
      </c>
      <c r="C103" s="8" t="str">
        <f ca="1">IFERROR(__xludf.DUMMYFUNCTION("""COMPUTED_VALUE"""),"https://leetcode.com/problems/transpose-matrix")</f>
        <v>https://leetcode.com/problems/transpose-matrix</v>
      </c>
      <c r="D103" s="3" t="str">
        <f ca="1">IFERROR(__xludf.DUMMYFUNCTION("""COMPUTED_VALUE"""),"N")</f>
        <v>N</v>
      </c>
      <c r="E103" s="6">
        <f ca="1">IFERROR(__xludf.DUMMYFUNCTION("""COMPUTED_VALUE"""),0.634)</f>
        <v>0.63400000000000001</v>
      </c>
      <c r="F103" s="3" t="str">
        <f ca="1">IFERROR(__xludf.DUMMYFUNCTION("""COMPUTED_VALUE"""),"Easy")</f>
        <v>Easy</v>
      </c>
      <c r="G103" s="3" t="str">
        <f ca="1">IFERROR(__xludf.DUMMYFUNCTION("""COMPUTED_VALUE"""),"8.03794%;")</f>
        <v>8.03794%;</v>
      </c>
    </row>
    <row r="104" spans="1:7" x14ac:dyDescent="0.2">
      <c r="A104" s="3">
        <f ca="1">IFERROR(__xludf.DUMMYFUNCTION("""COMPUTED_VALUE"""),876)</f>
        <v>876</v>
      </c>
      <c r="B104" s="4" t="str">
        <f ca="1">IFERROR(__xludf.DUMMYFUNCTION("""COMPUTED_VALUE"""),"Middle of the Linked List")</f>
        <v>Middle of the Linked List</v>
      </c>
      <c r="C104" s="8" t="str">
        <f ca="1">IFERROR(__xludf.DUMMYFUNCTION("""COMPUTED_VALUE"""),"https://leetcode.com/problems/middle-of-the-linked-list")</f>
        <v>https://leetcode.com/problems/middle-of-the-linked-list</v>
      </c>
      <c r="D104" s="3" t="str">
        <f ca="1">IFERROR(__xludf.DUMMYFUNCTION("""COMPUTED_VALUE"""),"N")</f>
        <v>N</v>
      </c>
      <c r="E104" s="6">
        <f ca="1">IFERROR(__xludf.DUMMYFUNCTION("""COMPUTED_VALUE"""),0.739)</f>
        <v>0.73899999999999999</v>
      </c>
      <c r="F104" s="3" t="str">
        <f ca="1">IFERROR(__xludf.DUMMYFUNCTION("""COMPUTED_VALUE"""),"Easy")</f>
        <v>Easy</v>
      </c>
      <c r="G104" s="3" t="str">
        <f ca="1">IFERROR(__xludf.DUMMYFUNCTION("""COMPUTED_VALUE"""),"1.46864%;")</f>
        <v>1.46864%;</v>
      </c>
    </row>
    <row r="105" spans="1:7" x14ac:dyDescent="0.2">
      <c r="A105" s="3">
        <f ca="1">IFERROR(__xludf.DUMMYFUNCTION("""COMPUTED_VALUE"""),929)</f>
        <v>929</v>
      </c>
      <c r="B105" s="4" t="str">
        <f ca="1">IFERROR(__xludf.DUMMYFUNCTION("""COMPUTED_VALUE"""),"Unique Email Addresses")</f>
        <v>Unique Email Addresses</v>
      </c>
      <c r="C105" s="8" t="str">
        <f ca="1">IFERROR(__xludf.DUMMYFUNCTION("""COMPUTED_VALUE"""),"https://leetcode.com/problems/unique-email-addresses")</f>
        <v>https://leetcode.com/problems/unique-email-addresses</v>
      </c>
      <c r="D105" s="3" t="str">
        <f ca="1">IFERROR(__xludf.DUMMYFUNCTION("""COMPUTED_VALUE"""),"N")</f>
        <v>N</v>
      </c>
      <c r="E105" s="6">
        <f ca="1">IFERROR(__xludf.DUMMYFUNCTION("""COMPUTED_VALUE"""),0.672)</f>
        <v>0.67200000000000004</v>
      </c>
      <c r="F105" s="3" t="str">
        <f ca="1">IFERROR(__xludf.DUMMYFUNCTION("""COMPUTED_VALUE"""),"Easy")</f>
        <v>Easy</v>
      </c>
      <c r="G105" s="3" t="str">
        <f ca="1">IFERROR(__xludf.DUMMYFUNCTION("""COMPUTED_VALUE"""),"3.65207%;")</f>
        <v>3.65207%;</v>
      </c>
    </row>
    <row r="106" spans="1:7" x14ac:dyDescent="0.2">
      <c r="A106" s="3">
        <f ca="1">IFERROR(__xludf.DUMMYFUNCTION("""COMPUTED_VALUE"""),941)</f>
        <v>941</v>
      </c>
      <c r="B106" s="4" t="str">
        <f ca="1">IFERROR(__xludf.DUMMYFUNCTION("""COMPUTED_VALUE"""),"Valid Mountain Array")</f>
        <v>Valid Mountain Array</v>
      </c>
      <c r="C106" s="8" t="str">
        <f ca="1">IFERROR(__xludf.DUMMYFUNCTION("""COMPUTED_VALUE"""),"https://leetcode.com/problems/valid-mountain-array")</f>
        <v>https://leetcode.com/problems/valid-mountain-array</v>
      </c>
      <c r="D106" s="3" t="str">
        <f ca="1">IFERROR(__xludf.DUMMYFUNCTION("""COMPUTED_VALUE"""),"N")</f>
        <v>N</v>
      </c>
      <c r="E106" s="6">
        <f ca="1">IFERROR(__xludf.DUMMYFUNCTION("""COMPUTED_VALUE"""),0.335)</f>
        <v>0.33500000000000002</v>
      </c>
      <c r="F106" s="3" t="str">
        <f ca="1">IFERROR(__xludf.DUMMYFUNCTION("""COMPUTED_VALUE"""),"Easy")</f>
        <v>Easy</v>
      </c>
      <c r="G106" s="3" t="str">
        <f ca="1">IFERROR(__xludf.DUMMYFUNCTION("""COMPUTED_VALUE"""),"3.3037%;")</f>
        <v>3.3037%;</v>
      </c>
    </row>
    <row r="107" spans="1:7" x14ac:dyDescent="0.2">
      <c r="A107" s="3">
        <f ca="1">IFERROR(__xludf.DUMMYFUNCTION("""COMPUTED_VALUE"""),953)</f>
        <v>953</v>
      </c>
      <c r="B107" s="4" t="str">
        <f ca="1">IFERROR(__xludf.DUMMYFUNCTION("""COMPUTED_VALUE"""),"Verifying an Alien Dictionary")</f>
        <v>Verifying an Alien Dictionary</v>
      </c>
      <c r="C107" s="8" t="str">
        <f ca="1">IFERROR(__xludf.DUMMYFUNCTION("""COMPUTED_VALUE"""),"https://leetcode.com/problems/verifying-an-alien-dictionary")</f>
        <v>https://leetcode.com/problems/verifying-an-alien-dictionary</v>
      </c>
      <c r="D107" s="3" t="str">
        <f ca="1">IFERROR(__xludf.DUMMYFUNCTION("""COMPUTED_VALUE"""),"N")</f>
        <v>N</v>
      </c>
      <c r="E107" s="6">
        <f ca="1">IFERROR(__xludf.DUMMYFUNCTION("""COMPUTED_VALUE"""),0.527)</f>
        <v>0.52700000000000002</v>
      </c>
      <c r="F107" s="3" t="str">
        <f ca="1">IFERROR(__xludf.DUMMYFUNCTION("""COMPUTED_VALUE"""),"Easy")</f>
        <v>Easy</v>
      </c>
      <c r="G107" s="3" t="str">
        <f ca="1">IFERROR(__xludf.DUMMYFUNCTION("""COMPUTED_VALUE"""),"8.3894%;")</f>
        <v>8.3894%;</v>
      </c>
    </row>
    <row r="108" spans="1:7" x14ac:dyDescent="0.2">
      <c r="A108" s="3">
        <f ca="1">IFERROR(__xludf.DUMMYFUNCTION("""COMPUTED_VALUE"""),509)</f>
        <v>509</v>
      </c>
      <c r="B108" s="4" t="str">
        <f ca="1">IFERROR(__xludf.DUMMYFUNCTION("""COMPUTED_VALUE"""),"Fibonacci Number")</f>
        <v>Fibonacci Number</v>
      </c>
      <c r="C108" s="8" t="str">
        <f ca="1">IFERROR(__xludf.DUMMYFUNCTION("""COMPUTED_VALUE"""),"https://leetcode.com/problems/fibonacci-number")</f>
        <v>https://leetcode.com/problems/fibonacci-number</v>
      </c>
      <c r="D108" s="3" t="str">
        <f ca="1">IFERROR(__xludf.DUMMYFUNCTION("""COMPUTED_VALUE"""),"N")</f>
        <v>N</v>
      </c>
      <c r="E108" s="6">
        <f ca="1">IFERROR(__xludf.DUMMYFUNCTION("""COMPUTED_VALUE"""),0.692)</f>
        <v>0.69199999999999995</v>
      </c>
      <c r="F108" s="3" t="str">
        <f ca="1">IFERROR(__xludf.DUMMYFUNCTION("""COMPUTED_VALUE"""),"Easy")</f>
        <v>Easy</v>
      </c>
      <c r="G108" s="3" t="str">
        <f ca="1">IFERROR(__xludf.DUMMYFUNCTION("""COMPUTED_VALUE"""),"4.1873%;")</f>
        <v>4.1873%;</v>
      </c>
    </row>
    <row r="109" spans="1:7" x14ac:dyDescent="0.2">
      <c r="A109" s="3">
        <f ca="1">IFERROR(__xludf.DUMMYFUNCTION("""COMPUTED_VALUE"""),977)</f>
        <v>977</v>
      </c>
      <c r="B109" s="4" t="str">
        <f ca="1">IFERROR(__xludf.DUMMYFUNCTION("""COMPUTED_VALUE"""),"Squares of a Sorted Array")</f>
        <v>Squares of a Sorted Array</v>
      </c>
      <c r="C109" s="8" t="str">
        <f ca="1">IFERROR(__xludf.DUMMYFUNCTION("""COMPUTED_VALUE"""),"https://leetcode.com/problems/squares-of-a-sorted-array")</f>
        <v>https://leetcode.com/problems/squares-of-a-sorted-array</v>
      </c>
      <c r="D109" s="3" t="str">
        <f ca="1">IFERROR(__xludf.DUMMYFUNCTION("""COMPUTED_VALUE"""),"N")</f>
        <v>N</v>
      </c>
      <c r="E109" s="6">
        <f ca="1">IFERROR(__xludf.DUMMYFUNCTION("""COMPUTED_VALUE"""),0.719)</f>
        <v>0.71899999999999997</v>
      </c>
      <c r="F109" s="3" t="str">
        <f ca="1">IFERROR(__xludf.DUMMYFUNCTION("""COMPUTED_VALUE"""),"Easy")</f>
        <v>Easy</v>
      </c>
      <c r="G109" s="3" t="str">
        <f ca="1">IFERROR(__xludf.DUMMYFUNCTION("""COMPUTED_VALUE"""),"7.6821%;")</f>
        <v>7.6821%;</v>
      </c>
    </row>
    <row r="110" spans="1:7" x14ac:dyDescent="0.2">
      <c r="A110" s="3">
        <f ca="1">IFERROR(__xludf.DUMMYFUNCTION("""COMPUTED_VALUE"""),993)</f>
        <v>993</v>
      </c>
      <c r="B110" s="4" t="str">
        <f ca="1">IFERROR(__xludf.DUMMYFUNCTION("""COMPUTED_VALUE"""),"Cousins in Binary Tree")</f>
        <v>Cousins in Binary Tree</v>
      </c>
      <c r="C110" s="8" t="str">
        <f ca="1">IFERROR(__xludf.DUMMYFUNCTION("""COMPUTED_VALUE"""),"https://leetcode.com/problems/cousins-in-binary-tree")</f>
        <v>https://leetcode.com/problems/cousins-in-binary-tree</v>
      </c>
      <c r="D110" s="3" t="str">
        <f ca="1">IFERROR(__xludf.DUMMYFUNCTION("""COMPUTED_VALUE"""),"N")</f>
        <v>N</v>
      </c>
      <c r="E110" s="6">
        <f ca="1">IFERROR(__xludf.DUMMYFUNCTION("""COMPUTED_VALUE"""),0.542)</f>
        <v>0.54200000000000004</v>
      </c>
      <c r="F110" s="3" t="str">
        <f ca="1">IFERROR(__xludf.DUMMYFUNCTION("""COMPUTED_VALUE"""),"Easy")</f>
        <v>Easy</v>
      </c>
      <c r="G110" s="3" t="str">
        <f ca="1">IFERROR(__xludf.DUMMYFUNCTION("""COMPUTED_VALUE"""),"19.2754%;")</f>
        <v>19.2754%;</v>
      </c>
    </row>
    <row r="111" spans="1:7" x14ac:dyDescent="0.2">
      <c r="A111" s="3">
        <f ca="1">IFERROR(__xludf.DUMMYFUNCTION("""COMPUTED_VALUE"""),1099)</f>
        <v>1099</v>
      </c>
      <c r="B111" s="4" t="str">
        <f ca="1">IFERROR(__xludf.DUMMYFUNCTION("""COMPUTED_VALUE"""),"Two Sum Less Than K")</f>
        <v>Two Sum Less Than K</v>
      </c>
      <c r="C111" s="8" t="str">
        <f ca="1">IFERROR(__xludf.DUMMYFUNCTION("""COMPUTED_VALUE"""),"https://leetcode.com/problems/two-sum-less-than-k")</f>
        <v>https://leetcode.com/problems/two-sum-less-than-k</v>
      </c>
      <c r="D111" s="3" t="str">
        <f ca="1">IFERROR(__xludf.DUMMYFUNCTION("""COMPUTED_VALUE"""),"Y")</f>
        <v>Y</v>
      </c>
      <c r="E111" s="6">
        <f ca="1">IFERROR(__xludf.DUMMYFUNCTION("""COMPUTED_VALUE"""),0.608)</f>
        <v>0.60799999999999998</v>
      </c>
      <c r="F111" s="3" t="str">
        <f ca="1">IFERROR(__xludf.DUMMYFUNCTION("""COMPUTED_VALUE"""),"Easy")</f>
        <v>Easy</v>
      </c>
      <c r="G111" s="3" t="str">
        <f ca="1">IFERROR(__xludf.DUMMYFUNCTION("""COMPUTED_VALUE"""),"1.8452%;")</f>
        <v>1.8452%;</v>
      </c>
    </row>
    <row r="112" spans="1:7" x14ac:dyDescent="0.2">
      <c r="A112" s="3">
        <f ca="1">IFERROR(__xludf.DUMMYFUNCTION("""COMPUTED_VALUE"""),1046)</f>
        <v>1046</v>
      </c>
      <c r="B112" s="4" t="str">
        <f ca="1">IFERROR(__xludf.DUMMYFUNCTION("""COMPUTED_VALUE"""),"Last Stone Weight")</f>
        <v>Last Stone Weight</v>
      </c>
      <c r="C112" s="8" t="str">
        <f ca="1">IFERROR(__xludf.DUMMYFUNCTION("""COMPUTED_VALUE"""),"https://leetcode.com/problems/last-stone-weight")</f>
        <v>https://leetcode.com/problems/last-stone-weight</v>
      </c>
      <c r="D112" s="3" t="str">
        <f ca="1">IFERROR(__xludf.DUMMYFUNCTION("""COMPUTED_VALUE"""),"N")</f>
        <v>N</v>
      </c>
      <c r="E112" s="6">
        <f ca="1">IFERROR(__xludf.DUMMYFUNCTION("""COMPUTED_VALUE"""),0.647)</f>
        <v>0.64700000000000002</v>
      </c>
      <c r="F112" s="3" t="str">
        <f ca="1">IFERROR(__xludf.DUMMYFUNCTION("""COMPUTED_VALUE"""),"Easy")</f>
        <v>Easy</v>
      </c>
      <c r="G112" s="3" t="str">
        <f ca="1">IFERROR(__xludf.DUMMYFUNCTION("""COMPUTED_VALUE"""),"3.90623%;")</f>
        <v>3.90623%;</v>
      </c>
    </row>
    <row r="113" spans="1:7" x14ac:dyDescent="0.2">
      <c r="A113" s="3">
        <f ca="1">IFERROR(__xludf.DUMMYFUNCTION("""COMPUTED_VALUE"""),1047)</f>
        <v>1047</v>
      </c>
      <c r="B113" s="4" t="str">
        <f ca="1">IFERROR(__xludf.DUMMYFUNCTION("""COMPUTED_VALUE"""),"Remove All Adjacent Duplicates In String")</f>
        <v>Remove All Adjacent Duplicates In String</v>
      </c>
      <c r="C113" s="8" t="str">
        <f ca="1">IFERROR(__xludf.DUMMYFUNCTION("""COMPUTED_VALUE"""),"https://leetcode.com/problems/remove-all-adjacent-duplicates-in-string")</f>
        <v>https://leetcode.com/problems/remove-all-adjacent-duplicates-in-string</v>
      </c>
      <c r="D113" s="3" t="str">
        <f ca="1">IFERROR(__xludf.DUMMYFUNCTION("""COMPUTED_VALUE"""),"N")</f>
        <v>N</v>
      </c>
      <c r="E113" s="6">
        <f ca="1">IFERROR(__xludf.DUMMYFUNCTION("""COMPUTED_VALUE"""),0.704)</f>
        <v>0.70399999999999996</v>
      </c>
      <c r="F113" s="3" t="str">
        <f ca="1">IFERROR(__xludf.DUMMYFUNCTION("""COMPUTED_VALUE"""),"Easy")</f>
        <v>Easy</v>
      </c>
      <c r="G113" s="3" t="str">
        <f ca="1">IFERROR(__xludf.DUMMYFUNCTION("""COMPUTED_VALUE"""),"21.1364%;")</f>
        <v>21.1364%;</v>
      </c>
    </row>
    <row r="114" spans="1:7" x14ac:dyDescent="0.2">
      <c r="A114" s="3">
        <f ca="1">IFERROR(__xludf.DUMMYFUNCTION("""COMPUTED_VALUE"""),1299)</f>
        <v>1299</v>
      </c>
      <c r="B114" s="4" t="str">
        <f ca="1">IFERROR(__xludf.DUMMYFUNCTION("""COMPUTED_VALUE"""),"Replace Elements with Greatest Element on Right Side")</f>
        <v>Replace Elements with Greatest Element on Right Side</v>
      </c>
      <c r="C114" s="8" t="str">
        <f ca="1">IFERROR(__xludf.DUMMYFUNCTION("""COMPUTED_VALUE"""),"https://leetcode.com/problems/replace-elements-with-greatest-element-on-right-side")</f>
        <v>https://leetcode.com/problems/replace-elements-with-greatest-element-on-right-side</v>
      </c>
      <c r="D114" s="3" t="str">
        <f ca="1">IFERROR(__xludf.DUMMYFUNCTION("""COMPUTED_VALUE"""),"N")</f>
        <v>N</v>
      </c>
      <c r="E114" s="6">
        <f ca="1">IFERROR(__xludf.DUMMYFUNCTION("""COMPUTED_VALUE"""),0.747)</f>
        <v>0.747</v>
      </c>
      <c r="F114" s="3" t="str">
        <f ca="1">IFERROR(__xludf.DUMMYFUNCTION("""COMPUTED_VALUE"""),"Easy")</f>
        <v>Easy</v>
      </c>
      <c r="G114" s="3" t="str">
        <f ca="1">IFERROR(__xludf.DUMMYFUNCTION("""COMPUTED_VALUE"""),"2.18838%;")</f>
        <v>2.18838%;</v>
      </c>
    </row>
    <row r="115" spans="1:7" x14ac:dyDescent="0.2">
      <c r="A115" s="3">
        <f ca="1">IFERROR(__xludf.DUMMYFUNCTION("""COMPUTED_VALUE"""),1360)</f>
        <v>1360</v>
      </c>
      <c r="B115" s="4" t="str">
        <f ca="1">IFERROR(__xludf.DUMMYFUNCTION("""COMPUTED_VALUE"""),"Number of Days Between Two Dates")</f>
        <v>Number of Days Between Two Dates</v>
      </c>
      <c r="C115" s="8" t="str">
        <f ca="1">IFERROR(__xludf.DUMMYFUNCTION("""COMPUTED_VALUE"""),"https://leetcode.com/problems/number-of-days-between-two-dates")</f>
        <v>https://leetcode.com/problems/number-of-days-between-two-dates</v>
      </c>
      <c r="D115" s="3" t="str">
        <f ca="1">IFERROR(__xludf.DUMMYFUNCTION("""COMPUTED_VALUE"""),"N")</f>
        <v>N</v>
      </c>
      <c r="E115" s="6">
        <f ca="1">IFERROR(__xludf.DUMMYFUNCTION("""COMPUTED_VALUE"""),0.476)</f>
        <v>0.47599999999999998</v>
      </c>
      <c r="F115" s="3" t="str">
        <f ca="1">IFERROR(__xludf.DUMMYFUNCTION("""COMPUTED_VALUE"""),"Easy")</f>
        <v>Easy</v>
      </c>
      <c r="G115" s="3" t="str">
        <f ca="1">IFERROR(__xludf.DUMMYFUNCTION("""COMPUTED_VALUE"""),"15.0606%;")</f>
        <v>15.0606%;</v>
      </c>
    </row>
    <row r="116" spans="1:7" x14ac:dyDescent="0.2">
      <c r="A116" s="3">
        <f ca="1">IFERROR(__xludf.DUMMYFUNCTION("""COMPUTED_VALUE"""),1179)</f>
        <v>1179</v>
      </c>
      <c r="B116" s="4" t="str">
        <f ca="1">IFERROR(__xludf.DUMMYFUNCTION("""COMPUTED_VALUE"""),"Reformat Department Table")</f>
        <v>Reformat Department Table</v>
      </c>
      <c r="C116" s="8" t="str">
        <f ca="1">IFERROR(__xludf.DUMMYFUNCTION("""COMPUTED_VALUE"""),"https://leetcode.com/problems/reformat-department-table")</f>
        <v>https://leetcode.com/problems/reformat-department-table</v>
      </c>
      <c r="D116" s="3" t="str">
        <f ca="1">IFERROR(__xludf.DUMMYFUNCTION("""COMPUTED_VALUE"""),"N")</f>
        <v>N</v>
      </c>
      <c r="E116" s="6">
        <f ca="1">IFERROR(__xludf.DUMMYFUNCTION("""COMPUTED_VALUE"""),0.825)</f>
        <v>0.82499999999999996</v>
      </c>
      <c r="F116" s="3" t="str">
        <f ca="1">IFERROR(__xludf.DUMMYFUNCTION("""COMPUTED_VALUE"""),"Easy")</f>
        <v>Easy</v>
      </c>
      <c r="G116" s="3" t="str">
        <f ca="1">IFERROR(__xludf.DUMMYFUNCTION("""COMPUTED_VALUE"""),"8.13372%;")</f>
        <v>8.13372%;</v>
      </c>
    </row>
    <row r="117" spans="1:7" x14ac:dyDescent="0.2">
      <c r="A117" s="3">
        <f ca="1">IFERROR(__xludf.DUMMYFUNCTION("""COMPUTED_VALUE"""),1207)</f>
        <v>1207</v>
      </c>
      <c r="B117" s="4" t="str">
        <f ca="1">IFERROR(__xludf.DUMMYFUNCTION("""COMPUTED_VALUE"""),"Unique Number of Occurrences")</f>
        <v>Unique Number of Occurrences</v>
      </c>
      <c r="C117" s="8" t="str">
        <f ca="1">IFERROR(__xludf.DUMMYFUNCTION("""COMPUTED_VALUE"""),"https://leetcode.com/problems/unique-number-of-occurrences")</f>
        <v>https://leetcode.com/problems/unique-number-of-occurrences</v>
      </c>
      <c r="D117" s="3" t="str">
        <f ca="1">IFERROR(__xludf.DUMMYFUNCTION("""COMPUTED_VALUE"""),"N")</f>
        <v>N</v>
      </c>
      <c r="E117" s="6">
        <f ca="1">IFERROR(__xludf.DUMMYFUNCTION("""COMPUTED_VALUE"""),0.709)</f>
        <v>0.70899999999999996</v>
      </c>
      <c r="F117" s="3" t="str">
        <f ca="1">IFERROR(__xludf.DUMMYFUNCTION("""COMPUTED_VALUE"""),"Easy")</f>
        <v>Easy</v>
      </c>
      <c r="G117" s="3" t="str">
        <f ca="1">IFERROR(__xludf.DUMMYFUNCTION("""COMPUTED_VALUE"""),"24.4299%;")</f>
        <v>24.4299%;</v>
      </c>
    </row>
    <row r="118" spans="1:7" x14ac:dyDescent="0.2">
      <c r="A118" s="3">
        <f ca="1">IFERROR(__xludf.DUMMYFUNCTION("""COMPUTED_VALUE"""),1275)</f>
        <v>1275</v>
      </c>
      <c r="B118" s="4" t="str">
        <f ca="1">IFERROR(__xludf.DUMMYFUNCTION("""COMPUTED_VALUE"""),"Find Winner on a Tic Tac Toe Game")</f>
        <v>Find Winner on a Tic Tac Toe Game</v>
      </c>
      <c r="C118" s="8" t="str">
        <f ca="1">IFERROR(__xludf.DUMMYFUNCTION("""COMPUTED_VALUE"""),"https://leetcode.com/problems/find-winner-on-a-tic-tac-toe-game")</f>
        <v>https://leetcode.com/problems/find-winner-on-a-tic-tac-toe-game</v>
      </c>
      <c r="D118" s="3" t="str">
        <f ca="1">IFERROR(__xludf.DUMMYFUNCTION("""COMPUTED_VALUE"""),"N")</f>
        <v>N</v>
      </c>
      <c r="E118" s="6">
        <f ca="1">IFERROR(__xludf.DUMMYFUNCTION("""COMPUTED_VALUE"""),0.543)</f>
        <v>0.54300000000000004</v>
      </c>
      <c r="F118" s="3" t="str">
        <f ca="1">IFERROR(__xludf.DUMMYFUNCTION("""COMPUTED_VALUE"""),"Easy")</f>
        <v>Easy</v>
      </c>
      <c r="G118" s="3" t="str">
        <f ca="1">IFERROR(__xludf.DUMMYFUNCTION("""COMPUTED_VALUE"""),"25.4772%;")</f>
        <v>25.4772%;</v>
      </c>
    </row>
    <row r="119" spans="1:7" x14ac:dyDescent="0.2">
      <c r="A119" s="3">
        <f ca="1">IFERROR(__xludf.DUMMYFUNCTION("""COMPUTED_VALUE"""),1365)</f>
        <v>1365</v>
      </c>
      <c r="B119" s="4" t="str">
        <f ca="1">IFERROR(__xludf.DUMMYFUNCTION("""COMPUTED_VALUE"""),"How Many Numbers Are Smaller Than the Current Number")</f>
        <v>How Many Numbers Are Smaller Than the Current Number</v>
      </c>
      <c r="C119" s="8" t="str">
        <f ca="1">IFERROR(__xludf.DUMMYFUNCTION("""COMPUTED_VALUE"""),"https://leetcode.com/problems/how-many-numbers-are-smaller-than-the-current-number")</f>
        <v>https://leetcode.com/problems/how-many-numbers-are-smaller-than-the-current-number</v>
      </c>
      <c r="D119" s="3" t="str">
        <f ca="1">IFERROR(__xludf.DUMMYFUNCTION("""COMPUTED_VALUE"""),"N")</f>
        <v>N</v>
      </c>
      <c r="E119" s="6">
        <f ca="1">IFERROR(__xludf.DUMMYFUNCTION("""COMPUTED_VALUE"""),0.867)</f>
        <v>0.86699999999999999</v>
      </c>
      <c r="F119" s="3" t="str">
        <f ca="1">IFERROR(__xludf.DUMMYFUNCTION("""COMPUTED_VALUE"""),"Easy")</f>
        <v>Easy</v>
      </c>
      <c r="G119" s="3" t="str">
        <f ca="1">IFERROR(__xludf.DUMMYFUNCTION("""COMPUTED_VALUE"""),"4.10177%;")</f>
        <v>4.10177%;</v>
      </c>
    </row>
    <row r="120" spans="1:7" x14ac:dyDescent="0.2">
      <c r="A120" s="3">
        <f ca="1">IFERROR(__xludf.DUMMYFUNCTION("""COMPUTED_VALUE"""),1385)</f>
        <v>1385</v>
      </c>
      <c r="B120" s="4" t="str">
        <f ca="1">IFERROR(__xludf.DUMMYFUNCTION("""COMPUTED_VALUE"""),"Find the Distance Value Between Two Arrays")</f>
        <v>Find the Distance Value Between Two Arrays</v>
      </c>
      <c r="C120" s="8" t="str">
        <f ca="1">IFERROR(__xludf.DUMMYFUNCTION("""COMPUTED_VALUE"""),"https://leetcode.com/problems/find-the-distance-value-between-two-arrays")</f>
        <v>https://leetcode.com/problems/find-the-distance-value-between-two-arrays</v>
      </c>
      <c r="D120" s="3" t="str">
        <f ca="1">IFERROR(__xludf.DUMMYFUNCTION("""COMPUTED_VALUE"""),"N")</f>
        <v>N</v>
      </c>
      <c r="E120" s="6">
        <f ca="1">IFERROR(__xludf.DUMMYFUNCTION("""COMPUTED_VALUE"""),0.654)</f>
        <v>0.65400000000000003</v>
      </c>
      <c r="F120" s="3" t="str">
        <f ca="1">IFERROR(__xludf.DUMMYFUNCTION("""COMPUTED_VALUE"""),"Easy")</f>
        <v>Easy</v>
      </c>
      <c r="G120" s="3" t="str">
        <f ca="1">IFERROR(__xludf.DUMMYFUNCTION("""COMPUTED_VALUE"""),"7.1927%;")</f>
        <v>7.1927%;</v>
      </c>
    </row>
    <row r="121" spans="1:7" x14ac:dyDescent="0.2">
      <c r="A121" s="3">
        <f ca="1">IFERROR(__xludf.DUMMYFUNCTION("""COMPUTED_VALUE"""),1408)</f>
        <v>1408</v>
      </c>
      <c r="B121" s="4" t="str">
        <f ca="1">IFERROR(__xludf.DUMMYFUNCTION("""COMPUTED_VALUE"""),"String Matching in an Array")</f>
        <v>String Matching in an Array</v>
      </c>
      <c r="C121" s="8" t="str">
        <f ca="1">IFERROR(__xludf.DUMMYFUNCTION("""COMPUTED_VALUE"""),"https://leetcode.com/problems/string-matching-in-an-array")</f>
        <v>https://leetcode.com/problems/string-matching-in-an-array</v>
      </c>
      <c r="D121" s="3" t="str">
        <f ca="1">IFERROR(__xludf.DUMMYFUNCTION("""COMPUTED_VALUE"""),"N")</f>
        <v>N</v>
      </c>
      <c r="E121" s="6">
        <f ca="1">IFERROR(__xludf.DUMMYFUNCTION("""COMPUTED_VALUE"""),0.639)</f>
        <v>0.63900000000000001</v>
      </c>
      <c r="F121" s="3" t="str">
        <f ca="1">IFERROR(__xludf.DUMMYFUNCTION("""COMPUTED_VALUE"""),"Easy")</f>
        <v>Easy</v>
      </c>
      <c r="G121" s="3" t="str">
        <f ca="1">IFERROR(__xludf.DUMMYFUNCTION("""COMPUTED_VALUE"""),"11.83%;")</f>
        <v>11.83%;</v>
      </c>
    </row>
    <row r="122" spans="1:7" x14ac:dyDescent="0.2">
      <c r="A122" s="3">
        <f ca="1">IFERROR(__xludf.DUMMYFUNCTION("""COMPUTED_VALUE"""),1431)</f>
        <v>1431</v>
      </c>
      <c r="B122" s="4" t="str">
        <f ca="1">IFERROR(__xludf.DUMMYFUNCTION("""COMPUTED_VALUE"""),"Kids With the Greatest Number of Candies")</f>
        <v>Kids With the Greatest Number of Candies</v>
      </c>
      <c r="C122" s="8" t="str">
        <f ca="1">IFERROR(__xludf.DUMMYFUNCTION("""COMPUTED_VALUE"""),"https://leetcode.com/problems/kids-with-the-greatest-number-of-candies")</f>
        <v>https://leetcode.com/problems/kids-with-the-greatest-number-of-candies</v>
      </c>
      <c r="D122" s="3" t="str">
        <f ca="1">IFERROR(__xludf.DUMMYFUNCTION("""COMPUTED_VALUE"""),"N")</f>
        <v>N</v>
      </c>
      <c r="E122" s="6">
        <f ca="1">IFERROR(__xludf.DUMMYFUNCTION("""COMPUTED_VALUE"""),0.875)</f>
        <v>0.875</v>
      </c>
      <c r="F122" s="3" t="str">
        <f ca="1">IFERROR(__xludf.DUMMYFUNCTION("""COMPUTED_VALUE"""),"Easy")</f>
        <v>Easy</v>
      </c>
      <c r="G122" s="3" t="str">
        <f ca="1">IFERROR(__xludf.DUMMYFUNCTION("""COMPUTED_VALUE"""),"2.22344%;")</f>
        <v>2.22344%;</v>
      </c>
    </row>
    <row r="123" spans="1:7" x14ac:dyDescent="0.2">
      <c r="A123" s="3">
        <f ca="1">IFERROR(__xludf.DUMMYFUNCTION("""COMPUTED_VALUE"""),1436)</f>
        <v>1436</v>
      </c>
      <c r="B123" s="4" t="str">
        <f ca="1">IFERROR(__xludf.DUMMYFUNCTION("""COMPUTED_VALUE"""),"Destination City")</f>
        <v>Destination City</v>
      </c>
      <c r="C123" s="8" t="str">
        <f ca="1">IFERROR(__xludf.DUMMYFUNCTION("""COMPUTED_VALUE"""),"https://leetcode.com/problems/destination-city")</f>
        <v>https://leetcode.com/problems/destination-city</v>
      </c>
      <c r="D123" s="3" t="str">
        <f ca="1">IFERROR(__xludf.DUMMYFUNCTION("""COMPUTED_VALUE"""),"N")</f>
        <v>N</v>
      </c>
      <c r="E123" s="6">
        <f ca="1">IFERROR(__xludf.DUMMYFUNCTION("""COMPUTED_VALUE"""),0.776)</f>
        <v>0.77600000000000002</v>
      </c>
      <c r="F123" s="3" t="str">
        <f ca="1">IFERROR(__xludf.DUMMYFUNCTION("""COMPUTED_VALUE"""),"Easy")</f>
        <v>Easy</v>
      </c>
      <c r="G123" s="3" t="str">
        <f ca="1">IFERROR(__xludf.DUMMYFUNCTION("""COMPUTED_VALUE"""),"7.67671%;")</f>
        <v>7.67671%;</v>
      </c>
    </row>
    <row r="124" spans="1:7" x14ac:dyDescent="0.2">
      <c r="A124" s="3">
        <f ca="1">IFERROR(__xludf.DUMMYFUNCTION("""COMPUTED_VALUE"""),1464)</f>
        <v>1464</v>
      </c>
      <c r="B124" s="4" t="str">
        <f ca="1">IFERROR(__xludf.DUMMYFUNCTION("""COMPUTED_VALUE"""),"Maximum Product of Two Elements in an Array")</f>
        <v>Maximum Product of Two Elements in an Array</v>
      </c>
      <c r="C124" s="8" t="str">
        <f ca="1">IFERROR(__xludf.DUMMYFUNCTION("""COMPUTED_VALUE"""),"https://leetcode.com/problems/maximum-product-of-two-elements-in-an-array")</f>
        <v>https://leetcode.com/problems/maximum-product-of-two-elements-in-an-array</v>
      </c>
      <c r="D124" s="3" t="str">
        <f ca="1">IFERROR(__xludf.DUMMYFUNCTION("""COMPUTED_VALUE"""),"N")</f>
        <v>N</v>
      </c>
      <c r="E124" s="6">
        <f ca="1">IFERROR(__xludf.DUMMYFUNCTION("""COMPUTED_VALUE"""),0.793)</f>
        <v>0.79300000000000004</v>
      </c>
      <c r="F124" s="3" t="str">
        <f ca="1">IFERROR(__xludf.DUMMYFUNCTION("""COMPUTED_VALUE"""),"Easy")</f>
        <v>Easy</v>
      </c>
      <c r="G124" s="3" t="str">
        <f ca="1">IFERROR(__xludf.DUMMYFUNCTION("""COMPUTED_VALUE"""),"7.87321%;")</f>
        <v>7.87321%;</v>
      </c>
    </row>
    <row r="125" spans="1:7" x14ac:dyDescent="0.2">
      <c r="A125" s="3">
        <f ca="1">IFERROR(__xludf.DUMMYFUNCTION("""COMPUTED_VALUE"""),1470)</f>
        <v>1470</v>
      </c>
      <c r="B125" s="4" t="str">
        <f ca="1">IFERROR(__xludf.DUMMYFUNCTION("""COMPUTED_VALUE"""),"Shuffle the Array")</f>
        <v>Shuffle the Array</v>
      </c>
      <c r="C125" s="8" t="str">
        <f ca="1">IFERROR(__xludf.DUMMYFUNCTION("""COMPUTED_VALUE"""),"https://leetcode.com/problems/shuffle-the-array")</f>
        <v>https://leetcode.com/problems/shuffle-the-array</v>
      </c>
      <c r="D125" s="3" t="str">
        <f ca="1">IFERROR(__xludf.DUMMYFUNCTION("""COMPUTED_VALUE"""),"N")</f>
        <v>N</v>
      </c>
      <c r="E125" s="6">
        <f ca="1">IFERROR(__xludf.DUMMYFUNCTION("""COMPUTED_VALUE"""),0.885)</f>
        <v>0.88500000000000001</v>
      </c>
      <c r="F125" s="3" t="str">
        <f ca="1">IFERROR(__xludf.DUMMYFUNCTION("""COMPUTED_VALUE"""),"Easy")</f>
        <v>Easy</v>
      </c>
      <c r="G125" s="3" t="str">
        <f ca="1">IFERROR(__xludf.DUMMYFUNCTION("""COMPUTED_VALUE"""),"1.6062%;")</f>
        <v>1.6062%;</v>
      </c>
    </row>
    <row r="126" spans="1:7" x14ac:dyDescent="0.2">
      <c r="A126" s="3">
        <f ca="1">IFERROR(__xludf.DUMMYFUNCTION("""COMPUTED_VALUE"""),1480)</f>
        <v>1480</v>
      </c>
      <c r="B126" s="4" t="str">
        <f ca="1">IFERROR(__xludf.DUMMYFUNCTION("""COMPUTED_VALUE"""),"Running Sum of 1d Array")</f>
        <v>Running Sum of 1d Array</v>
      </c>
      <c r="C126" s="8" t="str">
        <f ca="1">IFERROR(__xludf.DUMMYFUNCTION("""COMPUTED_VALUE"""),"https://leetcode.com/problems/running-sum-of-1d-array")</f>
        <v>https://leetcode.com/problems/running-sum-of-1d-array</v>
      </c>
      <c r="D126" s="3" t="str">
        <f ca="1">IFERROR(__xludf.DUMMYFUNCTION("""COMPUTED_VALUE"""),"N")</f>
        <v>N</v>
      </c>
      <c r="E126" s="6">
        <f ca="1">IFERROR(__xludf.DUMMYFUNCTION("""COMPUTED_VALUE"""),0.893)</f>
        <v>0.89300000000000002</v>
      </c>
      <c r="F126" s="3" t="str">
        <f ca="1">IFERROR(__xludf.DUMMYFUNCTION("""COMPUTED_VALUE"""),"Easy")</f>
        <v>Easy</v>
      </c>
      <c r="G126" s="3" t="str">
        <f ca="1">IFERROR(__xludf.DUMMYFUNCTION("""COMPUTED_VALUE"""),"2.17846%;")</f>
        <v>2.17846%;</v>
      </c>
    </row>
    <row r="127" spans="1:7" x14ac:dyDescent="0.2">
      <c r="A127" s="3">
        <f ca="1">IFERROR(__xludf.DUMMYFUNCTION("""COMPUTED_VALUE"""),1523)</f>
        <v>1523</v>
      </c>
      <c r="B127" s="4" t="str">
        <f ca="1">IFERROR(__xludf.DUMMYFUNCTION("""COMPUTED_VALUE"""),"Count Odd Numbers in an Interval Range")</f>
        <v>Count Odd Numbers in an Interval Range</v>
      </c>
      <c r="C127" s="8" t="str">
        <f ca="1">IFERROR(__xludf.DUMMYFUNCTION("""COMPUTED_VALUE"""),"https://leetcode.com/problems/count-odd-numbers-in-an-interval-range")</f>
        <v>https://leetcode.com/problems/count-odd-numbers-in-an-interval-range</v>
      </c>
      <c r="D127" s="3" t="str">
        <f ca="1">IFERROR(__xludf.DUMMYFUNCTION("""COMPUTED_VALUE"""),"N")</f>
        <v>N</v>
      </c>
      <c r="E127" s="6">
        <f ca="1">IFERROR(__xludf.DUMMYFUNCTION("""COMPUTED_VALUE"""),0.462)</f>
        <v>0.46200000000000002</v>
      </c>
      <c r="F127" s="3" t="str">
        <f ca="1">IFERROR(__xludf.DUMMYFUNCTION("""COMPUTED_VALUE"""),"Easy")</f>
        <v>Easy</v>
      </c>
      <c r="G127" s="3" t="str">
        <f ca="1">IFERROR(__xludf.DUMMYFUNCTION("""COMPUTED_VALUE"""),"3.06807%;")</f>
        <v>3.06807%;</v>
      </c>
    </row>
    <row r="128" spans="1:7" x14ac:dyDescent="0.2">
      <c r="A128" s="3">
        <f ca="1">IFERROR(__xludf.DUMMYFUNCTION("""COMPUTED_VALUE"""),1512)</f>
        <v>1512</v>
      </c>
      <c r="B128" s="4" t="str">
        <f ca="1">IFERROR(__xludf.DUMMYFUNCTION("""COMPUTED_VALUE"""),"Number of Good Pairs")</f>
        <v>Number of Good Pairs</v>
      </c>
      <c r="C128" s="8" t="str">
        <f ca="1">IFERROR(__xludf.DUMMYFUNCTION("""COMPUTED_VALUE"""),"https://leetcode.com/problems/number-of-good-pairs")</f>
        <v>https://leetcode.com/problems/number-of-good-pairs</v>
      </c>
      <c r="D128" s="3" t="str">
        <f ca="1">IFERROR(__xludf.DUMMYFUNCTION("""COMPUTED_VALUE"""),"N")</f>
        <v>N</v>
      </c>
      <c r="E128" s="6">
        <f ca="1">IFERROR(__xludf.DUMMYFUNCTION("""COMPUTED_VALUE"""),0.882)</f>
        <v>0.88200000000000001</v>
      </c>
      <c r="F128" s="3" t="str">
        <f ca="1">IFERROR(__xludf.DUMMYFUNCTION("""COMPUTED_VALUE"""),"Easy")</f>
        <v>Easy</v>
      </c>
      <c r="G128" s="3" t="str">
        <f ca="1">IFERROR(__xludf.DUMMYFUNCTION("""COMPUTED_VALUE"""),"3.20029%;")</f>
        <v>3.20029%;</v>
      </c>
    </row>
    <row r="129" spans="1:7" x14ac:dyDescent="0.2">
      <c r="A129" s="3">
        <f ca="1">IFERROR(__xludf.DUMMYFUNCTION("""COMPUTED_VALUE"""),1539)</f>
        <v>1539</v>
      </c>
      <c r="B129" s="4" t="str">
        <f ca="1">IFERROR(__xludf.DUMMYFUNCTION("""COMPUTED_VALUE"""),"Kth Missing Positive Number")</f>
        <v>Kth Missing Positive Number</v>
      </c>
      <c r="C129" s="8" t="str">
        <f ca="1">IFERROR(__xludf.DUMMYFUNCTION("""COMPUTED_VALUE"""),"https://leetcode.com/problems/kth-missing-positive-number")</f>
        <v>https://leetcode.com/problems/kth-missing-positive-number</v>
      </c>
      <c r="D129" s="3" t="str">
        <f ca="1">IFERROR(__xludf.DUMMYFUNCTION("""COMPUTED_VALUE"""),"N")</f>
        <v>N</v>
      </c>
      <c r="E129" s="6">
        <f ca="1">IFERROR(__xludf.DUMMYFUNCTION("""COMPUTED_VALUE"""),0.559)</f>
        <v>0.55900000000000005</v>
      </c>
      <c r="F129" s="3" t="str">
        <f ca="1">IFERROR(__xludf.DUMMYFUNCTION("""COMPUTED_VALUE"""),"Easy")</f>
        <v>Easy</v>
      </c>
      <c r="G129" s="3" t="str">
        <f ca="1">IFERROR(__xludf.DUMMYFUNCTION("""COMPUTED_VALUE"""),"8.67428%;")</f>
        <v>8.67428%;</v>
      </c>
    </row>
    <row r="130" spans="1:7" x14ac:dyDescent="0.2">
      <c r="A130" s="3">
        <f ca="1">IFERROR(__xludf.DUMMYFUNCTION("""COMPUTED_VALUE"""),1603)</f>
        <v>1603</v>
      </c>
      <c r="B130" s="4" t="str">
        <f ca="1">IFERROR(__xludf.DUMMYFUNCTION("""COMPUTED_VALUE"""),"Design Parking System")</f>
        <v>Design Parking System</v>
      </c>
      <c r="C130" s="8" t="str">
        <f ca="1">IFERROR(__xludf.DUMMYFUNCTION("""COMPUTED_VALUE"""),"https://leetcode.com/problems/design-parking-system")</f>
        <v>https://leetcode.com/problems/design-parking-system</v>
      </c>
      <c r="D130" s="3" t="str">
        <f ca="1">IFERROR(__xludf.DUMMYFUNCTION("""COMPUTED_VALUE"""),"N")</f>
        <v>N</v>
      </c>
      <c r="E130" s="6">
        <f ca="1">IFERROR(__xludf.DUMMYFUNCTION("""COMPUTED_VALUE"""),0.88)</f>
        <v>0.88</v>
      </c>
      <c r="F130" s="3" t="str">
        <f ca="1">IFERROR(__xludf.DUMMYFUNCTION("""COMPUTED_VALUE"""),"Easy")</f>
        <v>Easy</v>
      </c>
      <c r="G130" s="3" t="str">
        <f ca="1">IFERROR(__xludf.DUMMYFUNCTION("""COMPUTED_VALUE"""),"44.6967%;")</f>
        <v>44.6967%;</v>
      </c>
    </row>
    <row r="131" spans="1:7" x14ac:dyDescent="0.2">
      <c r="A131" s="3">
        <f ca="1">IFERROR(__xludf.DUMMYFUNCTION("""COMPUTED_VALUE"""),1581)</f>
        <v>1581</v>
      </c>
      <c r="B131" s="4" t="str">
        <f ca="1">IFERROR(__xludf.DUMMYFUNCTION("""COMPUTED_VALUE"""),"Customer Who Visited but Did Not Make Any Transactions")</f>
        <v>Customer Who Visited but Did Not Make Any Transactions</v>
      </c>
      <c r="C131" s="8" t="str">
        <f ca="1">IFERROR(__xludf.DUMMYFUNCTION("""COMPUTED_VALUE"""),"https://leetcode.com/problems/customer-who-visited-but-did-not-make-any-transactions")</f>
        <v>https://leetcode.com/problems/customer-who-visited-but-did-not-make-any-transactions</v>
      </c>
      <c r="D131" s="3" t="str">
        <f ca="1">IFERROR(__xludf.DUMMYFUNCTION("""COMPUTED_VALUE"""),"N")</f>
        <v>N</v>
      </c>
      <c r="E131" s="6">
        <f ca="1">IFERROR(__xludf.DUMMYFUNCTION("""COMPUTED_VALUE"""),0.883)</f>
        <v>0.88300000000000001</v>
      </c>
      <c r="F131" s="3" t="str">
        <f ca="1">IFERROR(__xludf.DUMMYFUNCTION("""COMPUTED_VALUE"""),"Easy")</f>
        <v>Easy</v>
      </c>
      <c r="G131" s="3" t="str">
        <f ca="1">IFERROR(__xludf.DUMMYFUNCTION("""COMPUTED_VALUE"""),"3.08323%;")</f>
        <v>3.08323%;</v>
      </c>
    </row>
    <row r="132" spans="1:7" x14ac:dyDescent="0.2">
      <c r="A132" s="3">
        <f ca="1">IFERROR(__xludf.DUMMYFUNCTION("""COMPUTED_VALUE"""),1672)</f>
        <v>1672</v>
      </c>
      <c r="B132" s="4" t="str">
        <f ca="1">IFERROR(__xludf.DUMMYFUNCTION("""COMPUTED_VALUE"""),"Richest Customer Wealth")</f>
        <v>Richest Customer Wealth</v>
      </c>
      <c r="C132" s="8" t="str">
        <f ca="1">IFERROR(__xludf.DUMMYFUNCTION("""COMPUTED_VALUE"""),"https://leetcode.com/problems/richest-customer-wealth")</f>
        <v>https://leetcode.com/problems/richest-customer-wealth</v>
      </c>
      <c r="D132" s="3" t="str">
        <f ca="1">IFERROR(__xludf.DUMMYFUNCTION("""COMPUTED_VALUE"""),"N")</f>
        <v>N</v>
      </c>
      <c r="E132" s="6">
        <f ca="1">IFERROR(__xludf.DUMMYFUNCTION("""COMPUTED_VALUE"""),0.882)</f>
        <v>0.88200000000000001</v>
      </c>
      <c r="F132" s="3" t="str">
        <f ca="1">IFERROR(__xludf.DUMMYFUNCTION("""COMPUTED_VALUE"""),"Easy")</f>
        <v>Easy</v>
      </c>
      <c r="G132" s="3" t="str">
        <f ca="1">IFERROR(__xludf.DUMMYFUNCTION("""COMPUTED_VALUE"""),"5.56781%;")</f>
        <v>5.56781%;</v>
      </c>
    </row>
    <row r="133" spans="1:7" x14ac:dyDescent="0.2">
      <c r="A133" s="3">
        <f ca="1">IFERROR(__xludf.DUMMYFUNCTION("""COMPUTED_VALUE"""),1710)</f>
        <v>1710</v>
      </c>
      <c r="B133" s="4" t="str">
        <f ca="1">IFERROR(__xludf.DUMMYFUNCTION("""COMPUTED_VALUE"""),"Maximum Units on a Truck")</f>
        <v>Maximum Units on a Truck</v>
      </c>
      <c r="C133" s="8" t="str">
        <f ca="1">IFERROR(__xludf.DUMMYFUNCTION("""COMPUTED_VALUE"""),"https://leetcode.com/problems/maximum-units-on-a-truck")</f>
        <v>https://leetcode.com/problems/maximum-units-on-a-truck</v>
      </c>
      <c r="D133" s="3" t="str">
        <f ca="1">IFERROR(__xludf.DUMMYFUNCTION("""COMPUTED_VALUE"""),"N")</f>
        <v>N</v>
      </c>
      <c r="E133" s="6">
        <f ca="1">IFERROR(__xludf.DUMMYFUNCTION("""COMPUTED_VALUE"""),0.739)</f>
        <v>0.73899999999999999</v>
      </c>
      <c r="F133" s="3" t="str">
        <f ca="1">IFERROR(__xludf.DUMMYFUNCTION("""COMPUTED_VALUE"""),"Easy")</f>
        <v>Easy</v>
      </c>
      <c r="G133" s="3" t="str">
        <f ca="1">IFERROR(__xludf.DUMMYFUNCTION("""COMPUTED_VALUE"""),"49.8519%;")</f>
        <v>49.8519%;</v>
      </c>
    </row>
    <row r="134" spans="1:7" x14ac:dyDescent="0.2">
      <c r="A134" s="3">
        <f ca="1">IFERROR(__xludf.DUMMYFUNCTION("""COMPUTED_VALUE"""),1752)</f>
        <v>1752</v>
      </c>
      <c r="B134" s="4" t="str">
        <f ca="1">IFERROR(__xludf.DUMMYFUNCTION("""COMPUTED_VALUE"""),"Check if Array Is Sorted and Rotated")</f>
        <v>Check if Array Is Sorted and Rotated</v>
      </c>
      <c r="C134" s="8" t="str">
        <f ca="1">IFERROR(__xludf.DUMMYFUNCTION("""COMPUTED_VALUE"""),"https://leetcode.com/problems/check-if-array-is-sorted-and-rotated")</f>
        <v>https://leetcode.com/problems/check-if-array-is-sorted-and-rotated</v>
      </c>
      <c r="D134" s="3" t="str">
        <f ca="1">IFERROR(__xludf.DUMMYFUNCTION("""COMPUTED_VALUE"""),"N")</f>
        <v>N</v>
      </c>
      <c r="E134" s="6">
        <f ca="1">IFERROR(__xludf.DUMMYFUNCTION("""COMPUTED_VALUE"""),0.493)</f>
        <v>0.49299999999999999</v>
      </c>
      <c r="F134" s="3" t="str">
        <f ca="1">IFERROR(__xludf.DUMMYFUNCTION("""COMPUTED_VALUE"""),"Easy")</f>
        <v>Easy</v>
      </c>
      <c r="G134" s="3" t="str">
        <f ca="1">IFERROR(__xludf.DUMMYFUNCTION("""COMPUTED_VALUE"""),"3.71078%;")</f>
        <v>3.71078%;</v>
      </c>
    </row>
    <row r="135" spans="1:7" x14ac:dyDescent="0.2">
      <c r="A135" s="3">
        <f ca="1">IFERROR(__xludf.DUMMYFUNCTION("""COMPUTED_VALUE"""),1757)</f>
        <v>1757</v>
      </c>
      <c r="B135" s="4" t="str">
        <f ca="1">IFERROR(__xludf.DUMMYFUNCTION("""COMPUTED_VALUE"""),"Recyclable and Low Fat Products")</f>
        <v>Recyclable and Low Fat Products</v>
      </c>
      <c r="C135" s="8" t="str">
        <f ca="1">IFERROR(__xludf.DUMMYFUNCTION("""COMPUTED_VALUE"""),"https://leetcode.com/problems/recyclable-and-low-fat-products")</f>
        <v>https://leetcode.com/problems/recyclable-and-low-fat-products</v>
      </c>
      <c r="D135" s="3" t="str">
        <f ca="1">IFERROR(__xludf.DUMMYFUNCTION("""COMPUTED_VALUE"""),"N")</f>
        <v>N</v>
      </c>
      <c r="E135" s="6">
        <f ca="1">IFERROR(__xludf.DUMMYFUNCTION("""COMPUTED_VALUE"""),0.936)</f>
        <v>0.93600000000000005</v>
      </c>
      <c r="F135" s="3" t="str">
        <f ca="1">IFERROR(__xludf.DUMMYFUNCTION("""COMPUTED_VALUE"""),"Easy")</f>
        <v>Easy</v>
      </c>
      <c r="G135" s="3" t="str">
        <f ca="1">IFERROR(__xludf.DUMMYFUNCTION("""COMPUTED_VALUE"""),"1.4831%;")</f>
        <v>1.4831%;</v>
      </c>
    </row>
    <row r="136" spans="1:7" x14ac:dyDescent="0.2">
      <c r="A136" s="3">
        <f ca="1">IFERROR(__xludf.DUMMYFUNCTION("""COMPUTED_VALUE"""),1876)</f>
        <v>1876</v>
      </c>
      <c r="B136" s="4" t="str">
        <f ca="1">IFERROR(__xludf.DUMMYFUNCTION("""COMPUTED_VALUE"""),"Substrings of Size Three with Distinct Characters")</f>
        <v>Substrings of Size Three with Distinct Characters</v>
      </c>
      <c r="C136" s="8" t="str">
        <f ca="1">IFERROR(__xludf.DUMMYFUNCTION("""COMPUTED_VALUE"""),"https://leetcode.com/problems/substrings-of-size-three-with-distinct-characters")</f>
        <v>https://leetcode.com/problems/substrings-of-size-three-with-distinct-characters</v>
      </c>
      <c r="D136" s="3" t="str">
        <f ca="1">IFERROR(__xludf.DUMMYFUNCTION("""COMPUTED_VALUE"""),"N")</f>
        <v>N</v>
      </c>
      <c r="E136" s="6">
        <f ca="1">IFERROR(__xludf.DUMMYFUNCTION("""COMPUTED_VALUE"""),0.703)</f>
        <v>0.70299999999999996</v>
      </c>
      <c r="F136" s="3" t="str">
        <f ca="1">IFERROR(__xludf.DUMMYFUNCTION("""COMPUTED_VALUE"""),"Easy")</f>
        <v>Easy</v>
      </c>
      <c r="G136" s="3" t="str">
        <f ca="1">IFERROR(__xludf.DUMMYFUNCTION("""COMPUTED_VALUE"""),"5.65411%;")</f>
        <v>5.65411%;</v>
      </c>
    </row>
    <row r="137" spans="1:7" x14ac:dyDescent="0.2">
      <c r="A137" s="3">
        <f ca="1">IFERROR(__xludf.DUMMYFUNCTION("""COMPUTED_VALUE"""),1863)</f>
        <v>1863</v>
      </c>
      <c r="B137" s="4" t="str">
        <f ca="1">IFERROR(__xludf.DUMMYFUNCTION("""COMPUTED_VALUE"""),"Sum of All Subset XOR Totals")</f>
        <v>Sum of All Subset XOR Totals</v>
      </c>
      <c r="C137" s="8" t="str">
        <f ca="1">IFERROR(__xludf.DUMMYFUNCTION("""COMPUTED_VALUE"""),"https://leetcode.com/problems/sum-of-all-subset-xor-totals")</f>
        <v>https://leetcode.com/problems/sum-of-all-subset-xor-totals</v>
      </c>
      <c r="D137" s="3" t="str">
        <f ca="1">IFERROR(__xludf.DUMMYFUNCTION("""COMPUTED_VALUE"""),"N")</f>
        <v>N</v>
      </c>
      <c r="E137" s="6">
        <f ca="1">IFERROR(__xludf.DUMMYFUNCTION("""COMPUTED_VALUE"""),0.79)</f>
        <v>0.79</v>
      </c>
      <c r="F137" s="3" t="str">
        <f ca="1">IFERROR(__xludf.DUMMYFUNCTION("""COMPUTED_VALUE"""),"Easy")</f>
        <v>Easy</v>
      </c>
      <c r="G137" s="3" t="str">
        <f ca="1">IFERROR(__xludf.DUMMYFUNCTION("""COMPUTED_VALUE"""),"8.87544%;")</f>
        <v>8.87544%;</v>
      </c>
    </row>
    <row r="138" spans="1:7" x14ac:dyDescent="0.2">
      <c r="A138" s="3">
        <f ca="1">IFERROR(__xludf.DUMMYFUNCTION("""COMPUTED_VALUE"""),2287)</f>
        <v>2287</v>
      </c>
      <c r="B138" s="4" t="str">
        <f ca="1">IFERROR(__xludf.DUMMYFUNCTION("""COMPUTED_VALUE"""),"Rearrange Characters to Make Target String")</f>
        <v>Rearrange Characters to Make Target String</v>
      </c>
      <c r="C138" s="8" t="str">
        <f ca="1">IFERROR(__xludf.DUMMYFUNCTION("""COMPUTED_VALUE"""),"https://leetcode.com/problems/rearrange-characters-to-make-target-string")</f>
        <v>https://leetcode.com/problems/rearrange-characters-to-make-target-string</v>
      </c>
      <c r="D138" s="3" t="str">
        <f ca="1">IFERROR(__xludf.DUMMYFUNCTION("""COMPUTED_VALUE"""),"N")</f>
        <v>N</v>
      </c>
      <c r="E138" s="6">
        <f ca="1">IFERROR(__xludf.DUMMYFUNCTION("""COMPUTED_VALUE"""),0.578)</f>
        <v>0.57799999999999996</v>
      </c>
      <c r="F138" s="3" t="str">
        <f ca="1">IFERROR(__xludf.DUMMYFUNCTION("""COMPUTED_VALUE"""),"Easy")</f>
        <v>Easy</v>
      </c>
      <c r="G138" s="3" t="str">
        <f ca="1">IFERROR(__xludf.DUMMYFUNCTION("""COMPUTED_VALUE"""),"25.7592%;")</f>
        <v>25.7592%;</v>
      </c>
    </row>
    <row r="139" spans="1:7" x14ac:dyDescent="0.2">
      <c r="A139" s="3">
        <f ca="1">IFERROR(__xludf.DUMMYFUNCTION("""COMPUTED_VALUE"""),2235)</f>
        <v>2235</v>
      </c>
      <c r="B139" s="4" t="str">
        <f ca="1">IFERROR(__xludf.DUMMYFUNCTION("""COMPUTED_VALUE"""),"Add Two Integers")</f>
        <v>Add Two Integers</v>
      </c>
      <c r="C139" s="8" t="str">
        <f ca="1">IFERROR(__xludf.DUMMYFUNCTION("""COMPUTED_VALUE"""),"https://leetcode.com/problems/add-two-integers")</f>
        <v>https://leetcode.com/problems/add-two-integers</v>
      </c>
      <c r="D139" s="3" t="str">
        <f ca="1">IFERROR(__xludf.DUMMYFUNCTION("""COMPUTED_VALUE"""),"N")</f>
        <v>N</v>
      </c>
      <c r="E139" s="6">
        <f ca="1">IFERROR(__xludf.DUMMYFUNCTION("""COMPUTED_VALUE"""),0.895)</f>
        <v>0.89500000000000002</v>
      </c>
      <c r="F139" s="3" t="str">
        <f ca="1">IFERROR(__xludf.DUMMYFUNCTION("""COMPUTED_VALUE"""),"Easy")</f>
        <v>Easy</v>
      </c>
      <c r="G139" s="3" t="str">
        <f ca="1">IFERROR(__xludf.DUMMYFUNCTION("""COMPUTED_VALUE"""),"9.87686%;")</f>
        <v>9.87686%;</v>
      </c>
    </row>
    <row r="140" spans="1:7" x14ac:dyDescent="0.2">
      <c r="A140" s="3">
        <f ca="1">IFERROR(__xludf.DUMMYFUNCTION("""COMPUTED_VALUE"""),2347)</f>
        <v>2347</v>
      </c>
      <c r="B140" s="4" t="str">
        <f ca="1">IFERROR(__xludf.DUMMYFUNCTION("""COMPUTED_VALUE"""),"Best Poker Hand")</f>
        <v>Best Poker Hand</v>
      </c>
      <c r="C140" s="8" t="str">
        <f ca="1">IFERROR(__xludf.DUMMYFUNCTION("""COMPUTED_VALUE"""),"https://leetcode.com/problems/best-poker-hand")</f>
        <v>https://leetcode.com/problems/best-poker-hand</v>
      </c>
      <c r="D140" s="3" t="str">
        <f ca="1">IFERROR(__xludf.DUMMYFUNCTION("""COMPUTED_VALUE"""),"N")</f>
        <v>N</v>
      </c>
      <c r="E140" s="6">
        <f ca="1">IFERROR(__xludf.DUMMYFUNCTION("""COMPUTED_VALUE"""),0.606)</f>
        <v>0.60599999999999998</v>
      </c>
      <c r="F140" s="3" t="str">
        <f ca="1">IFERROR(__xludf.DUMMYFUNCTION("""COMPUTED_VALUE"""),"Easy")</f>
        <v>Easy</v>
      </c>
      <c r="G140" s="3" t="str">
        <f ca="1">IFERROR(__xludf.DUMMYFUNCTION("""COMPUTED_VALUE"""),"16.6017%;")</f>
        <v>16.6017%;</v>
      </c>
    </row>
    <row r="141" spans="1:7" x14ac:dyDescent="0.2">
      <c r="A141" s="3">
        <f ca="1">IFERROR(__xludf.DUMMYFUNCTION("""COMPUTED_VALUE"""),2357)</f>
        <v>2357</v>
      </c>
      <c r="B141" s="4" t="str">
        <f ca="1">IFERROR(__xludf.DUMMYFUNCTION("""COMPUTED_VALUE"""),"Make Array Zero by Subtracting Equal Amounts")</f>
        <v>Make Array Zero by Subtracting Equal Amounts</v>
      </c>
      <c r="C141" s="8" t="str">
        <f ca="1">IFERROR(__xludf.DUMMYFUNCTION("""COMPUTED_VALUE"""),"https://leetcode.com/problems/make-array-zero-by-subtracting-equal-amounts")</f>
        <v>https://leetcode.com/problems/make-array-zero-by-subtracting-equal-amounts</v>
      </c>
      <c r="D141" s="3" t="str">
        <f ca="1">IFERROR(__xludf.DUMMYFUNCTION("""COMPUTED_VALUE"""),"N")</f>
        <v>N</v>
      </c>
      <c r="E141" s="6">
        <f ca="1">IFERROR(__xludf.DUMMYFUNCTION("""COMPUTED_VALUE"""),0.727)</f>
        <v>0.72699999999999998</v>
      </c>
      <c r="F141" s="3" t="str">
        <f ca="1">IFERROR(__xludf.DUMMYFUNCTION("""COMPUTED_VALUE"""),"Easy")</f>
        <v>Easy</v>
      </c>
      <c r="G141" s="3" t="str">
        <f ca="1">IFERROR(__xludf.DUMMYFUNCTION("""COMPUTED_VALUE"""),"63.9838%;")</f>
        <v>63.9838%;</v>
      </c>
    </row>
    <row r="142" spans="1:7" x14ac:dyDescent="0.2">
      <c r="B142" s="4"/>
      <c r="C142" s="4"/>
    </row>
    <row r="143" spans="1:7" x14ac:dyDescent="0.2">
      <c r="B143" s="4"/>
      <c r="C143" s="4"/>
    </row>
    <row r="144" spans="1:7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  <row r="294" spans="2:3" x14ac:dyDescent="0.2">
      <c r="B294" s="4"/>
      <c r="C294" s="4"/>
    </row>
    <row r="295" spans="2:3" x14ac:dyDescent="0.2">
      <c r="B295" s="4"/>
      <c r="C295" s="4"/>
    </row>
    <row r="296" spans="2:3" x14ac:dyDescent="0.2">
      <c r="B296" s="4"/>
      <c r="C296" s="4"/>
    </row>
    <row r="297" spans="2:3" x14ac:dyDescent="0.2">
      <c r="B297" s="4"/>
      <c r="C297" s="4"/>
    </row>
    <row r="298" spans="2:3" x14ac:dyDescent="0.2">
      <c r="B298" s="4"/>
      <c r="C298" s="4"/>
    </row>
    <row r="299" spans="2:3" x14ac:dyDescent="0.2">
      <c r="B299" s="4"/>
      <c r="C299" s="4"/>
    </row>
    <row r="300" spans="2:3" x14ac:dyDescent="0.2">
      <c r="B300" s="4"/>
      <c r="C300" s="4"/>
    </row>
    <row r="301" spans="2:3" x14ac:dyDescent="0.2">
      <c r="B301" s="4"/>
      <c r="C301" s="4"/>
    </row>
    <row r="302" spans="2:3" x14ac:dyDescent="0.2">
      <c r="B302" s="4"/>
      <c r="C302" s="4"/>
    </row>
    <row r="303" spans="2:3" x14ac:dyDescent="0.2">
      <c r="B303" s="4"/>
      <c r="C303" s="4"/>
    </row>
    <row r="304" spans="2:3" x14ac:dyDescent="0.2">
      <c r="B304" s="4"/>
      <c r="C304" s="4"/>
    </row>
    <row r="305" spans="2:3" x14ac:dyDescent="0.2">
      <c r="B305" s="4"/>
      <c r="C305" s="4"/>
    </row>
    <row r="306" spans="2:3" x14ac:dyDescent="0.2">
      <c r="B306" s="4"/>
      <c r="C306" s="4"/>
    </row>
    <row r="307" spans="2:3" x14ac:dyDescent="0.2">
      <c r="B307" s="4"/>
      <c r="C307" s="4"/>
    </row>
    <row r="308" spans="2:3" x14ac:dyDescent="0.2">
      <c r="B308" s="4"/>
      <c r="C308" s="4"/>
    </row>
    <row r="309" spans="2:3" x14ac:dyDescent="0.2">
      <c r="B309" s="4"/>
      <c r="C309" s="4"/>
    </row>
    <row r="310" spans="2:3" x14ac:dyDescent="0.2">
      <c r="B310" s="4"/>
      <c r="C310" s="4"/>
    </row>
    <row r="311" spans="2:3" x14ac:dyDescent="0.2">
      <c r="B311" s="4"/>
      <c r="C311" s="4"/>
    </row>
    <row r="312" spans="2:3" x14ac:dyDescent="0.2">
      <c r="B312" s="4"/>
      <c r="C312" s="4"/>
    </row>
    <row r="313" spans="2:3" x14ac:dyDescent="0.2">
      <c r="B313" s="4"/>
      <c r="C313" s="4"/>
    </row>
    <row r="314" spans="2:3" x14ac:dyDescent="0.2">
      <c r="B314" s="4"/>
      <c r="C314" s="4"/>
    </row>
    <row r="315" spans="2:3" x14ac:dyDescent="0.2">
      <c r="B315" s="4"/>
      <c r="C315" s="4"/>
    </row>
    <row r="316" spans="2:3" x14ac:dyDescent="0.2">
      <c r="B316" s="4"/>
      <c r="C316" s="4"/>
    </row>
    <row r="317" spans="2:3" x14ac:dyDescent="0.2">
      <c r="B317" s="4"/>
      <c r="C317" s="4"/>
    </row>
    <row r="318" spans="2:3" x14ac:dyDescent="0.2">
      <c r="B318" s="4"/>
      <c r="C318" s="4"/>
    </row>
    <row r="319" spans="2:3" x14ac:dyDescent="0.2">
      <c r="B319" s="4"/>
      <c r="C319" s="4"/>
    </row>
    <row r="320" spans="2:3" x14ac:dyDescent="0.2">
      <c r="B320" s="4"/>
      <c r="C320" s="4"/>
    </row>
    <row r="321" spans="2:3" x14ac:dyDescent="0.2">
      <c r="B321" s="4"/>
      <c r="C321" s="4"/>
    </row>
    <row r="322" spans="2:3" x14ac:dyDescent="0.2">
      <c r="B322" s="4"/>
      <c r="C322" s="4"/>
    </row>
    <row r="323" spans="2:3" x14ac:dyDescent="0.2">
      <c r="B323" s="4"/>
      <c r="C323" s="4"/>
    </row>
    <row r="324" spans="2:3" x14ac:dyDescent="0.2">
      <c r="B324" s="4"/>
      <c r="C324" s="4"/>
    </row>
    <row r="325" spans="2:3" x14ac:dyDescent="0.2">
      <c r="B325" s="4"/>
      <c r="C325" s="4"/>
    </row>
    <row r="326" spans="2:3" x14ac:dyDescent="0.2">
      <c r="B326" s="4"/>
      <c r="C326" s="4"/>
    </row>
    <row r="327" spans="2:3" x14ac:dyDescent="0.2">
      <c r="B327" s="4"/>
      <c r="C327" s="4"/>
    </row>
    <row r="328" spans="2:3" x14ac:dyDescent="0.2">
      <c r="B328" s="4"/>
      <c r="C328" s="4"/>
    </row>
    <row r="329" spans="2:3" x14ac:dyDescent="0.2">
      <c r="B329" s="4"/>
      <c r="C329" s="4"/>
    </row>
    <row r="330" spans="2:3" x14ac:dyDescent="0.2">
      <c r="B330" s="4"/>
      <c r="C330" s="4"/>
    </row>
    <row r="331" spans="2:3" x14ac:dyDescent="0.2">
      <c r="B331" s="4"/>
      <c r="C331" s="4"/>
    </row>
    <row r="332" spans="2:3" x14ac:dyDescent="0.2">
      <c r="B332" s="4"/>
      <c r="C332" s="4"/>
    </row>
    <row r="333" spans="2:3" x14ac:dyDescent="0.2">
      <c r="B333" s="4"/>
      <c r="C333" s="4"/>
    </row>
    <row r="334" spans="2:3" x14ac:dyDescent="0.2">
      <c r="B334" s="4"/>
      <c r="C334" s="4"/>
    </row>
    <row r="335" spans="2:3" x14ac:dyDescent="0.2">
      <c r="B335" s="4"/>
      <c r="C335" s="4"/>
    </row>
    <row r="336" spans="2:3" x14ac:dyDescent="0.2">
      <c r="B336" s="4"/>
      <c r="C336" s="4"/>
    </row>
    <row r="337" spans="2:3" x14ac:dyDescent="0.2">
      <c r="B337" s="4"/>
      <c r="C337" s="4"/>
    </row>
    <row r="338" spans="2:3" x14ac:dyDescent="0.2">
      <c r="B338" s="4"/>
      <c r="C338" s="4"/>
    </row>
    <row r="339" spans="2:3" x14ac:dyDescent="0.2">
      <c r="B339" s="4"/>
      <c r="C339" s="4"/>
    </row>
    <row r="340" spans="2:3" x14ac:dyDescent="0.2">
      <c r="B340" s="4"/>
      <c r="C340" s="4"/>
    </row>
    <row r="341" spans="2:3" x14ac:dyDescent="0.2">
      <c r="B341" s="4"/>
      <c r="C341" s="4"/>
    </row>
    <row r="342" spans="2:3" x14ac:dyDescent="0.2">
      <c r="B342" s="4"/>
      <c r="C342" s="4"/>
    </row>
    <row r="343" spans="2:3" x14ac:dyDescent="0.2">
      <c r="B343" s="4"/>
      <c r="C343" s="4"/>
    </row>
    <row r="344" spans="2:3" x14ac:dyDescent="0.2">
      <c r="B344" s="4"/>
      <c r="C344" s="4"/>
    </row>
    <row r="345" spans="2:3" x14ac:dyDescent="0.2">
      <c r="B345" s="4"/>
      <c r="C345" s="4"/>
    </row>
    <row r="346" spans="2:3" x14ac:dyDescent="0.2">
      <c r="B346" s="4"/>
      <c r="C346" s="4"/>
    </row>
    <row r="347" spans="2:3" x14ac:dyDescent="0.2">
      <c r="B347" s="4"/>
      <c r="C347" s="4"/>
    </row>
    <row r="348" spans="2:3" x14ac:dyDescent="0.2">
      <c r="B348" s="4"/>
      <c r="C348" s="4"/>
    </row>
    <row r="349" spans="2:3" x14ac:dyDescent="0.2">
      <c r="B349" s="4"/>
      <c r="C349" s="4"/>
    </row>
    <row r="350" spans="2:3" x14ac:dyDescent="0.2">
      <c r="B350" s="4"/>
      <c r="C350" s="4"/>
    </row>
    <row r="351" spans="2:3" x14ac:dyDescent="0.2">
      <c r="B351" s="4"/>
      <c r="C351" s="4"/>
    </row>
    <row r="352" spans="2:3" x14ac:dyDescent="0.2">
      <c r="B352" s="4"/>
      <c r="C352" s="4"/>
    </row>
    <row r="353" spans="2:3" x14ac:dyDescent="0.2">
      <c r="B353" s="4"/>
      <c r="C353" s="4"/>
    </row>
    <row r="354" spans="2:3" x14ac:dyDescent="0.2">
      <c r="B354" s="4"/>
      <c r="C354" s="4"/>
    </row>
    <row r="355" spans="2:3" x14ac:dyDescent="0.2">
      <c r="B355" s="4"/>
      <c r="C355" s="4"/>
    </row>
    <row r="356" spans="2:3" x14ac:dyDescent="0.2">
      <c r="B356" s="4"/>
      <c r="C356" s="4"/>
    </row>
    <row r="357" spans="2:3" x14ac:dyDescent="0.2">
      <c r="B357" s="4"/>
      <c r="C357" s="4"/>
    </row>
    <row r="358" spans="2:3" x14ac:dyDescent="0.2">
      <c r="B358" s="4"/>
      <c r="C358" s="4"/>
    </row>
    <row r="359" spans="2:3" x14ac:dyDescent="0.2">
      <c r="B359" s="4"/>
      <c r="C359" s="4"/>
    </row>
    <row r="360" spans="2:3" x14ac:dyDescent="0.2">
      <c r="B360" s="4"/>
      <c r="C360" s="4"/>
    </row>
    <row r="361" spans="2:3" x14ac:dyDescent="0.2">
      <c r="B361" s="4"/>
      <c r="C361" s="4"/>
    </row>
    <row r="362" spans="2:3" x14ac:dyDescent="0.2">
      <c r="B362" s="4"/>
      <c r="C362" s="4"/>
    </row>
    <row r="363" spans="2:3" x14ac:dyDescent="0.2">
      <c r="B363" s="4"/>
      <c r="C363" s="4"/>
    </row>
    <row r="364" spans="2:3" x14ac:dyDescent="0.2">
      <c r="B364" s="4"/>
      <c r="C364" s="4"/>
    </row>
    <row r="365" spans="2:3" x14ac:dyDescent="0.2">
      <c r="B365" s="4"/>
      <c r="C365" s="4"/>
    </row>
    <row r="366" spans="2:3" x14ac:dyDescent="0.2">
      <c r="B366" s="4"/>
      <c r="C366" s="4"/>
    </row>
    <row r="367" spans="2:3" x14ac:dyDescent="0.2">
      <c r="B367" s="4"/>
      <c r="C367" s="4"/>
    </row>
    <row r="368" spans="2:3" x14ac:dyDescent="0.2">
      <c r="B368" s="4"/>
      <c r="C368" s="4"/>
    </row>
    <row r="369" spans="2:3" x14ac:dyDescent="0.2">
      <c r="B369" s="4"/>
      <c r="C369" s="4"/>
    </row>
    <row r="370" spans="2:3" x14ac:dyDescent="0.2">
      <c r="B370" s="4"/>
      <c r="C370" s="4"/>
    </row>
    <row r="371" spans="2:3" x14ac:dyDescent="0.2">
      <c r="B371" s="4"/>
      <c r="C371" s="4"/>
    </row>
    <row r="372" spans="2:3" x14ac:dyDescent="0.2">
      <c r="B372" s="4"/>
      <c r="C372" s="4"/>
    </row>
    <row r="373" spans="2:3" x14ac:dyDescent="0.2">
      <c r="B373" s="4"/>
      <c r="C373" s="4"/>
    </row>
    <row r="374" spans="2:3" x14ac:dyDescent="0.2">
      <c r="B374" s="4"/>
      <c r="C374" s="4"/>
    </row>
    <row r="375" spans="2:3" x14ac:dyDescent="0.2">
      <c r="B375" s="4"/>
      <c r="C375" s="4"/>
    </row>
    <row r="376" spans="2:3" x14ac:dyDescent="0.2">
      <c r="B376" s="4"/>
      <c r="C376" s="4"/>
    </row>
    <row r="377" spans="2:3" x14ac:dyDescent="0.2">
      <c r="B377" s="4"/>
      <c r="C377" s="4"/>
    </row>
    <row r="378" spans="2:3" x14ac:dyDescent="0.2">
      <c r="B378" s="4"/>
      <c r="C378" s="4"/>
    </row>
    <row r="379" spans="2:3" x14ac:dyDescent="0.2">
      <c r="B379" s="4"/>
      <c r="C379" s="4"/>
    </row>
    <row r="380" spans="2:3" x14ac:dyDescent="0.2">
      <c r="B380" s="4"/>
      <c r="C380" s="4"/>
    </row>
    <row r="381" spans="2:3" x14ac:dyDescent="0.2">
      <c r="B381" s="4"/>
      <c r="C381" s="4"/>
    </row>
    <row r="382" spans="2:3" x14ac:dyDescent="0.2">
      <c r="B382" s="4"/>
      <c r="C382" s="4"/>
    </row>
    <row r="383" spans="2:3" x14ac:dyDescent="0.2">
      <c r="B383" s="4"/>
      <c r="C383" s="4"/>
    </row>
    <row r="384" spans="2:3" x14ac:dyDescent="0.2">
      <c r="B384" s="4"/>
      <c r="C384" s="4"/>
    </row>
    <row r="385" spans="2:3" x14ac:dyDescent="0.2">
      <c r="B385" s="4"/>
      <c r="C385" s="4"/>
    </row>
    <row r="386" spans="2:3" x14ac:dyDescent="0.2">
      <c r="B386" s="4"/>
      <c r="C386" s="4"/>
    </row>
    <row r="387" spans="2:3" x14ac:dyDescent="0.2">
      <c r="B387" s="4"/>
      <c r="C387" s="4"/>
    </row>
    <row r="388" spans="2:3" x14ac:dyDescent="0.2">
      <c r="B388" s="4"/>
      <c r="C388" s="4"/>
    </row>
    <row r="389" spans="2:3" x14ac:dyDescent="0.2">
      <c r="B389" s="4"/>
      <c r="C389" s="4"/>
    </row>
    <row r="390" spans="2:3" x14ac:dyDescent="0.2">
      <c r="B390" s="4"/>
      <c r="C390" s="4"/>
    </row>
    <row r="391" spans="2:3" x14ac:dyDescent="0.2">
      <c r="B391" s="4"/>
      <c r="C391" s="4"/>
    </row>
    <row r="392" spans="2:3" x14ac:dyDescent="0.2">
      <c r="B392" s="4"/>
      <c r="C392" s="4"/>
    </row>
    <row r="393" spans="2:3" x14ac:dyDescent="0.2">
      <c r="B393" s="4"/>
      <c r="C393" s="4"/>
    </row>
    <row r="394" spans="2:3" x14ac:dyDescent="0.2">
      <c r="B394" s="4"/>
      <c r="C394" s="4"/>
    </row>
    <row r="395" spans="2:3" x14ac:dyDescent="0.2">
      <c r="B395" s="4"/>
      <c r="C395" s="4"/>
    </row>
    <row r="396" spans="2:3" x14ac:dyDescent="0.2">
      <c r="B396" s="4"/>
      <c r="C396" s="4"/>
    </row>
    <row r="397" spans="2:3" x14ac:dyDescent="0.2">
      <c r="B397" s="4"/>
      <c r="C397" s="4"/>
    </row>
    <row r="398" spans="2:3" x14ac:dyDescent="0.2">
      <c r="B398" s="4"/>
      <c r="C398" s="4"/>
    </row>
    <row r="399" spans="2:3" x14ac:dyDescent="0.2">
      <c r="B399" s="4"/>
      <c r="C399" s="4"/>
    </row>
    <row r="400" spans="2:3" x14ac:dyDescent="0.2">
      <c r="B400" s="4"/>
      <c r="C400" s="4"/>
    </row>
    <row r="401" spans="2:3" x14ac:dyDescent="0.2">
      <c r="B401" s="4"/>
      <c r="C401" s="4"/>
    </row>
    <row r="402" spans="2:3" x14ac:dyDescent="0.2">
      <c r="B402" s="4"/>
      <c r="C402" s="4"/>
    </row>
    <row r="403" spans="2:3" x14ac:dyDescent="0.2">
      <c r="B403" s="4"/>
      <c r="C403" s="4"/>
    </row>
    <row r="404" spans="2:3" x14ac:dyDescent="0.2">
      <c r="B404" s="4"/>
      <c r="C404" s="4"/>
    </row>
    <row r="405" spans="2:3" x14ac:dyDescent="0.2">
      <c r="B405" s="4"/>
      <c r="C405" s="4"/>
    </row>
    <row r="406" spans="2:3" x14ac:dyDescent="0.2">
      <c r="B406" s="4"/>
      <c r="C406" s="4"/>
    </row>
    <row r="407" spans="2:3" x14ac:dyDescent="0.2">
      <c r="B407" s="4"/>
      <c r="C407" s="4"/>
    </row>
    <row r="408" spans="2:3" x14ac:dyDescent="0.2">
      <c r="B408" s="4"/>
      <c r="C408" s="4"/>
    </row>
    <row r="409" spans="2:3" x14ac:dyDescent="0.2">
      <c r="B409" s="4"/>
      <c r="C409" s="4"/>
    </row>
    <row r="410" spans="2:3" x14ac:dyDescent="0.2">
      <c r="B410" s="4"/>
      <c r="C410" s="4"/>
    </row>
    <row r="411" spans="2:3" x14ac:dyDescent="0.2">
      <c r="B411" s="4"/>
      <c r="C411" s="4"/>
    </row>
    <row r="412" spans="2:3" x14ac:dyDescent="0.2">
      <c r="B412" s="4"/>
      <c r="C412" s="4"/>
    </row>
    <row r="413" spans="2:3" x14ac:dyDescent="0.2">
      <c r="B413" s="4"/>
      <c r="C413" s="4"/>
    </row>
    <row r="414" spans="2:3" x14ac:dyDescent="0.2">
      <c r="B414" s="4"/>
      <c r="C414" s="4"/>
    </row>
    <row r="415" spans="2:3" x14ac:dyDescent="0.2">
      <c r="B415" s="4"/>
      <c r="C415" s="4"/>
    </row>
    <row r="416" spans="2:3" x14ac:dyDescent="0.2">
      <c r="B416" s="4"/>
      <c r="C416" s="4"/>
    </row>
    <row r="417" spans="2:3" x14ac:dyDescent="0.2">
      <c r="B417" s="4"/>
      <c r="C417" s="4"/>
    </row>
    <row r="418" spans="2:3" x14ac:dyDescent="0.2">
      <c r="B418" s="4"/>
      <c r="C418" s="4"/>
    </row>
    <row r="419" spans="2:3" x14ac:dyDescent="0.2">
      <c r="B419" s="4"/>
      <c r="C419" s="4"/>
    </row>
    <row r="420" spans="2:3" x14ac:dyDescent="0.2">
      <c r="B420" s="4"/>
      <c r="C420" s="4"/>
    </row>
    <row r="421" spans="2:3" x14ac:dyDescent="0.2">
      <c r="B421" s="4"/>
      <c r="C421" s="4"/>
    </row>
    <row r="422" spans="2:3" x14ac:dyDescent="0.2">
      <c r="B422" s="4"/>
      <c r="C422" s="4"/>
    </row>
    <row r="423" spans="2:3" x14ac:dyDescent="0.2">
      <c r="B423" s="4"/>
      <c r="C423" s="4"/>
    </row>
    <row r="424" spans="2:3" x14ac:dyDescent="0.2">
      <c r="B424" s="4"/>
      <c r="C424" s="4"/>
    </row>
    <row r="425" spans="2:3" x14ac:dyDescent="0.2">
      <c r="B425" s="4"/>
      <c r="C425" s="4"/>
    </row>
    <row r="426" spans="2:3" x14ac:dyDescent="0.2">
      <c r="B426" s="4"/>
      <c r="C426" s="4"/>
    </row>
    <row r="427" spans="2:3" x14ac:dyDescent="0.2">
      <c r="B427" s="4"/>
      <c r="C427" s="4"/>
    </row>
    <row r="428" spans="2:3" x14ac:dyDescent="0.2">
      <c r="B428" s="4"/>
      <c r="C428" s="4"/>
    </row>
    <row r="429" spans="2:3" x14ac:dyDescent="0.2">
      <c r="B429" s="4"/>
      <c r="C429" s="4"/>
    </row>
    <row r="430" spans="2:3" x14ac:dyDescent="0.2">
      <c r="B430" s="4"/>
      <c r="C430" s="4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4"/>
      <c r="C435" s="4"/>
    </row>
    <row r="436" spans="2:3" x14ac:dyDescent="0.2">
      <c r="B436" s="4"/>
      <c r="C436" s="4"/>
    </row>
    <row r="437" spans="2:3" x14ac:dyDescent="0.2">
      <c r="B437" s="4"/>
      <c r="C437" s="4"/>
    </row>
    <row r="438" spans="2:3" x14ac:dyDescent="0.2">
      <c r="B438" s="4"/>
      <c r="C438" s="4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4"/>
      <c r="C446" s="4"/>
    </row>
    <row r="447" spans="2:3" x14ac:dyDescent="0.2">
      <c r="B447" s="4"/>
      <c r="C447" s="4"/>
    </row>
    <row r="448" spans="2:3" x14ac:dyDescent="0.2">
      <c r="B448" s="4"/>
      <c r="C448" s="4"/>
    </row>
    <row r="449" spans="2:3" x14ac:dyDescent="0.2">
      <c r="B449" s="4"/>
      <c r="C449" s="4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4"/>
      <c r="C454" s="4"/>
    </row>
    <row r="455" spans="2:3" x14ac:dyDescent="0.2">
      <c r="B455" s="4"/>
      <c r="C455" s="4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4"/>
      <c r="C460" s="4"/>
    </row>
    <row r="461" spans="2:3" x14ac:dyDescent="0.2">
      <c r="B461" s="4"/>
      <c r="C461" s="4"/>
    </row>
    <row r="462" spans="2:3" x14ac:dyDescent="0.2">
      <c r="B462" s="4"/>
      <c r="C462" s="4"/>
    </row>
    <row r="463" spans="2:3" x14ac:dyDescent="0.2">
      <c r="B463" s="4"/>
      <c r="C463" s="4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4"/>
      <c r="C468" s="4"/>
    </row>
    <row r="469" spans="2:3" x14ac:dyDescent="0.2">
      <c r="B469" s="4"/>
      <c r="C469" s="4"/>
    </row>
    <row r="470" spans="2:3" x14ac:dyDescent="0.2">
      <c r="B470" s="4"/>
      <c r="C470" s="4"/>
    </row>
    <row r="471" spans="2:3" x14ac:dyDescent="0.2">
      <c r="B471" s="4"/>
      <c r="C471" s="4"/>
    </row>
    <row r="472" spans="2:3" x14ac:dyDescent="0.2">
      <c r="B472" s="4"/>
      <c r="C472" s="4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4"/>
      <c r="C495" s="4"/>
    </row>
    <row r="496" spans="2:3" x14ac:dyDescent="0.2">
      <c r="B496" s="4"/>
      <c r="C496" s="4"/>
    </row>
    <row r="497" spans="2:3" x14ac:dyDescent="0.2">
      <c r="B497" s="4"/>
      <c r="C497" s="4"/>
    </row>
    <row r="498" spans="2:3" x14ac:dyDescent="0.2">
      <c r="B498" s="4"/>
      <c r="C498" s="4"/>
    </row>
    <row r="499" spans="2:3" x14ac:dyDescent="0.2">
      <c r="B499" s="4"/>
      <c r="C499" s="4"/>
    </row>
    <row r="500" spans="2:3" x14ac:dyDescent="0.2">
      <c r="B500" s="4"/>
      <c r="C500" s="4"/>
    </row>
    <row r="501" spans="2:3" x14ac:dyDescent="0.2">
      <c r="B501" s="4"/>
      <c r="C501" s="4"/>
    </row>
    <row r="502" spans="2:3" x14ac:dyDescent="0.2">
      <c r="B502" s="4"/>
      <c r="C502" s="4"/>
    </row>
    <row r="503" spans="2:3" x14ac:dyDescent="0.2">
      <c r="B503" s="4"/>
      <c r="C503" s="4"/>
    </row>
    <row r="504" spans="2:3" x14ac:dyDescent="0.2">
      <c r="B504" s="4"/>
      <c r="C504" s="4"/>
    </row>
    <row r="505" spans="2:3" x14ac:dyDescent="0.2">
      <c r="B505" s="4"/>
      <c r="C505" s="4"/>
    </row>
    <row r="506" spans="2:3" x14ac:dyDescent="0.2">
      <c r="B506" s="4"/>
      <c r="C506" s="4"/>
    </row>
    <row r="507" spans="2:3" x14ac:dyDescent="0.2">
      <c r="B507" s="4"/>
      <c r="C507" s="4"/>
    </row>
    <row r="508" spans="2:3" x14ac:dyDescent="0.2">
      <c r="B508" s="4"/>
      <c r="C508" s="4"/>
    </row>
    <row r="509" spans="2:3" x14ac:dyDescent="0.2">
      <c r="B509" s="4"/>
      <c r="C509" s="4"/>
    </row>
    <row r="510" spans="2:3" x14ac:dyDescent="0.2">
      <c r="B510" s="4"/>
      <c r="C510" s="4"/>
    </row>
    <row r="511" spans="2:3" x14ac:dyDescent="0.2">
      <c r="B511" s="4"/>
      <c r="C511" s="4"/>
    </row>
    <row r="512" spans="2:3" x14ac:dyDescent="0.2">
      <c r="B512" s="4"/>
      <c r="C512" s="4"/>
    </row>
    <row r="513" spans="2:3" x14ac:dyDescent="0.2">
      <c r="B513" s="4"/>
      <c r="C513" s="4"/>
    </row>
    <row r="514" spans="2:3" x14ac:dyDescent="0.2">
      <c r="B514" s="4"/>
      <c r="C514" s="4"/>
    </row>
    <row r="515" spans="2:3" x14ac:dyDescent="0.2">
      <c r="B515" s="4"/>
      <c r="C515" s="4"/>
    </row>
    <row r="516" spans="2:3" x14ac:dyDescent="0.2">
      <c r="B516" s="4"/>
      <c r="C516" s="4"/>
    </row>
    <row r="517" spans="2:3" x14ac:dyDescent="0.2">
      <c r="B517" s="4"/>
      <c r="C517" s="4"/>
    </row>
    <row r="518" spans="2:3" x14ac:dyDescent="0.2">
      <c r="B518" s="4"/>
      <c r="C518" s="4"/>
    </row>
    <row r="519" spans="2:3" x14ac:dyDescent="0.2">
      <c r="B519" s="4"/>
      <c r="C519" s="4"/>
    </row>
    <row r="520" spans="2:3" x14ac:dyDescent="0.2">
      <c r="B520" s="4"/>
      <c r="C520" s="4"/>
    </row>
    <row r="521" spans="2:3" x14ac:dyDescent="0.2">
      <c r="B521" s="4"/>
      <c r="C521" s="4"/>
    </row>
    <row r="522" spans="2:3" x14ac:dyDescent="0.2">
      <c r="B522" s="4"/>
      <c r="C522" s="4"/>
    </row>
    <row r="523" spans="2:3" x14ac:dyDescent="0.2">
      <c r="B523" s="4"/>
      <c r="C523" s="4"/>
    </row>
    <row r="524" spans="2:3" x14ac:dyDescent="0.2">
      <c r="B524" s="4"/>
      <c r="C524" s="4"/>
    </row>
    <row r="525" spans="2:3" x14ac:dyDescent="0.2">
      <c r="B525" s="4"/>
      <c r="C525" s="4"/>
    </row>
    <row r="526" spans="2:3" x14ac:dyDescent="0.2">
      <c r="B526" s="4"/>
      <c r="C526" s="4"/>
    </row>
    <row r="527" spans="2:3" x14ac:dyDescent="0.2">
      <c r="B527" s="4"/>
      <c r="C527" s="4"/>
    </row>
    <row r="528" spans="2:3" x14ac:dyDescent="0.2">
      <c r="B528" s="4"/>
      <c r="C528" s="4"/>
    </row>
    <row r="529" spans="2:3" x14ac:dyDescent="0.2">
      <c r="B529" s="4"/>
      <c r="C529" s="4"/>
    </row>
    <row r="530" spans="2:3" x14ac:dyDescent="0.2">
      <c r="B530" s="4"/>
      <c r="C530" s="4"/>
    </row>
    <row r="531" spans="2:3" x14ac:dyDescent="0.2">
      <c r="B531" s="4"/>
      <c r="C531" s="4"/>
    </row>
    <row r="532" spans="2:3" x14ac:dyDescent="0.2">
      <c r="B532" s="4"/>
      <c r="C532" s="4"/>
    </row>
    <row r="533" spans="2:3" x14ac:dyDescent="0.2">
      <c r="B533" s="4"/>
      <c r="C533" s="4"/>
    </row>
    <row r="534" spans="2:3" x14ac:dyDescent="0.2">
      <c r="B534" s="4"/>
      <c r="C534" s="4"/>
    </row>
    <row r="535" spans="2:3" x14ac:dyDescent="0.2">
      <c r="B535" s="4"/>
      <c r="C535" s="4"/>
    </row>
    <row r="536" spans="2:3" x14ac:dyDescent="0.2">
      <c r="B536" s="4"/>
      <c r="C536" s="4"/>
    </row>
    <row r="537" spans="2:3" x14ac:dyDescent="0.2">
      <c r="B537" s="4"/>
      <c r="C537" s="4"/>
    </row>
    <row r="538" spans="2:3" x14ac:dyDescent="0.2">
      <c r="B538" s="4"/>
      <c r="C538" s="4"/>
    </row>
    <row r="539" spans="2:3" x14ac:dyDescent="0.2">
      <c r="B539" s="4"/>
      <c r="C539" s="4"/>
    </row>
    <row r="540" spans="2:3" x14ac:dyDescent="0.2">
      <c r="B540" s="4"/>
      <c r="C540" s="4"/>
    </row>
    <row r="541" spans="2:3" x14ac:dyDescent="0.2">
      <c r="B541" s="4"/>
      <c r="C541" s="4"/>
    </row>
    <row r="542" spans="2:3" x14ac:dyDescent="0.2">
      <c r="B542" s="4"/>
      <c r="C542" s="4"/>
    </row>
    <row r="543" spans="2:3" x14ac:dyDescent="0.2">
      <c r="B543" s="4"/>
      <c r="C543" s="4"/>
    </row>
    <row r="544" spans="2:3" x14ac:dyDescent="0.2">
      <c r="B544" s="4"/>
      <c r="C544" s="4"/>
    </row>
    <row r="545" spans="2:3" x14ac:dyDescent="0.2">
      <c r="B545" s="4"/>
      <c r="C545" s="4"/>
    </row>
    <row r="546" spans="2:3" x14ac:dyDescent="0.2">
      <c r="B546" s="4"/>
      <c r="C546" s="4"/>
    </row>
    <row r="547" spans="2:3" x14ac:dyDescent="0.2">
      <c r="B547" s="4"/>
      <c r="C547" s="4"/>
    </row>
    <row r="548" spans="2:3" x14ac:dyDescent="0.2">
      <c r="B548" s="4"/>
      <c r="C548" s="4"/>
    </row>
    <row r="549" spans="2:3" x14ac:dyDescent="0.2">
      <c r="B549" s="4"/>
      <c r="C549" s="4"/>
    </row>
    <row r="550" spans="2:3" x14ac:dyDescent="0.2">
      <c r="B550" s="4"/>
      <c r="C550" s="4"/>
    </row>
    <row r="551" spans="2:3" x14ac:dyDescent="0.2">
      <c r="B551" s="4"/>
      <c r="C551" s="4"/>
    </row>
    <row r="552" spans="2:3" x14ac:dyDescent="0.2">
      <c r="B552" s="4"/>
      <c r="C552" s="4"/>
    </row>
    <row r="553" spans="2:3" x14ac:dyDescent="0.2">
      <c r="B553" s="4"/>
      <c r="C553" s="4"/>
    </row>
    <row r="554" spans="2:3" x14ac:dyDescent="0.2">
      <c r="B554" s="4"/>
      <c r="C554" s="4"/>
    </row>
    <row r="555" spans="2:3" x14ac:dyDescent="0.2">
      <c r="B555" s="4"/>
      <c r="C555" s="4"/>
    </row>
    <row r="556" spans="2:3" x14ac:dyDescent="0.2">
      <c r="B556" s="4"/>
      <c r="C556" s="4"/>
    </row>
    <row r="557" spans="2:3" x14ac:dyDescent="0.2">
      <c r="B557" s="4"/>
      <c r="C557" s="4"/>
    </row>
    <row r="558" spans="2:3" x14ac:dyDescent="0.2">
      <c r="B558" s="4"/>
      <c r="C558" s="4"/>
    </row>
    <row r="559" spans="2:3" x14ac:dyDescent="0.2">
      <c r="B559" s="4"/>
      <c r="C559" s="4"/>
    </row>
    <row r="560" spans="2:3" x14ac:dyDescent="0.2">
      <c r="B560" s="4"/>
      <c r="C560" s="4"/>
    </row>
    <row r="561" spans="2:3" x14ac:dyDescent="0.2">
      <c r="B561" s="4"/>
      <c r="C561" s="4"/>
    </row>
    <row r="562" spans="2:3" x14ac:dyDescent="0.2">
      <c r="B562" s="4"/>
      <c r="C562" s="4"/>
    </row>
    <row r="563" spans="2:3" x14ac:dyDescent="0.2">
      <c r="B563" s="4"/>
      <c r="C563" s="4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4"/>
      <c r="C577" s="4"/>
    </row>
    <row r="578" spans="2:3" x14ac:dyDescent="0.2">
      <c r="B578" s="4"/>
      <c r="C578" s="4"/>
    </row>
    <row r="579" spans="2:3" x14ac:dyDescent="0.2">
      <c r="B579" s="4"/>
      <c r="C579" s="4"/>
    </row>
    <row r="580" spans="2:3" x14ac:dyDescent="0.2">
      <c r="B580" s="4"/>
      <c r="C580" s="4"/>
    </row>
    <row r="581" spans="2:3" x14ac:dyDescent="0.2">
      <c r="B581" s="4"/>
      <c r="C581" s="4"/>
    </row>
    <row r="582" spans="2:3" x14ac:dyDescent="0.2">
      <c r="B582" s="4"/>
      <c r="C582" s="4"/>
    </row>
    <row r="583" spans="2:3" x14ac:dyDescent="0.2">
      <c r="B583" s="4"/>
      <c r="C583" s="4"/>
    </row>
    <row r="584" spans="2:3" x14ac:dyDescent="0.2">
      <c r="B584" s="4"/>
      <c r="C584" s="4"/>
    </row>
    <row r="585" spans="2:3" x14ac:dyDescent="0.2">
      <c r="B585" s="4"/>
      <c r="C585" s="4"/>
    </row>
    <row r="586" spans="2:3" x14ac:dyDescent="0.2">
      <c r="B586" s="4"/>
      <c r="C586" s="4"/>
    </row>
    <row r="587" spans="2:3" x14ac:dyDescent="0.2">
      <c r="B587" s="4"/>
      <c r="C587" s="4"/>
    </row>
    <row r="588" spans="2:3" x14ac:dyDescent="0.2">
      <c r="B588" s="4"/>
      <c r="C588" s="4"/>
    </row>
    <row r="589" spans="2:3" x14ac:dyDescent="0.2">
      <c r="B589" s="4"/>
      <c r="C589" s="4"/>
    </row>
    <row r="590" spans="2:3" x14ac:dyDescent="0.2">
      <c r="B590" s="4"/>
      <c r="C590" s="4"/>
    </row>
    <row r="591" spans="2:3" x14ac:dyDescent="0.2">
      <c r="B591" s="4"/>
      <c r="C591" s="4"/>
    </row>
    <row r="592" spans="2:3" x14ac:dyDescent="0.2">
      <c r="B592" s="4"/>
      <c r="C592" s="4"/>
    </row>
    <row r="593" spans="2:3" x14ac:dyDescent="0.2">
      <c r="B593" s="4"/>
      <c r="C593" s="4"/>
    </row>
    <row r="594" spans="2:3" x14ac:dyDescent="0.2">
      <c r="B594" s="4"/>
      <c r="C594" s="4"/>
    </row>
    <row r="595" spans="2:3" x14ac:dyDescent="0.2">
      <c r="B595" s="4"/>
      <c r="C595" s="4"/>
    </row>
    <row r="596" spans="2:3" x14ac:dyDescent="0.2">
      <c r="B596" s="4"/>
      <c r="C596" s="4"/>
    </row>
    <row r="597" spans="2:3" x14ac:dyDescent="0.2">
      <c r="B597" s="4"/>
      <c r="C597" s="4"/>
    </row>
    <row r="598" spans="2:3" x14ac:dyDescent="0.2">
      <c r="B598" s="4"/>
      <c r="C598" s="4"/>
    </row>
    <row r="599" spans="2:3" x14ac:dyDescent="0.2">
      <c r="B599" s="4"/>
      <c r="C599" s="4"/>
    </row>
    <row r="600" spans="2:3" x14ac:dyDescent="0.2">
      <c r="B600" s="4"/>
      <c r="C600" s="4"/>
    </row>
    <row r="601" spans="2:3" x14ac:dyDescent="0.2">
      <c r="B601" s="4"/>
      <c r="C601" s="4"/>
    </row>
    <row r="602" spans="2:3" x14ac:dyDescent="0.2">
      <c r="B602" s="4"/>
      <c r="C602" s="4"/>
    </row>
    <row r="603" spans="2:3" x14ac:dyDescent="0.2">
      <c r="B603" s="4"/>
      <c r="C603" s="4"/>
    </row>
    <row r="604" spans="2:3" x14ac:dyDescent="0.2">
      <c r="B604" s="4"/>
      <c r="C604" s="4"/>
    </row>
    <row r="605" spans="2:3" x14ac:dyDescent="0.2">
      <c r="B605" s="4"/>
      <c r="C605" s="4"/>
    </row>
    <row r="606" spans="2:3" x14ac:dyDescent="0.2">
      <c r="B606" s="4"/>
      <c r="C606" s="4"/>
    </row>
    <row r="607" spans="2:3" x14ac:dyDescent="0.2">
      <c r="B607" s="4"/>
      <c r="C607" s="4"/>
    </row>
    <row r="608" spans="2:3" x14ac:dyDescent="0.2">
      <c r="B608" s="4"/>
      <c r="C608" s="4"/>
    </row>
    <row r="609" spans="2:3" x14ac:dyDescent="0.2">
      <c r="B609" s="4"/>
      <c r="C609" s="4"/>
    </row>
    <row r="610" spans="2:3" x14ac:dyDescent="0.2">
      <c r="B610" s="4"/>
      <c r="C610" s="4"/>
    </row>
    <row r="611" spans="2:3" x14ac:dyDescent="0.2">
      <c r="B611" s="4"/>
      <c r="C611" s="4"/>
    </row>
    <row r="612" spans="2:3" x14ac:dyDescent="0.2">
      <c r="B612" s="4"/>
      <c r="C612" s="4"/>
    </row>
    <row r="613" spans="2:3" x14ac:dyDescent="0.2">
      <c r="B613" s="4"/>
      <c r="C613" s="4"/>
    </row>
    <row r="614" spans="2:3" x14ac:dyDescent="0.2">
      <c r="B614" s="4"/>
      <c r="C614" s="4"/>
    </row>
    <row r="615" spans="2:3" x14ac:dyDescent="0.2">
      <c r="B615" s="4"/>
      <c r="C615" s="4"/>
    </row>
    <row r="616" spans="2:3" x14ac:dyDescent="0.2">
      <c r="B616" s="4"/>
      <c r="C616" s="4"/>
    </row>
    <row r="617" spans="2:3" x14ac:dyDescent="0.2">
      <c r="B617" s="4"/>
      <c r="C617" s="4"/>
    </row>
    <row r="618" spans="2:3" x14ac:dyDescent="0.2">
      <c r="B618" s="4"/>
      <c r="C618" s="4"/>
    </row>
    <row r="619" spans="2:3" x14ac:dyDescent="0.2">
      <c r="B619" s="4"/>
      <c r="C619" s="4"/>
    </row>
    <row r="620" spans="2:3" x14ac:dyDescent="0.2">
      <c r="B620" s="4"/>
      <c r="C620" s="4"/>
    </row>
    <row r="621" spans="2:3" x14ac:dyDescent="0.2">
      <c r="B621" s="4"/>
      <c r="C621" s="4"/>
    </row>
    <row r="622" spans="2:3" x14ac:dyDescent="0.2">
      <c r="B622" s="4"/>
      <c r="C622" s="4"/>
    </row>
    <row r="623" spans="2:3" x14ac:dyDescent="0.2">
      <c r="B623" s="4"/>
      <c r="C623" s="4"/>
    </row>
    <row r="624" spans="2:3" x14ac:dyDescent="0.2">
      <c r="B624" s="4"/>
      <c r="C624" s="4"/>
    </row>
    <row r="625" spans="2:3" x14ac:dyDescent="0.2">
      <c r="B625" s="4"/>
      <c r="C625" s="4"/>
    </row>
    <row r="626" spans="2:3" x14ac:dyDescent="0.2">
      <c r="B626" s="4"/>
      <c r="C626" s="4"/>
    </row>
    <row r="627" spans="2:3" x14ac:dyDescent="0.2">
      <c r="B627" s="4"/>
      <c r="C627" s="4"/>
    </row>
    <row r="628" spans="2:3" x14ac:dyDescent="0.2">
      <c r="B628" s="4"/>
      <c r="C628" s="4"/>
    </row>
    <row r="629" spans="2:3" x14ac:dyDescent="0.2">
      <c r="B629" s="4"/>
      <c r="C629" s="4"/>
    </row>
    <row r="630" spans="2:3" x14ac:dyDescent="0.2">
      <c r="B630" s="4"/>
      <c r="C630" s="4"/>
    </row>
    <row r="631" spans="2:3" x14ac:dyDescent="0.2">
      <c r="B631" s="4"/>
      <c r="C631" s="4"/>
    </row>
    <row r="632" spans="2:3" x14ac:dyDescent="0.2">
      <c r="B632" s="4"/>
      <c r="C632" s="4"/>
    </row>
    <row r="633" spans="2:3" x14ac:dyDescent="0.2">
      <c r="B633" s="4"/>
      <c r="C633" s="4"/>
    </row>
    <row r="634" spans="2:3" x14ac:dyDescent="0.2">
      <c r="B634" s="4"/>
      <c r="C634" s="4"/>
    </row>
    <row r="635" spans="2:3" x14ac:dyDescent="0.2">
      <c r="B635" s="4"/>
      <c r="C635" s="4"/>
    </row>
    <row r="636" spans="2:3" x14ac:dyDescent="0.2">
      <c r="B636" s="4"/>
      <c r="C636" s="4"/>
    </row>
    <row r="637" spans="2:3" x14ac:dyDescent="0.2">
      <c r="B637" s="4"/>
      <c r="C637" s="4"/>
    </row>
    <row r="638" spans="2:3" x14ac:dyDescent="0.2">
      <c r="B638" s="4"/>
      <c r="C638" s="4"/>
    </row>
    <row r="639" spans="2:3" x14ac:dyDescent="0.2">
      <c r="B639" s="4"/>
      <c r="C639" s="4"/>
    </row>
    <row r="640" spans="2:3" x14ac:dyDescent="0.2">
      <c r="B640" s="4"/>
      <c r="C640" s="4"/>
    </row>
    <row r="641" spans="2:3" x14ac:dyDescent="0.2">
      <c r="B641" s="4"/>
      <c r="C641" s="4"/>
    </row>
    <row r="642" spans="2:3" x14ac:dyDescent="0.2">
      <c r="B642" s="4"/>
      <c r="C642" s="4"/>
    </row>
    <row r="643" spans="2:3" x14ac:dyDescent="0.2">
      <c r="B643" s="4"/>
      <c r="C643" s="4"/>
    </row>
    <row r="644" spans="2:3" x14ac:dyDescent="0.2">
      <c r="B644" s="4"/>
      <c r="C644" s="4"/>
    </row>
    <row r="645" spans="2:3" x14ac:dyDescent="0.2">
      <c r="B645" s="4"/>
      <c r="C645" s="4"/>
    </row>
    <row r="646" spans="2:3" x14ac:dyDescent="0.2">
      <c r="B646" s="4"/>
      <c r="C646" s="4"/>
    </row>
    <row r="647" spans="2:3" x14ac:dyDescent="0.2">
      <c r="B647" s="4"/>
      <c r="C647" s="4"/>
    </row>
    <row r="648" spans="2:3" x14ac:dyDescent="0.2">
      <c r="B648" s="4"/>
      <c r="C648" s="4"/>
    </row>
    <row r="649" spans="2:3" x14ac:dyDescent="0.2">
      <c r="B649" s="4"/>
      <c r="C649" s="4"/>
    </row>
    <row r="650" spans="2:3" x14ac:dyDescent="0.2">
      <c r="B650" s="4"/>
      <c r="C650" s="4"/>
    </row>
    <row r="651" spans="2:3" x14ac:dyDescent="0.2">
      <c r="B651" s="4"/>
      <c r="C651" s="4"/>
    </row>
    <row r="652" spans="2:3" x14ac:dyDescent="0.2">
      <c r="B652" s="4"/>
      <c r="C652" s="4"/>
    </row>
    <row r="653" spans="2:3" x14ac:dyDescent="0.2">
      <c r="B653" s="4"/>
      <c r="C653" s="4"/>
    </row>
    <row r="654" spans="2:3" x14ac:dyDescent="0.2">
      <c r="B654" s="4"/>
      <c r="C654" s="4"/>
    </row>
    <row r="655" spans="2:3" x14ac:dyDescent="0.2">
      <c r="B655" s="4"/>
      <c r="C655" s="4"/>
    </row>
    <row r="656" spans="2:3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</sheetData>
  <hyperlinks>
    <hyperlink ref="C2" r:id="rId1" display="https://leetcode.com/problems/two-sum" xr:uid="{00000000-0004-0000-0100-000000000000}"/>
    <hyperlink ref="C3" r:id="rId2" display="https://leetcode.com/problems/palindrome-number" xr:uid="{00000000-0004-0000-0100-000001000000}"/>
    <hyperlink ref="C4" r:id="rId3" display="https://leetcode.com/problems/roman-to-integer" xr:uid="{00000000-0004-0000-0100-000002000000}"/>
    <hyperlink ref="C5" r:id="rId4" display="https://leetcode.com/problems/longest-common-prefix" xr:uid="{00000000-0004-0000-0100-000003000000}"/>
    <hyperlink ref="C6" r:id="rId5" display="https://leetcode.com/problems/valid-parentheses" xr:uid="{00000000-0004-0000-0100-000004000000}"/>
    <hyperlink ref="C7" r:id="rId6" display="https://leetcode.com/problems/merge-two-sorted-lists" xr:uid="{00000000-0004-0000-0100-000005000000}"/>
    <hyperlink ref="C8" r:id="rId7" display="https://leetcode.com/problems/remove-duplicates-from-sorted-array" xr:uid="{00000000-0004-0000-0100-000006000000}"/>
    <hyperlink ref="C9" r:id="rId8" display="https://leetcode.com/problems/remove-element" xr:uid="{00000000-0004-0000-0100-000007000000}"/>
    <hyperlink ref="C10" r:id="rId9" display="https://leetcode.com/problems/search-insert-position" xr:uid="{00000000-0004-0000-0100-000008000000}"/>
    <hyperlink ref="C11" r:id="rId10" display="https://leetcode.com/problems/length-of-last-word" xr:uid="{00000000-0004-0000-0100-000009000000}"/>
    <hyperlink ref="C12" r:id="rId11" display="https://leetcode.com/problems/plus-one" xr:uid="{00000000-0004-0000-0100-00000A000000}"/>
    <hyperlink ref="C13" r:id="rId12" display="https://leetcode.com/problems/add-binary" xr:uid="{00000000-0004-0000-0100-00000B000000}"/>
    <hyperlink ref="C14" r:id="rId13" display="https://leetcode.com/problems/sqrtx" xr:uid="{00000000-0004-0000-0100-00000C000000}"/>
    <hyperlink ref="C15" r:id="rId14" display="https://leetcode.com/problems/climbing-stairs" xr:uid="{00000000-0004-0000-0100-00000D000000}"/>
    <hyperlink ref="C16" r:id="rId15" display="https://leetcode.com/problems/remove-duplicates-from-sorted-list" xr:uid="{00000000-0004-0000-0100-00000E000000}"/>
    <hyperlink ref="C17" r:id="rId16" display="https://leetcode.com/problems/merge-sorted-array" xr:uid="{00000000-0004-0000-0100-00000F000000}"/>
    <hyperlink ref="C18" r:id="rId17" display="https://leetcode.com/problems/binary-tree-inorder-traversal" xr:uid="{00000000-0004-0000-0100-000010000000}"/>
    <hyperlink ref="C19" r:id="rId18" display="https://leetcode.com/problems/same-tree" xr:uid="{00000000-0004-0000-0100-000011000000}"/>
    <hyperlink ref="C20" r:id="rId19" display="https://leetcode.com/problems/symmetric-tree" xr:uid="{00000000-0004-0000-0100-000012000000}"/>
    <hyperlink ref="C21" r:id="rId20" display="https://leetcode.com/problems/maximum-depth-of-binary-tree" xr:uid="{00000000-0004-0000-0100-000013000000}"/>
    <hyperlink ref="C22" r:id="rId21" display="https://leetcode.com/problems/convert-sorted-array-to-binary-search-tree" xr:uid="{00000000-0004-0000-0100-000014000000}"/>
    <hyperlink ref="C23" r:id="rId22" display="https://leetcode.com/problems/minimum-depth-of-binary-tree" xr:uid="{00000000-0004-0000-0100-000015000000}"/>
    <hyperlink ref="C24" r:id="rId23" display="https://leetcode.com/problems/path-sum" xr:uid="{00000000-0004-0000-0100-000016000000}"/>
    <hyperlink ref="C25" r:id="rId24" display="https://leetcode.com/problems/pascals-triangle" xr:uid="{00000000-0004-0000-0100-000017000000}"/>
    <hyperlink ref="C26" r:id="rId25" display="https://leetcode.com/problems/pascals-triangle-ii" xr:uid="{00000000-0004-0000-0100-000018000000}"/>
    <hyperlink ref="C27" r:id="rId26" display="https://leetcode.com/problems/best-time-to-buy-and-sell-stock" xr:uid="{00000000-0004-0000-0100-000019000000}"/>
    <hyperlink ref="C28" r:id="rId27" display="https://leetcode.com/problems/valid-palindrome" xr:uid="{00000000-0004-0000-0100-00001A000000}"/>
    <hyperlink ref="C29" r:id="rId28" display="https://leetcode.com/problems/single-number" xr:uid="{00000000-0004-0000-0100-00001B000000}"/>
    <hyperlink ref="C30" r:id="rId29" display="https://leetcode.com/problems/linked-list-cycle" xr:uid="{00000000-0004-0000-0100-00001C000000}"/>
    <hyperlink ref="C31" r:id="rId30" display="https://leetcode.com/problems/intersection-of-two-linked-lists" xr:uid="{00000000-0004-0000-0100-00001D000000}"/>
    <hyperlink ref="C32" r:id="rId31" display="https://leetcode.com/problems/excel-sheet-column-title" xr:uid="{00000000-0004-0000-0100-00001E000000}"/>
    <hyperlink ref="C33" r:id="rId32" display="https://leetcode.com/problems/majority-element" xr:uid="{00000000-0004-0000-0100-00001F000000}"/>
    <hyperlink ref="C34" r:id="rId33" display="https://leetcode.com/problems/combine-two-tables" xr:uid="{00000000-0004-0000-0100-000020000000}"/>
    <hyperlink ref="C35" r:id="rId34" display="https://leetcode.com/problems/employees-earning-more-than-their-managers" xr:uid="{00000000-0004-0000-0100-000021000000}"/>
    <hyperlink ref="C36" r:id="rId35" display="https://leetcode.com/problems/customers-who-never-order" xr:uid="{00000000-0004-0000-0100-000022000000}"/>
    <hyperlink ref="C37" r:id="rId36" display="https://leetcode.com/problems/reverse-bits" xr:uid="{00000000-0004-0000-0100-000023000000}"/>
    <hyperlink ref="C38" r:id="rId37" display="https://leetcode.com/problems/number-of-1-bits" xr:uid="{00000000-0004-0000-0100-000024000000}"/>
    <hyperlink ref="C39" r:id="rId38" display="https://leetcode.com/problems/valid-phone-numbers" xr:uid="{00000000-0004-0000-0100-000025000000}"/>
    <hyperlink ref="C40" r:id="rId39" display="https://leetcode.com/problems/delete-duplicate-emails" xr:uid="{00000000-0004-0000-0100-000026000000}"/>
    <hyperlink ref="C41" r:id="rId40" display="https://leetcode.com/problems/rising-temperature" xr:uid="{00000000-0004-0000-0100-000027000000}"/>
    <hyperlink ref="C42" r:id="rId41" display="https://leetcode.com/problems/happy-number" xr:uid="{00000000-0004-0000-0100-000028000000}"/>
    <hyperlink ref="C43" r:id="rId42" display="https://leetcode.com/problems/remove-linked-list-elements" xr:uid="{00000000-0004-0000-0100-000029000000}"/>
    <hyperlink ref="C44" r:id="rId43" display="https://leetcode.com/problems/isomorphic-strings" xr:uid="{00000000-0004-0000-0100-00002A000000}"/>
    <hyperlink ref="C45" r:id="rId44" display="https://leetcode.com/problems/reverse-linked-list" xr:uid="{00000000-0004-0000-0100-00002B000000}"/>
    <hyperlink ref="C46" r:id="rId45" display="https://leetcode.com/problems/contains-duplicate" xr:uid="{00000000-0004-0000-0100-00002C000000}"/>
    <hyperlink ref="C47" r:id="rId46" display="https://leetcode.com/problems/contains-duplicate-ii" xr:uid="{00000000-0004-0000-0100-00002D000000}"/>
    <hyperlink ref="C48" r:id="rId47" display="https://leetcode.com/problems/invert-binary-tree" xr:uid="{00000000-0004-0000-0100-00002E000000}"/>
    <hyperlink ref="C49" r:id="rId48" display="https://leetcode.com/problems/power-of-two" xr:uid="{00000000-0004-0000-0100-00002F000000}"/>
    <hyperlink ref="C50" r:id="rId49" display="https://leetcode.com/problems/implement-queue-using-stacks" xr:uid="{00000000-0004-0000-0100-000030000000}"/>
    <hyperlink ref="C51" r:id="rId50" display="https://leetcode.com/problems/palindrome-linked-list" xr:uid="{00000000-0004-0000-0100-000031000000}"/>
    <hyperlink ref="C52" r:id="rId51" display="https://leetcode.com/problems/valid-anagram" xr:uid="{00000000-0004-0000-0100-000032000000}"/>
    <hyperlink ref="C53" r:id="rId52" display="https://leetcode.com/problems/shortest-word-distance" xr:uid="{00000000-0004-0000-0100-000033000000}"/>
    <hyperlink ref="C54" r:id="rId53" display="https://leetcode.com/problems/meeting-rooms" xr:uid="{00000000-0004-0000-0100-000034000000}"/>
    <hyperlink ref="C55" r:id="rId54" display="https://leetcode.com/problems/binary-tree-paths" xr:uid="{00000000-0004-0000-0100-000035000000}"/>
    <hyperlink ref="C56" r:id="rId55" display="https://leetcode.com/problems/add-digits" xr:uid="{00000000-0004-0000-0100-000036000000}"/>
    <hyperlink ref="C57" r:id="rId56" display="https://leetcode.com/problems/missing-number" xr:uid="{00000000-0004-0000-0100-000037000000}"/>
    <hyperlink ref="C58" r:id="rId57" display="https://leetcode.com/problems/first-bad-version" xr:uid="{00000000-0004-0000-0100-000038000000}"/>
    <hyperlink ref="C59" r:id="rId58" display="https://leetcode.com/problems/move-zeroes" xr:uid="{00000000-0004-0000-0100-000039000000}"/>
    <hyperlink ref="C60" r:id="rId59" display="https://leetcode.com/problems/power-of-four" xr:uid="{00000000-0004-0000-0100-00003A000000}"/>
    <hyperlink ref="C61" r:id="rId60" display="https://leetcode.com/problems/reverse-string" xr:uid="{00000000-0004-0000-0100-00003B000000}"/>
    <hyperlink ref="C62" r:id="rId61" display="https://leetcode.com/problems/moving-average-from-data-stream" xr:uid="{00000000-0004-0000-0100-00003C000000}"/>
    <hyperlink ref="C63" r:id="rId62" display="https://leetcode.com/problems/intersection-of-two-arrays" xr:uid="{00000000-0004-0000-0100-00003D000000}"/>
    <hyperlink ref="C64" r:id="rId63" display="https://leetcode.com/problems/intersection-of-two-arrays-ii" xr:uid="{00000000-0004-0000-0100-00003E000000}"/>
    <hyperlink ref="C65" r:id="rId64" display="https://leetcode.com/problems/valid-perfect-square" xr:uid="{00000000-0004-0000-0100-00003F000000}"/>
    <hyperlink ref="C66" r:id="rId65" display="https://leetcode.com/problems/ransom-note" xr:uid="{00000000-0004-0000-0100-000040000000}"/>
    <hyperlink ref="C67" r:id="rId66" display="https://leetcode.com/problems/first-unique-character-in-a-string" xr:uid="{00000000-0004-0000-0100-000041000000}"/>
    <hyperlink ref="C68" r:id="rId67" display="https://leetcode.com/problems/is-subsequence" xr:uid="{00000000-0004-0000-0100-000042000000}"/>
    <hyperlink ref="C69" r:id="rId68" display="https://leetcode.com/problems/longest-palindrome" xr:uid="{00000000-0004-0000-0100-000043000000}"/>
    <hyperlink ref="C70" r:id="rId69" display="https://leetcode.com/problems/fizz-buzz" xr:uid="{00000000-0004-0000-0100-000044000000}"/>
    <hyperlink ref="C71" r:id="rId70" display="https://leetcode.com/problems/third-maximum-number" xr:uid="{00000000-0004-0000-0100-000045000000}"/>
    <hyperlink ref="C72" r:id="rId71" display="https://leetcode.com/problems/add-strings" xr:uid="{00000000-0004-0000-0100-000046000000}"/>
    <hyperlink ref="C73" r:id="rId72" display="https://leetcode.com/problems/arranging-coins" xr:uid="{00000000-0004-0000-0100-000047000000}"/>
    <hyperlink ref="C74" r:id="rId73" display="https://leetcode.com/problems/find-all-numbers-disappeared-in-an-array" xr:uid="{00000000-0004-0000-0100-000048000000}"/>
    <hyperlink ref="C75" r:id="rId74" display="https://leetcode.com/problems/assign-cookies" xr:uid="{00000000-0004-0000-0100-000049000000}"/>
    <hyperlink ref="C76" r:id="rId75" display="https://leetcode.com/problems/island-perimeter" xr:uid="{00000000-0004-0000-0100-00004A000000}"/>
    <hyperlink ref="C77" r:id="rId76" display="https://leetcode.com/problems/next-greater-element-i" xr:uid="{00000000-0004-0000-0100-00004B000000}"/>
    <hyperlink ref="C78" r:id="rId77" display="https://leetcode.com/problems/relative-ranks" xr:uid="{00000000-0004-0000-0100-00004C000000}"/>
    <hyperlink ref="C79" r:id="rId78" display="https://leetcode.com/problems/minimum-absolute-difference-in-bst" xr:uid="{00000000-0004-0000-0100-00004D000000}"/>
    <hyperlink ref="C80" r:id="rId79" display="https://leetcode.com/problems/diameter-of-binary-tree" xr:uid="{00000000-0004-0000-0100-00004E000000}"/>
    <hyperlink ref="C81" r:id="rId80" display="https://leetcode.com/problems/reverse-words-in-a-string-iii" xr:uid="{00000000-0004-0000-0100-00004F000000}"/>
    <hyperlink ref="C82" r:id="rId81" display="https://leetcode.com/problems/subtree-of-another-tree" xr:uid="{00000000-0004-0000-0100-000050000000}"/>
    <hyperlink ref="C83" r:id="rId82" display="https://leetcode.com/problems/find-customer-referee" xr:uid="{00000000-0004-0000-0100-000051000000}"/>
    <hyperlink ref="C84" r:id="rId83" display="https://leetcode.com/problems/big-countries" xr:uid="{00000000-0004-0000-0100-000052000000}"/>
    <hyperlink ref="C85" r:id="rId84" display="https://leetcode.com/problems/consecutive-available-seats" xr:uid="{00000000-0004-0000-0100-000053000000}"/>
    <hyperlink ref="C86" r:id="rId85" display="https://leetcode.com/problems/construct-string-from-binary-tree" xr:uid="{00000000-0004-0000-0100-000054000000}"/>
    <hyperlink ref="C87" r:id="rId86" display="https://leetcode.com/problems/maximum-product-of-three-numbers" xr:uid="{00000000-0004-0000-0100-000055000000}"/>
    <hyperlink ref="C88" r:id="rId87" display="https://leetcode.com/problems/set-mismatch" xr:uid="{00000000-0004-0000-0100-000056000000}"/>
    <hyperlink ref="C89" r:id="rId88" display="https://leetcode.com/problems/two-sum-iv-input-is-a-bst" xr:uid="{00000000-0004-0000-0100-000057000000}"/>
    <hyperlink ref="C90" r:id="rId89" display="https://leetcode.com/problems/robot-return-to-origin" xr:uid="{00000000-0004-0000-0100-000058000000}"/>
    <hyperlink ref="C91" r:id="rId90" display="https://leetcode.com/problems/valid-palindrome-ii" xr:uid="{00000000-0004-0000-0100-000059000000}"/>
    <hyperlink ref="C92" r:id="rId91" display="https://leetcode.com/problems/count-binary-substrings" xr:uid="{00000000-0004-0000-0100-00005A000000}"/>
    <hyperlink ref="C93" r:id="rId92" display="https://leetcode.com/problems/find-pivot-index" xr:uid="{00000000-0004-0000-0100-00005B000000}"/>
    <hyperlink ref="C94" r:id="rId93" display="https://leetcode.com/problems/flood-fill" xr:uid="{00000000-0004-0000-0100-00005C000000}"/>
    <hyperlink ref="C95" r:id="rId94" display="https://leetcode.com/problems/min-cost-climbing-stairs" xr:uid="{00000000-0004-0000-0100-00005D000000}"/>
    <hyperlink ref="C96" r:id="rId95" display="https://leetcode.com/problems/kth-largest-element-in-a-stream" xr:uid="{00000000-0004-0000-0100-00005E000000}"/>
    <hyperlink ref="C97" r:id="rId96" display="https://leetcode.com/problems/binary-search" xr:uid="{00000000-0004-0000-0100-00005F000000}"/>
    <hyperlink ref="C98" r:id="rId97" display="https://leetcode.com/problems/rotate-string" xr:uid="{00000000-0004-0000-0100-000060000000}"/>
    <hyperlink ref="C99" r:id="rId98" display="https://leetcode.com/problems/design-hashmap" xr:uid="{00000000-0004-0000-0100-000061000000}"/>
    <hyperlink ref="C100" r:id="rId99" display="https://leetcode.com/problems/unique-morse-code-words" xr:uid="{00000000-0004-0000-0100-000062000000}"/>
    <hyperlink ref="C101" r:id="rId100" display="https://leetcode.com/problems/most-common-word" xr:uid="{00000000-0004-0000-0100-000063000000}"/>
    <hyperlink ref="C102" r:id="rId101" display="https://leetcode.com/problems/rectangle-overlap" xr:uid="{00000000-0004-0000-0100-000064000000}"/>
    <hyperlink ref="C103" r:id="rId102" display="https://leetcode.com/problems/transpose-matrix" xr:uid="{00000000-0004-0000-0100-000065000000}"/>
    <hyperlink ref="C104" r:id="rId103" display="https://leetcode.com/problems/middle-of-the-linked-list" xr:uid="{00000000-0004-0000-0100-000066000000}"/>
    <hyperlink ref="C105" r:id="rId104" display="https://leetcode.com/problems/unique-email-addresses" xr:uid="{00000000-0004-0000-0100-000067000000}"/>
    <hyperlink ref="C106" r:id="rId105" display="https://leetcode.com/problems/valid-mountain-array" xr:uid="{00000000-0004-0000-0100-000068000000}"/>
    <hyperlink ref="C107" r:id="rId106" display="https://leetcode.com/problems/verifying-an-alien-dictionary" xr:uid="{00000000-0004-0000-0100-000069000000}"/>
    <hyperlink ref="C108" r:id="rId107" display="https://leetcode.com/problems/fibonacci-number" xr:uid="{00000000-0004-0000-0100-00006A000000}"/>
    <hyperlink ref="C109" r:id="rId108" display="https://leetcode.com/problems/squares-of-a-sorted-array" xr:uid="{00000000-0004-0000-0100-00006B000000}"/>
    <hyperlink ref="C110" r:id="rId109" display="https://leetcode.com/problems/cousins-in-binary-tree" xr:uid="{00000000-0004-0000-0100-00006C000000}"/>
    <hyperlink ref="C111" r:id="rId110" display="https://leetcode.com/problems/two-sum-less-than-k" xr:uid="{00000000-0004-0000-0100-00006D000000}"/>
    <hyperlink ref="C112" r:id="rId111" display="https://leetcode.com/problems/last-stone-weight" xr:uid="{00000000-0004-0000-0100-00006E000000}"/>
    <hyperlink ref="C113" r:id="rId112" display="https://leetcode.com/problems/remove-all-adjacent-duplicates-in-string" xr:uid="{00000000-0004-0000-0100-00006F000000}"/>
    <hyperlink ref="C114" r:id="rId113" display="https://leetcode.com/problems/replace-elements-with-greatest-element-on-right-side" xr:uid="{00000000-0004-0000-0100-000070000000}"/>
    <hyperlink ref="C115" r:id="rId114" display="https://leetcode.com/problems/number-of-days-between-two-dates" xr:uid="{00000000-0004-0000-0100-000071000000}"/>
    <hyperlink ref="C116" r:id="rId115" display="https://leetcode.com/problems/reformat-department-table" xr:uid="{00000000-0004-0000-0100-000072000000}"/>
    <hyperlink ref="C117" r:id="rId116" display="https://leetcode.com/problems/unique-number-of-occurrences" xr:uid="{00000000-0004-0000-0100-000073000000}"/>
    <hyperlink ref="C118" r:id="rId117" display="https://leetcode.com/problems/find-winner-on-a-tic-tac-toe-game" xr:uid="{00000000-0004-0000-0100-000074000000}"/>
    <hyperlink ref="C119" r:id="rId118" display="https://leetcode.com/problems/how-many-numbers-are-smaller-than-the-current-number" xr:uid="{00000000-0004-0000-0100-000075000000}"/>
    <hyperlink ref="C120" r:id="rId119" display="https://leetcode.com/problems/find-the-distance-value-between-two-arrays" xr:uid="{00000000-0004-0000-0100-000076000000}"/>
    <hyperlink ref="C121" r:id="rId120" display="https://leetcode.com/problems/string-matching-in-an-array" xr:uid="{00000000-0004-0000-0100-000077000000}"/>
    <hyperlink ref="C122" r:id="rId121" display="https://leetcode.com/problems/kids-with-the-greatest-number-of-candies" xr:uid="{00000000-0004-0000-0100-000078000000}"/>
    <hyperlink ref="C123" r:id="rId122" display="https://leetcode.com/problems/destination-city" xr:uid="{00000000-0004-0000-0100-000079000000}"/>
    <hyperlink ref="C124" r:id="rId123" display="https://leetcode.com/problems/maximum-product-of-two-elements-in-an-array" xr:uid="{00000000-0004-0000-0100-00007A000000}"/>
    <hyperlink ref="C125" r:id="rId124" display="https://leetcode.com/problems/shuffle-the-array" xr:uid="{00000000-0004-0000-0100-00007B000000}"/>
    <hyperlink ref="C126" r:id="rId125" display="https://leetcode.com/problems/running-sum-of-1d-array" xr:uid="{00000000-0004-0000-0100-00007C000000}"/>
    <hyperlink ref="C127" r:id="rId126" display="https://leetcode.com/problems/count-odd-numbers-in-an-interval-range" xr:uid="{00000000-0004-0000-0100-00007D000000}"/>
    <hyperlink ref="C128" r:id="rId127" display="https://leetcode.com/problems/number-of-good-pairs" xr:uid="{00000000-0004-0000-0100-00007E000000}"/>
    <hyperlink ref="C129" r:id="rId128" display="https://leetcode.com/problems/kth-missing-positive-number" xr:uid="{00000000-0004-0000-0100-00007F000000}"/>
    <hyperlink ref="C130" r:id="rId129" display="https://leetcode.com/problems/design-parking-system" xr:uid="{00000000-0004-0000-0100-000080000000}"/>
    <hyperlink ref="C131" r:id="rId130" display="https://leetcode.com/problems/customer-who-visited-but-did-not-make-any-transactions" xr:uid="{00000000-0004-0000-0100-000081000000}"/>
    <hyperlink ref="C132" r:id="rId131" display="https://leetcode.com/problems/richest-customer-wealth" xr:uid="{00000000-0004-0000-0100-000082000000}"/>
    <hyperlink ref="C133" r:id="rId132" display="https://leetcode.com/problems/maximum-units-on-a-truck" xr:uid="{00000000-0004-0000-0100-000083000000}"/>
    <hyperlink ref="C134" r:id="rId133" display="https://leetcode.com/problems/check-if-array-is-sorted-and-rotated" xr:uid="{00000000-0004-0000-0100-000084000000}"/>
    <hyperlink ref="C135" r:id="rId134" display="https://leetcode.com/problems/recyclable-and-low-fat-products" xr:uid="{00000000-0004-0000-0100-000085000000}"/>
    <hyperlink ref="C136" r:id="rId135" display="https://leetcode.com/problems/substrings-of-size-three-with-distinct-characters" xr:uid="{00000000-0004-0000-0100-000086000000}"/>
    <hyperlink ref="C137" r:id="rId136" display="https://leetcode.com/problems/sum-of-all-subset-xor-totals" xr:uid="{00000000-0004-0000-0100-000087000000}"/>
    <hyperlink ref="C138" r:id="rId137" display="https://leetcode.com/problems/rearrange-characters-to-make-target-string" xr:uid="{00000000-0004-0000-0100-000088000000}"/>
    <hyperlink ref="C139" r:id="rId138" display="https://leetcode.com/problems/add-two-integers" xr:uid="{00000000-0004-0000-0100-000089000000}"/>
    <hyperlink ref="C140" r:id="rId139" display="https://leetcode.com/problems/best-poker-hand" xr:uid="{00000000-0004-0000-0100-00008A000000}"/>
    <hyperlink ref="C141" r:id="rId140" display="https://leetcode.com/problems/make-array-zero-by-subtracting-equal-amounts" xr:uid="{00000000-0004-0000-0100-00008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46" customWidth="1"/>
    <col min="3" max="3" width="63.42578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f ca="1">IFERROR(__xludf.DUMMYFUNCTION("FILTER(amazon!A2:G646,amazon!F2:F646 = ""Medium"")"),2)</f>
        <v>2</v>
      </c>
      <c r="B2" s="4" t="str">
        <f ca="1">IFERROR(__xludf.DUMMYFUNCTION("""COMPUTED_VALUE"""),"Add Two Numbers")</f>
        <v>Add Two Numbers</v>
      </c>
      <c r="C2" s="8" t="str">
        <f ca="1">IFERROR(__xludf.DUMMYFUNCTION("""COMPUTED_VALUE"""),"https://leetcode.comhttps://leetcode.com/problems/add-two-numbers")</f>
        <v>https://leetcode.comhttps://leetcode.com/problems/add-two-numbers</v>
      </c>
      <c r="D2" s="3" t="str">
        <f ca="1">IFERROR(__xludf.DUMMYFUNCTION("""COMPUTED_VALUE"""),"N")</f>
        <v>N</v>
      </c>
      <c r="E2" s="6">
        <f ca="1">IFERROR(__xludf.DUMMYFUNCTION("""COMPUTED_VALUE"""),0.398)</f>
        <v>0.39800000000000002</v>
      </c>
      <c r="F2" s="3" t="str">
        <f ca="1">IFERROR(__xludf.DUMMYFUNCTION("""COMPUTED_VALUE"""),"Medium")</f>
        <v>Medium</v>
      </c>
      <c r="G2" s="3" t="str">
        <f ca="1">IFERROR(__xludf.DUMMYFUNCTION("""COMPUTED_VALUE"""),"29.1345%;")</f>
        <v>29.1345%;</v>
      </c>
    </row>
    <row r="3" spans="1:7" x14ac:dyDescent="0.2">
      <c r="A3" s="3">
        <f ca="1">IFERROR(__xludf.DUMMYFUNCTION("""COMPUTED_VALUE"""),3)</f>
        <v>3</v>
      </c>
      <c r="B3" s="4" t="str">
        <f ca="1">IFERROR(__xludf.DUMMYFUNCTION("""COMPUTED_VALUE"""),"Longest Substring Without Repeating Characters")</f>
        <v>Longest Substring Without Repeating Characters</v>
      </c>
      <c r="C3" s="8" t="str">
        <f ca="1">IFERROR(__xludf.DUMMYFUNCTION("""COMPUTED_VALUE"""),"https://leetcode.com/problems/longest-substring-without-repeating-characters")</f>
        <v>https://leetcode.com/problems/longest-substring-without-repeating-characters</v>
      </c>
      <c r="D3" s="3" t="str">
        <f ca="1">IFERROR(__xludf.DUMMYFUNCTION("""COMPUTED_VALUE"""),"N")</f>
        <v>N</v>
      </c>
      <c r="E3" s="6">
        <f ca="1">IFERROR(__xludf.DUMMYFUNCTION("""COMPUTED_VALUE"""),0.338)</f>
        <v>0.33800000000000002</v>
      </c>
      <c r="F3" s="3" t="str">
        <f ca="1">IFERROR(__xludf.DUMMYFUNCTION("""COMPUTED_VALUE"""),"Medium")</f>
        <v>Medium</v>
      </c>
      <c r="G3" s="3" t="str">
        <f ca="1">IFERROR(__xludf.DUMMYFUNCTION("""COMPUTED_VALUE"""),"35.6042%;")</f>
        <v>35.6042%;</v>
      </c>
    </row>
    <row r="4" spans="1:7" x14ac:dyDescent="0.2">
      <c r="A4" s="3">
        <f ca="1">IFERROR(__xludf.DUMMYFUNCTION("""COMPUTED_VALUE"""),5)</f>
        <v>5</v>
      </c>
      <c r="B4" s="4" t="str">
        <f ca="1">IFERROR(__xludf.DUMMYFUNCTION("""COMPUTED_VALUE"""),"Longest Palindromic Substring")</f>
        <v>Longest Palindromic Substring</v>
      </c>
      <c r="C4" s="8" t="str">
        <f ca="1">IFERROR(__xludf.DUMMYFUNCTION("""COMPUTED_VALUE"""),"https://leetcode.com/problems/longest-palindromic-substring")</f>
        <v>https://leetcode.com/problems/longest-palindromic-substring</v>
      </c>
      <c r="D4" s="3" t="str">
        <f ca="1">IFERROR(__xludf.DUMMYFUNCTION("""COMPUTED_VALUE"""),"N")</f>
        <v>N</v>
      </c>
      <c r="E4" s="6">
        <f ca="1">IFERROR(__xludf.DUMMYFUNCTION("""COMPUTED_VALUE"""),0.324)</f>
        <v>0.32400000000000001</v>
      </c>
      <c r="F4" s="3" t="str">
        <f ca="1">IFERROR(__xludf.DUMMYFUNCTION("""COMPUTED_VALUE"""),"Medium")</f>
        <v>Medium</v>
      </c>
      <c r="G4" s="3" t="str">
        <f ca="1">IFERROR(__xludf.DUMMYFUNCTION("""COMPUTED_VALUE"""),"35.2257%;")</f>
        <v>35.2257%;</v>
      </c>
    </row>
    <row r="5" spans="1:7" x14ac:dyDescent="0.2">
      <c r="A5" s="3">
        <f ca="1">IFERROR(__xludf.DUMMYFUNCTION("""COMPUTED_VALUE"""),6)</f>
        <v>6</v>
      </c>
      <c r="B5" s="4" t="str">
        <f ca="1">IFERROR(__xludf.DUMMYFUNCTION("""COMPUTED_VALUE"""),"Zigzag Conversion")</f>
        <v>Zigzag Conversion</v>
      </c>
      <c r="C5" s="8" t="str">
        <f ca="1">IFERROR(__xludf.DUMMYFUNCTION("""COMPUTED_VALUE"""),"https://leetcode.com/problems/zigzag-conversion")</f>
        <v>https://leetcode.com/problems/zigzag-conversion</v>
      </c>
      <c r="D5" s="3" t="str">
        <f ca="1">IFERROR(__xludf.DUMMYFUNCTION("""COMPUTED_VALUE"""),"N")</f>
        <v>N</v>
      </c>
      <c r="E5" s="6">
        <f ca="1">IFERROR(__xludf.DUMMYFUNCTION("""COMPUTED_VALUE"""),0.432)</f>
        <v>0.432</v>
      </c>
      <c r="F5" s="3" t="str">
        <f ca="1">IFERROR(__xludf.DUMMYFUNCTION("""COMPUTED_VALUE"""),"Medium")</f>
        <v>Medium</v>
      </c>
      <c r="G5" s="3" t="str">
        <f ca="1">IFERROR(__xludf.DUMMYFUNCTION("""COMPUTED_VALUE"""),"9.86584%;")</f>
        <v>9.86584%;</v>
      </c>
    </row>
    <row r="6" spans="1:7" x14ac:dyDescent="0.2">
      <c r="A6" s="3">
        <f ca="1">IFERROR(__xludf.DUMMYFUNCTION("""COMPUTED_VALUE"""),7)</f>
        <v>7</v>
      </c>
      <c r="B6" s="4" t="str">
        <f ca="1">IFERROR(__xludf.DUMMYFUNCTION("""COMPUTED_VALUE"""),"Reverse Integer")</f>
        <v>Reverse Integer</v>
      </c>
      <c r="C6" s="8" t="str">
        <f ca="1">IFERROR(__xludf.DUMMYFUNCTION("""COMPUTED_VALUE"""),"https://leetcode.com/problems/reverse-integer")</f>
        <v>https://leetcode.com/problems/reverse-integer</v>
      </c>
      <c r="D6" s="3" t="str">
        <f ca="1">IFERROR(__xludf.DUMMYFUNCTION("""COMPUTED_VALUE"""),"N")</f>
        <v>N</v>
      </c>
      <c r="E6" s="6">
        <f ca="1">IFERROR(__xludf.DUMMYFUNCTION("""COMPUTED_VALUE"""),0.272)</f>
        <v>0.27200000000000002</v>
      </c>
      <c r="F6" s="3" t="str">
        <f ca="1">IFERROR(__xludf.DUMMYFUNCTION("""COMPUTED_VALUE"""),"Medium")</f>
        <v>Medium</v>
      </c>
      <c r="G6" s="3" t="str">
        <f ca="1">IFERROR(__xludf.DUMMYFUNCTION("""COMPUTED_VALUE"""),"13.4903%;")</f>
        <v>13.4903%;</v>
      </c>
    </row>
    <row r="7" spans="1:7" x14ac:dyDescent="0.2">
      <c r="A7" s="3">
        <f ca="1">IFERROR(__xludf.DUMMYFUNCTION("""COMPUTED_VALUE"""),8)</f>
        <v>8</v>
      </c>
      <c r="B7" s="4" t="str">
        <f ca="1">IFERROR(__xludf.DUMMYFUNCTION("""COMPUTED_VALUE"""),"String to Integer (atoi)")</f>
        <v>String to Integer (atoi)</v>
      </c>
      <c r="C7" s="8" t="str">
        <f ca="1">IFERROR(__xludf.DUMMYFUNCTION("""COMPUTED_VALUE"""),"https://leetcode.com/problems/string-to-integer-atoi")</f>
        <v>https://leetcode.com/problems/string-to-integer-atoi</v>
      </c>
      <c r="D7" s="3" t="str">
        <f ca="1">IFERROR(__xludf.DUMMYFUNCTION("""COMPUTED_VALUE"""),"N")</f>
        <v>N</v>
      </c>
      <c r="E7" s="6">
        <f ca="1">IFERROR(__xludf.DUMMYFUNCTION("""COMPUTED_VALUE"""),0.166)</f>
        <v>0.16600000000000001</v>
      </c>
      <c r="F7" s="3" t="str">
        <f ca="1">IFERROR(__xludf.DUMMYFUNCTION("""COMPUTED_VALUE"""),"Medium")</f>
        <v>Medium</v>
      </c>
      <c r="G7" s="3" t="str">
        <f ca="1">IFERROR(__xludf.DUMMYFUNCTION("""COMPUTED_VALUE"""),"12.1446%;")</f>
        <v>12.1446%;</v>
      </c>
    </row>
    <row r="8" spans="1:7" x14ac:dyDescent="0.2">
      <c r="A8" s="3">
        <f ca="1">IFERROR(__xludf.DUMMYFUNCTION("""COMPUTED_VALUE"""),11)</f>
        <v>11</v>
      </c>
      <c r="B8" s="4" t="str">
        <f ca="1">IFERROR(__xludf.DUMMYFUNCTION("""COMPUTED_VALUE"""),"Container With Most Water")</f>
        <v>Container With Most Water</v>
      </c>
      <c r="C8" s="8" t="str">
        <f ca="1">IFERROR(__xludf.DUMMYFUNCTION("""COMPUTED_VALUE"""),"https://leetcode.com/problems/container-with-most-water")</f>
        <v>https://leetcode.com/problems/container-with-most-water</v>
      </c>
      <c r="D8" s="3" t="str">
        <f ca="1">IFERROR(__xludf.DUMMYFUNCTION("""COMPUTED_VALUE"""),"N")</f>
        <v>N</v>
      </c>
      <c r="E8" s="6">
        <f ca="1">IFERROR(__xludf.DUMMYFUNCTION("""COMPUTED_VALUE"""),0.543)</f>
        <v>0.54300000000000004</v>
      </c>
      <c r="F8" s="3" t="str">
        <f ca="1">IFERROR(__xludf.DUMMYFUNCTION("""COMPUTED_VALUE"""),"Medium")</f>
        <v>Medium</v>
      </c>
      <c r="G8" s="3" t="str">
        <f ca="1">IFERROR(__xludf.DUMMYFUNCTION("""COMPUTED_VALUE"""),"22.1736%;")</f>
        <v>22.1736%;</v>
      </c>
    </row>
    <row r="9" spans="1:7" x14ac:dyDescent="0.2">
      <c r="A9" s="3">
        <f ca="1">IFERROR(__xludf.DUMMYFUNCTION("""COMPUTED_VALUE"""),12)</f>
        <v>12</v>
      </c>
      <c r="B9" s="4" t="str">
        <f ca="1">IFERROR(__xludf.DUMMYFUNCTION("""COMPUTED_VALUE"""),"Integer to Roman")</f>
        <v>Integer to Roman</v>
      </c>
      <c r="C9" s="8" t="str">
        <f ca="1">IFERROR(__xludf.DUMMYFUNCTION("""COMPUTED_VALUE"""),"https://leetcode.com/problems/integer-to-roman")</f>
        <v>https://leetcode.com/problems/integer-to-roman</v>
      </c>
      <c r="D9" s="3" t="str">
        <f ca="1">IFERROR(__xludf.DUMMYFUNCTION("""COMPUTED_VALUE"""),"N")</f>
        <v>N</v>
      </c>
      <c r="E9" s="6">
        <f ca="1">IFERROR(__xludf.DUMMYFUNCTION("""COMPUTED_VALUE"""),0.615)</f>
        <v>0.61499999999999999</v>
      </c>
      <c r="F9" s="3" t="str">
        <f ca="1">IFERROR(__xludf.DUMMYFUNCTION("""COMPUTED_VALUE"""),"Medium")</f>
        <v>Medium</v>
      </c>
      <c r="G9" s="3" t="str">
        <f ca="1">IFERROR(__xludf.DUMMYFUNCTION("""COMPUTED_VALUE"""),"49.3056%;")</f>
        <v>49.3056%;</v>
      </c>
    </row>
    <row r="10" spans="1:7" x14ac:dyDescent="0.2">
      <c r="A10" s="3">
        <f ca="1">IFERROR(__xludf.DUMMYFUNCTION("""COMPUTED_VALUE"""),15)</f>
        <v>15</v>
      </c>
      <c r="B10" s="4" t="str">
        <f ca="1">IFERROR(__xludf.DUMMYFUNCTION("""COMPUTED_VALUE"""),"3Sum")</f>
        <v>3Sum</v>
      </c>
      <c r="C10" s="8" t="str">
        <f ca="1">IFERROR(__xludf.DUMMYFUNCTION("""COMPUTED_VALUE"""),"https://leetcode.com/problems/3sum")</f>
        <v>https://leetcode.com/problems/3sum</v>
      </c>
      <c r="D10" s="3" t="str">
        <f ca="1">IFERROR(__xludf.DUMMYFUNCTION("""COMPUTED_VALUE"""),"N")</f>
        <v>N</v>
      </c>
      <c r="E10" s="6">
        <f ca="1">IFERROR(__xludf.DUMMYFUNCTION("""COMPUTED_VALUE"""),0.323)</f>
        <v>0.32300000000000001</v>
      </c>
      <c r="F10" s="3" t="str">
        <f ca="1">IFERROR(__xludf.DUMMYFUNCTION("""COMPUTED_VALUE"""),"Medium")</f>
        <v>Medium</v>
      </c>
      <c r="G10" s="3" t="str">
        <f ca="1">IFERROR(__xludf.DUMMYFUNCTION("""COMPUTED_VALUE"""),"23.5381%;")</f>
        <v>23.5381%;</v>
      </c>
    </row>
    <row r="11" spans="1:7" x14ac:dyDescent="0.2">
      <c r="A11" s="3">
        <f ca="1">IFERROR(__xludf.DUMMYFUNCTION("""COMPUTED_VALUE"""),16)</f>
        <v>16</v>
      </c>
      <c r="B11" s="4" t="str">
        <f ca="1">IFERROR(__xludf.DUMMYFUNCTION("""COMPUTED_VALUE"""),"3Sum Closest")</f>
        <v>3Sum Closest</v>
      </c>
      <c r="C11" s="8" t="str">
        <f ca="1">IFERROR(__xludf.DUMMYFUNCTION("""COMPUTED_VALUE"""),"https://leetcode.com/problems/3sum-closest")</f>
        <v>https://leetcode.com/problems/3sum-closest</v>
      </c>
      <c r="D11" s="3" t="str">
        <f ca="1">IFERROR(__xludf.DUMMYFUNCTION("""COMPUTED_VALUE"""),"N")</f>
        <v>N</v>
      </c>
      <c r="E11" s="6">
        <f ca="1">IFERROR(__xludf.DUMMYFUNCTION("""COMPUTED_VALUE"""),0.461)</f>
        <v>0.46100000000000002</v>
      </c>
      <c r="F11" s="3" t="str">
        <f ca="1">IFERROR(__xludf.DUMMYFUNCTION("""COMPUTED_VALUE"""),"Medium")</f>
        <v>Medium</v>
      </c>
      <c r="G11" s="3" t="str">
        <f ca="1">IFERROR(__xludf.DUMMYFUNCTION("""COMPUTED_VALUE"""),"16.3659%;")</f>
        <v>16.3659%;</v>
      </c>
    </row>
    <row r="12" spans="1:7" x14ac:dyDescent="0.2">
      <c r="A12" s="3">
        <f ca="1">IFERROR(__xludf.DUMMYFUNCTION("""COMPUTED_VALUE"""),17)</f>
        <v>17</v>
      </c>
      <c r="B12" s="4" t="str">
        <f ca="1">IFERROR(__xludf.DUMMYFUNCTION("""COMPUTED_VALUE"""),"Letter Combinations of a Phone Number")</f>
        <v>Letter Combinations of a Phone Number</v>
      </c>
      <c r="C12" s="8" t="str">
        <f ca="1">IFERROR(__xludf.DUMMYFUNCTION("""COMPUTED_VALUE"""),"https://leetcode.com/problems/letter-combinations-of-a-phone-number")</f>
        <v>https://leetcode.com/problems/letter-combinations-of-a-phone-number</v>
      </c>
      <c r="D12" s="3" t="str">
        <f ca="1">IFERROR(__xludf.DUMMYFUNCTION("""COMPUTED_VALUE"""),"N")</f>
        <v>N</v>
      </c>
      <c r="E12" s="6">
        <f ca="1">IFERROR(__xludf.DUMMYFUNCTION("""COMPUTED_VALUE"""),0.557)</f>
        <v>0.55700000000000005</v>
      </c>
      <c r="F12" s="3" t="str">
        <f ca="1">IFERROR(__xludf.DUMMYFUNCTION("""COMPUTED_VALUE"""),"Medium")</f>
        <v>Medium</v>
      </c>
      <c r="G12" s="3" t="str">
        <f ca="1">IFERROR(__xludf.DUMMYFUNCTION("""COMPUTED_VALUE"""),"49.0148%;")</f>
        <v>49.0148%;</v>
      </c>
    </row>
    <row r="13" spans="1:7" x14ac:dyDescent="0.2">
      <c r="A13" s="3">
        <f ca="1">IFERROR(__xludf.DUMMYFUNCTION("""COMPUTED_VALUE"""),18)</f>
        <v>18</v>
      </c>
      <c r="B13" s="4" t="str">
        <f ca="1">IFERROR(__xludf.DUMMYFUNCTION("""COMPUTED_VALUE"""),"4Sum")</f>
        <v>4Sum</v>
      </c>
      <c r="C13" s="8" t="str">
        <f ca="1">IFERROR(__xludf.DUMMYFUNCTION("""COMPUTED_VALUE"""),"https://leetcode.com/problems/4sum")</f>
        <v>https://leetcode.com/problems/4sum</v>
      </c>
      <c r="D13" s="3" t="str">
        <f ca="1">IFERROR(__xludf.DUMMYFUNCTION("""COMPUTED_VALUE"""),"N")</f>
        <v>N</v>
      </c>
      <c r="E13" s="6">
        <f ca="1">IFERROR(__xludf.DUMMYFUNCTION("""COMPUTED_VALUE"""),0.364)</f>
        <v>0.36399999999999999</v>
      </c>
      <c r="F13" s="3" t="str">
        <f ca="1">IFERROR(__xludf.DUMMYFUNCTION("""COMPUTED_VALUE"""),"Medium")</f>
        <v>Medium</v>
      </c>
      <c r="G13" s="3" t="str">
        <f ca="1">IFERROR(__xludf.DUMMYFUNCTION("""COMPUTED_VALUE"""),"23.8879%;")</f>
        <v>23.8879%;</v>
      </c>
    </row>
    <row r="14" spans="1:7" x14ac:dyDescent="0.2">
      <c r="A14" s="3">
        <f ca="1">IFERROR(__xludf.DUMMYFUNCTION("""COMPUTED_VALUE"""),19)</f>
        <v>19</v>
      </c>
      <c r="B14" s="4" t="str">
        <f ca="1">IFERROR(__xludf.DUMMYFUNCTION("""COMPUTED_VALUE"""),"Remove Nth Node From End of List")</f>
        <v>Remove Nth Node From End of List</v>
      </c>
      <c r="C14" s="8" t="str">
        <f ca="1">IFERROR(__xludf.DUMMYFUNCTION("""COMPUTED_VALUE"""),"https://leetcode.com/problems/remove-nth-node-from-end-of-list")</f>
        <v>https://leetcode.com/problems/remove-nth-node-from-end-of-list</v>
      </c>
      <c r="D14" s="3" t="str">
        <f ca="1">IFERROR(__xludf.DUMMYFUNCTION("""COMPUTED_VALUE"""),"N")</f>
        <v>N</v>
      </c>
      <c r="E14" s="6">
        <f ca="1">IFERROR(__xludf.DUMMYFUNCTION("""COMPUTED_VALUE"""),0.4)</f>
        <v>0.4</v>
      </c>
      <c r="F14" s="3" t="str">
        <f ca="1">IFERROR(__xludf.DUMMYFUNCTION("""COMPUTED_VALUE"""),"Medium")</f>
        <v>Medium</v>
      </c>
      <c r="G14" s="3" t="str">
        <f ca="1">IFERROR(__xludf.DUMMYFUNCTION("""COMPUTED_VALUE"""),"7.89302%;")</f>
        <v>7.89302%;</v>
      </c>
    </row>
    <row r="15" spans="1:7" x14ac:dyDescent="0.2">
      <c r="A15" s="3">
        <f ca="1">IFERROR(__xludf.DUMMYFUNCTION("""COMPUTED_VALUE"""),22)</f>
        <v>22</v>
      </c>
      <c r="B15" s="4" t="str">
        <f ca="1">IFERROR(__xludf.DUMMYFUNCTION("""COMPUTED_VALUE"""),"Generate Parentheses")</f>
        <v>Generate Parentheses</v>
      </c>
      <c r="C15" s="8" t="str">
        <f ca="1">IFERROR(__xludf.DUMMYFUNCTION("""COMPUTED_VALUE"""),"https://leetcode.com/problems/generate-parentheses")</f>
        <v>https://leetcode.com/problems/generate-parentheses</v>
      </c>
      <c r="D15" s="3" t="str">
        <f ca="1">IFERROR(__xludf.DUMMYFUNCTION("""COMPUTED_VALUE"""),"N")</f>
        <v>N</v>
      </c>
      <c r="E15" s="6">
        <f ca="1">IFERROR(__xludf.DUMMYFUNCTION("""COMPUTED_VALUE"""),0.719)</f>
        <v>0.71899999999999997</v>
      </c>
      <c r="F15" s="3" t="str">
        <f ca="1">IFERROR(__xludf.DUMMYFUNCTION("""COMPUTED_VALUE"""),"Medium")</f>
        <v>Medium</v>
      </c>
      <c r="G15" s="3" t="str">
        <f ca="1">IFERROR(__xludf.DUMMYFUNCTION("""COMPUTED_VALUE"""),"32.6884%;")</f>
        <v>32.6884%;</v>
      </c>
    </row>
    <row r="16" spans="1:7" x14ac:dyDescent="0.2">
      <c r="A16" s="3">
        <f ca="1">IFERROR(__xludf.DUMMYFUNCTION("""COMPUTED_VALUE"""),24)</f>
        <v>24</v>
      </c>
      <c r="B16" s="4" t="str">
        <f ca="1">IFERROR(__xludf.DUMMYFUNCTION("""COMPUTED_VALUE"""),"Swap Nodes in Pairs")</f>
        <v>Swap Nodes in Pairs</v>
      </c>
      <c r="C16" s="8" t="str">
        <f ca="1">IFERROR(__xludf.DUMMYFUNCTION("""COMPUTED_VALUE"""),"https://leetcode.com/problems/swap-nodes-in-pairs")</f>
        <v>https://leetcode.com/problems/swap-nodes-in-pairs</v>
      </c>
      <c r="D16" s="3" t="str">
        <f ca="1">IFERROR(__xludf.DUMMYFUNCTION("""COMPUTED_VALUE"""),"N")</f>
        <v>N</v>
      </c>
      <c r="E16" s="6">
        <f ca="1">IFERROR(__xludf.DUMMYFUNCTION("""COMPUTED_VALUE"""),0.605)</f>
        <v>0.60499999999999998</v>
      </c>
      <c r="F16" s="3" t="str">
        <f ca="1">IFERROR(__xludf.DUMMYFUNCTION("""COMPUTED_VALUE"""),"Medium")</f>
        <v>Medium</v>
      </c>
      <c r="G16" s="3" t="str">
        <f ca="1">IFERROR(__xludf.DUMMYFUNCTION("""COMPUTED_VALUE"""),"4.58918%;")</f>
        <v>4.58918%;</v>
      </c>
    </row>
    <row r="17" spans="1:7" x14ac:dyDescent="0.2">
      <c r="A17" s="3">
        <f ca="1">IFERROR(__xludf.DUMMYFUNCTION("""COMPUTED_VALUE"""),28)</f>
        <v>28</v>
      </c>
      <c r="B17" s="4" t="str">
        <f ca="1">IFERROR(__xludf.DUMMYFUNCTION("""COMPUTED_VALUE"""),"Find the Index of the First Occurrence in a String")</f>
        <v>Find the Index of the First Occurrence in a String</v>
      </c>
      <c r="C17" s="8" t="str">
        <f ca="1">IFERROR(__xludf.DUMMYFUNCTION("""COMPUTED_VALUE"""),"https://leetcode.com/problems/find-the-index-of-the-first-occurrence-in-a-string")</f>
        <v>https://leetcode.com/problems/find-the-index-of-the-first-occurrence-in-a-string</v>
      </c>
      <c r="D17" s="3" t="str">
        <f ca="1">IFERROR(__xludf.DUMMYFUNCTION("""COMPUTED_VALUE"""),"N")</f>
        <v>N</v>
      </c>
      <c r="E17" s="6">
        <f ca="1">IFERROR(__xludf.DUMMYFUNCTION("""COMPUTED_VALUE"""),0.376)</f>
        <v>0.376</v>
      </c>
      <c r="F17" s="3" t="str">
        <f ca="1">IFERROR(__xludf.DUMMYFUNCTION("""COMPUTED_VALUE"""),"Medium")</f>
        <v>Medium</v>
      </c>
      <c r="G17" s="3" t="str">
        <f ca="1">IFERROR(__xludf.DUMMYFUNCTION("""COMPUTED_VALUE"""),"5.46961%;")</f>
        <v>5.46961%;</v>
      </c>
    </row>
    <row r="18" spans="1:7" x14ac:dyDescent="0.2">
      <c r="A18" s="3">
        <f ca="1">IFERROR(__xludf.DUMMYFUNCTION("""COMPUTED_VALUE"""),29)</f>
        <v>29</v>
      </c>
      <c r="B18" s="4" t="str">
        <f ca="1">IFERROR(__xludf.DUMMYFUNCTION("""COMPUTED_VALUE"""),"Divide Two Integers")</f>
        <v>Divide Two Integers</v>
      </c>
      <c r="C18" s="8" t="str">
        <f ca="1">IFERROR(__xludf.DUMMYFUNCTION("""COMPUTED_VALUE"""),"https://leetcode.com/problems/divide-two-integers")</f>
        <v>https://leetcode.com/problems/divide-two-integers</v>
      </c>
      <c r="D18" s="3" t="str">
        <f ca="1">IFERROR(__xludf.DUMMYFUNCTION("""COMPUTED_VALUE"""),"N")</f>
        <v>N</v>
      </c>
      <c r="E18" s="6">
        <f ca="1">IFERROR(__xludf.DUMMYFUNCTION("""COMPUTED_VALUE"""),0.173)</f>
        <v>0.17299999999999999</v>
      </c>
      <c r="F18" s="3" t="str">
        <f ca="1">IFERROR(__xludf.DUMMYFUNCTION("""COMPUTED_VALUE"""),"Medium")</f>
        <v>Medium</v>
      </c>
      <c r="G18" s="3" t="str">
        <f ca="1">IFERROR(__xludf.DUMMYFUNCTION("""COMPUTED_VALUE"""),"3.07981%;")</f>
        <v>3.07981%;</v>
      </c>
    </row>
    <row r="19" spans="1:7" x14ac:dyDescent="0.2">
      <c r="A19" s="3">
        <f ca="1">IFERROR(__xludf.DUMMYFUNCTION("""COMPUTED_VALUE"""),31)</f>
        <v>31</v>
      </c>
      <c r="B19" s="4" t="str">
        <f ca="1">IFERROR(__xludf.DUMMYFUNCTION("""COMPUTED_VALUE"""),"Next Permutation")</f>
        <v>Next Permutation</v>
      </c>
      <c r="C19" s="8" t="str">
        <f ca="1">IFERROR(__xludf.DUMMYFUNCTION("""COMPUTED_VALUE"""),"https://leetcode.com/problems/next-permutation")</f>
        <v>https://leetcode.com/problems/next-permutation</v>
      </c>
      <c r="D19" s="3" t="str">
        <f ca="1">IFERROR(__xludf.DUMMYFUNCTION("""COMPUTED_VALUE"""),"N")</f>
        <v>N</v>
      </c>
      <c r="E19" s="6">
        <f ca="1">IFERROR(__xludf.DUMMYFUNCTION("""COMPUTED_VALUE"""),0.372)</f>
        <v>0.372</v>
      </c>
      <c r="F19" s="3" t="str">
        <f ca="1">IFERROR(__xludf.DUMMYFUNCTION("""COMPUTED_VALUE"""),"Medium")</f>
        <v>Medium</v>
      </c>
      <c r="G19" s="3" t="str">
        <f ca="1">IFERROR(__xludf.DUMMYFUNCTION("""COMPUTED_VALUE"""),"27.6129%;")</f>
        <v>27.6129%;</v>
      </c>
    </row>
    <row r="20" spans="1:7" x14ac:dyDescent="0.2">
      <c r="A20" s="3">
        <f ca="1">IFERROR(__xludf.DUMMYFUNCTION("""COMPUTED_VALUE"""),33)</f>
        <v>33</v>
      </c>
      <c r="B20" s="4" t="str">
        <f ca="1">IFERROR(__xludf.DUMMYFUNCTION("""COMPUTED_VALUE"""),"Search in Rotated Sorted Array")</f>
        <v>Search in Rotated Sorted Array</v>
      </c>
      <c r="C20" s="8" t="str">
        <f ca="1">IFERROR(__xludf.DUMMYFUNCTION("""COMPUTED_VALUE"""),"https://leetcode.com/problems/search-in-rotated-sorted-array")</f>
        <v>https://leetcode.com/problems/search-in-rotated-sorted-array</v>
      </c>
      <c r="D20" s="3" t="str">
        <f ca="1">IFERROR(__xludf.DUMMYFUNCTION("""COMPUTED_VALUE"""),"N")</f>
        <v>N</v>
      </c>
      <c r="E20" s="6">
        <f ca="1">IFERROR(__xludf.DUMMYFUNCTION("""COMPUTED_VALUE"""),0.387)</f>
        <v>0.38700000000000001</v>
      </c>
      <c r="F20" s="3" t="str">
        <f ca="1">IFERROR(__xludf.DUMMYFUNCTION("""COMPUTED_VALUE"""),"Medium")</f>
        <v>Medium</v>
      </c>
      <c r="G20" s="3" t="str">
        <f ca="1">IFERROR(__xludf.DUMMYFUNCTION("""COMPUTED_VALUE"""),"23.6618%;")</f>
        <v>23.6618%;</v>
      </c>
    </row>
    <row r="21" spans="1:7" x14ac:dyDescent="0.2">
      <c r="A21" s="3">
        <f ca="1">IFERROR(__xludf.DUMMYFUNCTION("""COMPUTED_VALUE"""),34)</f>
        <v>34</v>
      </c>
      <c r="B21" s="4" t="str">
        <f ca="1">IFERROR(__xludf.DUMMYFUNCTION("""COMPUTED_VALUE"""),"Find First and Last Position of Element in Sorted Array")</f>
        <v>Find First and Last Position of Element in Sorted Array</v>
      </c>
      <c r="C21" s="8" t="str">
        <f ca="1">IFERROR(__xludf.DUMMYFUNCTION("""COMPUTED_VALUE"""),"https://leetcode.com/problems/find-first-and-last-position-of-element-in-sorted-array")</f>
        <v>https://leetcode.com/problems/find-first-and-last-position-of-element-in-sorted-array</v>
      </c>
      <c r="D21" s="3" t="str">
        <f ca="1">IFERROR(__xludf.DUMMYFUNCTION("""COMPUTED_VALUE"""),"N")</f>
        <v>N</v>
      </c>
      <c r="E21" s="6">
        <f ca="1">IFERROR(__xludf.DUMMYFUNCTION("""COMPUTED_VALUE"""),0.416)</f>
        <v>0.41599999999999998</v>
      </c>
      <c r="F21" s="3" t="str">
        <f ca="1">IFERROR(__xludf.DUMMYFUNCTION("""COMPUTED_VALUE"""),"Medium")</f>
        <v>Medium</v>
      </c>
      <c r="G21" s="3" t="str">
        <f ca="1">IFERROR(__xludf.DUMMYFUNCTION("""COMPUTED_VALUE"""),"23.5802%;")</f>
        <v>23.5802%;</v>
      </c>
    </row>
    <row r="22" spans="1:7" x14ac:dyDescent="0.2">
      <c r="A22" s="3">
        <f ca="1">IFERROR(__xludf.DUMMYFUNCTION("""COMPUTED_VALUE"""),36)</f>
        <v>36</v>
      </c>
      <c r="B22" s="4" t="str">
        <f ca="1">IFERROR(__xludf.DUMMYFUNCTION("""COMPUTED_VALUE"""),"Valid Sudoku")</f>
        <v>Valid Sudoku</v>
      </c>
      <c r="C22" s="8" t="str">
        <f ca="1">IFERROR(__xludf.DUMMYFUNCTION("""COMPUTED_VALUE"""),"https://leetcode.com/problems/valid-sudoku")</f>
        <v>https://leetcode.com/problems/valid-sudoku</v>
      </c>
      <c r="D22" s="3" t="str">
        <f ca="1">IFERROR(__xludf.DUMMYFUNCTION("""COMPUTED_VALUE"""),"N")</f>
        <v>N</v>
      </c>
      <c r="E22" s="6">
        <f ca="1">IFERROR(__xludf.DUMMYFUNCTION("""COMPUTED_VALUE"""),0.569)</f>
        <v>0.56899999999999995</v>
      </c>
      <c r="F22" s="3" t="str">
        <f ca="1">IFERROR(__xludf.DUMMYFUNCTION("""COMPUTED_VALUE"""),"Medium")</f>
        <v>Medium</v>
      </c>
      <c r="G22" s="3" t="str">
        <f ca="1">IFERROR(__xludf.DUMMYFUNCTION("""COMPUTED_VALUE"""),"32.0787%;")</f>
        <v>32.0787%;</v>
      </c>
    </row>
    <row r="23" spans="1:7" x14ac:dyDescent="0.2">
      <c r="A23" s="3">
        <f ca="1">IFERROR(__xludf.DUMMYFUNCTION("""COMPUTED_VALUE"""),38)</f>
        <v>38</v>
      </c>
      <c r="B23" s="4" t="str">
        <f ca="1">IFERROR(__xludf.DUMMYFUNCTION("""COMPUTED_VALUE"""),"Count and Say")</f>
        <v>Count and Say</v>
      </c>
      <c r="C23" s="8" t="str">
        <f ca="1">IFERROR(__xludf.DUMMYFUNCTION("""COMPUTED_VALUE"""),"https://leetcode.com/problems/count-and-say")</f>
        <v>https://leetcode.com/problems/count-and-say</v>
      </c>
      <c r="D23" s="3" t="str">
        <f ca="1">IFERROR(__xludf.DUMMYFUNCTION("""COMPUTED_VALUE"""),"N")</f>
        <v>N</v>
      </c>
      <c r="E23" s="6">
        <f ca="1">IFERROR(__xludf.DUMMYFUNCTION("""COMPUTED_VALUE"""),0.513)</f>
        <v>0.51300000000000001</v>
      </c>
      <c r="F23" s="3" t="str">
        <f ca="1">IFERROR(__xludf.DUMMYFUNCTION("""COMPUTED_VALUE"""),"Medium")</f>
        <v>Medium</v>
      </c>
      <c r="G23" s="3" t="str">
        <f ca="1">IFERROR(__xludf.DUMMYFUNCTION("""COMPUTED_VALUE"""),"16.6455%;")</f>
        <v>16.6455%;</v>
      </c>
    </row>
    <row r="24" spans="1:7" x14ac:dyDescent="0.2">
      <c r="A24" s="3">
        <f ca="1">IFERROR(__xludf.DUMMYFUNCTION("""COMPUTED_VALUE"""),39)</f>
        <v>39</v>
      </c>
      <c r="B24" s="4" t="str">
        <f ca="1">IFERROR(__xludf.DUMMYFUNCTION("""COMPUTED_VALUE"""),"Combination Sum")</f>
        <v>Combination Sum</v>
      </c>
      <c r="C24" s="8" t="str">
        <f ca="1">IFERROR(__xludf.DUMMYFUNCTION("""COMPUTED_VALUE"""),"https://leetcode.com/problems/combination-sum")</f>
        <v>https://leetcode.com/problems/combination-sum</v>
      </c>
      <c r="D24" s="3" t="str">
        <f ca="1">IFERROR(__xludf.DUMMYFUNCTION("""COMPUTED_VALUE"""),"N")</f>
        <v>N</v>
      </c>
      <c r="E24" s="6">
        <f ca="1">IFERROR(__xludf.DUMMYFUNCTION("""COMPUTED_VALUE"""),0.678)</f>
        <v>0.67800000000000005</v>
      </c>
      <c r="F24" s="3" t="str">
        <f ca="1">IFERROR(__xludf.DUMMYFUNCTION("""COMPUTED_VALUE"""),"Medium")</f>
        <v>Medium</v>
      </c>
      <c r="G24" s="3" t="str">
        <f ca="1">IFERROR(__xludf.DUMMYFUNCTION("""COMPUTED_VALUE"""),"11.805%;")</f>
        <v>11.805%;</v>
      </c>
    </row>
    <row r="25" spans="1:7" x14ac:dyDescent="0.2">
      <c r="A25" s="3">
        <f ca="1">IFERROR(__xludf.DUMMYFUNCTION("""COMPUTED_VALUE"""),40)</f>
        <v>40</v>
      </c>
      <c r="B25" s="4" t="str">
        <f ca="1">IFERROR(__xludf.DUMMYFUNCTION("""COMPUTED_VALUE"""),"Combination Sum II")</f>
        <v>Combination Sum II</v>
      </c>
      <c r="C25" s="8" t="str">
        <f ca="1">IFERROR(__xludf.DUMMYFUNCTION("""COMPUTED_VALUE"""),"https://leetcode.com/problems/combination-sum-ii")</f>
        <v>https://leetcode.com/problems/combination-sum-ii</v>
      </c>
      <c r="D25" s="3" t="str">
        <f ca="1">IFERROR(__xludf.DUMMYFUNCTION("""COMPUTED_VALUE"""),"N")</f>
        <v>N</v>
      </c>
      <c r="E25" s="6">
        <f ca="1">IFERROR(__xludf.DUMMYFUNCTION("""COMPUTED_VALUE"""),0.533)</f>
        <v>0.53300000000000003</v>
      </c>
      <c r="F25" s="3" t="str">
        <f ca="1">IFERROR(__xludf.DUMMYFUNCTION("""COMPUTED_VALUE"""),"Medium")</f>
        <v>Medium</v>
      </c>
      <c r="G25" s="3" t="str">
        <f ca="1">IFERROR(__xludf.DUMMYFUNCTION("""COMPUTED_VALUE"""),"4.62977%;")</f>
        <v>4.62977%;</v>
      </c>
    </row>
    <row r="26" spans="1:7" x14ac:dyDescent="0.2">
      <c r="A26" s="3">
        <f ca="1">IFERROR(__xludf.DUMMYFUNCTION("""COMPUTED_VALUE"""),43)</f>
        <v>43</v>
      </c>
      <c r="B26" s="4" t="str">
        <f ca="1">IFERROR(__xludf.DUMMYFUNCTION("""COMPUTED_VALUE"""),"Multiply Strings")</f>
        <v>Multiply Strings</v>
      </c>
      <c r="C26" s="8" t="str">
        <f ca="1">IFERROR(__xludf.DUMMYFUNCTION("""COMPUTED_VALUE"""),"https://leetcode.com/problems/multiply-strings")</f>
        <v>https://leetcode.com/problems/multiply-strings</v>
      </c>
      <c r="D26" s="3" t="str">
        <f ca="1">IFERROR(__xludf.DUMMYFUNCTION("""COMPUTED_VALUE"""),"N")</f>
        <v>N</v>
      </c>
      <c r="E26" s="6">
        <f ca="1">IFERROR(__xludf.DUMMYFUNCTION("""COMPUTED_VALUE"""),0.388)</f>
        <v>0.38800000000000001</v>
      </c>
      <c r="F26" s="3" t="str">
        <f ca="1">IFERROR(__xludf.DUMMYFUNCTION("""COMPUTED_VALUE"""),"Medium")</f>
        <v>Medium</v>
      </c>
      <c r="G26" s="3" t="str">
        <f ca="1">IFERROR(__xludf.DUMMYFUNCTION("""COMPUTED_VALUE"""),"1.18442%;")</f>
        <v>1.18442%;</v>
      </c>
    </row>
    <row r="27" spans="1:7" x14ac:dyDescent="0.2">
      <c r="A27" s="3">
        <f ca="1">IFERROR(__xludf.DUMMYFUNCTION("""COMPUTED_VALUE"""),45)</f>
        <v>45</v>
      </c>
      <c r="B27" s="4" t="str">
        <f ca="1">IFERROR(__xludf.DUMMYFUNCTION("""COMPUTED_VALUE"""),"Jump Game II")</f>
        <v>Jump Game II</v>
      </c>
      <c r="C27" s="8" t="str">
        <f ca="1">IFERROR(__xludf.DUMMYFUNCTION("""COMPUTED_VALUE"""),"https://leetcode.com/problems/jump-game-ii")</f>
        <v>https://leetcode.com/problems/jump-game-ii</v>
      </c>
      <c r="D27" s="3" t="str">
        <f ca="1">IFERROR(__xludf.DUMMYFUNCTION("""COMPUTED_VALUE"""),"N")</f>
        <v>N</v>
      </c>
      <c r="E27" s="6">
        <f ca="1">IFERROR(__xludf.DUMMYFUNCTION("""COMPUTED_VALUE"""),0.386)</f>
        <v>0.38600000000000001</v>
      </c>
      <c r="F27" s="3" t="str">
        <f ca="1">IFERROR(__xludf.DUMMYFUNCTION("""COMPUTED_VALUE"""),"Medium")</f>
        <v>Medium</v>
      </c>
      <c r="G27" s="3" t="str">
        <f ca="1">IFERROR(__xludf.DUMMYFUNCTION("""COMPUTED_VALUE"""),"20.6912%;")</f>
        <v>20.6912%;</v>
      </c>
    </row>
    <row r="28" spans="1:7" x14ac:dyDescent="0.2">
      <c r="A28" s="3">
        <f ca="1">IFERROR(__xludf.DUMMYFUNCTION("""COMPUTED_VALUE"""),46)</f>
        <v>46</v>
      </c>
      <c r="B28" s="4" t="str">
        <f ca="1">IFERROR(__xludf.DUMMYFUNCTION("""COMPUTED_VALUE"""),"Permutations")</f>
        <v>Permutations</v>
      </c>
      <c r="C28" s="8" t="str">
        <f ca="1">IFERROR(__xludf.DUMMYFUNCTION("""COMPUTED_VALUE"""),"https://leetcode.com/problems/permutations")</f>
        <v>https://leetcode.com/problems/permutations</v>
      </c>
      <c r="D28" s="3" t="str">
        <f ca="1">IFERROR(__xludf.DUMMYFUNCTION("""COMPUTED_VALUE"""),"N")</f>
        <v>N</v>
      </c>
      <c r="E28" s="6">
        <f ca="1">IFERROR(__xludf.DUMMYFUNCTION("""COMPUTED_VALUE"""),0.749)</f>
        <v>0.749</v>
      </c>
      <c r="F28" s="3" t="str">
        <f ca="1">IFERROR(__xludf.DUMMYFUNCTION("""COMPUTED_VALUE"""),"Medium")</f>
        <v>Medium</v>
      </c>
      <c r="G28" s="3" t="str">
        <f ca="1">IFERROR(__xludf.DUMMYFUNCTION("""COMPUTED_VALUE"""),"22.0367%;")</f>
        <v>22.0367%;</v>
      </c>
    </row>
    <row r="29" spans="1:7" x14ac:dyDescent="0.2">
      <c r="A29" s="3">
        <f ca="1">IFERROR(__xludf.DUMMYFUNCTION("""COMPUTED_VALUE"""),47)</f>
        <v>47</v>
      </c>
      <c r="B29" s="4" t="str">
        <f ca="1">IFERROR(__xludf.DUMMYFUNCTION("""COMPUTED_VALUE"""),"Permutations II")</f>
        <v>Permutations II</v>
      </c>
      <c r="C29" s="8" t="str">
        <f ca="1">IFERROR(__xludf.DUMMYFUNCTION("""COMPUTED_VALUE"""),"https://leetcode.com/problems/permutations-ii")</f>
        <v>https://leetcode.com/problems/permutations-ii</v>
      </c>
      <c r="D29" s="3" t="str">
        <f ca="1">IFERROR(__xludf.DUMMYFUNCTION("""COMPUTED_VALUE"""),"N")</f>
        <v>N</v>
      </c>
      <c r="E29" s="6">
        <f ca="1">IFERROR(__xludf.DUMMYFUNCTION("""COMPUTED_VALUE"""),0.568)</f>
        <v>0.56799999999999995</v>
      </c>
      <c r="F29" s="3" t="str">
        <f ca="1">IFERROR(__xludf.DUMMYFUNCTION("""COMPUTED_VALUE"""),"Medium")</f>
        <v>Medium</v>
      </c>
      <c r="G29" s="3" t="str">
        <f ca="1">IFERROR(__xludf.DUMMYFUNCTION("""COMPUTED_VALUE"""),"1.8021%;")</f>
        <v>1.8021%;</v>
      </c>
    </row>
    <row r="30" spans="1:7" x14ac:dyDescent="0.2">
      <c r="A30" s="3">
        <f ca="1">IFERROR(__xludf.DUMMYFUNCTION("""COMPUTED_VALUE"""),48)</f>
        <v>48</v>
      </c>
      <c r="B30" s="4" t="str">
        <f ca="1">IFERROR(__xludf.DUMMYFUNCTION("""COMPUTED_VALUE"""),"Rotate Image")</f>
        <v>Rotate Image</v>
      </c>
      <c r="C30" s="8" t="str">
        <f ca="1">IFERROR(__xludf.DUMMYFUNCTION("""COMPUTED_VALUE"""),"https://leetcode.com/problems/rotate-image")</f>
        <v>https://leetcode.com/problems/rotate-image</v>
      </c>
      <c r="D30" s="3" t="str">
        <f ca="1">IFERROR(__xludf.DUMMYFUNCTION("""COMPUTED_VALUE"""),"N")</f>
        <v>N</v>
      </c>
      <c r="E30" s="6">
        <f ca="1">IFERROR(__xludf.DUMMYFUNCTION("""COMPUTED_VALUE"""),0.701)</f>
        <v>0.70099999999999996</v>
      </c>
      <c r="F30" s="3" t="str">
        <f ca="1">IFERROR(__xludf.DUMMYFUNCTION("""COMPUTED_VALUE"""),"Medium")</f>
        <v>Medium</v>
      </c>
      <c r="G30" s="3" t="str">
        <f ca="1">IFERROR(__xludf.DUMMYFUNCTION("""COMPUTED_VALUE"""),"21.5744%;")</f>
        <v>21.5744%;</v>
      </c>
    </row>
    <row r="31" spans="1:7" x14ac:dyDescent="0.2">
      <c r="A31" s="3">
        <f ca="1">IFERROR(__xludf.DUMMYFUNCTION("""COMPUTED_VALUE"""),49)</f>
        <v>49</v>
      </c>
      <c r="B31" s="4" t="str">
        <f ca="1">IFERROR(__xludf.DUMMYFUNCTION("""COMPUTED_VALUE"""),"Group Anagrams")</f>
        <v>Group Anagrams</v>
      </c>
      <c r="C31" s="8" t="str">
        <f ca="1">IFERROR(__xludf.DUMMYFUNCTION("""COMPUTED_VALUE"""),"https://leetcode.com/problems/group-anagrams")</f>
        <v>https://leetcode.com/problems/group-anagrams</v>
      </c>
      <c r="D31" s="3" t="str">
        <f ca="1">IFERROR(__xludf.DUMMYFUNCTION("""COMPUTED_VALUE"""),"N")</f>
        <v>N</v>
      </c>
      <c r="E31" s="6">
        <f ca="1">IFERROR(__xludf.DUMMYFUNCTION("""COMPUTED_VALUE"""),0.665)</f>
        <v>0.66500000000000004</v>
      </c>
      <c r="F31" s="3" t="str">
        <f ca="1">IFERROR(__xludf.DUMMYFUNCTION("""COMPUTED_VALUE"""),"Medium")</f>
        <v>Medium</v>
      </c>
      <c r="G31" s="3" t="str">
        <f ca="1">IFERROR(__xludf.DUMMYFUNCTION("""COMPUTED_VALUE"""),"53.9385%;")</f>
        <v>53.9385%;</v>
      </c>
    </row>
    <row r="32" spans="1:7" x14ac:dyDescent="0.2">
      <c r="A32" s="3">
        <f ca="1">IFERROR(__xludf.DUMMYFUNCTION("""COMPUTED_VALUE"""),50)</f>
        <v>50</v>
      </c>
      <c r="B32" s="4" t="str">
        <f ca="1">IFERROR(__xludf.DUMMYFUNCTION("""COMPUTED_VALUE"""),"Pow(x, n)")</f>
        <v>Pow(x, n)</v>
      </c>
      <c r="C32" s="8" t="str">
        <f ca="1">IFERROR(__xludf.DUMMYFUNCTION("""COMPUTED_VALUE"""),"https://leetcode.com/problems/powx-n")</f>
        <v>https://leetcode.com/problems/powx-n</v>
      </c>
      <c r="D32" s="3" t="str">
        <f ca="1">IFERROR(__xludf.DUMMYFUNCTION("""COMPUTED_VALUE"""),"N")</f>
        <v>N</v>
      </c>
      <c r="E32" s="6">
        <f ca="1">IFERROR(__xludf.DUMMYFUNCTION("""COMPUTED_VALUE"""),0.328)</f>
        <v>0.32800000000000001</v>
      </c>
      <c r="F32" s="3" t="str">
        <f ca="1">IFERROR(__xludf.DUMMYFUNCTION("""COMPUTED_VALUE"""),"Medium")</f>
        <v>Medium</v>
      </c>
      <c r="G32" s="3" t="str">
        <f ca="1">IFERROR(__xludf.DUMMYFUNCTION("""COMPUTED_VALUE"""),"9.84183%;")</f>
        <v>9.84183%;</v>
      </c>
    </row>
    <row r="33" spans="1:7" x14ac:dyDescent="0.2">
      <c r="A33" s="3">
        <f ca="1">IFERROR(__xludf.DUMMYFUNCTION("""COMPUTED_VALUE"""),53)</f>
        <v>53</v>
      </c>
      <c r="B33" s="4" t="str">
        <f ca="1">IFERROR(__xludf.DUMMYFUNCTION("""COMPUTED_VALUE"""),"Maximum Subarray")</f>
        <v>Maximum Subarray</v>
      </c>
      <c r="C33" s="8" t="str">
        <f ca="1">IFERROR(__xludf.DUMMYFUNCTION("""COMPUTED_VALUE"""),"https://leetcode.com/problems/maximum-subarray")</f>
        <v>https://leetcode.com/problems/maximum-subarray</v>
      </c>
      <c r="D33" s="3" t="str">
        <f ca="1">IFERROR(__xludf.DUMMYFUNCTION("""COMPUTED_VALUE"""),"N")</f>
        <v>N</v>
      </c>
      <c r="E33" s="6">
        <f ca="1">IFERROR(__xludf.DUMMYFUNCTION("""COMPUTED_VALUE"""),0.501)</f>
        <v>0.501</v>
      </c>
      <c r="F33" s="3" t="str">
        <f ca="1">IFERROR(__xludf.DUMMYFUNCTION("""COMPUTED_VALUE"""),"Medium")</f>
        <v>Medium</v>
      </c>
      <c r="G33" s="3" t="str">
        <f ca="1">IFERROR(__xludf.DUMMYFUNCTION("""COMPUTED_VALUE"""),"38.7427%;")</f>
        <v>38.7427%;</v>
      </c>
    </row>
    <row r="34" spans="1:7" x14ac:dyDescent="0.2">
      <c r="A34" s="3">
        <f ca="1">IFERROR(__xludf.DUMMYFUNCTION("""COMPUTED_VALUE"""),54)</f>
        <v>54</v>
      </c>
      <c r="B34" s="4" t="str">
        <f ca="1">IFERROR(__xludf.DUMMYFUNCTION("""COMPUTED_VALUE"""),"Spiral Matrix")</f>
        <v>Spiral Matrix</v>
      </c>
      <c r="C34" s="8" t="str">
        <f ca="1">IFERROR(__xludf.DUMMYFUNCTION("""COMPUTED_VALUE"""),"https://leetcode.com/problems/spiral-matrix")</f>
        <v>https://leetcode.com/problems/spiral-matrix</v>
      </c>
      <c r="D34" s="3" t="str">
        <f ca="1">IFERROR(__xludf.DUMMYFUNCTION("""COMPUTED_VALUE"""),"N")</f>
        <v>N</v>
      </c>
      <c r="E34" s="6">
        <f ca="1">IFERROR(__xludf.DUMMYFUNCTION("""COMPUTED_VALUE"""),0.438)</f>
        <v>0.438</v>
      </c>
      <c r="F34" s="3" t="str">
        <f ca="1">IFERROR(__xludf.DUMMYFUNCTION("""COMPUTED_VALUE"""),"Medium")</f>
        <v>Medium</v>
      </c>
      <c r="G34" s="3" t="str">
        <f ca="1">IFERROR(__xludf.DUMMYFUNCTION("""COMPUTED_VALUE"""),"14.6616%;")</f>
        <v>14.6616%;</v>
      </c>
    </row>
    <row r="35" spans="1:7" x14ac:dyDescent="0.2">
      <c r="A35" s="3">
        <f ca="1">IFERROR(__xludf.DUMMYFUNCTION("""COMPUTED_VALUE"""),55)</f>
        <v>55</v>
      </c>
      <c r="B35" s="4" t="str">
        <f ca="1">IFERROR(__xludf.DUMMYFUNCTION("""COMPUTED_VALUE"""),"Jump Game")</f>
        <v>Jump Game</v>
      </c>
      <c r="C35" s="8" t="str">
        <f ca="1">IFERROR(__xludf.DUMMYFUNCTION("""COMPUTED_VALUE"""),"https://leetcode.com/problems/jump-game")</f>
        <v>https://leetcode.com/problems/jump-game</v>
      </c>
      <c r="D35" s="3" t="str">
        <f ca="1">IFERROR(__xludf.DUMMYFUNCTION("""COMPUTED_VALUE"""),"N")</f>
        <v>N</v>
      </c>
      <c r="E35" s="6">
        <f ca="1">IFERROR(__xludf.DUMMYFUNCTION("""COMPUTED_VALUE"""),0.385)</f>
        <v>0.38500000000000001</v>
      </c>
      <c r="F35" s="3" t="str">
        <f ca="1">IFERROR(__xludf.DUMMYFUNCTION("""COMPUTED_VALUE"""),"Medium")</f>
        <v>Medium</v>
      </c>
      <c r="G35" s="3" t="str">
        <f ca="1">IFERROR(__xludf.DUMMYFUNCTION("""COMPUTED_VALUE"""),"31.4782%;")</f>
        <v>31.4782%;</v>
      </c>
    </row>
    <row r="36" spans="1:7" x14ac:dyDescent="0.2">
      <c r="A36" s="3">
        <f ca="1">IFERROR(__xludf.DUMMYFUNCTION("""COMPUTED_VALUE"""),56)</f>
        <v>56</v>
      </c>
      <c r="B36" s="4" t="str">
        <f ca="1">IFERROR(__xludf.DUMMYFUNCTION("""COMPUTED_VALUE"""),"Merge Intervals")</f>
        <v>Merge Intervals</v>
      </c>
      <c r="C36" s="8" t="str">
        <f ca="1">IFERROR(__xludf.DUMMYFUNCTION("""COMPUTED_VALUE"""),"https://leetcode.com/problems/merge-intervals")</f>
        <v>https://leetcode.com/problems/merge-intervals</v>
      </c>
      <c r="D36" s="3" t="str">
        <f ca="1">IFERROR(__xludf.DUMMYFUNCTION("""COMPUTED_VALUE"""),"N")</f>
        <v>N</v>
      </c>
      <c r="E36" s="6">
        <f ca="1">IFERROR(__xludf.DUMMYFUNCTION("""COMPUTED_VALUE"""),0.46)</f>
        <v>0.46</v>
      </c>
      <c r="F36" s="3" t="str">
        <f ca="1">IFERROR(__xludf.DUMMYFUNCTION("""COMPUTED_VALUE"""),"Medium")</f>
        <v>Medium</v>
      </c>
      <c r="G36" s="3" t="str">
        <f ca="1">IFERROR(__xludf.DUMMYFUNCTION("""COMPUTED_VALUE"""),"41.4706%;")</f>
        <v>41.4706%;</v>
      </c>
    </row>
    <row r="37" spans="1:7" x14ac:dyDescent="0.2">
      <c r="A37" s="3">
        <f ca="1">IFERROR(__xludf.DUMMYFUNCTION("""COMPUTED_VALUE"""),57)</f>
        <v>57</v>
      </c>
      <c r="B37" s="4" t="str">
        <f ca="1">IFERROR(__xludf.DUMMYFUNCTION("""COMPUTED_VALUE"""),"Insert Interval")</f>
        <v>Insert Interval</v>
      </c>
      <c r="C37" s="8" t="str">
        <f ca="1">IFERROR(__xludf.DUMMYFUNCTION("""COMPUTED_VALUE"""),"https://leetcode.com/problems/insert-interval")</f>
        <v>https://leetcode.com/problems/insert-interval</v>
      </c>
      <c r="D37" s="3" t="str">
        <f ca="1">IFERROR(__xludf.DUMMYFUNCTION("""COMPUTED_VALUE"""),"N")</f>
        <v>N</v>
      </c>
      <c r="E37" s="6">
        <f ca="1">IFERROR(__xludf.DUMMYFUNCTION("""COMPUTED_VALUE"""),0.38)</f>
        <v>0.38</v>
      </c>
      <c r="F37" s="3" t="str">
        <f ca="1">IFERROR(__xludf.DUMMYFUNCTION("""COMPUTED_VALUE"""),"Medium")</f>
        <v>Medium</v>
      </c>
      <c r="G37" s="3" t="str">
        <f ca="1">IFERROR(__xludf.DUMMYFUNCTION("""COMPUTED_VALUE"""),"2.36219%;")</f>
        <v>2.36219%;</v>
      </c>
    </row>
    <row r="38" spans="1:7" x14ac:dyDescent="0.2">
      <c r="A38" s="3">
        <f ca="1">IFERROR(__xludf.DUMMYFUNCTION("""COMPUTED_VALUE"""),59)</f>
        <v>59</v>
      </c>
      <c r="B38" s="4" t="str">
        <f ca="1">IFERROR(__xludf.DUMMYFUNCTION("""COMPUTED_VALUE"""),"Spiral Matrix II")</f>
        <v>Spiral Matrix II</v>
      </c>
      <c r="C38" s="8" t="str">
        <f ca="1">IFERROR(__xludf.DUMMYFUNCTION("""COMPUTED_VALUE"""),"https://leetcode.com/problems/spiral-matrix-ii")</f>
        <v>https://leetcode.com/problems/spiral-matrix-ii</v>
      </c>
      <c r="D38" s="3" t="str">
        <f ca="1">IFERROR(__xludf.DUMMYFUNCTION("""COMPUTED_VALUE"""),"N")</f>
        <v>N</v>
      </c>
      <c r="E38" s="6">
        <f ca="1">IFERROR(__xludf.DUMMYFUNCTION("""COMPUTED_VALUE"""),0.667)</f>
        <v>0.66700000000000004</v>
      </c>
      <c r="F38" s="3" t="str">
        <f ca="1">IFERROR(__xludf.DUMMYFUNCTION("""COMPUTED_VALUE"""),"Medium")</f>
        <v>Medium</v>
      </c>
      <c r="G38" s="3" t="str">
        <f ca="1">IFERROR(__xludf.DUMMYFUNCTION("""COMPUTED_VALUE"""),"18.7633%;")</f>
        <v>18.7633%;</v>
      </c>
    </row>
    <row r="39" spans="1:7" x14ac:dyDescent="0.2">
      <c r="A39" s="3">
        <f ca="1">IFERROR(__xludf.DUMMYFUNCTION("""COMPUTED_VALUE"""),61)</f>
        <v>61</v>
      </c>
      <c r="B39" s="4" t="str">
        <f ca="1">IFERROR(__xludf.DUMMYFUNCTION("""COMPUTED_VALUE"""),"Rotate List")</f>
        <v>Rotate List</v>
      </c>
      <c r="C39" s="8" t="str">
        <f ca="1">IFERROR(__xludf.DUMMYFUNCTION("""COMPUTED_VALUE"""),"https://leetcode.com/problems/rotate-list")</f>
        <v>https://leetcode.com/problems/rotate-list</v>
      </c>
      <c r="D39" s="3" t="str">
        <f ca="1">IFERROR(__xludf.DUMMYFUNCTION("""COMPUTED_VALUE"""),"N")</f>
        <v>N</v>
      </c>
      <c r="E39" s="6">
        <f ca="1">IFERROR(__xludf.DUMMYFUNCTION("""COMPUTED_VALUE"""),0.358)</f>
        <v>0.35799999999999998</v>
      </c>
      <c r="F39" s="3" t="str">
        <f ca="1">IFERROR(__xludf.DUMMYFUNCTION("""COMPUTED_VALUE"""),"Medium")</f>
        <v>Medium</v>
      </c>
      <c r="G39" s="3" t="str">
        <f ca="1">IFERROR(__xludf.DUMMYFUNCTION("""COMPUTED_VALUE"""),"6.77752%;")</f>
        <v>6.77752%;</v>
      </c>
    </row>
    <row r="40" spans="1:7" x14ac:dyDescent="0.2">
      <c r="A40" s="3">
        <f ca="1">IFERROR(__xludf.DUMMYFUNCTION("""COMPUTED_VALUE"""),62)</f>
        <v>62</v>
      </c>
      <c r="B40" s="4" t="str">
        <f ca="1">IFERROR(__xludf.DUMMYFUNCTION("""COMPUTED_VALUE"""),"Unique Paths")</f>
        <v>Unique Paths</v>
      </c>
      <c r="C40" s="8" t="str">
        <f ca="1">IFERROR(__xludf.DUMMYFUNCTION("""COMPUTED_VALUE"""),"https://leetcode.com/problems/unique-paths")</f>
        <v>https://leetcode.com/problems/unique-paths</v>
      </c>
      <c r="D40" s="3" t="str">
        <f ca="1">IFERROR(__xludf.DUMMYFUNCTION("""COMPUTED_VALUE"""),"N")</f>
        <v>N</v>
      </c>
      <c r="E40" s="6">
        <f ca="1">IFERROR(__xludf.DUMMYFUNCTION("""COMPUTED_VALUE"""),0.623)</f>
        <v>0.623</v>
      </c>
      <c r="F40" s="3" t="str">
        <f ca="1">IFERROR(__xludf.DUMMYFUNCTION("""COMPUTED_VALUE"""),"Medium")</f>
        <v>Medium</v>
      </c>
      <c r="G40" s="3" t="str">
        <f ca="1">IFERROR(__xludf.DUMMYFUNCTION("""COMPUTED_VALUE"""),"24.1998%;")</f>
        <v>24.1998%;</v>
      </c>
    </row>
    <row r="41" spans="1:7" x14ac:dyDescent="0.2">
      <c r="A41" s="3">
        <f ca="1">IFERROR(__xludf.DUMMYFUNCTION("""COMPUTED_VALUE"""),63)</f>
        <v>63</v>
      </c>
      <c r="B41" s="4" t="str">
        <f ca="1">IFERROR(__xludf.DUMMYFUNCTION("""COMPUTED_VALUE"""),"Unique Paths II")</f>
        <v>Unique Paths II</v>
      </c>
      <c r="C41" s="8" t="str">
        <f ca="1">IFERROR(__xludf.DUMMYFUNCTION("""COMPUTED_VALUE"""),"https://leetcode.com/problems/unique-paths-ii")</f>
        <v>https://leetcode.com/problems/unique-paths-ii</v>
      </c>
      <c r="D41" s="3" t="str">
        <f ca="1">IFERROR(__xludf.DUMMYFUNCTION("""COMPUTED_VALUE"""),"N")</f>
        <v>N</v>
      </c>
      <c r="E41" s="6">
        <f ca="1">IFERROR(__xludf.DUMMYFUNCTION("""COMPUTED_VALUE"""),0.391)</f>
        <v>0.39100000000000001</v>
      </c>
      <c r="F41" s="3" t="str">
        <f ca="1">IFERROR(__xludf.DUMMYFUNCTION("""COMPUTED_VALUE"""),"Medium")</f>
        <v>Medium</v>
      </c>
      <c r="G41" s="3" t="str">
        <f ca="1">IFERROR(__xludf.DUMMYFUNCTION("""COMPUTED_VALUE"""),"28.0022%;")</f>
        <v>28.0022%;</v>
      </c>
    </row>
    <row r="42" spans="1:7" x14ac:dyDescent="0.2">
      <c r="A42" s="3">
        <f ca="1">IFERROR(__xludf.DUMMYFUNCTION("""COMPUTED_VALUE"""),64)</f>
        <v>64</v>
      </c>
      <c r="B42" s="4" t="str">
        <f ca="1">IFERROR(__xludf.DUMMYFUNCTION("""COMPUTED_VALUE"""),"Minimum Path Sum")</f>
        <v>Minimum Path Sum</v>
      </c>
      <c r="C42" s="8" t="str">
        <f ca="1">IFERROR(__xludf.DUMMYFUNCTION("""COMPUTED_VALUE"""),"https://leetcode.com/problems/minimum-path-sum")</f>
        <v>https://leetcode.com/problems/minimum-path-sum</v>
      </c>
      <c r="D42" s="3" t="str">
        <f ca="1">IFERROR(__xludf.DUMMYFUNCTION("""COMPUTED_VALUE"""),"N")</f>
        <v>N</v>
      </c>
      <c r="E42" s="6">
        <f ca="1">IFERROR(__xludf.DUMMYFUNCTION("""COMPUTED_VALUE"""),0.607)</f>
        <v>0.60699999999999998</v>
      </c>
      <c r="F42" s="3" t="str">
        <f ca="1">IFERROR(__xludf.DUMMYFUNCTION("""COMPUTED_VALUE"""),"Medium")</f>
        <v>Medium</v>
      </c>
      <c r="G42" s="3" t="str">
        <f ca="1">IFERROR(__xludf.DUMMYFUNCTION("""COMPUTED_VALUE"""),"13.3017%;")</f>
        <v>13.3017%;</v>
      </c>
    </row>
    <row r="43" spans="1:7" x14ac:dyDescent="0.2">
      <c r="A43" s="3">
        <f ca="1">IFERROR(__xludf.DUMMYFUNCTION("""COMPUTED_VALUE"""),71)</f>
        <v>71</v>
      </c>
      <c r="B43" s="4" t="str">
        <f ca="1">IFERROR(__xludf.DUMMYFUNCTION("""COMPUTED_VALUE"""),"Simplify Path")</f>
        <v>Simplify Path</v>
      </c>
      <c r="C43" s="8" t="str">
        <f ca="1">IFERROR(__xludf.DUMMYFUNCTION("""COMPUTED_VALUE"""),"https://leetcode.com/problems/simplify-path")</f>
        <v>https://leetcode.com/problems/simplify-path</v>
      </c>
      <c r="D43" s="3" t="str">
        <f ca="1">IFERROR(__xludf.DUMMYFUNCTION("""COMPUTED_VALUE"""),"N")</f>
        <v>N</v>
      </c>
      <c r="E43" s="6">
        <f ca="1">IFERROR(__xludf.DUMMYFUNCTION("""COMPUTED_VALUE"""),0.392)</f>
        <v>0.39200000000000002</v>
      </c>
      <c r="F43" s="3" t="str">
        <f ca="1">IFERROR(__xludf.DUMMYFUNCTION("""COMPUTED_VALUE"""),"Medium")</f>
        <v>Medium</v>
      </c>
      <c r="G43" s="3" t="str">
        <f ca="1">IFERROR(__xludf.DUMMYFUNCTION("""COMPUTED_VALUE"""),"13.2314%;")</f>
        <v>13.2314%;</v>
      </c>
    </row>
    <row r="44" spans="1:7" x14ac:dyDescent="0.2">
      <c r="A44" s="3">
        <f ca="1">IFERROR(__xludf.DUMMYFUNCTION("""COMPUTED_VALUE"""),73)</f>
        <v>73</v>
      </c>
      <c r="B44" s="4" t="str">
        <f ca="1">IFERROR(__xludf.DUMMYFUNCTION("""COMPUTED_VALUE"""),"Set Matrix Zeroes")</f>
        <v>Set Matrix Zeroes</v>
      </c>
      <c r="C44" s="8" t="str">
        <f ca="1">IFERROR(__xludf.DUMMYFUNCTION("""COMPUTED_VALUE"""),"https://leetcode.com/problems/set-matrix-zeroes")</f>
        <v>https://leetcode.com/problems/set-matrix-zeroes</v>
      </c>
      <c r="D44" s="3" t="str">
        <f ca="1">IFERROR(__xludf.DUMMYFUNCTION("""COMPUTED_VALUE"""),"N")</f>
        <v>N</v>
      </c>
      <c r="E44" s="6">
        <f ca="1">IFERROR(__xludf.DUMMYFUNCTION("""COMPUTED_VALUE"""),0.501)</f>
        <v>0.501</v>
      </c>
      <c r="F44" s="3" t="str">
        <f ca="1">IFERROR(__xludf.DUMMYFUNCTION("""COMPUTED_VALUE"""),"Medium")</f>
        <v>Medium</v>
      </c>
      <c r="G44" s="3" t="str">
        <f ca="1">IFERROR(__xludf.DUMMYFUNCTION("""COMPUTED_VALUE"""),"16.9228%;")</f>
        <v>16.9228%;</v>
      </c>
    </row>
    <row r="45" spans="1:7" x14ac:dyDescent="0.2">
      <c r="A45" s="3">
        <f ca="1">IFERROR(__xludf.DUMMYFUNCTION("""COMPUTED_VALUE"""),74)</f>
        <v>74</v>
      </c>
      <c r="B45" s="4" t="str">
        <f ca="1">IFERROR(__xludf.DUMMYFUNCTION("""COMPUTED_VALUE"""),"Search a 2D Matrix")</f>
        <v>Search a 2D Matrix</v>
      </c>
      <c r="C45" s="8" t="str">
        <f ca="1">IFERROR(__xludf.DUMMYFUNCTION("""COMPUTED_VALUE"""),"https://leetcode.com/problems/search-a-2d-matrix")</f>
        <v>https://leetcode.com/problems/search-a-2d-matrix</v>
      </c>
      <c r="D45" s="3" t="str">
        <f ca="1">IFERROR(__xludf.DUMMYFUNCTION("""COMPUTED_VALUE"""),"N")</f>
        <v>N</v>
      </c>
      <c r="E45" s="6">
        <f ca="1">IFERROR(__xludf.DUMMYFUNCTION("""COMPUTED_VALUE"""),0.47)</f>
        <v>0.47</v>
      </c>
      <c r="F45" s="3" t="str">
        <f ca="1">IFERROR(__xludf.DUMMYFUNCTION("""COMPUTED_VALUE"""),"Medium")</f>
        <v>Medium</v>
      </c>
      <c r="G45" s="3" t="str">
        <f ca="1">IFERROR(__xludf.DUMMYFUNCTION("""COMPUTED_VALUE"""),"25.0299%;")</f>
        <v>25.0299%;</v>
      </c>
    </row>
    <row r="46" spans="1:7" x14ac:dyDescent="0.2">
      <c r="A46" s="3">
        <f ca="1">IFERROR(__xludf.DUMMYFUNCTION("""COMPUTED_VALUE"""),75)</f>
        <v>75</v>
      </c>
      <c r="B46" s="4" t="str">
        <f ca="1">IFERROR(__xludf.DUMMYFUNCTION("""COMPUTED_VALUE"""),"Sort Colors")</f>
        <v>Sort Colors</v>
      </c>
      <c r="C46" s="8" t="str">
        <f ca="1">IFERROR(__xludf.DUMMYFUNCTION("""COMPUTED_VALUE"""),"https://leetcode.com/problems/sort-colors")</f>
        <v>https://leetcode.com/problems/sort-colors</v>
      </c>
      <c r="D46" s="3" t="str">
        <f ca="1">IFERROR(__xludf.DUMMYFUNCTION("""COMPUTED_VALUE"""),"N")</f>
        <v>N</v>
      </c>
      <c r="E46" s="6">
        <f ca="1">IFERROR(__xludf.DUMMYFUNCTION("""COMPUTED_VALUE"""),0.574)</f>
        <v>0.57399999999999995</v>
      </c>
      <c r="F46" s="3" t="str">
        <f ca="1">IFERROR(__xludf.DUMMYFUNCTION("""COMPUTED_VALUE"""),"Medium")</f>
        <v>Medium</v>
      </c>
      <c r="G46" s="3" t="str">
        <f ca="1">IFERROR(__xludf.DUMMYFUNCTION("""COMPUTED_VALUE"""),"15.6985%;")</f>
        <v>15.6985%;</v>
      </c>
    </row>
    <row r="47" spans="1:7" x14ac:dyDescent="0.2">
      <c r="A47" s="3">
        <f ca="1">IFERROR(__xludf.DUMMYFUNCTION("""COMPUTED_VALUE"""),78)</f>
        <v>78</v>
      </c>
      <c r="B47" s="4" t="str">
        <f ca="1">IFERROR(__xludf.DUMMYFUNCTION("""COMPUTED_VALUE"""),"Subsets")</f>
        <v>Subsets</v>
      </c>
      <c r="C47" s="8" t="str">
        <f ca="1">IFERROR(__xludf.DUMMYFUNCTION("""COMPUTED_VALUE"""),"https://leetcode.com/problems/subsets")</f>
        <v>https://leetcode.com/problems/subsets</v>
      </c>
      <c r="D47" s="3" t="str">
        <f ca="1">IFERROR(__xludf.DUMMYFUNCTION("""COMPUTED_VALUE"""),"N")</f>
        <v>N</v>
      </c>
      <c r="E47" s="6">
        <f ca="1">IFERROR(__xludf.DUMMYFUNCTION("""COMPUTED_VALUE"""),0.74)</f>
        <v>0.74</v>
      </c>
      <c r="F47" s="3" t="str">
        <f ca="1">IFERROR(__xludf.DUMMYFUNCTION("""COMPUTED_VALUE"""),"Medium")</f>
        <v>Medium</v>
      </c>
      <c r="G47" s="3" t="str">
        <f ca="1">IFERROR(__xludf.DUMMYFUNCTION("""COMPUTED_VALUE"""),"15.2496%;")</f>
        <v>15.2496%;</v>
      </c>
    </row>
    <row r="48" spans="1:7" x14ac:dyDescent="0.2">
      <c r="A48" s="3">
        <f ca="1">IFERROR(__xludf.DUMMYFUNCTION("""COMPUTED_VALUE"""),79)</f>
        <v>79</v>
      </c>
      <c r="B48" s="4" t="str">
        <f ca="1">IFERROR(__xludf.DUMMYFUNCTION("""COMPUTED_VALUE"""),"Word Search")</f>
        <v>Word Search</v>
      </c>
      <c r="C48" s="8" t="str">
        <f ca="1">IFERROR(__xludf.DUMMYFUNCTION("""COMPUTED_VALUE"""),"https://leetcode.com/problems/word-search")</f>
        <v>https://leetcode.com/problems/word-search</v>
      </c>
      <c r="D48" s="3" t="str">
        <f ca="1">IFERROR(__xludf.DUMMYFUNCTION("""COMPUTED_VALUE"""),"N")</f>
        <v>N</v>
      </c>
      <c r="E48" s="6">
        <f ca="1">IFERROR(__xludf.DUMMYFUNCTION("""COMPUTED_VALUE"""),0.398)</f>
        <v>0.39800000000000002</v>
      </c>
      <c r="F48" s="3" t="str">
        <f ca="1">IFERROR(__xludf.DUMMYFUNCTION("""COMPUTED_VALUE"""),"Medium")</f>
        <v>Medium</v>
      </c>
      <c r="G48" s="3" t="str">
        <f ca="1">IFERROR(__xludf.DUMMYFUNCTION("""COMPUTED_VALUE"""),"44.6295%;")</f>
        <v>44.6295%;</v>
      </c>
    </row>
    <row r="49" spans="1:7" x14ac:dyDescent="0.2">
      <c r="A49" s="3">
        <f ca="1">IFERROR(__xludf.DUMMYFUNCTION("""COMPUTED_VALUE"""),81)</f>
        <v>81</v>
      </c>
      <c r="B49" s="4" t="str">
        <f ca="1">IFERROR(__xludf.DUMMYFUNCTION("""COMPUTED_VALUE"""),"Search in Rotated Sorted Array II")</f>
        <v>Search in Rotated Sorted Array II</v>
      </c>
      <c r="C49" s="8" t="str">
        <f ca="1">IFERROR(__xludf.DUMMYFUNCTION("""COMPUTED_VALUE"""),"https://leetcode.com/problems/search-in-rotated-sorted-array-ii")</f>
        <v>https://leetcode.com/problems/search-in-rotated-sorted-array-ii</v>
      </c>
      <c r="D49" s="3" t="str">
        <f ca="1">IFERROR(__xludf.DUMMYFUNCTION("""COMPUTED_VALUE"""),"N")</f>
        <v>N</v>
      </c>
      <c r="E49" s="6">
        <f ca="1">IFERROR(__xludf.DUMMYFUNCTION("""COMPUTED_VALUE"""),0.358)</f>
        <v>0.35799999999999998</v>
      </c>
      <c r="F49" s="3" t="str">
        <f ca="1">IFERROR(__xludf.DUMMYFUNCTION("""COMPUTED_VALUE"""),"Medium")</f>
        <v>Medium</v>
      </c>
      <c r="G49" s="3" t="str">
        <f ca="1">IFERROR(__xludf.DUMMYFUNCTION("""COMPUTED_VALUE"""),"7.44691%;")</f>
        <v>7.44691%;</v>
      </c>
    </row>
    <row r="50" spans="1:7" x14ac:dyDescent="0.2">
      <c r="A50" s="3">
        <f ca="1">IFERROR(__xludf.DUMMYFUNCTION("""COMPUTED_VALUE"""),82)</f>
        <v>82</v>
      </c>
      <c r="B50" s="4" t="str">
        <f ca="1">IFERROR(__xludf.DUMMYFUNCTION("""COMPUTED_VALUE"""),"Remove Duplicates from Sorted List II")</f>
        <v>Remove Duplicates from Sorted List II</v>
      </c>
      <c r="C50" s="8" t="str">
        <f ca="1">IFERROR(__xludf.DUMMYFUNCTION("""COMPUTED_VALUE"""),"https://leetcode.com/problems/remove-duplicates-from-sorted-list-ii")</f>
        <v>https://leetcode.com/problems/remove-duplicates-from-sorted-list-ii</v>
      </c>
      <c r="D50" s="3" t="str">
        <f ca="1">IFERROR(__xludf.DUMMYFUNCTION("""COMPUTED_VALUE"""),"N")</f>
        <v>N</v>
      </c>
      <c r="E50" s="6">
        <f ca="1">IFERROR(__xludf.DUMMYFUNCTION("""COMPUTED_VALUE"""),0.455)</f>
        <v>0.45500000000000002</v>
      </c>
      <c r="F50" s="3" t="str">
        <f ca="1">IFERROR(__xludf.DUMMYFUNCTION("""COMPUTED_VALUE"""),"Medium")</f>
        <v>Medium</v>
      </c>
      <c r="G50" s="3" t="str">
        <f ca="1">IFERROR(__xludf.DUMMYFUNCTION("""COMPUTED_VALUE"""),"4.08027%;")</f>
        <v>4.08027%;</v>
      </c>
    </row>
    <row r="51" spans="1:7" x14ac:dyDescent="0.2">
      <c r="A51" s="3">
        <f ca="1">IFERROR(__xludf.DUMMYFUNCTION("""COMPUTED_VALUE"""),90)</f>
        <v>90</v>
      </c>
      <c r="B51" s="4" t="str">
        <f ca="1">IFERROR(__xludf.DUMMYFUNCTION("""COMPUTED_VALUE"""),"Subsets II")</f>
        <v>Subsets II</v>
      </c>
      <c r="C51" s="8" t="str">
        <f ca="1">IFERROR(__xludf.DUMMYFUNCTION("""COMPUTED_VALUE"""),"https://leetcode.com/problems/subsets-ii")</f>
        <v>https://leetcode.com/problems/subsets-ii</v>
      </c>
      <c r="D51" s="3" t="str">
        <f ca="1">IFERROR(__xludf.DUMMYFUNCTION("""COMPUTED_VALUE"""),"N")</f>
        <v>N</v>
      </c>
      <c r="E51" s="6">
        <f ca="1">IFERROR(__xludf.DUMMYFUNCTION("""COMPUTED_VALUE"""),0.554)</f>
        <v>0.55400000000000005</v>
      </c>
      <c r="F51" s="3" t="str">
        <f ca="1">IFERROR(__xludf.DUMMYFUNCTION("""COMPUTED_VALUE"""),"Medium")</f>
        <v>Medium</v>
      </c>
      <c r="G51" s="3" t="str">
        <f ca="1">IFERROR(__xludf.DUMMYFUNCTION("""COMPUTED_VALUE"""),"9.89693%;")</f>
        <v>9.89693%;</v>
      </c>
    </row>
    <row r="52" spans="1:7" x14ac:dyDescent="0.2">
      <c r="A52" s="3">
        <f ca="1">IFERROR(__xludf.DUMMYFUNCTION("""COMPUTED_VALUE"""),91)</f>
        <v>91</v>
      </c>
      <c r="B52" s="4" t="str">
        <f ca="1">IFERROR(__xludf.DUMMYFUNCTION("""COMPUTED_VALUE"""),"Decode Ways")</f>
        <v>Decode Ways</v>
      </c>
      <c r="C52" s="8" t="str">
        <f ca="1">IFERROR(__xludf.DUMMYFUNCTION("""COMPUTED_VALUE"""),"https://leetcode.com/problems/decode-ways")</f>
        <v>https://leetcode.com/problems/decode-ways</v>
      </c>
      <c r="D52" s="3" t="str">
        <f ca="1">IFERROR(__xludf.DUMMYFUNCTION("""COMPUTED_VALUE"""),"N")</f>
        <v>N</v>
      </c>
      <c r="E52" s="6">
        <f ca="1">IFERROR(__xludf.DUMMYFUNCTION("""COMPUTED_VALUE"""),0.323)</f>
        <v>0.32300000000000001</v>
      </c>
      <c r="F52" s="3" t="str">
        <f ca="1">IFERROR(__xludf.DUMMYFUNCTION("""COMPUTED_VALUE"""),"Medium")</f>
        <v>Medium</v>
      </c>
      <c r="G52" s="3" t="str">
        <f ca="1">IFERROR(__xludf.DUMMYFUNCTION("""COMPUTED_VALUE"""),"24.4712%;")</f>
        <v>24.4712%;</v>
      </c>
    </row>
    <row r="53" spans="1:7" x14ac:dyDescent="0.2">
      <c r="A53" s="3">
        <f ca="1">IFERROR(__xludf.DUMMYFUNCTION("""COMPUTED_VALUE"""),92)</f>
        <v>92</v>
      </c>
      <c r="B53" s="4" t="str">
        <f ca="1">IFERROR(__xludf.DUMMYFUNCTION("""COMPUTED_VALUE"""),"Reverse Linked List II")</f>
        <v>Reverse Linked List II</v>
      </c>
      <c r="C53" s="8" t="str">
        <f ca="1">IFERROR(__xludf.DUMMYFUNCTION("""COMPUTED_VALUE"""),"https://leetcode.com/problems/reverse-linked-list-ii")</f>
        <v>https://leetcode.com/problems/reverse-linked-list-ii</v>
      </c>
      <c r="D53" s="3" t="str">
        <f ca="1">IFERROR(__xludf.DUMMYFUNCTION("""COMPUTED_VALUE"""),"N")</f>
        <v>N</v>
      </c>
      <c r="E53" s="6">
        <f ca="1">IFERROR(__xludf.DUMMYFUNCTION("""COMPUTED_VALUE"""),0.454)</f>
        <v>0.45400000000000001</v>
      </c>
      <c r="F53" s="3" t="str">
        <f ca="1">IFERROR(__xludf.DUMMYFUNCTION("""COMPUTED_VALUE"""),"Medium")</f>
        <v>Medium</v>
      </c>
      <c r="G53" s="3" t="str">
        <f ca="1">IFERROR(__xludf.DUMMYFUNCTION("""COMPUTED_VALUE"""),"24.1387%;")</f>
        <v>24.1387%;</v>
      </c>
    </row>
    <row r="54" spans="1:7" x14ac:dyDescent="0.2">
      <c r="A54" s="3">
        <f ca="1">IFERROR(__xludf.DUMMYFUNCTION("""COMPUTED_VALUE"""),93)</f>
        <v>93</v>
      </c>
      <c r="B54" s="4" t="str">
        <f ca="1">IFERROR(__xludf.DUMMYFUNCTION("""COMPUTED_VALUE"""),"Restore IP Addresses")</f>
        <v>Restore IP Addresses</v>
      </c>
      <c r="C54" s="8" t="str">
        <f ca="1">IFERROR(__xludf.DUMMYFUNCTION("""COMPUTED_VALUE"""),"https://leetcode.com/problems/restore-ip-addresses")</f>
        <v>https://leetcode.com/problems/restore-ip-addresses</v>
      </c>
      <c r="D54" s="3" t="str">
        <f ca="1">IFERROR(__xludf.DUMMYFUNCTION("""COMPUTED_VALUE"""),"N")</f>
        <v>N</v>
      </c>
      <c r="E54" s="6">
        <f ca="1">IFERROR(__xludf.DUMMYFUNCTION("""COMPUTED_VALUE"""),0.435)</f>
        <v>0.435</v>
      </c>
      <c r="F54" s="3" t="str">
        <f ca="1">IFERROR(__xludf.DUMMYFUNCTION("""COMPUTED_VALUE"""),"Medium")</f>
        <v>Medium</v>
      </c>
      <c r="G54" s="3" t="str">
        <f ca="1">IFERROR(__xludf.DUMMYFUNCTION("""COMPUTED_VALUE"""),"18.7251%;")</f>
        <v>18.7251%;</v>
      </c>
    </row>
    <row r="55" spans="1:7" x14ac:dyDescent="0.2">
      <c r="A55" s="3">
        <f ca="1">IFERROR(__xludf.DUMMYFUNCTION("""COMPUTED_VALUE"""),95)</f>
        <v>95</v>
      </c>
      <c r="B55" s="4" t="str">
        <f ca="1">IFERROR(__xludf.DUMMYFUNCTION("""COMPUTED_VALUE"""),"Unique Binary Search Trees II")</f>
        <v>Unique Binary Search Trees II</v>
      </c>
      <c r="C55" s="8" t="str">
        <f ca="1">IFERROR(__xludf.DUMMYFUNCTION("""COMPUTED_VALUE"""),"https://leetcode.com/problems/unique-binary-search-trees-ii")</f>
        <v>https://leetcode.com/problems/unique-binary-search-trees-ii</v>
      </c>
      <c r="D55" s="3" t="str">
        <f ca="1">IFERROR(__xludf.DUMMYFUNCTION("""COMPUTED_VALUE"""),"N")</f>
        <v>N</v>
      </c>
      <c r="E55" s="6">
        <f ca="1">IFERROR(__xludf.DUMMYFUNCTION("""COMPUTED_VALUE"""),0.516)</f>
        <v>0.51600000000000001</v>
      </c>
      <c r="F55" s="3" t="str">
        <f ca="1">IFERROR(__xludf.DUMMYFUNCTION("""COMPUTED_VALUE"""),"Medium")</f>
        <v>Medium</v>
      </c>
      <c r="G55" s="3" t="str">
        <f ca="1">IFERROR(__xludf.DUMMYFUNCTION("""COMPUTED_VALUE"""),"3.92098%;")</f>
        <v>3.92098%;</v>
      </c>
    </row>
    <row r="56" spans="1:7" x14ac:dyDescent="0.2">
      <c r="A56" s="3">
        <f ca="1">IFERROR(__xludf.DUMMYFUNCTION("""COMPUTED_VALUE"""),97)</f>
        <v>97</v>
      </c>
      <c r="B56" s="4" t="str">
        <f ca="1">IFERROR(__xludf.DUMMYFUNCTION("""COMPUTED_VALUE"""),"Interleaving String")</f>
        <v>Interleaving String</v>
      </c>
      <c r="C56" s="8" t="str">
        <f ca="1">IFERROR(__xludf.DUMMYFUNCTION("""COMPUTED_VALUE"""),"https://leetcode.com/problems/interleaving-string")</f>
        <v>https://leetcode.com/problems/interleaving-string</v>
      </c>
      <c r="D56" s="3" t="str">
        <f ca="1">IFERROR(__xludf.DUMMYFUNCTION("""COMPUTED_VALUE"""),"N")</f>
        <v>N</v>
      </c>
      <c r="E56" s="6">
        <f ca="1">IFERROR(__xludf.DUMMYFUNCTION("""COMPUTED_VALUE"""),0.371)</f>
        <v>0.371</v>
      </c>
      <c r="F56" s="3" t="str">
        <f ca="1">IFERROR(__xludf.DUMMYFUNCTION("""COMPUTED_VALUE"""),"Medium")</f>
        <v>Medium</v>
      </c>
      <c r="G56" s="3" t="str">
        <f ca="1">IFERROR(__xludf.DUMMYFUNCTION("""COMPUTED_VALUE"""),"2.73105%;")</f>
        <v>2.73105%;</v>
      </c>
    </row>
    <row r="57" spans="1:7" x14ac:dyDescent="0.2">
      <c r="A57" s="3">
        <f ca="1">IFERROR(__xludf.DUMMYFUNCTION("""COMPUTED_VALUE"""),98)</f>
        <v>98</v>
      </c>
      <c r="B57" s="4" t="str">
        <f ca="1">IFERROR(__xludf.DUMMYFUNCTION("""COMPUTED_VALUE"""),"Validate Binary Search Tree")</f>
        <v>Validate Binary Search Tree</v>
      </c>
      <c r="C57" s="8" t="str">
        <f ca="1">IFERROR(__xludf.DUMMYFUNCTION("""COMPUTED_VALUE"""),"https://leetcode.com/problems/validate-binary-search-tree")</f>
        <v>https://leetcode.com/problems/validate-binary-search-tree</v>
      </c>
      <c r="D57" s="3" t="str">
        <f ca="1">IFERROR(__xludf.DUMMYFUNCTION("""COMPUTED_VALUE"""),"N")</f>
        <v>N</v>
      </c>
      <c r="E57" s="6">
        <f ca="1">IFERROR(__xludf.DUMMYFUNCTION("""COMPUTED_VALUE"""),0.318)</f>
        <v>0.318</v>
      </c>
      <c r="F57" s="3" t="str">
        <f ca="1">IFERROR(__xludf.DUMMYFUNCTION("""COMPUTED_VALUE"""),"Medium")</f>
        <v>Medium</v>
      </c>
      <c r="G57" s="3" t="str">
        <f ca="1">IFERROR(__xludf.DUMMYFUNCTION("""COMPUTED_VALUE"""),"22.7734%;")</f>
        <v>22.7734%;</v>
      </c>
    </row>
    <row r="58" spans="1:7" x14ac:dyDescent="0.2">
      <c r="A58" s="3">
        <f ca="1">IFERROR(__xludf.DUMMYFUNCTION("""COMPUTED_VALUE"""),99)</f>
        <v>99</v>
      </c>
      <c r="B58" s="4" t="str">
        <f ca="1">IFERROR(__xludf.DUMMYFUNCTION("""COMPUTED_VALUE"""),"Recover Binary Search Tree")</f>
        <v>Recover Binary Search Tree</v>
      </c>
      <c r="C58" s="8" t="str">
        <f ca="1">IFERROR(__xludf.DUMMYFUNCTION("""COMPUTED_VALUE"""),"https://leetcode.com/problems/recover-binary-search-tree")</f>
        <v>https://leetcode.com/problems/recover-binary-search-tree</v>
      </c>
      <c r="D58" s="3" t="str">
        <f ca="1">IFERROR(__xludf.DUMMYFUNCTION("""COMPUTED_VALUE"""),"N")</f>
        <v>N</v>
      </c>
      <c r="E58" s="6">
        <f ca="1">IFERROR(__xludf.DUMMYFUNCTION("""COMPUTED_VALUE"""),0.504)</f>
        <v>0.504</v>
      </c>
      <c r="F58" s="3" t="str">
        <f ca="1">IFERROR(__xludf.DUMMYFUNCTION("""COMPUTED_VALUE"""),"Medium")</f>
        <v>Medium</v>
      </c>
      <c r="G58" s="3" t="str">
        <f ca="1">IFERROR(__xludf.DUMMYFUNCTION("""COMPUTED_VALUE"""),"35.4319%;")</f>
        <v>35.4319%;</v>
      </c>
    </row>
    <row r="59" spans="1:7" x14ac:dyDescent="0.2">
      <c r="A59" s="3">
        <f ca="1">IFERROR(__xludf.DUMMYFUNCTION("""COMPUTED_VALUE"""),102)</f>
        <v>102</v>
      </c>
      <c r="B59" s="4" t="str">
        <f ca="1">IFERROR(__xludf.DUMMYFUNCTION("""COMPUTED_VALUE"""),"Binary Tree Level Order Traversal")</f>
        <v>Binary Tree Level Order Traversal</v>
      </c>
      <c r="C59" s="8" t="str">
        <f ca="1">IFERROR(__xludf.DUMMYFUNCTION("""COMPUTED_VALUE"""),"https://leetcode.com/problems/binary-tree-level-order-traversal")</f>
        <v>https://leetcode.com/problems/binary-tree-level-order-traversal</v>
      </c>
      <c r="D59" s="3" t="str">
        <f ca="1">IFERROR(__xludf.DUMMYFUNCTION("""COMPUTED_VALUE"""),"N")</f>
        <v>N</v>
      </c>
      <c r="E59" s="6">
        <f ca="1">IFERROR(__xludf.DUMMYFUNCTION("""COMPUTED_VALUE"""),0.634)</f>
        <v>0.63400000000000001</v>
      </c>
      <c r="F59" s="3" t="str">
        <f ca="1">IFERROR(__xludf.DUMMYFUNCTION("""COMPUTED_VALUE"""),"Medium")</f>
        <v>Medium</v>
      </c>
      <c r="G59" s="3" t="str">
        <f ca="1">IFERROR(__xludf.DUMMYFUNCTION("""COMPUTED_VALUE"""),"14.2926%;")</f>
        <v>14.2926%;</v>
      </c>
    </row>
    <row r="60" spans="1:7" x14ac:dyDescent="0.2">
      <c r="A60" s="3">
        <f ca="1">IFERROR(__xludf.DUMMYFUNCTION("""COMPUTED_VALUE"""),103)</f>
        <v>103</v>
      </c>
      <c r="B60" s="4" t="str">
        <f ca="1">IFERROR(__xludf.DUMMYFUNCTION("""COMPUTED_VALUE"""),"Binary Tree Zigzag Level Order Traversal")</f>
        <v>Binary Tree Zigzag Level Order Traversal</v>
      </c>
      <c r="C60" s="8" t="str">
        <f ca="1">IFERROR(__xludf.DUMMYFUNCTION("""COMPUTED_VALUE"""),"https://leetcode.com/problems/binary-tree-zigzag-level-order-traversal")</f>
        <v>https://leetcode.com/problems/binary-tree-zigzag-level-order-traversal</v>
      </c>
      <c r="D60" s="3" t="str">
        <f ca="1">IFERROR(__xludf.DUMMYFUNCTION("""COMPUTED_VALUE"""),"N")</f>
        <v>N</v>
      </c>
      <c r="E60" s="6">
        <f ca="1">IFERROR(__xludf.DUMMYFUNCTION("""COMPUTED_VALUE"""),0.552)</f>
        <v>0.55200000000000005</v>
      </c>
      <c r="F60" s="3" t="str">
        <f ca="1">IFERROR(__xludf.DUMMYFUNCTION("""COMPUTED_VALUE"""),"Medium")</f>
        <v>Medium</v>
      </c>
      <c r="G60" s="3" t="str">
        <f ca="1">IFERROR(__xludf.DUMMYFUNCTION("""COMPUTED_VALUE"""),"45.6783%;")</f>
        <v>45.6783%;</v>
      </c>
    </row>
    <row r="61" spans="1:7" x14ac:dyDescent="0.2">
      <c r="A61" s="3">
        <f ca="1">IFERROR(__xludf.DUMMYFUNCTION("""COMPUTED_VALUE"""),105)</f>
        <v>105</v>
      </c>
      <c r="B61" s="4" t="str">
        <f ca="1">IFERROR(__xludf.DUMMYFUNCTION("""COMPUTED_VALUE"""),"Construct Binary Tree from Preorder and Inorder Traversal")</f>
        <v>Construct Binary Tree from Preorder and Inorder Traversal</v>
      </c>
      <c r="C61" s="8" t="str">
        <f ca="1">IFERROR(__xludf.DUMMYFUNCTION("""COMPUTED_VALUE"""),"https://leetcode.com/problems/construct-binary-tree-from-preorder-and-inorder-traversal")</f>
        <v>https://leetcode.com/problems/construct-binary-tree-from-preorder-and-inorder-traversal</v>
      </c>
      <c r="D61" s="3" t="str">
        <f ca="1">IFERROR(__xludf.DUMMYFUNCTION("""COMPUTED_VALUE"""),"N")</f>
        <v>N</v>
      </c>
      <c r="E61" s="6">
        <f ca="1">IFERROR(__xludf.DUMMYFUNCTION("""COMPUTED_VALUE"""),0.608)</f>
        <v>0.60799999999999998</v>
      </c>
      <c r="F61" s="3" t="str">
        <f ca="1">IFERROR(__xludf.DUMMYFUNCTION("""COMPUTED_VALUE"""),"Medium")</f>
        <v>Medium</v>
      </c>
      <c r="G61" s="3" t="str">
        <f ca="1">IFERROR(__xludf.DUMMYFUNCTION("""COMPUTED_VALUE"""),"18.6148%;")</f>
        <v>18.6148%;</v>
      </c>
    </row>
    <row r="62" spans="1:7" x14ac:dyDescent="0.2">
      <c r="A62" s="3">
        <f ca="1">IFERROR(__xludf.DUMMYFUNCTION("""COMPUTED_VALUE"""),106)</f>
        <v>106</v>
      </c>
      <c r="B62" s="4" t="str">
        <f ca="1">IFERROR(__xludf.DUMMYFUNCTION("""COMPUTED_VALUE"""),"Construct Binary Tree from Inorder and Postorder Traversal")</f>
        <v>Construct Binary Tree from Inorder and Postorder Traversal</v>
      </c>
      <c r="C62" s="8" t="str">
        <f ca="1">IFERROR(__xludf.DUMMYFUNCTION("""COMPUTED_VALUE"""),"https://leetcode.com/problems/construct-binary-tree-from-inorder-and-postorder-traversal")</f>
        <v>https://leetcode.com/problems/construct-binary-tree-from-inorder-and-postorder-traversal</v>
      </c>
      <c r="D62" s="3" t="str">
        <f ca="1">IFERROR(__xludf.DUMMYFUNCTION("""COMPUTED_VALUE"""),"N")</f>
        <v>N</v>
      </c>
      <c r="E62" s="6">
        <f ca="1">IFERROR(__xludf.DUMMYFUNCTION("""COMPUTED_VALUE"""),0.575)</f>
        <v>0.57499999999999996</v>
      </c>
      <c r="F62" s="3" t="str">
        <f ca="1">IFERROR(__xludf.DUMMYFUNCTION("""COMPUTED_VALUE"""),"Medium")</f>
        <v>Medium</v>
      </c>
      <c r="G62" s="3" t="str">
        <f ca="1">IFERROR(__xludf.DUMMYFUNCTION("""COMPUTED_VALUE"""),"3.28802%;")</f>
        <v>3.28802%;</v>
      </c>
    </row>
    <row r="63" spans="1:7" x14ac:dyDescent="0.2">
      <c r="A63" s="3">
        <f ca="1">IFERROR(__xludf.DUMMYFUNCTION("""COMPUTED_VALUE"""),107)</f>
        <v>107</v>
      </c>
      <c r="B63" s="4" t="str">
        <f ca="1">IFERROR(__xludf.DUMMYFUNCTION("""COMPUTED_VALUE"""),"Binary Tree Level Order Traversal II")</f>
        <v>Binary Tree Level Order Traversal II</v>
      </c>
      <c r="C63" s="8" t="str">
        <f ca="1">IFERROR(__xludf.DUMMYFUNCTION("""COMPUTED_VALUE"""),"https://leetcode.com/problems/binary-tree-level-order-traversal-ii")</f>
        <v>https://leetcode.com/problems/binary-tree-level-order-traversal-ii</v>
      </c>
      <c r="D63" s="3" t="str">
        <f ca="1">IFERROR(__xludf.DUMMYFUNCTION("""COMPUTED_VALUE"""),"N")</f>
        <v>N</v>
      </c>
      <c r="E63" s="6">
        <f ca="1">IFERROR(__xludf.DUMMYFUNCTION("""COMPUTED_VALUE"""),0.604)</f>
        <v>0.60399999999999998</v>
      </c>
      <c r="F63" s="3" t="str">
        <f ca="1">IFERROR(__xludf.DUMMYFUNCTION("""COMPUTED_VALUE"""),"Medium")</f>
        <v>Medium</v>
      </c>
      <c r="G63" s="3" t="str">
        <f ca="1">IFERROR(__xludf.DUMMYFUNCTION("""COMPUTED_VALUE"""),"9.3649%;")</f>
        <v>9.3649%;</v>
      </c>
    </row>
    <row r="64" spans="1:7" x14ac:dyDescent="0.2">
      <c r="A64" s="3">
        <f ca="1">IFERROR(__xludf.DUMMYFUNCTION("""COMPUTED_VALUE"""),113)</f>
        <v>113</v>
      </c>
      <c r="B64" s="4" t="str">
        <f ca="1">IFERROR(__xludf.DUMMYFUNCTION("""COMPUTED_VALUE"""),"Path Sum II")</f>
        <v>Path Sum II</v>
      </c>
      <c r="C64" s="8" t="str">
        <f ca="1">IFERROR(__xludf.DUMMYFUNCTION("""COMPUTED_VALUE"""),"https://leetcode.com/problems/path-sum-ii")</f>
        <v>https://leetcode.com/problems/path-sum-ii</v>
      </c>
      <c r="D64" s="3" t="str">
        <f ca="1">IFERROR(__xludf.DUMMYFUNCTION("""COMPUTED_VALUE"""),"N")</f>
        <v>N</v>
      </c>
      <c r="E64" s="6">
        <f ca="1">IFERROR(__xludf.DUMMYFUNCTION("""COMPUTED_VALUE"""),0.567)</f>
        <v>0.56699999999999995</v>
      </c>
      <c r="F64" s="3" t="str">
        <f ca="1">IFERROR(__xludf.DUMMYFUNCTION("""COMPUTED_VALUE"""),"Medium")</f>
        <v>Medium</v>
      </c>
      <c r="G64" s="3" t="str">
        <f ca="1">IFERROR(__xludf.DUMMYFUNCTION("""COMPUTED_VALUE"""),"13.4513%;")</f>
        <v>13.4513%;</v>
      </c>
    </row>
    <row r="65" spans="1:7" x14ac:dyDescent="0.2">
      <c r="A65" s="3">
        <f ca="1">IFERROR(__xludf.DUMMYFUNCTION("""COMPUTED_VALUE"""),114)</f>
        <v>114</v>
      </c>
      <c r="B65" s="4" t="str">
        <f ca="1">IFERROR(__xludf.DUMMYFUNCTION("""COMPUTED_VALUE"""),"Flatten Binary Tree to Linked List")</f>
        <v>Flatten Binary Tree to Linked List</v>
      </c>
      <c r="C65" s="8" t="str">
        <f ca="1">IFERROR(__xludf.DUMMYFUNCTION("""COMPUTED_VALUE"""),"https://leetcode.com/problems/flatten-binary-tree-to-linked-list")</f>
        <v>https://leetcode.com/problems/flatten-binary-tree-to-linked-list</v>
      </c>
      <c r="D65" s="3" t="str">
        <f ca="1">IFERROR(__xludf.DUMMYFUNCTION("""COMPUTED_VALUE"""),"N")</f>
        <v>N</v>
      </c>
      <c r="E65" s="6">
        <f ca="1">IFERROR(__xludf.DUMMYFUNCTION("""COMPUTED_VALUE"""),0.612)</f>
        <v>0.61199999999999999</v>
      </c>
      <c r="F65" s="3" t="str">
        <f ca="1">IFERROR(__xludf.DUMMYFUNCTION("""COMPUTED_VALUE"""),"Medium")</f>
        <v>Medium</v>
      </c>
      <c r="G65" s="3" t="str">
        <f ca="1">IFERROR(__xludf.DUMMYFUNCTION("""COMPUTED_VALUE"""),"28.6009%;")</f>
        <v>28.6009%;</v>
      </c>
    </row>
    <row r="66" spans="1:7" x14ac:dyDescent="0.2">
      <c r="A66" s="3">
        <f ca="1">IFERROR(__xludf.DUMMYFUNCTION("""COMPUTED_VALUE"""),116)</f>
        <v>116</v>
      </c>
      <c r="B66" s="4" t="str">
        <f ca="1">IFERROR(__xludf.DUMMYFUNCTION("""COMPUTED_VALUE"""),"Populating Next Right Pointers in Each Node")</f>
        <v>Populating Next Right Pointers in Each Node</v>
      </c>
      <c r="C66" s="8" t="str">
        <f ca="1">IFERROR(__xludf.DUMMYFUNCTION("""COMPUTED_VALUE"""),"https://leetcode.com/problems/populating-next-right-pointers-in-each-node")</f>
        <v>https://leetcode.com/problems/populating-next-right-pointers-in-each-node</v>
      </c>
      <c r="D66" s="3" t="str">
        <f ca="1">IFERROR(__xludf.DUMMYFUNCTION("""COMPUTED_VALUE"""),"N")</f>
        <v>N</v>
      </c>
      <c r="E66" s="6">
        <f ca="1">IFERROR(__xludf.DUMMYFUNCTION("""COMPUTED_VALUE"""),0.595)</f>
        <v>0.59499999999999997</v>
      </c>
      <c r="F66" s="3" t="str">
        <f ca="1">IFERROR(__xludf.DUMMYFUNCTION("""COMPUTED_VALUE"""),"Medium")</f>
        <v>Medium</v>
      </c>
      <c r="G66" s="3" t="str">
        <f ca="1">IFERROR(__xludf.DUMMYFUNCTION("""COMPUTED_VALUE"""),"10.5132%;")</f>
        <v>10.5132%;</v>
      </c>
    </row>
    <row r="67" spans="1:7" x14ac:dyDescent="0.2">
      <c r="A67" s="3">
        <f ca="1">IFERROR(__xludf.DUMMYFUNCTION("""COMPUTED_VALUE"""),117)</f>
        <v>117</v>
      </c>
      <c r="B67" s="4" t="str">
        <f ca="1">IFERROR(__xludf.DUMMYFUNCTION("""COMPUTED_VALUE"""),"Populating Next Right Pointers in Each Node II")</f>
        <v>Populating Next Right Pointers in Each Node II</v>
      </c>
      <c r="C67" s="8" t="str">
        <f ca="1">IFERROR(__xludf.DUMMYFUNCTION("""COMPUTED_VALUE"""),"https://leetcode.com/problems/populating-next-right-pointers-in-each-node-ii")</f>
        <v>https://leetcode.com/problems/populating-next-right-pointers-in-each-node-ii</v>
      </c>
      <c r="D67" s="3" t="str">
        <f ca="1">IFERROR(__xludf.DUMMYFUNCTION("""COMPUTED_VALUE"""),"N")</f>
        <v>N</v>
      </c>
      <c r="E67" s="6">
        <f ca="1">IFERROR(__xludf.DUMMYFUNCTION("""COMPUTED_VALUE"""),0.498)</f>
        <v>0.498</v>
      </c>
      <c r="F67" s="3" t="str">
        <f ca="1">IFERROR(__xludf.DUMMYFUNCTION("""COMPUTED_VALUE"""),"Medium")</f>
        <v>Medium</v>
      </c>
      <c r="G67" s="3" t="str">
        <f ca="1">IFERROR(__xludf.DUMMYFUNCTION("""COMPUTED_VALUE"""),"10.136%;")</f>
        <v>10.136%;</v>
      </c>
    </row>
    <row r="68" spans="1:7" x14ac:dyDescent="0.2">
      <c r="A68" s="3">
        <f ca="1">IFERROR(__xludf.DUMMYFUNCTION("""COMPUTED_VALUE"""),120)</f>
        <v>120</v>
      </c>
      <c r="B68" s="4" t="str">
        <f ca="1">IFERROR(__xludf.DUMMYFUNCTION("""COMPUTED_VALUE"""),"Triangle")</f>
        <v>Triangle</v>
      </c>
      <c r="C68" s="8" t="str">
        <f ca="1">IFERROR(__xludf.DUMMYFUNCTION("""COMPUTED_VALUE"""),"https://leetcode.com/problems/triangle")</f>
        <v>https://leetcode.com/problems/triangle</v>
      </c>
      <c r="D68" s="3" t="str">
        <f ca="1">IFERROR(__xludf.DUMMYFUNCTION("""COMPUTED_VALUE"""),"N")</f>
        <v>N</v>
      </c>
      <c r="E68" s="6">
        <f ca="1">IFERROR(__xludf.DUMMYFUNCTION("""COMPUTED_VALUE"""),0.54)</f>
        <v>0.54</v>
      </c>
      <c r="F68" s="3" t="str">
        <f ca="1">IFERROR(__xludf.DUMMYFUNCTION("""COMPUTED_VALUE"""),"Medium")</f>
        <v>Medium</v>
      </c>
      <c r="G68" s="3" t="str">
        <f ca="1">IFERROR(__xludf.DUMMYFUNCTION("""COMPUTED_VALUE"""),"15.9416%;")</f>
        <v>15.9416%;</v>
      </c>
    </row>
    <row r="69" spans="1:7" x14ac:dyDescent="0.2">
      <c r="A69" s="3">
        <f ca="1">IFERROR(__xludf.DUMMYFUNCTION("""COMPUTED_VALUE"""),122)</f>
        <v>122</v>
      </c>
      <c r="B69" s="4" t="str">
        <f ca="1">IFERROR(__xludf.DUMMYFUNCTION("""COMPUTED_VALUE"""),"Best Time to Buy and Sell Stock II")</f>
        <v>Best Time to Buy and Sell Stock II</v>
      </c>
      <c r="C69" s="8" t="str">
        <f ca="1">IFERROR(__xludf.DUMMYFUNCTION("""COMPUTED_VALUE"""),"https://leetcode.com/problems/best-time-to-buy-and-sell-stock-ii")</f>
        <v>https://leetcode.com/problems/best-time-to-buy-and-sell-stock-ii</v>
      </c>
      <c r="D69" s="3" t="str">
        <f ca="1">IFERROR(__xludf.DUMMYFUNCTION("""COMPUTED_VALUE"""),"N")</f>
        <v>N</v>
      </c>
      <c r="E69" s="6">
        <f ca="1">IFERROR(__xludf.DUMMYFUNCTION("""COMPUTED_VALUE"""),0.634)</f>
        <v>0.63400000000000001</v>
      </c>
      <c r="F69" s="3" t="str">
        <f ca="1">IFERROR(__xludf.DUMMYFUNCTION("""COMPUTED_VALUE"""),"Medium")</f>
        <v>Medium</v>
      </c>
      <c r="G69" s="3" t="str">
        <f ca="1">IFERROR(__xludf.DUMMYFUNCTION("""COMPUTED_VALUE"""),"14.9094%;")</f>
        <v>14.9094%;</v>
      </c>
    </row>
    <row r="70" spans="1:7" x14ac:dyDescent="0.2">
      <c r="A70" s="3">
        <f ca="1">IFERROR(__xludf.DUMMYFUNCTION("""COMPUTED_VALUE"""),128)</f>
        <v>128</v>
      </c>
      <c r="B70" s="4" t="str">
        <f ca="1">IFERROR(__xludf.DUMMYFUNCTION("""COMPUTED_VALUE"""),"Longest Consecutive Sequence")</f>
        <v>Longest Consecutive Sequence</v>
      </c>
      <c r="C70" s="8" t="str">
        <f ca="1">IFERROR(__xludf.DUMMYFUNCTION("""COMPUTED_VALUE"""),"https://leetcode.com/problems/longest-consecutive-sequence")</f>
        <v>https://leetcode.com/problems/longest-consecutive-sequence</v>
      </c>
      <c r="D70" s="3" t="str">
        <f ca="1">IFERROR(__xludf.DUMMYFUNCTION("""COMPUTED_VALUE"""),"N")</f>
        <v>N</v>
      </c>
      <c r="E70" s="6">
        <f ca="1">IFERROR(__xludf.DUMMYFUNCTION("""COMPUTED_VALUE"""),0.489)</f>
        <v>0.48899999999999999</v>
      </c>
      <c r="F70" s="3" t="str">
        <f ca="1">IFERROR(__xludf.DUMMYFUNCTION("""COMPUTED_VALUE"""),"Medium")</f>
        <v>Medium</v>
      </c>
      <c r="G70" s="3" t="str">
        <f ca="1">IFERROR(__xludf.DUMMYFUNCTION("""COMPUTED_VALUE"""),"23.8238%;")</f>
        <v>23.8238%;</v>
      </c>
    </row>
    <row r="71" spans="1:7" x14ac:dyDescent="0.2">
      <c r="A71" s="3">
        <f ca="1">IFERROR(__xludf.DUMMYFUNCTION("""COMPUTED_VALUE"""),129)</f>
        <v>129</v>
      </c>
      <c r="B71" s="4" t="str">
        <f ca="1">IFERROR(__xludf.DUMMYFUNCTION("""COMPUTED_VALUE"""),"Sum Root to Leaf Numbers")</f>
        <v>Sum Root to Leaf Numbers</v>
      </c>
      <c r="C71" s="8" t="str">
        <f ca="1">IFERROR(__xludf.DUMMYFUNCTION("""COMPUTED_VALUE"""),"https://leetcode.com/problems/sum-root-to-leaf-numbers")</f>
        <v>https://leetcode.com/problems/sum-root-to-leaf-numbers</v>
      </c>
      <c r="D71" s="3" t="str">
        <f ca="1">IFERROR(__xludf.DUMMYFUNCTION("""COMPUTED_VALUE"""),"N")</f>
        <v>N</v>
      </c>
      <c r="E71" s="6">
        <f ca="1">IFERROR(__xludf.DUMMYFUNCTION("""COMPUTED_VALUE"""),0.588)</f>
        <v>0.58799999999999997</v>
      </c>
      <c r="F71" s="3" t="str">
        <f ca="1">IFERROR(__xludf.DUMMYFUNCTION("""COMPUTED_VALUE"""),"Medium")</f>
        <v>Medium</v>
      </c>
      <c r="G71" s="3" t="str">
        <f ca="1">IFERROR(__xludf.DUMMYFUNCTION("""COMPUTED_VALUE"""),"3.09701%;")</f>
        <v>3.09701%;</v>
      </c>
    </row>
    <row r="72" spans="1:7" x14ac:dyDescent="0.2">
      <c r="A72" s="3">
        <f ca="1">IFERROR(__xludf.DUMMYFUNCTION("""COMPUTED_VALUE"""),130)</f>
        <v>130</v>
      </c>
      <c r="B72" s="4" t="str">
        <f ca="1">IFERROR(__xludf.DUMMYFUNCTION("""COMPUTED_VALUE"""),"Surrounded Regions")</f>
        <v>Surrounded Regions</v>
      </c>
      <c r="C72" s="8" t="str">
        <f ca="1">IFERROR(__xludf.DUMMYFUNCTION("""COMPUTED_VALUE"""),"https://leetcode.com/problems/surrounded-regions")</f>
        <v>https://leetcode.com/problems/surrounded-regions</v>
      </c>
      <c r="D72" s="3" t="str">
        <f ca="1">IFERROR(__xludf.DUMMYFUNCTION("""COMPUTED_VALUE"""),"N")</f>
        <v>N</v>
      </c>
      <c r="E72" s="6">
        <f ca="1">IFERROR(__xludf.DUMMYFUNCTION("""COMPUTED_VALUE"""),0.361)</f>
        <v>0.36099999999999999</v>
      </c>
      <c r="F72" s="3" t="str">
        <f ca="1">IFERROR(__xludf.DUMMYFUNCTION("""COMPUTED_VALUE"""),"Medium")</f>
        <v>Medium</v>
      </c>
      <c r="G72" s="3" t="str">
        <f ca="1">IFERROR(__xludf.DUMMYFUNCTION("""COMPUTED_VALUE"""),"9.20236%;")</f>
        <v>9.20236%;</v>
      </c>
    </row>
    <row r="73" spans="1:7" x14ac:dyDescent="0.2">
      <c r="A73" s="3">
        <f ca="1">IFERROR(__xludf.DUMMYFUNCTION("""COMPUTED_VALUE"""),131)</f>
        <v>131</v>
      </c>
      <c r="B73" s="4" t="str">
        <f ca="1">IFERROR(__xludf.DUMMYFUNCTION("""COMPUTED_VALUE"""),"Palindrome Partitioning")</f>
        <v>Palindrome Partitioning</v>
      </c>
      <c r="C73" s="8" t="str">
        <f ca="1">IFERROR(__xludf.DUMMYFUNCTION("""COMPUTED_VALUE"""),"https://leetcode.com/problems/palindrome-partitioning")</f>
        <v>https://leetcode.com/problems/palindrome-partitioning</v>
      </c>
      <c r="D73" s="3" t="str">
        <f ca="1">IFERROR(__xludf.DUMMYFUNCTION("""COMPUTED_VALUE"""),"N")</f>
        <v>N</v>
      </c>
      <c r="E73" s="6">
        <f ca="1">IFERROR(__xludf.DUMMYFUNCTION("""COMPUTED_VALUE"""),0.625)</f>
        <v>0.625</v>
      </c>
      <c r="F73" s="3" t="str">
        <f ca="1">IFERROR(__xludf.DUMMYFUNCTION("""COMPUTED_VALUE"""),"Medium")</f>
        <v>Medium</v>
      </c>
      <c r="G73" s="3" t="str">
        <f ca="1">IFERROR(__xludf.DUMMYFUNCTION("""COMPUTED_VALUE"""),"12.3657%;")</f>
        <v>12.3657%;</v>
      </c>
    </row>
    <row r="74" spans="1:7" x14ac:dyDescent="0.2">
      <c r="A74" s="3">
        <f ca="1">IFERROR(__xludf.DUMMYFUNCTION("""COMPUTED_VALUE"""),133)</f>
        <v>133</v>
      </c>
      <c r="B74" s="4" t="str">
        <f ca="1">IFERROR(__xludf.DUMMYFUNCTION("""COMPUTED_VALUE"""),"Clone Graph")</f>
        <v>Clone Graph</v>
      </c>
      <c r="C74" s="8" t="str">
        <f ca="1">IFERROR(__xludf.DUMMYFUNCTION("""COMPUTED_VALUE"""),"https://leetcode.com/problems/clone-graph")</f>
        <v>https://leetcode.com/problems/clone-graph</v>
      </c>
      <c r="D74" s="3" t="str">
        <f ca="1">IFERROR(__xludf.DUMMYFUNCTION("""COMPUTED_VALUE"""),"N")</f>
        <v>N</v>
      </c>
      <c r="E74" s="6">
        <f ca="1">IFERROR(__xludf.DUMMYFUNCTION("""COMPUTED_VALUE"""),0.508)</f>
        <v>0.50800000000000001</v>
      </c>
      <c r="F74" s="3" t="str">
        <f ca="1">IFERROR(__xludf.DUMMYFUNCTION("""COMPUTED_VALUE"""),"Medium")</f>
        <v>Medium</v>
      </c>
      <c r="G74" s="3" t="str">
        <f ca="1">IFERROR(__xludf.DUMMYFUNCTION("""COMPUTED_VALUE"""),"7.2969%;")</f>
        <v>7.2969%;</v>
      </c>
    </row>
    <row r="75" spans="1:7" x14ac:dyDescent="0.2">
      <c r="A75" s="3">
        <f ca="1">IFERROR(__xludf.DUMMYFUNCTION("""COMPUTED_VALUE"""),134)</f>
        <v>134</v>
      </c>
      <c r="B75" s="4" t="str">
        <f ca="1">IFERROR(__xludf.DUMMYFUNCTION("""COMPUTED_VALUE"""),"Gas Station")</f>
        <v>Gas Station</v>
      </c>
      <c r="C75" s="8" t="str">
        <f ca="1">IFERROR(__xludf.DUMMYFUNCTION("""COMPUTED_VALUE"""),"https://leetcode.com/problems/gas-station")</f>
        <v>https://leetcode.com/problems/gas-station</v>
      </c>
      <c r="D75" s="3" t="str">
        <f ca="1">IFERROR(__xludf.DUMMYFUNCTION("""COMPUTED_VALUE"""),"N")</f>
        <v>N</v>
      </c>
      <c r="E75" s="6">
        <f ca="1">IFERROR(__xludf.DUMMYFUNCTION("""COMPUTED_VALUE"""),0.451)</f>
        <v>0.45100000000000001</v>
      </c>
      <c r="F75" s="3" t="str">
        <f ca="1">IFERROR(__xludf.DUMMYFUNCTION("""COMPUTED_VALUE"""),"Medium")</f>
        <v>Medium</v>
      </c>
      <c r="G75" s="3" t="str">
        <f ca="1">IFERROR(__xludf.DUMMYFUNCTION("""COMPUTED_VALUE"""),"24.4174%;")</f>
        <v>24.4174%;</v>
      </c>
    </row>
    <row r="76" spans="1:7" x14ac:dyDescent="0.2">
      <c r="A76" s="3">
        <f ca="1">IFERROR(__xludf.DUMMYFUNCTION("""COMPUTED_VALUE"""),137)</f>
        <v>137</v>
      </c>
      <c r="B76" s="4" t="str">
        <f ca="1">IFERROR(__xludf.DUMMYFUNCTION("""COMPUTED_VALUE"""),"Single Number II")</f>
        <v>Single Number II</v>
      </c>
      <c r="C76" s="8" t="str">
        <f ca="1">IFERROR(__xludf.DUMMYFUNCTION("""COMPUTED_VALUE"""),"https://leetcode.com/problems/single-number-ii")</f>
        <v>https://leetcode.com/problems/single-number-ii</v>
      </c>
      <c r="D76" s="3" t="str">
        <f ca="1">IFERROR(__xludf.DUMMYFUNCTION("""COMPUTED_VALUE"""),"N")</f>
        <v>N</v>
      </c>
      <c r="E76" s="6">
        <f ca="1">IFERROR(__xludf.DUMMYFUNCTION("""COMPUTED_VALUE"""),0.579)</f>
        <v>0.57899999999999996</v>
      </c>
      <c r="F76" s="3" t="str">
        <f ca="1">IFERROR(__xludf.DUMMYFUNCTION("""COMPUTED_VALUE"""),"Medium")</f>
        <v>Medium</v>
      </c>
      <c r="G76" s="3" t="str">
        <f ca="1">IFERROR(__xludf.DUMMYFUNCTION("""COMPUTED_VALUE"""),"5.71668%;")</f>
        <v>5.71668%;</v>
      </c>
    </row>
    <row r="77" spans="1:7" x14ac:dyDescent="0.2">
      <c r="A77" s="3">
        <f ca="1">IFERROR(__xludf.DUMMYFUNCTION("""COMPUTED_VALUE"""),138)</f>
        <v>138</v>
      </c>
      <c r="B77" s="4" t="str">
        <f ca="1">IFERROR(__xludf.DUMMYFUNCTION("""COMPUTED_VALUE"""),"Copy List with Random Pointer")</f>
        <v>Copy List with Random Pointer</v>
      </c>
      <c r="C77" s="8" t="str">
        <f ca="1">IFERROR(__xludf.DUMMYFUNCTION("""COMPUTED_VALUE"""),"https://leetcode.com/problems/copy-list-with-random-pointer")</f>
        <v>https://leetcode.com/problems/copy-list-with-random-pointer</v>
      </c>
      <c r="D77" s="3" t="str">
        <f ca="1">IFERROR(__xludf.DUMMYFUNCTION("""COMPUTED_VALUE"""),"N")</f>
        <v>N</v>
      </c>
      <c r="E77" s="6">
        <f ca="1">IFERROR(__xludf.DUMMYFUNCTION("""COMPUTED_VALUE"""),0.506)</f>
        <v>0.50600000000000001</v>
      </c>
      <c r="F77" s="3" t="str">
        <f ca="1">IFERROR(__xludf.DUMMYFUNCTION("""COMPUTED_VALUE"""),"Medium")</f>
        <v>Medium</v>
      </c>
      <c r="G77" s="3" t="str">
        <f ca="1">IFERROR(__xludf.DUMMYFUNCTION("""COMPUTED_VALUE"""),"55.2474%;")</f>
        <v>55.2474%;</v>
      </c>
    </row>
    <row r="78" spans="1:7" x14ac:dyDescent="0.2">
      <c r="A78" s="3">
        <f ca="1">IFERROR(__xludf.DUMMYFUNCTION("""COMPUTED_VALUE"""),139)</f>
        <v>139</v>
      </c>
      <c r="B78" s="4" t="str">
        <f ca="1">IFERROR(__xludf.DUMMYFUNCTION("""COMPUTED_VALUE"""),"Word Break")</f>
        <v>Word Break</v>
      </c>
      <c r="C78" s="8" t="str">
        <f ca="1">IFERROR(__xludf.DUMMYFUNCTION("""COMPUTED_VALUE"""),"https://leetcode.com/problems/word-break")</f>
        <v>https://leetcode.com/problems/word-break</v>
      </c>
      <c r="D78" s="3" t="str">
        <f ca="1">IFERROR(__xludf.DUMMYFUNCTION("""COMPUTED_VALUE"""),"N")</f>
        <v>N</v>
      </c>
      <c r="E78" s="6">
        <f ca="1">IFERROR(__xludf.DUMMYFUNCTION("""COMPUTED_VALUE"""),0.455)</f>
        <v>0.45500000000000002</v>
      </c>
      <c r="F78" s="3" t="str">
        <f ca="1">IFERROR(__xludf.DUMMYFUNCTION("""COMPUTED_VALUE"""),"Medium")</f>
        <v>Medium</v>
      </c>
      <c r="G78" s="3" t="str">
        <f ca="1">IFERROR(__xludf.DUMMYFUNCTION("""COMPUTED_VALUE"""),"37.1035%;")</f>
        <v>37.1035%;</v>
      </c>
    </row>
    <row r="79" spans="1:7" x14ac:dyDescent="0.2">
      <c r="A79" s="3">
        <f ca="1">IFERROR(__xludf.DUMMYFUNCTION("""COMPUTED_VALUE"""),142)</f>
        <v>142</v>
      </c>
      <c r="B79" s="4" t="str">
        <f ca="1">IFERROR(__xludf.DUMMYFUNCTION("""COMPUTED_VALUE"""),"Linked List Cycle II")</f>
        <v>Linked List Cycle II</v>
      </c>
      <c r="C79" s="8" t="str">
        <f ca="1">IFERROR(__xludf.DUMMYFUNCTION("""COMPUTED_VALUE"""),"https://leetcode.com/problems/linked-list-cycle-ii")</f>
        <v>https://leetcode.com/problems/linked-list-cycle-ii</v>
      </c>
      <c r="D79" s="3" t="str">
        <f ca="1">IFERROR(__xludf.DUMMYFUNCTION("""COMPUTED_VALUE"""),"N")</f>
        <v>N</v>
      </c>
      <c r="E79" s="6">
        <f ca="1">IFERROR(__xludf.DUMMYFUNCTION("""COMPUTED_VALUE"""),0.465)</f>
        <v>0.46500000000000002</v>
      </c>
      <c r="F79" s="3" t="str">
        <f ca="1">IFERROR(__xludf.DUMMYFUNCTION("""COMPUTED_VALUE"""),"Medium")</f>
        <v>Medium</v>
      </c>
      <c r="G79" s="3" t="str">
        <f ca="1">IFERROR(__xludf.DUMMYFUNCTION("""COMPUTED_VALUE"""),"6.77774%;")</f>
        <v>6.77774%;</v>
      </c>
    </row>
    <row r="80" spans="1:7" x14ac:dyDescent="0.2">
      <c r="A80" s="3">
        <f ca="1">IFERROR(__xludf.DUMMYFUNCTION("""COMPUTED_VALUE"""),143)</f>
        <v>143</v>
      </c>
      <c r="B80" s="4" t="str">
        <f ca="1">IFERROR(__xludf.DUMMYFUNCTION("""COMPUTED_VALUE"""),"Reorder List")</f>
        <v>Reorder List</v>
      </c>
      <c r="C80" s="8" t="str">
        <f ca="1">IFERROR(__xludf.DUMMYFUNCTION("""COMPUTED_VALUE"""),"https://leetcode.com/problems/reorder-list")</f>
        <v>https://leetcode.com/problems/reorder-list</v>
      </c>
      <c r="D80" s="3" t="str">
        <f ca="1">IFERROR(__xludf.DUMMYFUNCTION("""COMPUTED_VALUE"""),"N")</f>
        <v>N</v>
      </c>
      <c r="E80" s="6">
        <f ca="1">IFERROR(__xludf.DUMMYFUNCTION("""COMPUTED_VALUE"""),0.512)</f>
        <v>0.51200000000000001</v>
      </c>
      <c r="F80" s="3" t="str">
        <f ca="1">IFERROR(__xludf.DUMMYFUNCTION("""COMPUTED_VALUE"""),"Medium")</f>
        <v>Medium</v>
      </c>
      <c r="G80" s="3" t="str">
        <f ca="1">IFERROR(__xludf.DUMMYFUNCTION("""COMPUTED_VALUE"""),"9.42272%;")</f>
        <v>9.42272%;</v>
      </c>
    </row>
    <row r="81" spans="1:7" x14ac:dyDescent="0.2">
      <c r="A81" s="3">
        <f ca="1">IFERROR(__xludf.DUMMYFUNCTION("""COMPUTED_VALUE"""),146)</f>
        <v>146</v>
      </c>
      <c r="B81" s="4" t="str">
        <f ca="1">IFERROR(__xludf.DUMMYFUNCTION("""COMPUTED_VALUE"""),"LRU Cache")</f>
        <v>LRU Cache</v>
      </c>
      <c r="C81" s="8" t="str">
        <f ca="1">IFERROR(__xludf.DUMMYFUNCTION("""COMPUTED_VALUE"""),"https://leetcode.com/problems/lru-cache")</f>
        <v>https://leetcode.com/problems/lru-cache</v>
      </c>
      <c r="D81" s="3" t="str">
        <f ca="1">IFERROR(__xludf.DUMMYFUNCTION("""COMPUTED_VALUE"""),"N")</f>
        <v>N</v>
      </c>
      <c r="E81" s="6">
        <f ca="1">IFERROR(__xludf.DUMMYFUNCTION("""COMPUTED_VALUE"""),0.405)</f>
        <v>0.40500000000000003</v>
      </c>
      <c r="F81" s="3" t="str">
        <f ca="1">IFERROR(__xludf.DUMMYFUNCTION("""COMPUTED_VALUE"""),"Medium")</f>
        <v>Medium</v>
      </c>
      <c r="G81" s="3" t="str">
        <f ca="1">IFERROR(__xludf.DUMMYFUNCTION("""COMPUTED_VALUE"""),"83.3923%;")</f>
        <v>83.3923%;</v>
      </c>
    </row>
    <row r="82" spans="1:7" x14ac:dyDescent="0.2">
      <c r="A82" s="3">
        <f ca="1">IFERROR(__xludf.DUMMYFUNCTION("""COMPUTED_VALUE"""),148)</f>
        <v>148</v>
      </c>
      <c r="B82" s="4" t="str">
        <f ca="1">IFERROR(__xludf.DUMMYFUNCTION("""COMPUTED_VALUE"""),"Sort List")</f>
        <v>Sort List</v>
      </c>
      <c r="C82" s="8" t="str">
        <f ca="1">IFERROR(__xludf.DUMMYFUNCTION("""COMPUTED_VALUE"""),"https://leetcode.com/problems/sort-list")</f>
        <v>https://leetcode.com/problems/sort-list</v>
      </c>
      <c r="D82" s="3" t="str">
        <f ca="1">IFERROR(__xludf.DUMMYFUNCTION("""COMPUTED_VALUE"""),"N")</f>
        <v>N</v>
      </c>
      <c r="E82" s="6">
        <f ca="1">IFERROR(__xludf.DUMMYFUNCTION("""COMPUTED_VALUE"""),0.543)</f>
        <v>0.54300000000000004</v>
      </c>
      <c r="F82" s="3" t="str">
        <f ca="1">IFERROR(__xludf.DUMMYFUNCTION("""COMPUTED_VALUE"""),"Medium")</f>
        <v>Medium</v>
      </c>
      <c r="G82" s="3" t="str">
        <f ca="1">IFERROR(__xludf.DUMMYFUNCTION("""COMPUTED_VALUE"""),"5.46359%;")</f>
        <v>5.46359%;</v>
      </c>
    </row>
    <row r="83" spans="1:7" x14ac:dyDescent="0.2">
      <c r="A83" s="3">
        <f ca="1">IFERROR(__xludf.DUMMYFUNCTION("""COMPUTED_VALUE"""),150)</f>
        <v>150</v>
      </c>
      <c r="B83" s="4" t="str">
        <f ca="1">IFERROR(__xludf.DUMMYFUNCTION("""COMPUTED_VALUE"""),"Evaluate Reverse Polish Notation")</f>
        <v>Evaluate Reverse Polish Notation</v>
      </c>
      <c r="C83" s="8" t="str">
        <f ca="1">IFERROR(__xludf.DUMMYFUNCTION("""COMPUTED_VALUE"""),"https://leetcode.com/problems/evaluate-reverse-polish-notation")</f>
        <v>https://leetcode.com/problems/evaluate-reverse-polish-notation</v>
      </c>
      <c r="D83" s="3" t="str">
        <f ca="1">IFERROR(__xludf.DUMMYFUNCTION("""COMPUTED_VALUE"""),"N")</f>
        <v>N</v>
      </c>
      <c r="E83" s="6">
        <f ca="1">IFERROR(__xludf.DUMMYFUNCTION("""COMPUTED_VALUE"""),0.441)</f>
        <v>0.441</v>
      </c>
      <c r="F83" s="3" t="str">
        <f ca="1">IFERROR(__xludf.DUMMYFUNCTION("""COMPUTED_VALUE"""),"Medium")</f>
        <v>Medium</v>
      </c>
      <c r="G83" s="3" t="str">
        <f ca="1">IFERROR(__xludf.DUMMYFUNCTION("""COMPUTED_VALUE"""),"29.22%;")</f>
        <v>29.22%;</v>
      </c>
    </row>
    <row r="84" spans="1:7" x14ac:dyDescent="0.2">
      <c r="A84" s="3">
        <f ca="1">IFERROR(__xludf.DUMMYFUNCTION("""COMPUTED_VALUE"""),151)</f>
        <v>151</v>
      </c>
      <c r="B84" s="4" t="str">
        <f ca="1">IFERROR(__xludf.DUMMYFUNCTION("""COMPUTED_VALUE"""),"Reverse Words in a String")</f>
        <v>Reverse Words in a String</v>
      </c>
      <c r="C84" s="8" t="str">
        <f ca="1">IFERROR(__xludf.DUMMYFUNCTION("""COMPUTED_VALUE"""),"https://leetcode.com/problems/reverse-words-in-a-string")</f>
        <v>https://leetcode.com/problems/reverse-words-in-a-string</v>
      </c>
      <c r="D84" s="3" t="str">
        <f ca="1">IFERROR(__xludf.DUMMYFUNCTION("""COMPUTED_VALUE"""),"N")</f>
        <v>N</v>
      </c>
      <c r="E84" s="6">
        <f ca="1">IFERROR(__xludf.DUMMYFUNCTION("""COMPUTED_VALUE"""),0.318)</f>
        <v>0.318</v>
      </c>
      <c r="F84" s="3" t="str">
        <f ca="1">IFERROR(__xludf.DUMMYFUNCTION("""COMPUTED_VALUE"""),"Medium")</f>
        <v>Medium</v>
      </c>
      <c r="G84" s="3" t="str">
        <f ca="1">IFERROR(__xludf.DUMMYFUNCTION("""COMPUTED_VALUE"""),"2.17467%;")</f>
        <v>2.17467%;</v>
      </c>
    </row>
    <row r="85" spans="1:7" x14ac:dyDescent="0.2">
      <c r="A85" s="3">
        <f ca="1">IFERROR(__xludf.DUMMYFUNCTION("""COMPUTED_VALUE"""),152)</f>
        <v>152</v>
      </c>
      <c r="B85" s="4" t="str">
        <f ca="1">IFERROR(__xludf.DUMMYFUNCTION("""COMPUTED_VALUE"""),"Maximum Product Subarray")</f>
        <v>Maximum Product Subarray</v>
      </c>
      <c r="C85" s="8" t="str">
        <f ca="1">IFERROR(__xludf.DUMMYFUNCTION("""COMPUTED_VALUE"""),"https://leetcode.com/problems/maximum-product-subarray")</f>
        <v>https://leetcode.com/problems/maximum-product-subarray</v>
      </c>
      <c r="D85" s="3" t="str">
        <f ca="1">IFERROR(__xludf.DUMMYFUNCTION("""COMPUTED_VALUE"""),"N")</f>
        <v>N</v>
      </c>
      <c r="E85" s="6">
        <f ca="1">IFERROR(__xludf.DUMMYFUNCTION("""COMPUTED_VALUE"""),0.349)</f>
        <v>0.34899999999999998</v>
      </c>
      <c r="F85" s="3" t="str">
        <f ca="1">IFERROR(__xludf.DUMMYFUNCTION("""COMPUTED_VALUE"""),"Medium")</f>
        <v>Medium</v>
      </c>
      <c r="G85" s="3" t="str">
        <f ca="1">IFERROR(__xludf.DUMMYFUNCTION("""COMPUTED_VALUE"""),"23.4116%;")</f>
        <v>23.4116%;</v>
      </c>
    </row>
    <row r="86" spans="1:7" x14ac:dyDescent="0.2">
      <c r="A86" s="3">
        <f ca="1">IFERROR(__xludf.DUMMYFUNCTION("""COMPUTED_VALUE"""),153)</f>
        <v>153</v>
      </c>
      <c r="B86" s="4" t="str">
        <f ca="1">IFERROR(__xludf.DUMMYFUNCTION("""COMPUTED_VALUE"""),"Find Minimum in Rotated Sorted Array")</f>
        <v>Find Minimum in Rotated Sorted Array</v>
      </c>
      <c r="C86" s="8" t="str">
        <f ca="1">IFERROR(__xludf.DUMMYFUNCTION("""COMPUTED_VALUE"""),"https://leetcode.com/problems/find-minimum-in-rotated-sorted-array")</f>
        <v>https://leetcode.com/problems/find-minimum-in-rotated-sorted-array</v>
      </c>
      <c r="D86" s="3" t="str">
        <f ca="1">IFERROR(__xludf.DUMMYFUNCTION("""COMPUTED_VALUE"""),"N")</f>
        <v>N</v>
      </c>
      <c r="E86" s="6">
        <f ca="1">IFERROR(__xludf.DUMMYFUNCTION("""COMPUTED_VALUE"""),0.485)</f>
        <v>0.48499999999999999</v>
      </c>
      <c r="F86" s="3" t="str">
        <f ca="1">IFERROR(__xludf.DUMMYFUNCTION("""COMPUTED_VALUE"""),"Medium")</f>
        <v>Medium</v>
      </c>
      <c r="G86" s="3" t="str">
        <f ca="1">IFERROR(__xludf.DUMMYFUNCTION("""COMPUTED_VALUE"""),"9.30869%;")</f>
        <v>9.30869%;</v>
      </c>
    </row>
    <row r="87" spans="1:7" x14ac:dyDescent="0.2">
      <c r="A87" s="3">
        <f ca="1">IFERROR(__xludf.DUMMYFUNCTION("""COMPUTED_VALUE"""),155)</f>
        <v>155</v>
      </c>
      <c r="B87" s="4" t="str">
        <f ca="1">IFERROR(__xludf.DUMMYFUNCTION("""COMPUTED_VALUE"""),"Min Stack")</f>
        <v>Min Stack</v>
      </c>
      <c r="C87" s="8" t="str">
        <f ca="1">IFERROR(__xludf.DUMMYFUNCTION("""COMPUTED_VALUE"""),"https://leetcode.com/problems/min-stack")</f>
        <v>https://leetcode.com/problems/min-stack</v>
      </c>
      <c r="D87" s="3" t="str">
        <f ca="1">IFERROR(__xludf.DUMMYFUNCTION("""COMPUTED_VALUE"""),"N")</f>
        <v>N</v>
      </c>
      <c r="E87" s="6">
        <f ca="1">IFERROR(__xludf.DUMMYFUNCTION("""COMPUTED_VALUE"""),0.519)</f>
        <v>0.51900000000000002</v>
      </c>
      <c r="F87" s="3" t="str">
        <f ca="1">IFERROR(__xludf.DUMMYFUNCTION("""COMPUTED_VALUE"""),"Medium")</f>
        <v>Medium</v>
      </c>
      <c r="G87" s="3" t="str">
        <f ca="1">IFERROR(__xludf.DUMMYFUNCTION("""COMPUTED_VALUE"""),"23.9141%;")</f>
        <v>23.9141%;</v>
      </c>
    </row>
    <row r="88" spans="1:7" x14ac:dyDescent="0.2">
      <c r="A88" s="3">
        <f ca="1">IFERROR(__xludf.DUMMYFUNCTION("""COMPUTED_VALUE"""),159)</f>
        <v>159</v>
      </c>
      <c r="B88" s="4" t="str">
        <f ca="1">IFERROR(__xludf.DUMMYFUNCTION("""COMPUTED_VALUE"""),"Longest Substring with At Most Two Distinct Characters")</f>
        <v>Longest Substring with At Most Two Distinct Characters</v>
      </c>
      <c r="C88" s="8" t="str">
        <f ca="1">IFERROR(__xludf.DUMMYFUNCTION("""COMPUTED_VALUE"""),"https://leetcode.com/problems/longest-substring-with-at-most-two-distinct-characters")</f>
        <v>https://leetcode.com/problems/longest-substring-with-at-most-two-distinct-characters</v>
      </c>
      <c r="D88" s="3" t="str">
        <f ca="1">IFERROR(__xludf.DUMMYFUNCTION("""COMPUTED_VALUE"""),"Y")</f>
        <v>Y</v>
      </c>
      <c r="E88" s="6">
        <f ca="1">IFERROR(__xludf.DUMMYFUNCTION("""COMPUTED_VALUE"""),0.535)</f>
        <v>0.53500000000000003</v>
      </c>
      <c r="F88" s="3" t="str">
        <f ca="1">IFERROR(__xludf.DUMMYFUNCTION("""COMPUTED_VALUE"""),"Medium")</f>
        <v>Medium</v>
      </c>
      <c r="G88" s="3" t="str">
        <f ca="1">IFERROR(__xludf.DUMMYFUNCTION("""COMPUTED_VALUE"""),"15.4166%;")</f>
        <v>15.4166%;</v>
      </c>
    </row>
    <row r="89" spans="1:7" x14ac:dyDescent="0.2">
      <c r="A89" s="3">
        <f ca="1">IFERROR(__xludf.DUMMYFUNCTION("""COMPUTED_VALUE"""),162)</f>
        <v>162</v>
      </c>
      <c r="B89" s="4" t="str">
        <f ca="1">IFERROR(__xludf.DUMMYFUNCTION("""COMPUTED_VALUE"""),"Find Peak Element")</f>
        <v>Find Peak Element</v>
      </c>
      <c r="C89" s="8" t="str">
        <f ca="1">IFERROR(__xludf.DUMMYFUNCTION("""COMPUTED_VALUE"""),"https://leetcode.com/problems/find-peak-element")</f>
        <v>https://leetcode.com/problems/find-peak-element</v>
      </c>
      <c r="D89" s="3" t="str">
        <f ca="1">IFERROR(__xludf.DUMMYFUNCTION("""COMPUTED_VALUE"""),"N")</f>
        <v>N</v>
      </c>
      <c r="E89" s="6">
        <f ca="1">IFERROR(__xludf.DUMMYFUNCTION("""COMPUTED_VALUE"""),0.462)</f>
        <v>0.46200000000000002</v>
      </c>
      <c r="F89" s="3" t="str">
        <f ca="1">IFERROR(__xludf.DUMMYFUNCTION("""COMPUTED_VALUE"""),"Medium")</f>
        <v>Medium</v>
      </c>
      <c r="G89" s="3" t="str">
        <f ca="1">IFERROR(__xludf.DUMMYFUNCTION("""COMPUTED_VALUE"""),"5.38548%;")</f>
        <v>5.38548%;</v>
      </c>
    </row>
    <row r="90" spans="1:7" x14ac:dyDescent="0.2">
      <c r="A90" s="3">
        <f ca="1">IFERROR(__xludf.DUMMYFUNCTION("""COMPUTED_VALUE"""),165)</f>
        <v>165</v>
      </c>
      <c r="B90" s="4" t="str">
        <f ca="1">IFERROR(__xludf.DUMMYFUNCTION("""COMPUTED_VALUE"""),"Compare Version Numbers")</f>
        <v>Compare Version Numbers</v>
      </c>
      <c r="C90" s="8" t="str">
        <f ca="1">IFERROR(__xludf.DUMMYFUNCTION("""COMPUTED_VALUE"""),"https://leetcode.com/problems/compare-version-numbers")</f>
        <v>https://leetcode.com/problems/compare-version-numbers</v>
      </c>
      <c r="D90" s="3" t="str">
        <f ca="1">IFERROR(__xludf.DUMMYFUNCTION("""COMPUTED_VALUE"""),"N")</f>
        <v>N</v>
      </c>
      <c r="E90" s="6">
        <f ca="1">IFERROR(__xludf.DUMMYFUNCTION("""COMPUTED_VALUE"""),0.354)</f>
        <v>0.35399999999999998</v>
      </c>
      <c r="F90" s="3" t="str">
        <f ca="1">IFERROR(__xludf.DUMMYFUNCTION("""COMPUTED_VALUE"""),"Medium")</f>
        <v>Medium</v>
      </c>
      <c r="G90" s="3" t="str">
        <f ca="1">IFERROR(__xludf.DUMMYFUNCTION("""COMPUTED_VALUE"""),"29.347%;")</f>
        <v>29.347%;</v>
      </c>
    </row>
    <row r="91" spans="1:7" x14ac:dyDescent="0.2">
      <c r="A91" s="3">
        <f ca="1">IFERROR(__xludf.DUMMYFUNCTION("""COMPUTED_VALUE"""),167)</f>
        <v>167</v>
      </c>
      <c r="B91" s="4" t="str">
        <f ca="1">IFERROR(__xludf.DUMMYFUNCTION("""COMPUTED_VALUE"""),"Two Sum II - Input Array Is Sorted")</f>
        <v>Two Sum II - Input Array Is Sorted</v>
      </c>
      <c r="C91" s="8" t="str">
        <f ca="1">IFERROR(__xludf.DUMMYFUNCTION("""COMPUTED_VALUE"""),"https://leetcode.com/problems/two-sum-ii-input-array-is-sorted")</f>
        <v>https://leetcode.com/problems/two-sum-ii-input-array-is-sorted</v>
      </c>
      <c r="D91" s="3" t="str">
        <f ca="1">IFERROR(__xludf.DUMMYFUNCTION("""COMPUTED_VALUE"""),"N")</f>
        <v>N</v>
      </c>
      <c r="E91" s="6">
        <f ca="1">IFERROR(__xludf.DUMMYFUNCTION("""COMPUTED_VALUE"""),0.6)</f>
        <v>0.6</v>
      </c>
      <c r="F91" s="3" t="str">
        <f ca="1">IFERROR(__xludf.DUMMYFUNCTION("""COMPUTED_VALUE"""),"Medium")</f>
        <v>Medium</v>
      </c>
      <c r="G91" s="3" t="str">
        <f ca="1">IFERROR(__xludf.DUMMYFUNCTION("""COMPUTED_VALUE"""),"16.114%;")</f>
        <v>16.114%;</v>
      </c>
    </row>
    <row r="92" spans="1:7" x14ac:dyDescent="0.2">
      <c r="A92" s="3">
        <f ca="1">IFERROR(__xludf.DUMMYFUNCTION("""COMPUTED_VALUE"""),173)</f>
        <v>173</v>
      </c>
      <c r="B92" s="4" t="str">
        <f ca="1">IFERROR(__xludf.DUMMYFUNCTION("""COMPUTED_VALUE"""),"Binary Search Tree Iterator")</f>
        <v>Binary Search Tree Iterator</v>
      </c>
      <c r="C92" s="8" t="str">
        <f ca="1">IFERROR(__xludf.DUMMYFUNCTION("""COMPUTED_VALUE"""),"https://leetcode.com/problems/binary-search-tree-iterator")</f>
        <v>https://leetcode.com/problems/binary-search-tree-iterator</v>
      </c>
      <c r="D92" s="3" t="str">
        <f ca="1">IFERROR(__xludf.DUMMYFUNCTION("""COMPUTED_VALUE"""),"N")</f>
        <v>N</v>
      </c>
      <c r="E92" s="6">
        <f ca="1">IFERROR(__xludf.DUMMYFUNCTION("""COMPUTED_VALUE"""),0.692)</f>
        <v>0.69199999999999995</v>
      </c>
      <c r="F92" s="3" t="str">
        <f ca="1">IFERROR(__xludf.DUMMYFUNCTION("""COMPUTED_VALUE"""),"Medium")</f>
        <v>Medium</v>
      </c>
      <c r="G92" s="3" t="str">
        <f ca="1">IFERROR(__xludf.DUMMYFUNCTION("""COMPUTED_VALUE"""),"11.9399%;")</f>
        <v>11.9399%;</v>
      </c>
    </row>
    <row r="93" spans="1:7" x14ac:dyDescent="0.2">
      <c r="A93" s="3">
        <f ca="1">IFERROR(__xludf.DUMMYFUNCTION("""COMPUTED_VALUE"""),176)</f>
        <v>176</v>
      </c>
      <c r="B93" s="4" t="str">
        <f ca="1">IFERROR(__xludf.DUMMYFUNCTION("""COMPUTED_VALUE"""),"Second Highest Salary")</f>
        <v>Second Highest Salary</v>
      </c>
      <c r="C93" s="8" t="str">
        <f ca="1">IFERROR(__xludf.DUMMYFUNCTION("""COMPUTED_VALUE"""),"https://leetcode.com/problems/second-highest-salary")</f>
        <v>https://leetcode.com/problems/second-highest-salary</v>
      </c>
      <c r="D93" s="3" t="str">
        <f ca="1">IFERROR(__xludf.DUMMYFUNCTION("""COMPUTED_VALUE"""),"N")</f>
        <v>N</v>
      </c>
      <c r="E93" s="6">
        <f ca="1">IFERROR(__xludf.DUMMYFUNCTION("""COMPUTED_VALUE"""),0.366)</f>
        <v>0.36599999999999999</v>
      </c>
      <c r="F93" s="3" t="str">
        <f ca="1">IFERROR(__xludf.DUMMYFUNCTION("""COMPUTED_VALUE"""),"Medium")</f>
        <v>Medium</v>
      </c>
      <c r="G93" s="3" t="str">
        <f ca="1">IFERROR(__xludf.DUMMYFUNCTION("""COMPUTED_VALUE"""),"6.06025%;")</f>
        <v>6.06025%;</v>
      </c>
    </row>
    <row r="94" spans="1:7" x14ac:dyDescent="0.2">
      <c r="A94" s="3">
        <f ca="1">IFERROR(__xludf.DUMMYFUNCTION("""COMPUTED_VALUE"""),177)</f>
        <v>177</v>
      </c>
      <c r="B94" s="4" t="str">
        <f ca="1">IFERROR(__xludf.DUMMYFUNCTION("""COMPUTED_VALUE"""),"Nth Highest Salary")</f>
        <v>Nth Highest Salary</v>
      </c>
      <c r="C94" s="8" t="str">
        <f ca="1">IFERROR(__xludf.DUMMYFUNCTION("""COMPUTED_VALUE"""),"https://leetcode.com/problems/nth-highest-salary")</f>
        <v>https://leetcode.com/problems/nth-highest-salary</v>
      </c>
      <c r="D94" s="3" t="str">
        <f ca="1">IFERROR(__xludf.DUMMYFUNCTION("""COMPUTED_VALUE"""),"N")</f>
        <v>N</v>
      </c>
      <c r="E94" s="6">
        <f ca="1">IFERROR(__xludf.DUMMYFUNCTION("""COMPUTED_VALUE"""),0.375)</f>
        <v>0.375</v>
      </c>
      <c r="F94" s="3" t="str">
        <f ca="1">IFERROR(__xludf.DUMMYFUNCTION("""COMPUTED_VALUE"""),"Medium")</f>
        <v>Medium</v>
      </c>
      <c r="G94" s="3" t="str">
        <f ca="1">IFERROR(__xludf.DUMMYFUNCTION("""COMPUTED_VALUE"""),"12.9019%;")</f>
        <v>12.9019%;</v>
      </c>
    </row>
    <row r="95" spans="1:7" x14ac:dyDescent="0.2">
      <c r="A95" s="3">
        <f ca="1">IFERROR(__xludf.DUMMYFUNCTION("""COMPUTED_VALUE"""),178)</f>
        <v>178</v>
      </c>
      <c r="B95" s="4" t="str">
        <f ca="1">IFERROR(__xludf.DUMMYFUNCTION("""COMPUTED_VALUE"""),"Rank Scores")</f>
        <v>Rank Scores</v>
      </c>
      <c r="C95" s="8" t="str">
        <f ca="1">IFERROR(__xludf.DUMMYFUNCTION("""COMPUTED_VALUE"""),"https://leetcode.com/problems/rank-scores")</f>
        <v>https://leetcode.com/problems/rank-scores</v>
      </c>
      <c r="D95" s="3" t="str">
        <f ca="1">IFERROR(__xludf.DUMMYFUNCTION("""COMPUTED_VALUE"""),"N")</f>
        <v>N</v>
      </c>
      <c r="E95" s="6">
        <f ca="1">IFERROR(__xludf.DUMMYFUNCTION("""COMPUTED_VALUE"""),0.601)</f>
        <v>0.60099999999999998</v>
      </c>
      <c r="F95" s="3" t="str">
        <f ca="1">IFERROR(__xludf.DUMMYFUNCTION("""COMPUTED_VALUE"""),"Medium")</f>
        <v>Medium</v>
      </c>
      <c r="G95" s="3" t="str">
        <f ca="1">IFERROR(__xludf.DUMMYFUNCTION("""COMPUTED_VALUE"""),"2.7637%;")</f>
        <v>2.7637%;</v>
      </c>
    </row>
    <row r="96" spans="1:7" x14ac:dyDescent="0.2">
      <c r="A96" s="3">
        <f ca="1">IFERROR(__xludf.DUMMYFUNCTION("""COMPUTED_VALUE"""),179)</f>
        <v>179</v>
      </c>
      <c r="B96" s="4" t="str">
        <f ca="1">IFERROR(__xludf.DUMMYFUNCTION("""COMPUTED_VALUE"""),"Largest Number")</f>
        <v>Largest Number</v>
      </c>
      <c r="C96" s="8" t="str">
        <f ca="1">IFERROR(__xludf.DUMMYFUNCTION("""COMPUTED_VALUE"""),"https://leetcode.com/problems/largest-number")</f>
        <v>https://leetcode.com/problems/largest-number</v>
      </c>
      <c r="D96" s="3" t="str">
        <f ca="1">IFERROR(__xludf.DUMMYFUNCTION("""COMPUTED_VALUE"""),"N")</f>
        <v>N</v>
      </c>
      <c r="E96" s="6">
        <f ca="1">IFERROR(__xludf.DUMMYFUNCTION("""COMPUTED_VALUE"""),0.341)</f>
        <v>0.34100000000000003</v>
      </c>
      <c r="F96" s="3" t="str">
        <f ca="1">IFERROR(__xludf.DUMMYFUNCTION("""COMPUTED_VALUE"""),"Medium")</f>
        <v>Medium</v>
      </c>
      <c r="G96" s="3" t="str">
        <f ca="1">IFERROR(__xludf.DUMMYFUNCTION("""COMPUTED_VALUE"""),"11.5127%;")</f>
        <v>11.5127%;</v>
      </c>
    </row>
    <row r="97" spans="1:7" x14ac:dyDescent="0.2">
      <c r="A97" s="3">
        <f ca="1">IFERROR(__xludf.DUMMYFUNCTION("""COMPUTED_VALUE"""),180)</f>
        <v>180</v>
      </c>
      <c r="B97" s="4" t="str">
        <f ca="1">IFERROR(__xludf.DUMMYFUNCTION("""COMPUTED_VALUE"""),"Consecutive Numbers")</f>
        <v>Consecutive Numbers</v>
      </c>
      <c r="C97" s="8" t="str">
        <f ca="1">IFERROR(__xludf.DUMMYFUNCTION("""COMPUTED_VALUE"""),"https://leetcode.com/problems/consecutive-numbers")</f>
        <v>https://leetcode.com/problems/consecutive-numbers</v>
      </c>
      <c r="D97" s="3" t="str">
        <f ca="1">IFERROR(__xludf.DUMMYFUNCTION("""COMPUTED_VALUE"""),"N")</f>
        <v>N</v>
      </c>
      <c r="E97" s="6">
        <f ca="1">IFERROR(__xludf.DUMMYFUNCTION("""COMPUTED_VALUE"""),0.468)</f>
        <v>0.46800000000000003</v>
      </c>
      <c r="F97" s="3" t="str">
        <f ca="1">IFERROR(__xludf.DUMMYFUNCTION("""COMPUTED_VALUE"""),"Medium")</f>
        <v>Medium</v>
      </c>
      <c r="G97" s="3" t="str">
        <f ca="1">IFERROR(__xludf.DUMMYFUNCTION("""COMPUTED_VALUE"""),"6.82667%;")</f>
        <v>6.82667%;</v>
      </c>
    </row>
    <row r="98" spans="1:7" x14ac:dyDescent="0.2">
      <c r="A98" s="3">
        <f ca="1">IFERROR(__xludf.DUMMYFUNCTION("""COMPUTED_VALUE"""),184)</f>
        <v>184</v>
      </c>
      <c r="B98" s="4" t="str">
        <f ca="1">IFERROR(__xludf.DUMMYFUNCTION("""COMPUTED_VALUE"""),"Department Highest Salary")</f>
        <v>Department Highest Salary</v>
      </c>
      <c r="C98" s="8" t="str">
        <f ca="1">IFERROR(__xludf.DUMMYFUNCTION("""COMPUTED_VALUE"""),"https://leetcode.com/problems/department-highest-salary")</f>
        <v>https://leetcode.com/problems/department-highest-salary</v>
      </c>
      <c r="D98" s="3" t="str">
        <f ca="1">IFERROR(__xludf.DUMMYFUNCTION("""COMPUTED_VALUE"""),"N")</f>
        <v>N</v>
      </c>
      <c r="E98" s="6">
        <f ca="1">IFERROR(__xludf.DUMMYFUNCTION("""COMPUTED_VALUE"""),0.497)</f>
        <v>0.497</v>
      </c>
      <c r="F98" s="3" t="str">
        <f ca="1">IFERROR(__xludf.DUMMYFUNCTION("""COMPUTED_VALUE"""),"Medium")</f>
        <v>Medium</v>
      </c>
      <c r="G98" s="3" t="str">
        <f ca="1">IFERROR(__xludf.DUMMYFUNCTION("""COMPUTED_VALUE"""),"2.44257%;")</f>
        <v>2.44257%;</v>
      </c>
    </row>
    <row r="99" spans="1:7" x14ac:dyDescent="0.2">
      <c r="A99" s="3">
        <f ca="1">IFERROR(__xludf.DUMMYFUNCTION("""COMPUTED_VALUE"""),189)</f>
        <v>189</v>
      </c>
      <c r="B99" s="4" t="str">
        <f ca="1">IFERROR(__xludf.DUMMYFUNCTION("""COMPUTED_VALUE"""),"Rotate Array")</f>
        <v>Rotate Array</v>
      </c>
      <c r="C99" s="8" t="str">
        <f ca="1">IFERROR(__xludf.DUMMYFUNCTION("""COMPUTED_VALUE"""),"https://leetcode.com/problems/rotate-array")</f>
        <v>https://leetcode.com/problems/rotate-array</v>
      </c>
      <c r="D99" s="3" t="str">
        <f ca="1">IFERROR(__xludf.DUMMYFUNCTION("""COMPUTED_VALUE"""),"N")</f>
        <v>N</v>
      </c>
      <c r="E99" s="6">
        <f ca="1">IFERROR(__xludf.DUMMYFUNCTION("""COMPUTED_VALUE"""),0.392)</f>
        <v>0.39200000000000002</v>
      </c>
      <c r="F99" s="3" t="str">
        <f ca="1">IFERROR(__xludf.DUMMYFUNCTION("""COMPUTED_VALUE"""),"Medium")</f>
        <v>Medium</v>
      </c>
      <c r="G99" s="3" t="str">
        <f ca="1">IFERROR(__xludf.DUMMYFUNCTION("""COMPUTED_VALUE"""),"8.55056%;")</f>
        <v>8.55056%;</v>
      </c>
    </row>
    <row r="100" spans="1:7" x14ac:dyDescent="0.2">
      <c r="A100" s="3">
        <f ca="1">IFERROR(__xludf.DUMMYFUNCTION("""COMPUTED_VALUE"""),198)</f>
        <v>198</v>
      </c>
      <c r="B100" s="4" t="str">
        <f ca="1">IFERROR(__xludf.DUMMYFUNCTION("""COMPUTED_VALUE"""),"House Robber")</f>
        <v>House Robber</v>
      </c>
      <c r="C100" s="8" t="str">
        <f ca="1">IFERROR(__xludf.DUMMYFUNCTION("""COMPUTED_VALUE"""),"https://leetcode.com/problems/house-robber")</f>
        <v>https://leetcode.com/problems/house-robber</v>
      </c>
      <c r="D100" s="3" t="str">
        <f ca="1">IFERROR(__xludf.DUMMYFUNCTION("""COMPUTED_VALUE"""),"N")</f>
        <v>N</v>
      </c>
      <c r="E100" s="6">
        <f ca="1">IFERROR(__xludf.DUMMYFUNCTION("""COMPUTED_VALUE"""),0.488)</f>
        <v>0.48799999999999999</v>
      </c>
      <c r="F100" s="3" t="str">
        <f ca="1">IFERROR(__xludf.DUMMYFUNCTION("""COMPUTED_VALUE"""),"Medium")</f>
        <v>Medium</v>
      </c>
      <c r="G100" s="3" t="str">
        <f ca="1">IFERROR(__xludf.DUMMYFUNCTION("""COMPUTED_VALUE"""),"33.7973%;")</f>
        <v>33.7973%;</v>
      </c>
    </row>
    <row r="101" spans="1:7" x14ac:dyDescent="0.2">
      <c r="A101" s="3">
        <f ca="1">IFERROR(__xludf.DUMMYFUNCTION("""COMPUTED_VALUE"""),199)</f>
        <v>199</v>
      </c>
      <c r="B101" s="4" t="str">
        <f ca="1">IFERROR(__xludf.DUMMYFUNCTION("""COMPUTED_VALUE"""),"Binary Tree Right Side View")</f>
        <v>Binary Tree Right Side View</v>
      </c>
      <c r="C101" s="8" t="str">
        <f ca="1">IFERROR(__xludf.DUMMYFUNCTION("""COMPUTED_VALUE"""),"https://leetcode.com/problems/binary-tree-right-side-view")</f>
        <v>https://leetcode.com/problems/binary-tree-right-side-view</v>
      </c>
      <c r="D101" s="3" t="str">
        <f ca="1">IFERROR(__xludf.DUMMYFUNCTION("""COMPUTED_VALUE"""),"N")</f>
        <v>N</v>
      </c>
      <c r="E101" s="6">
        <f ca="1">IFERROR(__xludf.DUMMYFUNCTION("""COMPUTED_VALUE"""),0.612)</f>
        <v>0.61199999999999999</v>
      </c>
      <c r="F101" s="3" t="str">
        <f ca="1">IFERROR(__xludf.DUMMYFUNCTION("""COMPUTED_VALUE"""),"Medium")</f>
        <v>Medium</v>
      </c>
      <c r="G101" s="3" t="str">
        <f ca="1">IFERROR(__xludf.DUMMYFUNCTION("""COMPUTED_VALUE"""),"24.1406%;")</f>
        <v>24.1406%;</v>
      </c>
    </row>
    <row r="102" spans="1:7" x14ac:dyDescent="0.2">
      <c r="A102" s="3">
        <f ca="1">IFERROR(__xludf.DUMMYFUNCTION("""COMPUTED_VALUE"""),200)</f>
        <v>200</v>
      </c>
      <c r="B102" s="4" t="str">
        <f ca="1">IFERROR(__xludf.DUMMYFUNCTION("""COMPUTED_VALUE"""),"Number of Islands")</f>
        <v>Number of Islands</v>
      </c>
      <c r="C102" s="8" t="str">
        <f ca="1">IFERROR(__xludf.DUMMYFUNCTION("""COMPUTED_VALUE"""),"https://leetcode.com/problems/number-of-islands")</f>
        <v>https://leetcode.com/problems/number-of-islands</v>
      </c>
      <c r="D102" s="3" t="str">
        <f ca="1">IFERROR(__xludf.DUMMYFUNCTION("""COMPUTED_VALUE"""),"N")</f>
        <v>N</v>
      </c>
      <c r="E102" s="6">
        <f ca="1">IFERROR(__xludf.DUMMYFUNCTION("""COMPUTED_VALUE"""),0.564)</f>
        <v>0.56399999999999995</v>
      </c>
      <c r="F102" s="3" t="str">
        <f ca="1">IFERROR(__xludf.DUMMYFUNCTION("""COMPUTED_VALUE"""),"Medium")</f>
        <v>Medium</v>
      </c>
      <c r="G102" s="3" t="str">
        <f ca="1">IFERROR(__xludf.DUMMYFUNCTION("""COMPUTED_VALUE"""),"80.2562%;")</f>
        <v>80.2562%;</v>
      </c>
    </row>
    <row r="103" spans="1:7" x14ac:dyDescent="0.2">
      <c r="A103" s="3">
        <f ca="1">IFERROR(__xludf.DUMMYFUNCTION("""COMPUTED_VALUE"""),204)</f>
        <v>204</v>
      </c>
      <c r="B103" s="4" t="str">
        <f ca="1">IFERROR(__xludf.DUMMYFUNCTION("""COMPUTED_VALUE"""),"Count Primes")</f>
        <v>Count Primes</v>
      </c>
      <c r="C103" s="8" t="str">
        <f ca="1">IFERROR(__xludf.DUMMYFUNCTION("""COMPUTED_VALUE"""),"https://leetcode.com/problems/count-primes")</f>
        <v>https://leetcode.com/problems/count-primes</v>
      </c>
      <c r="D103" s="3" t="str">
        <f ca="1">IFERROR(__xludf.DUMMYFUNCTION("""COMPUTED_VALUE"""),"N")</f>
        <v>N</v>
      </c>
      <c r="E103" s="6">
        <f ca="1">IFERROR(__xludf.DUMMYFUNCTION("""COMPUTED_VALUE"""),0.331)</f>
        <v>0.33100000000000002</v>
      </c>
      <c r="F103" s="3" t="str">
        <f ca="1">IFERROR(__xludf.DUMMYFUNCTION("""COMPUTED_VALUE"""),"Medium")</f>
        <v>Medium</v>
      </c>
      <c r="G103" s="3" t="str">
        <f ca="1">IFERROR(__xludf.DUMMYFUNCTION("""COMPUTED_VALUE"""),"4.23389%;")</f>
        <v>4.23389%;</v>
      </c>
    </row>
    <row r="104" spans="1:7" x14ac:dyDescent="0.2">
      <c r="A104" s="3">
        <f ca="1">IFERROR(__xludf.DUMMYFUNCTION("""COMPUTED_VALUE"""),207)</f>
        <v>207</v>
      </c>
      <c r="B104" s="4" t="str">
        <f ca="1">IFERROR(__xludf.DUMMYFUNCTION("""COMPUTED_VALUE"""),"Course Schedule")</f>
        <v>Course Schedule</v>
      </c>
      <c r="C104" s="8" t="str">
        <f ca="1">IFERROR(__xludf.DUMMYFUNCTION("""COMPUTED_VALUE"""),"https://leetcode.com/problems/course-schedule")</f>
        <v>https://leetcode.com/problems/course-schedule</v>
      </c>
      <c r="D104" s="3" t="str">
        <f ca="1">IFERROR(__xludf.DUMMYFUNCTION("""COMPUTED_VALUE"""),"N")</f>
        <v>N</v>
      </c>
      <c r="E104" s="6">
        <f ca="1">IFERROR(__xludf.DUMMYFUNCTION("""COMPUTED_VALUE"""),0.454)</f>
        <v>0.45400000000000001</v>
      </c>
      <c r="F104" s="3" t="str">
        <f ca="1">IFERROR(__xludf.DUMMYFUNCTION("""COMPUTED_VALUE"""),"Medium")</f>
        <v>Medium</v>
      </c>
      <c r="G104" s="3" t="str">
        <f ca="1">IFERROR(__xludf.DUMMYFUNCTION("""COMPUTED_VALUE"""),"55.8441%;")</f>
        <v>55.8441%;</v>
      </c>
    </row>
    <row r="105" spans="1:7" x14ac:dyDescent="0.2">
      <c r="A105" s="3">
        <f ca="1">IFERROR(__xludf.DUMMYFUNCTION("""COMPUTED_VALUE"""),208)</f>
        <v>208</v>
      </c>
      <c r="B105" s="4" t="str">
        <f ca="1">IFERROR(__xludf.DUMMYFUNCTION("""COMPUTED_VALUE"""),"Implement Trie (Prefix Tree)")</f>
        <v>Implement Trie (Prefix Tree)</v>
      </c>
      <c r="C105" s="8" t="str">
        <f ca="1">IFERROR(__xludf.DUMMYFUNCTION("""COMPUTED_VALUE"""),"https://leetcode.com/problems/implement-trie-prefix-tree")</f>
        <v>https://leetcode.com/problems/implement-trie-prefix-tree</v>
      </c>
      <c r="D105" s="3" t="str">
        <f ca="1">IFERROR(__xludf.DUMMYFUNCTION("""COMPUTED_VALUE"""),"N")</f>
        <v>N</v>
      </c>
      <c r="E105" s="6">
        <f ca="1">IFERROR(__xludf.DUMMYFUNCTION("""COMPUTED_VALUE"""),0.61)</f>
        <v>0.61</v>
      </c>
      <c r="F105" s="3" t="str">
        <f ca="1">IFERROR(__xludf.DUMMYFUNCTION("""COMPUTED_VALUE"""),"Medium")</f>
        <v>Medium</v>
      </c>
      <c r="G105" s="3" t="str">
        <f ca="1">IFERROR(__xludf.DUMMYFUNCTION("""COMPUTED_VALUE"""),"15.1699%;")</f>
        <v>15.1699%;</v>
      </c>
    </row>
    <row r="106" spans="1:7" x14ac:dyDescent="0.2">
      <c r="A106" s="3">
        <f ca="1">IFERROR(__xludf.DUMMYFUNCTION("""COMPUTED_VALUE"""),209)</f>
        <v>209</v>
      </c>
      <c r="B106" s="4" t="str">
        <f ca="1">IFERROR(__xludf.DUMMYFUNCTION("""COMPUTED_VALUE"""),"Minimum Size Subarray Sum")</f>
        <v>Minimum Size Subarray Sum</v>
      </c>
      <c r="C106" s="8" t="str">
        <f ca="1">IFERROR(__xludf.DUMMYFUNCTION("""COMPUTED_VALUE"""),"https://leetcode.com/problems/minimum-size-subarray-sum")</f>
        <v>https://leetcode.com/problems/minimum-size-subarray-sum</v>
      </c>
      <c r="D106" s="3" t="str">
        <f ca="1">IFERROR(__xludf.DUMMYFUNCTION("""COMPUTED_VALUE"""),"N")</f>
        <v>N</v>
      </c>
      <c r="E106" s="6">
        <f ca="1">IFERROR(__xludf.DUMMYFUNCTION("""COMPUTED_VALUE"""),0.445)</f>
        <v>0.44500000000000001</v>
      </c>
      <c r="F106" s="3" t="str">
        <f ca="1">IFERROR(__xludf.DUMMYFUNCTION("""COMPUTED_VALUE"""),"Medium")</f>
        <v>Medium</v>
      </c>
      <c r="G106" s="3" t="str">
        <f ca="1">IFERROR(__xludf.DUMMYFUNCTION("""COMPUTED_VALUE"""),"1.13415%;")</f>
        <v>1.13415%;</v>
      </c>
    </row>
    <row r="107" spans="1:7" x14ac:dyDescent="0.2">
      <c r="A107" s="3">
        <f ca="1">IFERROR(__xludf.DUMMYFUNCTION("""COMPUTED_VALUE"""),210)</f>
        <v>210</v>
      </c>
      <c r="B107" s="4" t="str">
        <f ca="1">IFERROR(__xludf.DUMMYFUNCTION("""COMPUTED_VALUE"""),"Course Schedule II")</f>
        <v>Course Schedule II</v>
      </c>
      <c r="C107" s="8" t="str">
        <f ca="1">IFERROR(__xludf.DUMMYFUNCTION("""COMPUTED_VALUE"""),"https://leetcode.com/problems/course-schedule-ii")</f>
        <v>https://leetcode.com/problems/course-schedule-ii</v>
      </c>
      <c r="D107" s="3" t="str">
        <f ca="1">IFERROR(__xludf.DUMMYFUNCTION("""COMPUTED_VALUE"""),"N")</f>
        <v>N</v>
      </c>
      <c r="E107" s="6">
        <f ca="1">IFERROR(__xludf.DUMMYFUNCTION("""COMPUTED_VALUE"""),0.48)</f>
        <v>0.48</v>
      </c>
      <c r="F107" s="3" t="str">
        <f ca="1">IFERROR(__xludf.DUMMYFUNCTION("""COMPUTED_VALUE"""),"Medium")</f>
        <v>Medium</v>
      </c>
      <c r="G107" s="3" t="str">
        <f ca="1">IFERROR(__xludf.DUMMYFUNCTION("""COMPUTED_VALUE"""),"47.5932%;")</f>
        <v>47.5932%;</v>
      </c>
    </row>
    <row r="108" spans="1:7" x14ac:dyDescent="0.2">
      <c r="A108" s="3">
        <f ca="1">IFERROR(__xludf.DUMMYFUNCTION("""COMPUTED_VALUE"""),211)</f>
        <v>211</v>
      </c>
      <c r="B108" s="4" t="str">
        <f ca="1">IFERROR(__xludf.DUMMYFUNCTION("""COMPUTED_VALUE"""),"Design Add and Search Words Data Structure")</f>
        <v>Design Add and Search Words Data Structure</v>
      </c>
      <c r="C108" s="8" t="str">
        <f ca="1">IFERROR(__xludf.DUMMYFUNCTION("""COMPUTED_VALUE"""),"https://leetcode.com/problems/design-add-and-search-words-data-structure")</f>
        <v>https://leetcode.com/problems/design-add-and-search-words-data-structure</v>
      </c>
      <c r="D108" s="3" t="str">
        <f ca="1">IFERROR(__xludf.DUMMYFUNCTION("""COMPUTED_VALUE"""),"N")</f>
        <v>N</v>
      </c>
      <c r="E108" s="6">
        <f ca="1">IFERROR(__xludf.DUMMYFUNCTION("""COMPUTED_VALUE"""),0.43)</f>
        <v>0.43</v>
      </c>
      <c r="F108" s="3" t="str">
        <f ca="1">IFERROR(__xludf.DUMMYFUNCTION("""COMPUTED_VALUE"""),"Medium")</f>
        <v>Medium</v>
      </c>
      <c r="G108" s="3" t="str">
        <f ca="1">IFERROR(__xludf.DUMMYFUNCTION("""COMPUTED_VALUE"""),"14.8327%;")</f>
        <v>14.8327%;</v>
      </c>
    </row>
    <row r="109" spans="1:7" x14ac:dyDescent="0.2">
      <c r="A109" s="3">
        <f ca="1">IFERROR(__xludf.DUMMYFUNCTION("""COMPUTED_VALUE"""),213)</f>
        <v>213</v>
      </c>
      <c r="B109" s="4" t="str">
        <f ca="1">IFERROR(__xludf.DUMMYFUNCTION("""COMPUTED_VALUE"""),"House Robber II")</f>
        <v>House Robber II</v>
      </c>
      <c r="C109" s="8" t="str">
        <f ca="1">IFERROR(__xludf.DUMMYFUNCTION("""COMPUTED_VALUE"""),"https://leetcode.com/problems/house-robber-ii")</f>
        <v>https://leetcode.com/problems/house-robber-ii</v>
      </c>
      <c r="D109" s="3" t="str">
        <f ca="1">IFERROR(__xludf.DUMMYFUNCTION("""COMPUTED_VALUE"""),"N")</f>
        <v>N</v>
      </c>
      <c r="E109" s="6">
        <f ca="1">IFERROR(__xludf.DUMMYFUNCTION("""COMPUTED_VALUE"""),0.407)</f>
        <v>0.40699999999999997</v>
      </c>
      <c r="F109" s="3" t="str">
        <f ca="1">IFERROR(__xludf.DUMMYFUNCTION("""COMPUTED_VALUE"""),"Medium")</f>
        <v>Medium</v>
      </c>
      <c r="G109" s="3" t="str">
        <f ca="1">IFERROR(__xludf.DUMMYFUNCTION("""COMPUTED_VALUE"""),"2.81862%;")</f>
        <v>2.81862%;</v>
      </c>
    </row>
    <row r="110" spans="1:7" x14ac:dyDescent="0.2">
      <c r="A110" s="3">
        <f ca="1">IFERROR(__xludf.DUMMYFUNCTION("""COMPUTED_VALUE"""),215)</f>
        <v>215</v>
      </c>
      <c r="B110" s="4" t="str">
        <f ca="1">IFERROR(__xludf.DUMMYFUNCTION("""COMPUTED_VALUE"""),"Kth Largest Element in an Array")</f>
        <v>Kth Largest Element in an Array</v>
      </c>
      <c r="C110" s="8" t="str">
        <f ca="1">IFERROR(__xludf.DUMMYFUNCTION("""COMPUTED_VALUE"""),"https://leetcode.com/problems/kth-largest-element-in-an-array")</f>
        <v>https://leetcode.com/problems/kth-largest-element-in-an-array</v>
      </c>
      <c r="D110" s="3" t="str">
        <f ca="1">IFERROR(__xludf.DUMMYFUNCTION("""COMPUTED_VALUE"""),"N")</f>
        <v>N</v>
      </c>
      <c r="E110" s="6">
        <f ca="1">IFERROR(__xludf.DUMMYFUNCTION("""COMPUTED_VALUE"""),0.658)</f>
        <v>0.65800000000000003</v>
      </c>
      <c r="F110" s="3" t="str">
        <f ca="1">IFERROR(__xludf.DUMMYFUNCTION("""COMPUTED_VALUE"""),"Medium")</f>
        <v>Medium</v>
      </c>
      <c r="G110" s="3" t="str">
        <f ca="1">IFERROR(__xludf.DUMMYFUNCTION("""COMPUTED_VALUE"""),"29.2225%;")</f>
        <v>29.2225%;</v>
      </c>
    </row>
    <row r="111" spans="1:7" x14ac:dyDescent="0.2">
      <c r="A111" s="3">
        <f ca="1">IFERROR(__xludf.DUMMYFUNCTION("""COMPUTED_VALUE"""),221)</f>
        <v>221</v>
      </c>
      <c r="B111" s="4" t="str">
        <f ca="1">IFERROR(__xludf.DUMMYFUNCTION("""COMPUTED_VALUE"""),"Maximal Square")</f>
        <v>Maximal Square</v>
      </c>
      <c r="C111" s="8" t="str">
        <f ca="1">IFERROR(__xludf.DUMMYFUNCTION("""COMPUTED_VALUE"""),"https://leetcode.com/problems/maximal-square")</f>
        <v>https://leetcode.com/problems/maximal-square</v>
      </c>
      <c r="D111" s="3" t="str">
        <f ca="1">IFERROR(__xludf.DUMMYFUNCTION("""COMPUTED_VALUE"""),"N")</f>
        <v>N</v>
      </c>
      <c r="E111" s="6">
        <f ca="1">IFERROR(__xludf.DUMMYFUNCTION("""COMPUTED_VALUE"""),0.446)</f>
        <v>0.44600000000000001</v>
      </c>
      <c r="F111" s="3" t="str">
        <f ca="1">IFERROR(__xludf.DUMMYFUNCTION("""COMPUTED_VALUE"""),"Medium")</f>
        <v>Medium</v>
      </c>
      <c r="G111" s="3" t="str">
        <f ca="1">IFERROR(__xludf.DUMMYFUNCTION("""COMPUTED_VALUE"""),"15.1382%;")</f>
        <v>15.1382%;</v>
      </c>
    </row>
    <row r="112" spans="1:7" x14ac:dyDescent="0.2">
      <c r="A112" s="3">
        <f ca="1">IFERROR(__xludf.DUMMYFUNCTION("""COMPUTED_VALUE"""),222)</f>
        <v>222</v>
      </c>
      <c r="B112" s="4" t="str">
        <f ca="1">IFERROR(__xludf.DUMMYFUNCTION("""COMPUTED_VALUE"""),"Count Complete Tree Nodes")</f>
        <v>Count Complete Tree Nodes</v>
      </c>
      <c r="C112" s="8" t="str">
        <f ca="1">IFERROR(__xludf.DUMMYFUNCTION("""COMPUTED_VALUE"""),"https://leetcode.com/problems/count-complete-tree-nodes")</f>
        <v>https://leetcode.com/problems/count-complete-tree-nodes</v>
      </c>
      <c r="D112" s="3" t="str">
        <f ca="1">IFERROR(__xludf.DUMMYFUNCTION("""COMPUTED_VALUE"""),"N")</f>
        <v>N</v>
      </c>
      <c r="E112" s="6">
        <f ca="1">IFERROR(__xludf.DUMMYFUNCTION("""COMPUTED_VALUE"""),0.597)</f>
        <v>0.59699999999999998</v>
      </c>
      <c r="F112" s="3" t="str">
        <f ca="1">IFERROR(__xludf.DUMMYFUNCTION("""COMPUTED_VALUE"""),"Medium")</f>
        <v>Medium</v>
      </c>
      <c r="G112" s="3" t="str">
        <f ca="1">IFERROR(__xludf.DUMMYFUNCTION("""COMPUTED_VALUE"""),"3.71078%;")</f>
        <v>3.71078%;</v>
      </c>
    </row>
    <row r="113" spans="1:7" x14ac:dyDescent="0.2">
      <c r="A113" s="3">
        <f ca="1">IFERROR(__xludf.DUMMYFUNCTION("""COMPUTED_VALUE"""),227)</f>
        <v>227</v>
      </c>
      <c r="B113" s="4" t="str">
        <f ca="1">IFERROR(__xludf.DUMMYFUNCTION("""COMPUTED_VALUE"""),"Basic Calculator II")</f>
        <v>Basic Calculator II</v>
      </c>
      <c r="C113" s="8" t="str">
        <f ca="1">IFERROR(__xludf.DUMMYFUNCTION("""COMPUTED_VALUE"""),"https://leetcode.com/problems/basic-calculator-ii")</f>
        <v>https://leetcode.com/problems/basic-calculator-ii</v>
      </c>
      <c r="D113" s="3" t="str">
        <f ca="1">IFERROR(__xludf.DUMMYFUNCTION("""COMPUTED_VALUE"""),"N")</f>
        <v>N</v>
      </c>
      <c r="E113" s="6">
        <f ca="1">IFERROR(__xludf.DUMMYFUNCTION("""COMPUTED_VALUE"""),0.422)</f>
        <v>0.42199999999999999</v>
      </c>
      <c r="F113" s="3" t="str">
        <f ca="1">IFERROR(__xludf.DUMMYFUNCTION("""COMPUTED_VALUE"""),"Medium")</f>
        <v>Medium</v>
      </c>
      <c r="G113" s="3" t="str">
        <f ca="1">IFERROR(__xludf.DUMMYFUNCTION("""COMPUTED_VALUE"""),"46.3177%;")</f>
        <v>46.3177%;</v>
      </c>
    </row>
    <row r="114" spans="1:7" x14ac:dyDescent="0.2">
      <c r="A114" s="3">
        <f ca="1">IFERROR(__xludf.DUMMYFUNCTION("""COMPUTED_VALUE"""),230)</f>
        <v>230</v>
      </c>
      <c r="B114" s="4" t="str">
        <f ca="1">IFERROR(__xludf.DUMMYFUNCTION("""COMPUTED_VALUE"""),"Kth Smallest Element in a BST")</f>
        <v>Kth Smallest Element in a BST</v>
      </c>
      <c r="C114" s="8" t="str">
        <f ca="1">IFERROR(__xludf.DUMMYFUNCTION("""COMPUTED_VALUE"""),"https://leetcode.com/problems/kth-smallest-element-in-a-bst")</f>
        <v>https://leetcode.com/problems/kth-smallest-element-in-a-bst</v>
      </c>
      <c r="D114" s="3" t="str">
        <f ca="1">IFERROR(__xludf.DUMMYFUNCTION("""COMPUTED_VALUE"""),"N")</f>
        <v>N</v>
      </c>
      <c r="E114" s="6">
        <f ca="1">IFERROR(__xludf.DUMMYFUNCTION("""COMPUTED_VALUE"""),0.694)</f>
        <v>0.69399999999999995</v>
      </c>
      <c r="F114" s="3" t="str">
        <f ca="1">IFERROR(__xludf.DUMMYFUNCTION("""COMPUTED_VALUE"""),"Medium")</f>
        <v>Medium</v>
      </c>
      <c r="G114" s="3" t="str">
        <f ca="1">IFERROR(__xludf.DUMMYFUNCTION("""COMPUTED_VALUE"""),"5.62457%;")</f>
        <v>5.62457%;</v>
      </c>
    </row>
    <row r="115" spans="1:7" x14ac:dyDescent="0.2">
      <c r="A115" s="3">
        <f ca="1">IFERROR(__xludf.DUMMYFUNCTION("""COMPUTED_VALUE"""),235)</f>
        <v>235</v>
      </c>
      <c r="B115" s="4" t="str">
        <f ca="1">IFERROR(__xludf.DUMMYFUNCTION("""COMPUTED_VALUE"""),"Lowest Common Ancestor of a Binary Search Tree")</f>
        <v>Lowest Common Ancestor of a Binary Search Tree</v>
      </c>
      <c r="C115" s="8" t="str">
        <f ca="1">IFERROR(__xludf.DUMMYFUNCTION("""COMPUTED_VALUE"""),"https://leetcode.com/problems/lowest-common-ancestor-of-a-binary-search-tree")</f>
        <v>https://leetcode.com/problems/lowest-common-ancestor-of-a-binary-search-tree</v>
      </c>
      <c r="D115" s="3" t="str">
        <f ca="1">IFERROR(__xludf.DUMMYFUNCTION("""COMPUTED_VALUE"""),"N")</f>
        <v>N</v>
      </c>
      <c r="E115" s="6">
        <f ca="1">IFERROR(__xludf.DUMMYFUNCTION("""COMPUTED_VALUE"""),0.603)</f>
        <v>0.60299999999999998</v>
      </c>
      <c r="F115" s="3" t="str">
        <f ca="1">IFERROR(__xludf.DUMMYFUNCTION("""COMPUTED_VALUE"""),"Medium")</f>
        <v>Medium</v>
      </c>
      <c r="G115" s="3" t="str">
        <f ca="1">IFERROR(__xludf.DUMMYFUNCTION("""COMPUTED_VALUE"""),"7.82009%;")</f>
        <v>7.82009%;</v>
      </c>
    </row>
    <row r="116" spans="1:7" x14ac:dyDescent="0.2">
      <c r="A116" s="3">
        <f ca="1">IFERROR(__xludf.DUMMYFUNCTION("""COMPUTED_VALUE"""),236)</f>
        <v>236</v>
      </c>
      <c r="B116" s="4" t="str">
        <f ca="1">IFERROR(__xludf.DUMMYFUNCTION("""COMPUTED_VALUE"""),"Lowest Common Ancestor of a Binary Tree")</f>
        <v>Lowest Common Ancestor of a Binary Tree</v>
      </c>
      <c r="C116" s="8" t="str">
        <f ca="1">IFERROR(__xludf.DUMMYFUNCTION("""COMPUTED_VALUE"""),"https://leetcode.com/problems/lowest-common-ancestor-of-a-binary-tree")</f>
        <v>https://leetcode.com/problems/lowest-common-ancestor-of-a-binary-tree</v>
      </c>
      <c r="D116" s="3" t="str">
        <f ca="1">IFERROR(__xludf.DUMMYFUNCTION("""COMPUTED_VALUE"""),"N")</f>
        <v>N</v>
      </c>
      <c r="E116" s="6">
        <f ca="1">IFERROR(__xludf.DUMMYFUNCTION("""COMPUTED_VALUE"""),0.581)</f>
        <v>0.58099999999999996</v>
      </c>
      <c r="F116" s="3" t="str">
        <f ca="1">IFERROR(__xludf.DUMMYFUNCTION("""COMPUTED_VALUE"""),"Medium")</f>
        <v>Medium</v>
      </c>
      <c r="G116" s="3" t="str">
        <f ca="1">IFERROR(__xludf.DUMMYFUNCTION("""COMPUTED_VALUE"""),"43.3451%;")</f>
        <v>43.3451%;</v>
      </c>
    </row>
    <row r="117" spans="1:7" x14ac:dyDescent="0.2">
      <c r="A117" s="3">
        <f ca="1">IFERROR(__xludf.DUMMYFUNCTION("""COMPUTED_VALUE"""),237)</f>
        <v>237</v>
      </c>
      <c r="B117" s="4" t="str">
        <f ca="1">IFERROR(__xludf.DUMMYFUNCTION("""COMPUTED_VALUE"""),"Delete Node in a Linked List")</f>
        <v>Delete Node in a Linked List</v>
      </c>
      <c r="C117" s="8" t="str">
        <f ca="1">IFERROR(__xludf.DUMMYFUNCTION("""COMPUTED_VALUE"""),"https://leetcode.com/problems/delete-node-in-a-linked-list")</f>
        <v>https://leetcode.com/problems/delete-node-in-a-linked-list</v>
      </c>
      <c r="D117" s="3" t="str">
        <f ca="1">IFERROR(__xludf.DUMMYFUNCTION("""COMPUTED_VALUE"""),"N")</f>
        <v>N</v>
      </c>
      <c r="E117" s="6">
        <f ca="1">IFERROR(__xludf.DUMMYFUNCTION("""COMPUTED_VALUE"""),0.753)</f>
        <v>0.753</v>
      </c>
      <c r="F117" s="3" t="str">
        <f ca="1">IFERROR(__xludf.DUMMYFUNCTION("""COMPUTED_VALUE"""),"Medium")</f>
        <v>Medium</v>
      </c>
      <c r="G117" s="3" t="str">
        <f ca="1">IFERROR(__xludf.DUMMYFUNCTION("""COMPUTED_VALUE"""),"11.2657%;")</f>
        <v>11.2657%;</v>
      </c>
    </row>
    <row r="118" spans="1:7" x14ac:dyDescent="0.2">
      <c r="A118" s="3">
        <f ca="1">IFERROR(__xludf.DUMMYFUNCTION("""COMPUTED_VALUE"""),238)</f>
        <v>238</v>
      </c>
      <c r="B118" s="4" t="str">
        <f ca="1">IFERROR(__xludf.DUMMYFUNCTION("""COMPUTED_VALUE"""),"Product of Array Except Self")</f>
        <v>Product of Array Except Self</v>
      </c>
      <c r="C118" s="8" t="str">
        <f ca="1">IFERROR(__xludf.DUMMYFUNCTION("""COMPUTED_VALUE"""),"https://leetcode.com/problems/product-of-array-except-self")</f>
        <v>https://leetcode.com/problems/product-of-array-except-self</v>
      </c>
      <c r="D118" s="3" t="str">
        <f ca="1">IFERROR(__xludf.DUMMYFUNCTION("""COMPUTED_VALUE"""),"N")</f>
        <v>N</v>
      </c>
      <c r="E118" s="6">
        <f ca="1">IFERROR(__xludf.DUMMYFUNCTION("""COMPUTED_VALUE"""),0.647)</f>
        <v>0.64700000000000002</v>
      </c>
      <c r="F118" s="3" t="str">
        <f ca="1">IFERROR(__xludf.DUMMYFUNCTION("""COMPUTED_VALUE"""),"Medium")</f>
        <v>Medium</v>
      </c>
      <c r="G118" s="3" t="str">
        <f ca="1">IFERROR(__xludf.DUMMYFUNCTION("""COMPUTED_VALUE"""),"22.7322%;")</f>
        <v>22.7322%;</v>
      </c>
    </row>
    <row r="119" spans="1:7" x14ac:dyDescent="0.2">
      <c r="A119" s="3">
        <f ca="1">IFERROR(__xludf.DUMMYFUNCTION("""COMPUTED_VALUE"""),240)</f>
        <v>240</v>
      </c>
      <c r="B119" s="4" t="str">
        <f ca="1">IFERROR(__xludf.DUMMYFUNCTION("""COMPUTED_VALUE"""),"Search a 2D Matrix II")</f>
        <v>Search a 2D Matrix II</v>
      </c>
      <c r="C119" s="8" t="str">
        <f ca="1">IFERROR(__xludf.DUMMYFUNCTION("""COMPUTED_VALUE"""),"https://leetcode.com/problems/search-a-2d-matrix-ii")</f>
        <v>https://leetcode.com/problems/search-a-2d-matrix-ii</v>
      </c>
      <c r="D119" s="3" t="str">
        <f ca="1">IFERROR(__xludf.DUMMYFUNCTION("""COMPUTED_VALUE"""),"N")</f>
        <v>N</v>
      </c>
      <c r="E119" s="6">
        <f ca="1">IFERROR(__xludf.DUMMYFUNCTION("""COMPUTED_VALUE"""),0.506)</f>
        <v>0.50600000000000001</v>
      </c>
      <c r="F119" s="3" t="str">
        <f ca="1">IFERROR(__xludf.DUMMYFUNCTION("""COMPUTED_VALUE"""),"Medium")</f>
        <v>Medium</v>
      </c>
      <c r="G119" s="3" t="str">
        <f ca="1">IFERROR(__xludf.DUMMYFUNCTION("""COMPUTED_VALUE"""),"13.215%;")</f>
        <v>13.215%;</v>
      </c>
    </row>
    <row r="120" spans="1:7" x14ac:dyDescent="0.2">
      <c r="A120" s="3">
        <f ca="1">IFERROR(__xludf.DUMMYFUNCTION("""COMPUTED_VALUE"""),244)</f>
        <v>244</v>
      </c>
      <c r="B120" s="4" t="str">
        <f ca="1">IFERROR(__xludf.DUMMYFUNCTION("""COMPUTED_VALUE"""),"Shortest Word Distance II")</f>
        <v>Shortest Word Distance II</v>
      </c>
      <c r="C120" s="8" t="str">
        <f ca="1">IFERROR(__xludf.DUMMYFUNCTION("""COMPUTED_VALUE"""),"https://leetcode.com/problems/shortest-word-distance-ii")</f>
        <v>https://leetcode.com/problems/shortest-word-distance-ii</v>
      </c>
      <c r="D120" s="3" t="str">
        <f ca="1">IFERROR(__xludf.DUMMYFUNCTION("""COMPUTED_VALUE"""),"Y")</f>
        <v>Y</v>
      </c>
      <c r="E120" s="6">
        <f ca="1">IFERROR(__xludf.DUMMYFUNCTION("""COMPUTED_VALUE"""),0.607)</f>
        <v>0.60699999999999998</v>
      </c>
      <c r="F120" s="3" t="str">
        <f ca="1">IFERROR(__xludf.DUMMYFUNCTION("""COMPUTED_VALUE"""),"Medium")</f>
        <v>Medium</v>
      </c>
      <c r="G120" s="3" t="str">
        <f ca="1">IFERROR(__xludf.DUMMYFUNCTION("""COMPUTED_VALUE"""),"12.2646%;")</f>
        <v>12.2646%;</v>
      </c>
    </row>
    <row r="121" spans="1:7" x14ac:dyDescent="0.2">
      <c r="A121" s="3">
        <f ca="1">IFERROR(__xludf.DUMMYFUNCTION("""COMPUTED_VALUE"""),249)</f>
        <v>249</v>
      </c>
      <c r="B121" s="4" t="str">
        <f ca="1">IFERROR(__xludf.DUMMYFUNCTION("""COMPUTED_VALUE"""),"Group Shifted Strings")</f>
        <v>Group Shifted Strings</v>
      </c>
      <c r="C121" s="8" t="str">
        <f ca="1">IFERROR(__xludf.DUMMYFUNCTION("""COMPUTED_VALUE"""),"https://leetcode.com/problems/group-shifted-strings")</f>
        <v>https://leetcode.com/problems/group-shifted-strings</v>
      </c>
      <c r="D121" s="3" t="str">
        <f ca="1">IFERROR(__xludf.DUMMYFUNCTION("""COMPUTED_VALUE"""),"Y")</f>
        <v>Y</v>
      </c>
      <c r="E121" s="6">
        <f ca="1">IFERROR(__xludf.DUMMYFUNCTION("""COMPUTED_VALUE"""),0.643)</f>
        <v>0.64300000000000002</v>
      </c>
      <c r="F121" s="3" t="str">
        <f ca="1">IFERROR(__xludf.DUMMYFUNCTION("""COMPUTED_VALUE"""),"Medium")</f>
        <v>Medium</v>
      </c>
      <c r="G121" s="3" t="str">
        <f ca="1">IFERROR(__xludf.DUMMYFUNCTION("""COMPUTED_VALUE"""),"35.1903%;")</f>
        <v>35.1903%;</v>
      </c>
    </row>
    <row r="122" spans="1:7" x14ac:dyDescent="0.2">
      <c r="A122" s="3">
        <f ca="1">IFERROR(__xludf.DUMMYFUNCTION("""COMPUTED_VALUE"""),253)</f>
        <v>253</v>
      </c>
      <c r="B122" s="4" t="str">
        <f ca="1">IFERROR(__xludf.DUMMYFUNCTION("""COMPUTED_VALUE"""),"Meeting Rooms II")</f>
        <v>Meeting Rooms II</v>
      </c>
      <c r="C122" s="8" t="str">
        <f ca="1">IFERROR(__xludf.DUMMYFUNCTION("""COMPUTED_VALUE"""),"https://leetcode.com/problems/meeting-rooms-ii")</f>
        <v>https://leetcode.com/problems/meeting-rooms-ii</v>
      </c>
      <c r="D122" s="3" t="str">
        <f ca="1">IFERROR(__xludf.DUMMYFUNCTION("""COMPUTED_VALUE"""),"Y")</f>
        <v>Y</v>
      </c>
      <c r="E122" s="6">
        <f ca="1">IFERROR(__xludf.DUMMYFUNCTION("""COMPUTED_VALUE"""),0.505)</f>
        <v>0.505</v>
      </c>
      <c r="F122" s="3" t="str">
        <f ca="1">IFERROR(__xludf.DUMMYFUNCTION("""COMPUTED_VALUE"""),"Medium")</f>
        <v>Medium</v>
      </c>
      <c r="G122" s="3" t="str">
        <f ca="1">IFERROR(__xludf.DUMMYFUNCTION("""COMPUTED_VALUE"""),"66.3116%;")</f>
        <v>66.3116%;</v>
      </c>
    </row>
    <row r="123" spans="1:7" x14ac:dyDescent="0.2">
      <c r="A123" s="3">
        <f ca="1">IFERROR(__xludf.DUMMYFUNCTION("""COMPUTED_VALUE"""),256)</f>
        <v>256</v>
      </c>
      <c r="B123" s="4" t="str">
        <f ca="1">IFERROR(__xludf.DUMMYFUNCTION("""COMPUTED_VALUE"""),"Paint House")</f>
        <v>Paint House</v>
      </c>
      <c r="C123" s="8" t="str">
        <f ca="1">IFERROR(__xludf.DUMMYFUNCTION("""COMPUTED_VALUE"""),"https://leetcode.com/problems/paint-house")</f>
        <v>https://leetcode.com/problems/paint-house</v>
      </c>
      <c r="D123" s="3" t="str">
        <f ca="1">IFERROR(__xludf.DUMMYFUNCTION("""COMPUTED_VALUE"""),"Y")</f>
        <v>Y</v>
      </c>
      <c r="E123" s="6">
        <f ca="1">IFERROR(__xludf.DUMMYFUNCTION("""COMPUTED_VALUE"""),0.607)</f>
        <v>0.60699999999999998</v>
      </c>
      <c r="F123" s="3" t="str">
        <f ca="1">IFERROR(__xludf.DUMMYFUNCTION("""COMPUTED_VALUE"""),"Medium")</f>
        <v>Medium</v>
      </c>
      <c r="G123" s="3" t="str">
        <f ca="1">IFERROR(__xludf.DUMMYFUNCTION("""COMPUTED_VALUE"""),"13.3308%;")</f>
        <v>13.3308%;</v>
      </c>
    </row>
    <row r="124" spans="1:7" x14ac:dyDescent="0.2">
      <c r="A124" s="3">
        <f ca="1">IFERROR(__xludf.DUMMYFUNCTION("""COMPUTED_VALUE"""),261)</f>
        <v>261</v>
      </c>
      <c r="B124" s="4" t="str">
        <f ca="1">IFERROR(__xludf.DUMMYFUNCTION("""COMPUTED_VALUE"""),"Graph Valid Tree")</f>
        <v>Graph Valid Tree</v>
      </c>
      <c r="C124" s="8" t="str">
        <f ca="1">IFERROR(__xludf.DUMMYFUNCTION("""COMPUTED_VALUE"""),"https://leetcode.com/problems/graph-valid-tree")</f>
        <v>https://leetcode.com/problems/graph-valid-tree</v>
      </c>
      <c r="D124" s="3" t="str">
        <f ca="1">IFERROR(__xludf.DUMMYFUNCTION("""COMPUTED_VALUE"""),"Y")</f>
        <v>Y</v>
      </c>
      <c r="E124" s="6">
        <f ca="1">IFERROR(__xludf.DUMMYFUNCTION("""COMPUTED_VALUE"""),0.469)</f>
        <v>0.46899999999999997</v>
      </c>
      <c r="F124" s="3" t="str">
        <f ca="1">IFERROR(__xludf.DUMMYFUNCTION("""COMPUTED_VALUE"""),"Medium")</f>
        <v>Medium</v>
      </c>
      <c r="G124" s="3" t="str">
        <f ca="1">IFERROR(__xludf.DUMMYFUNCTION("""COMPUTED_VALUE"""),"3.41778%;")</f>
        <v>3.41778%;</v>
      </c>
    </row>
    <row r="125" spans="1:7" x14ac:dyDescent="0.2">
      <c r="A125" s="3">
        <f ca="1">IFERROR(__xludf.DUMMYFUNCTION("""COMPUTED_VALUE"""),271)</f>
        <v>271</v>
      </c>
      <c r="B125" s="4" t="str">
        <f ca="1">IFERROR(__xludf.DUMMYFUNCTION("""COMPUTED_VALUE"""),"Encode and Decode Strings")</f>
        <v>Encode and Decode Strings</v>
      </c>
      <c r="C125" s="8" t="str">
        <f ca="1">IFERROR(__xludf.DUMMYFUNCTION("""COMPUTED_VALUE"""),"https://leetcode.com/problems/encode-and-decode-strings")</f>
        <v>https://leetcode.com/problems/encode-and-decode-strings</v>
      </c>
      <c r="D125" s="3" t="str">
        <f ca="1">IFERROR(__xludf.DUMMYFUNCTION("""COMPUTED_VALUE"""),"Y")</f>
        <v>Y</v>
      </c>
      <c r="E125" s="6">
        <f ca="1">IFERROR(__xludf.DUMMYFUNCTION("""COMPUTED_VALUE"""),0.417)</f>
        <v>0.41699999999999998</v>
      </c>
      <c r="F125" s="3" t="str">
        <f ca="1">IFERROR(__xludf.DUMMYFUNCTION("""COMPUTED_VALUE"""),"Medium")</f>
        <v>Medium</v>
      </c>
      <c r="G125" s="3" t="str">
        <f ca="1">IFERROR(__xludf.DUMMYFUNCTION("""COMPUTED_VALUE"""),"5.70091%;")</f>
        <v>5.70091%;</v>
      </c>
    </row>
    <row r="126" spans="1:7" x14ac:dyDescent="0.2">
      <c r="A126" s="3">
        <f ca="1">IFERROR(__xludf.DUMMYFUNCTION("""COMPUTED_VALUE"""),277)</f>
        <v>277</v>
      </c>
      <c r="B126" s="4" t="str">
        <f ca="1">IFERROR(__xludf.DUMMYFUNCTION("""COMPUTED_VALUE"""),"Find the Celebrity")</f>
        <v>Find the Celebrity</v>
      </c>
      <c r="C126" s="8" t="str">
        <f ca="1">IFERROR(__xludf.DUMMYFUNCTION("""COMPUTED_VALUE"""),"https://leetcode.com/problems/find-the-celebrity")</f>
        <v>https://leetcode.com/problems/find-the-celebrity</v>
      </c>
      <c r="D126" s="3" t="str">
        <f ca="1">IFERROR(__xludf.DUMMYFUNCTION("""COMPUTED_VALUE"""),"Y")</f>
        <v>Y</v>
      </c>
      <c r="E126" s="6">
        <f ca="1">IFERROR(__xludf.DUMMYFUNCTION("""COMPUTED_VALUE"""),0.465)</f>
        <v>0.46500000000000002</v>
      </c>
      <c r="F126" s="3" t="str">
        <f ca="1">IFERROR(__xludf.DUMMYFUNCTION("""COMPUTED_VALUE"""),"Medium")</f>
        <v>Medium</v>
      </c>
      <c r="G126" s="3" t="str">
        <f ca="1">IFERROR(__xludf.DUMMYFUNCTION("""COMPUTED_VALUE"""),"31.1313%;")</f>
        <v>31.1313%;</v>
      </c>
    </row>
    <row r="127" spans="1:7" x14ac:dyDescent="0.2">
      <c r="A127" s="3">
        <f ca="1">IFERROR(__xludf.DUMMYFUNCTION("""COMPUTED_VALUE"""),279)</f>
        <v>279</v>
      </c>
      <c r="B127" s="4" t="str">
        <f ca="1">IFERROR(__xludf.DUMMYFUNCTION("""COMPUTED_VALUE"""),"Perfect Squares")</f>
        <v>Perfect Squares</v>
      </c>
      <c r="C127" s="8" t="str">
        <f ca="1">IFERROR(__xludf.DUMMYFUNCTION("""COMPUTED_VALUE"""),"https://leetcode.com/problems/perfect-squares")</f>
        <v>https://leetcode.com/problems/perfect-squares</v>
      </c>
      <c r="D127" s="3" t="str">
        <f ca="1">IFERROR(__xludf.DUMMYFUNCTION("""COMPUTED_VALUE"""),"N")</f>
        <v>N</v>
      </c>
      <c r="E127" s="6">
        <f ca="1">IFERROR(__xludf.DUMMYFUNCTION("""COMPUTED_VALUE"""),0.521)</f>
        <v>0.52100000000000002</v>
      </c>
      <c r="F127" s="3" t="str">
        <f ca="1">IFERROR(__xludf.DUMMYFUNCTION("""COMPUTED_VALUE"""),"Medium")</f>
        <v>Medium</v>
      </c>
      <c r="G127" s="3" t="str">
        <f ca="1">IFERROR(__xludf.DUMMYFUNCTION("""COMPUTED_VALUE"""),"16.4719%;")</f>
        <v>16.4719%;</v>
      </c>
    </row>
    <row r="128" spans="1:7" x14ac:dyDescent="0.2">
      <c r="A128" s="3">
        <f ca="1">IFERROR(__xludf.DUMMYFUNCTION("""COMPUTED_VALUE"""),286)</f>
        <v>286</v>
      </c>
      <c r="B128" s="4" t="str">
        <f ca="1">IFERROR(__xludf.DUMMYFUNCTION("""COMPUTED_VALUE"""),"Walls and Gates")</f>
        <v>Walls and Gates</v>
      </c>
      <c r="C128" s="8" t="str">
        <f ca="1">IFERROR(__xludf.DUMMYFUNCTION("""COMPUTED_VALUE"""),"https://leetcode.com/problems/walls-and-gates")</f>
        <v>https://leetcode.com/problems/walls-and-gates</v>
      </c>
      <c r="D128" s="3" t="str">
        <f ca="1">IFERROR(__xludf.DUMMYFUNCTION("""COMPUTED_VALUE"""),"Y")</f>
        <v>Y</v>
      </c>
      <c r="E128" s="6">
        <f ca="1">IFERROR(__xludf.DUMMYFUNCTION("""COMPUTED_VALUE"""),0.603)</f>
        <v>0.60299999999999998</v>
      </c>
      <c r="F128" s="3" t="str">
        <f ca="1">IFERROR(__xludf.DUMMYFUNCTION("""COMPUTED_VALUE"""),"Medium")</f>
        <v>Medium</v>
      </c>
      <c r="G128" s="3" t="str">
        <f ca="1">IFERROR(__xludf.DUMMYFUNCTION("""COMPUTED_VALUE"""),"27.6211%;")</f>
        <v>27.6211%;</v>
      </c>
    </row>
    <row r="129" spans="1:7" x14ac:dyDescent="0.2">
      <c r="A129" s="3">
        <f ca="1">IFERROR(__xludf.DUMMYFUNCTION("""COMPUTED_VALUE"""),287)</f>
        <v>287</v>
      </c>
      <c r="B129" s="4" t="str">
        <f ca="1">IFERROR(__xludf.DUMMYFUNCTION("""COMPUTED_VALUE"""),"Find the Duplicate Number")</f>
        <v>Find the Duplicate Number</v>
      </c>
      <c r="C129" s="8" t="str">
        <f ca="1">IFERROR(__xludf.DUMMYFUNCTION("""COMPUTED_VALUE"""),"https://leetcode.com/problems/find-the-duplicate-number")</f>
        <v>https://leetcode.com/problems/find-the-duplicate-number</v>
      </c>
      <c r="D129" s="3" t="str">
        <f ca="1">IFERROR(__xludf.DUMMYFUNCTION("""COMPUTED_VALUE"""),"N")</f>
        <v>N</v>
      </c>
      <c r="E129" s="6">
        <f ca="1">IFERROR(__xludf.DUMMYFUNCTION("""COMPUTED_VALUE"""),0.591)</f>
        <v>0.59099999999999997</v>
      </c>
      <c r="F129" s="3" t="str">
        <f ca="1">IFERROR(__xludf.DUMMYFUNCTION("""COMPUTED_VALUE"""),"Medium")</f>
        <v>Medium</v>
      </c>
      <c r="G129" s="3" t="str">
        <f ca="1">IFERROR(__xludf.DUMMYFUNCTION("""COMPUTED_VALUE"""),"22.7339%;")</f>
        <v>22.7339%;</v>
      </c>
    </row>
    <row r="130" spans="1:7" x14ac:dyDescent="0.2">
      <c r="A130" s="3">
        <f ca="1">IFERROR(__xludf.DUMMYFUNCTION("""COMPUTED_VALUE"""),289)</f>
        <v>289</v>
      </c>
      <c r="B130" s="4" t="str">
        <f ca="1">IFERROR(__xludf.DUMMYFUNCTION("""COMPUTED_VALUE"""),"Game of Life")</f>
        <v>Game of Life</v>
      </c>
      <c r="C130" s="8" t="str">
        <f ca="1">IFERROR(__xludf.DUMMYFUNCTION("""COMPUTED_VALUE"""),"https://leetcode.com/problems/game-of-life")</f>
        <v>https://leetcode.com/problems/game-of-life</v>
      </c>
      <c r="D130" s="3" t="str">
        <f ca="1">IFERROR(__xludf.DUMMYFUNCTION("""COMPUTED_VALUE"""),"N")</f>
        <v>N</v>
      </c>
      <c r="E130" s="6">
        <f ca="1">IFERROR(__xludf.DUMMYFUNCTION("""COMPUTED_VALUE"""),0.668)</f>
        <v>0.66800000000000004</v>
      </c>
      <c r="F130" s="3" t="str">
        <f ca="1">IFERROR(__xludf.DUMMYFUNCTION("""COMPUTED_VALUE"""),"Medium")</f>
        <v>Medium</v>
      </c>
      <c r="G130" s="3" t="str">
        <f ca="1">IFERROR(__xludf.DUMMYFUNCTION("""COMPUTED_VALUE"""),"27.4639%;")</f>
        <v>27.4639%;</v>
      </c>
    </row>
    <row r="131" spans="1:7" x14ac:dyDescent="0.2">
      <c r="A131" s="3">
        <f ca="1">IFERROR(__xludf.DUMMYFUNCTION("""COMPUTED_VALUE"""),299)</f>
        <v>299</v>
      </c>
      <c r="B131" s="4" t="str">
        <f ca="1">IFERROR(__xludf.DUMMYFUNCTION("""COMPUTED_VALUE"""),"Bulls and Cows")</f>
        <v>Bulls and Cows</v>
      </c>
      <c r="C131" s="8" t="str">
        <f ca="1">IFERROR(__xludf.DUMMYFUNCTION("""COMPUTED_VALUE"""),"https://leetcode.com/problems/bulls-and-cows")</f>
        <v>https://leetcode.com/problems/bulls-and-cows</v>
      </c>
      <c r="D131" s="3" t="str">
        <f ca="1">IFERROR(__xludf.DUMMYFUNCTION("""COMPUTED_VALUE"""),"N")</f>
        <v>N</v>
      </c>
      <c r="E131" s="6">
        <f ca="1">IFERROR(__xludf.DUMMYFUNCTION("""COMPUTED_VALUE"""),0.487)</f>
        <v>0.48699999999999999</v>
      </c>
      <c r="F131" s="3" t="str">
        <f ca="1">IFERROR(__xludf.DUMMYFUNCTION("""COMPUTED_VALUE"""),"Medium")</f>
        <v>Medium</v>
      </c>
      <c r="G131" s="3" t="str">
        <f ca="1">IFERROR(__xludf.DUMMYFUNCTION("""COMPUTED_VALUE"""),"13.4028%;")</f>
        <v>13.4028%;</v>
      </c>
    </row>
    <row r="132" spans="1:7" x14ac:dyDescent="0.2">
      <c r="A132" s="3">
        <f ca="1">IFERROR(__xludf.DUMMYFUNCTION("""COMPUTED_VALUE"""),300)</f>
        <v>300</v>
      </c>
      <c r="B132" s="4" t="str">
        <f ca="1">IFERROR(__xludf.DUMMYFUNCTION("""COMPUTED_VALUE"""),"Longest Increasing Subsequence")</f>
        <v>Longest Increasing Subsequence</v>
      </c>
      <c r="C132" s="8" t="str">
        <f ca="1">IFERROR(__xludf.DUMMYFUNCTION("""COMPUTED_VALUE"""),"https://leetcode.com/problems/longest-increasing-subsequence")</f>
        <v>https://leetcode.com/problems/longest-increasing-subsequence</v>
      </c>
      <c r="D132" s="3" t="str">
        <f ca="1">IFERROR(__xludf.DUMMYFUNCTION("""COMPUTED_VALUE"""),"N")</f>
        <v>N</v>
      </c>
      <c r="E132" s="6">
        <f ca="1">IFERROR(__xludf.DUMMYFUNCTION("""COMPUTED_VALUE"""),0.516)</f>
        <v>0.51600000000000001</v>
      </c>
      <c r="F132" s="3" t="str">
        <f ca="1">IFERROR(__xludf.DUMMYFUNCTION("""COMPUTED_VALUE"""),"Medium")</f>
        <v>Medium</v>
      </c>
      <c r="G132" s="3" t="str">
        <f ca="1">IFERROR(__xludf.DUMMYFUNCTION("""COMPUTED_VALUE"""),"7.8055%;")</f>
        <v>7.8055%;</v>
      </c>
    </row>
    <row r="133" spans="1:7" x14ac:dyDescent="0.2">
      <c r="A133" s="3">
        <f ca="1">IFERROR(__xludf.DUMMYFUNCTION("""COMPUTED_VALUE"""),304)</f>
        <v>304</v>
      </c>
      <c r="B133" s="4" t="str">
        <f ca="1">IFERROR(__xludf.DUMMYFUNCTION("""COMPUTED_VALUE"""),"Range Sum Query 2D - Immutable")</f>
        <v>Range Sum Query 2D - Immutable</v>
      </c>
      <c r="C133" s="8" t="str">
        <f ca="1">IFERROR(__xludf.DUMMYFUNCTION("""COMPUTED_VALUE"""),"https://leetcode.com/problems/range-sum-query-2d-immutable")</f>
        <v>https://leetcode.com/problems/range-sum-query-2d-immutable</v>
      </c>
      <c r="D133" s="3" t="str">
        <f ca="1">IFERROR(__xludf.DUMMYFUNCTION("""COMPUTED_VALUE"""),"N")</f>
        <v>N</v>
      </c>
      <c r="E133" s="6">
        <f ca="1">IFERROR(__xludf.DUMMYFUNCTION("""COMPUTED_VALUE"""),0.522)</f>
        <v>0.52200000000000002</v>
      </c>
      <c r="F133" s="3" t="str">
        <f ca="1">IFERROR(__xludf.DUMMYFUNCTION("""COMPUTED_VALUE"""),"Medium")</f>
        <v>Medium</v>
      </c>
      <c r="G133" s="3" t="str">
        <f ca="1">IFERROR(__xludf.DUMMYFUNCTION("""COMPUTED_VALUE"""),"17.6429%;")</f>
        <v>17.6429%;</v>
      </c>
    </row>
    <row r="134" spans="1:7" x14ac:dyDescent="0.2">
      <c r="A134" s="3">
        <f ca="1">IFERROR(__xludf.DUMMYFUNCTION("""COMPUTED_VALUE"""),307)</f>
        <v>307</v>
      </c>
      <c r="B134" s="4" t="str">
        <f ca="1">IFERROR(__xludf.DUMMYFUNCTION("""COMPUTED_VALUE"""),"Range Sum Query - Mutable")</f>
        <v>Range Sum Query - Mutable</v>
      </c>
      <c r="C134" s="8" t="str">
        <f ca="1">IFERROR(__xludf.DUMMYFUNCTION("""COMPUTED_VALUE"""),"https://leetcode.com/problems/range-sum-query-mutable")</f>
        <v>https://leetcode.com/problems/range-sum-query-mutable</v>
      </c>
      <c r="D134" s="3" t="str">
        <f ca="1">IFERROR(__xludf.DUMMYFUNCTION("""COMPUTED_VALUE"""),"N")</f>
        <v>N</v>
      </c>
      <c r="E134" s="6">
        <f ca="1">IFERROR(__xludf.DUMMYFUNCTION("""COMPUTED_VALUE"""),0.407)</f>
        <v>0.40699999999999997</v>
      </c>
      <c r="F134" s="3" t="str">
        <f ca="1">IFERROR(__xludf.DUMMYFUNCTION("""COMPUTED_VALUE"""),"Medium")</f>
        <v>Medium</v>
      </c>
      <c r="G134" s="3" t="str">
        <f ca="1">IFERROR(__xludf.DUMMYFUNCTION("""COMPUTED_VALUE"""),"6.33026%;")</f>
        <v>6.33026%;</v>
      </c>
    </row>
    <row r="135" spans="1:7" x14ac:dyDescent="0.2">
      <c r="A135" s="3">
        <f ca="1">IFERROR(__xludf.DUMMYFUNCTION("""COMPUTED_VALUE"""),309)</f>
        <v>309</v>
      </c>
      <c r="B135" s="4" t="str">
        <f ca="1">IFERROR(__xludf.DUMMYFUNCTION("""COMPUTED_VALUE"""),"Best Time to Buy and Sell Stock with Cooldown")</f>
        <v>Best Time to Buy and Sell Stock with Cooldown</v>
      </c>
      <c r="C135" s="8" t="str">
        <f ca="1">IFERROR(__xludf.DUMMYFUNCTION("""COMPUTED_VALUE"""),"https://leetcode.com/problems/best-time-to-buy-and-sell-stock-with-cooldown")</f>
        <v>https://leetcode.com/problems/best-time-to-buy-and-sell-stock-with-cooldown</v>
      </c>
      <c r="D135" s="3" t="str">
        <f ca="1">IFERROR(__xludf.DUMMYFUNCTION("""COMPUTED_VALUE"""),"N")</f>
        <v>N</v>
      </c>
      <c r="E135" s="6">
        <f ca="1">IFERROR(__xludf.DUMMYFUNCTION("""COMPUTED_VALUE"""),0.546)</f>
        <v>0.54600000000000004</v>
      </c>
      <c r="F135" s="3" t="str">
        <f ca="1">IFERROR(__xludf.DUMMYFUNCTION("""COMPUTED_VALUE"""),"Medium")</f>
        <v>Medium</v>
      </c>
      <c r="G135" s="3" t="str">
        <f ca="1">IFERROR(__xludf.DUMMYFUNCTION("""COMPUTED_VALUE"""),"2.91471%;")</f>
        <v>2.91471%;</v>
      </c>
    </row>
    <row r="136" spans="1:7" x14ac:dyDescent="0.2">
      <c r="A136" s="3">
        <f ca="1">IFERROR(__xludf.DUMMYFUNCTION("""COMPUTED_VALUE"""),310)</f>
        <v>310</v>
      </c>
      <c r="B136" s="4" t="str">
        <f ca="1">IFERROR(__xludf.DUMMYFUNCTION("""COMPUTED_VALUE"""),"Minimum Height Trees")</f>
        <v>Minimum Height Trees</v>
      </c>
      <c r="C136" s="8" t="str">
        <f ca="1">IFERROR(__xludf.DUMMYFUNCTION("""COMPUTED_VALUE"""),"https://leetcode.com/problems/minimum-height-trees")</f>
        <v>https://leetcode.com/problems/minimum-height-trees</v>
      </c>
      <c r="D136" s="3" t="str">
        <f ca="1">IFERROR(__xludf.DUMMYFUNCTION("""COMPUTED_VALUE"""),"N")</f>
        <v>N</v>
      </c>
      <c r="E136" s="6">
        <f ca="1">IFERROR(__xludf.DUMMYFUNCTION("""COMPUTED_VALUE"""),0.385)</f>
        <v>0.38500000000000001</v>
      </c>
      <c r="F136" s="3" t="str">
        <f ca="1">IFERROR(__xludf.DUMMYFUNCTION("""COMPUTED_VALUE"""),"Medium")</f>
        <v>Medium</v>
      </c>
      <c r="G136" s="3" t="str">
        <f ca="1">IFERROR(__xludf.DUMMYFUNCTION("""COMPUTED_VALUE"""),"3.63291%;")</f>
        <v>3.63291%;</v>
      </c>
    </row>
    <row r="137" spans="1:7" x14ac:dyDescent="0.2">
      <c r="A137" s="3">
        <f ca="1">IFERROR(__xludf.DUMMYFUNCTION("""COMPUTED_VALUE"""),314)</f>
        <v>314</v>
      </c>
      <c r="B137" s="4" t="str">
        <f ca="1">IFERROR(__xludf.DUMMYFUNCTION("""COMPUTED_VALUE"""),"Binary Tree Vertical Order Traversal")</f>
        <v>Binary Tree Vertical Order Traversal</v>
      </c>
      <c r="C137" s="8" t="str">
        <f ca="1">IFERROR(__xludf.DUMMYFUNCTION("""COMPUTED_VALUE"""),"https://leetcode.com/problems/binary-tree-vertical-order-traversal")</f>
        <v>https://leetcode.com/problems/binary-tree-vertical-order-traversal</v>
      </c>
      <c r="D137" s="3" t="str">
        <f ca="1">IFERROR(__xludf.DUMMYFUNCTION("""COMPUTED_VALUE"""),"Y")</f>
        <v>Y</v>
      </c>
      <c r="E137" s="6">
        <f ca="1">IFERROR(__xludf.DUMMYFUNCTION("""COMPUTED_VALUE"""),0.521)</f>
        <v>0.52100000000000002</v>
      </c>
      <c r="F137" s="3" t="str">
        <f ca="1">IFERROR(__xludf.DUMMYFUNCTION("""COMPUTED_VALUE"""),"Medium")</f>
        <v>Medium</v>
      </c>
      <c r="G137" s="3" t="str">
        <f ca="1">IFERROR(__xludf.DUMMYFUNCTION("""COMPUTED_VALUE"""),"13.3308%;")</f>
        <v>13.3308%;</v>
      </c>
    </row>
    <row r="138" spans="1:7" x14ac:dyDescent="0.2">
      <c r="A138" s="3">
        <f ca="1">IFERROR(__xludf.DUMMYFUNCTION("""COMPUTED_VALUE"""),316)</f>
        <v>316</v>
      </c>
      <c r="B138" s="4" t="str">
        <f ca="1">IFERROR(__xludf.DUMMYFUNCTION("""COMPUTED_VALUE"""),"Remove Duplicate Letters")</f>
        <v>Remove Duplicate Letters</v>
      </c>
      <c r="C138" s="8" t="str">
        <f ca="1">IFERROR(__xludf.DUMMYFUNCTION("""COMPUTED_VALUE"""),"https://leetcode.com/problems/remove-duplicate-letters")</f>
        <v>https://leetcode.com/problems/remove-duplicate-letters</v>
      </c>
      <c r="D138" s="3" t="str">
        <f ca="1">IFERROR(__xludf.DUMMYFUNCTION("""COMPUTED_VALUE"""),"N")</f>
        <v>N</v>
      </c>
      <c r="E138" s="6">
        <f ca="1">IFERROR(__xludf.DUMMYFUNCTION("""COMPUTED_VALUE"""),0.446)</f>
        <v>0.44600000000000001</v>
      </c>
      <c r="F138" s="3" t="str">
        <f ca="1">IFERROR(__xludf.DUMMYFUNCTION("""COMPUTED_VALUE"""),"Medium")</f>
        <v>Medium</v>
      </c>
      <c r="G138" s="3" t="str">
        <f ca="1">IFERROR(__xludf.DUMMYFUNCTION("""COMPUTED_VALUE"""),"12.4362%;")</f>
        <v>12.4362%;</v>
      </c>
    </row>
    <row r="139" spans="1:7" x14ac:dyDescent="0.2">
      <c r="A139" s="3">
        <f ca="1">IFERROR(__xludf.DUMMYFUNCTION("""COMPUTED_VALUE"""),318)</f>
        <v>318</v>
      </c>
      <c r="B139" s="4" t="str">
        <f ca="1">IFERROR(__xludf.DUMMYFUNCTION("""COMPUTED_VALUE"""),"Maximum Product of Word Lengths")</f>
        <v>Maximum Product of Word Lengths</v>
      </c>
      <c r="C139" s="8" t="str">
        <f ca="1">IFERROR(__xludf.DUMMYFUNCTION("""COMPUTED_VALUE"""),"https://leetcode.com/problems/maximum-product-of-word-lengths")</f>
        <v>https://leetcode.com/problems/maximum-product-of-word-lengths</v>
      </c>
      <c r="D139" s="3" t="str">
        <f ca="1">IFERROR(__xludf.DUMMYFUNCTION("""COMPUTED_VALUE"""),"N")</f>
        <v>N</v>
      </c>
      <c r="E139" s="6">
        <f ca="1">IFERROR(__xludf.DUMMYFUNCTION("""COMPUTED_VALUE"""),0.601)</f>
        <v>0.60099999999999998</v>
      </c>
      <c r="F139" s="3" t="str">
        <f ca="1">IFERROR(__xludf.DUMMYFUNCTION("""COMPUTED_VALUE"""),"Medium")</f>
        <v>Medium</v>
      </c>
      <c r="G139" s="3" t="str">
        <f ca="1">IFERROR(__xludf.DUMMYFUNCTION("""COMPUTED_VALUE"""),"16.843%;")</f>
        <v>16.843%;</v>
      </c>
    </row>
    <row r="140" spans="1:7" x14ac:dyDescent="0.2">
      <c r="A140" s="3">
        <f ca="1">IFERROR(__xludf.DUMMYFUNCTION("""COMPUTED_VALUE"""),322)</f>
        <v>322</v>
      </c>
      <c r="B140" s="4" t="str">
        <f ca="1">IFERROR(__xludf.DUMMYFUNCTION("""COMPUTED_VALUE"""),"Coin Change")</f>
        <v>Coin Change</v>
      </c>
      <c r="C140" s="8" t="str">
        <f ca="1">IFERROR(__xludf.DUMMYFUNCTION("""COMPUTED_VALUE"""),"https://leetcode.com/problems/coin-change")</f>
        <v>https://leetcode.com/problems/coin-change</v>
      </c>
      <c r="D140" s="3" t="str">
        <f ca="1">IFERROR(__xludf.DUMMYFUNCTION("""COMPUTED_VALUE"""),"N")</f>
        <v>N</v>
      </c>
      <c r="E140" s="6">
        <f ca="1">IFERROR(__xludf.DUMMYFUNCTION("""COMPUTED_VALUE"""),0.416)</f>
        <v>0.41599999999999998</v>
      </c>
      <c r="F140" s="3" t="str">
        <f ca="1">IFERROR(__xludf.DUMMYFUNCTION("""COMPUTED_VALUE"""),"Medium")</f>
        <v>Medium</v>
      </c>
      <c r="G140" s="3" t="str">
        <f ca="1">IFERROR(__xludf.DUMMYFUNCTION("""COMPUTED_VALUE"""),"33.9647%;")</f>
        <v>33.9647%;</v>
      </c>
    </row>
    <row r="141" spans="1:7" x14ac:dyDescent="0.2">
      <c r="A141" s="3">
        <f ca="1">IFERROR(__xludf.DUMMYFUNCTION("""COMPUTED_VALUE"""),323)</f>
        <v>323</v>
      </c>
      <c r="B141" s="4" t="str">
        <f ca="1">IFERROR(__xludf.DUMMYFUNCTION("""COMPUTED_VALUE"""),"Number of Connected Components in an Undirected Graph")</f>
        <v>Number of Connected Components in an Undirected Graph</v>
      </c>
      <c r="C141" s="8" t="str">
        <f ca="1">IFERROR(__xludf.DUMMYFUNCTION("""COMPUTED_VALUE"""),"https://leetcode.com/problems/number-of-connected-components-in-an-undirected-graph")</f>
        <v>https://leetcode.com/problems/number-of-connected-components-in-an-undirected-graph</v>
      </c>
      <c r="D141" s="3" t="str">
        <f ca="1">IFERROR(__xludf.DUMMYFUNCTION("""COMPUTED_VALUE"""),"Y")</f>
        <v>Y</v>
      </c>
      <c r="E141" s="6">
        <f ca="1">IFERROR(__xludf.DUMMYFUNCTION("""COMPUTED_VALUE"""),0.621)</f>
        <v>0.621</v>
      </c>
      <c r="F141" s="3" t="str">
        <f ca="1">IFERROR(__xludf.DUMMYFUNCTION("""COMPUTED_VALUE"""),"Medium")</f>
        <v>Medium</v>
      </c>
      <c r="G141" s="3" t="str">
        <f ca="1">IFERROR(__xludf.DUMMYFUNCTION("""COMPUTED_VALUE"""),"10.8714%;")</f>
        <v>10.8714%;</v>
      </c>
    </row>
    <row r="142" spans="1:7" x14ac:dyDescent="0.2">
      <c r="A142" s="3">
        <f ca="1">IFERROR(__xludf.DUMMYFUNCTION("""COMPUTED_VALUE"""),324)</f>
        <v>324</v>
      </c>
      <c r="B142" s="4" t="str">
        <f ca="1">IFERROR(__xludf.DUMMYFUNCTION("""COMPUTED_VALUE"""),"Wiggle Sort II")</f>
        <v>Wiggle Sort II</v>
      </c>
      <c r="C142" s="8" t="str">
        <f ca="1">IFERROR(__xludf.DUMMYFUNCTION("""COMPUTED_VALUE"""),"https://leetcode.com/problems/wiggle-sort-ii")</f>
        <v>https://leetcode.com/problems/wiggle-sort-ii</v>
      </c>
      <c r="D142" s="3" t="str">
        <f ca="1">IFERROR(__xludf.DUMMYFUNCTION("""COMPUTED_VALUE"""),"N")</f>
        <v>N</v>
      </c>
      <c r="E142" s="6">
        <f ca="1">IFERROR(__xludf.DUMMYFUNCTION("""COMPUTED_VALUE"""),0.33)</f>
        <v>0.33</v>
      </c>
      <c r="F142" s="3" t="str">
        <f ca="1">IFERROR(__xludf.DUMMYFUNCTION("""COMPUTED_VALUE"""),"Medium")</f>
        <v>Medium</v>
      </c>
      <c r="G142" s="3" t="str">
        <f ca="1">IFERROR(__xludf.DUMMYFUNCTION("""COMPUTED_VALUE"""),"13.6992%;")</f>
        <v>13.6992%;</v>
      </c>
    </row>
    <row r="143" spans="1:7" x14ac:dyDescent="0.2">
      <c r="A143" s="3">
        <f ca="1">IFERROR(__xludf.DUMMYFUNCTION("""COMPUTED_VALUE"""),328)</f>
        <v>328</v>
      </c>
      <c r="B143" s="4" t="str">
        <f ca="1">IFERROR(__xludf.DUMMYFUNCTION("""COMPUTED_VALUE"""),"Odd Even Linked List")</f>
        <v>Odd Even Linked List</v>
      </c>
      <c r="C143" s="8" t="str">
        <f ca="1">IFERROR(__xludf.DUMMYFUNCTION("""COMPUTED_VALUE"""),"https://leetcode.com/problems/odd-even-linked-list")</f>
        <v>https://leetcode.com/problems/odd-even-linked-list</v>
      </c>
      <c r="D143" s="3" t="str">
        <f ca="1">IFERROR(__xludf.DUMMYFUNCTION("""COMPUTED_VALUE"""),"N")</f>
        <v>N</v>
      </c>
      <c r="E143" s="6">
        <f ca="1">IFERROR(__xludf.DUMMYFUNCTION("""COMPUTED_VALUE"""),0.603)</f>
        <v>0.60299999999999998</v>
      </c>
      <c r="F143" s="3" t="str">
        <f ca="1">IFERROR(__xludf.DUMMYFUNCTION("""COMPUTED_VALUE"""),"Medium")</f>
        <v>Medium</v>
      </c>
      <c r="G143" s="3" t="str">
        <f ca="1">IFERROR(__xludf.DUMMYFUNCTION("""COMPUTED_VALUE"""),"9.06481%;")</f>
        <v>9.06481%;</v>
      </c>
    </row>
    <row r="144" spans="1:7" x14ac:dyDescent="0.2">
      <c r="A144" s="3">
        <f ca="1">IFERROR(__xludf.DUMMYFUNCTION("""COMPUTED_VALUE"""),333)</f>
        <v>333</v>
      </c>
      <c r="B144" s="4" t="str">
        <f ca="1">IFERROR(__xludf.DUMMYFUNCTION("""COMPUTED_VALUE"""),"Largest BST Subtree")</f>
        <v>Largest BST Subtree</v>
      </c>
      <c r="C144" s="8" t="str">
        <f ca="1">IFERROR(__xludf.DUMMYFUNCTION("""COMPUTED_VALUE"""),"https://leetcode.com/problems/largest-bst-subtree")</f>
        <v>https://leetcode.com/problems/largest-bst-subtree</v>
      </c>
      <c r="D144" s="3" t="str">
        <f ca="1">IFERROR(__xludf.DUMMYFUNCTION("""COMPUTED_VALUE"""),"Y")</f>
        <v>Y</v>
      </c>
      <c r="E144" s="6">
        <f ca="1">IFERROR(__xludf.DUMMYFUNCTION("""COMPUTED_VALUE"""),0.425)</f>
        <v>0.42499999999999999</v>
      </c>
      <c r="F144" s="3" t="str">
        <f ca="1">IFERROR(__xludf.DUMMYFUNCTION("""COMPUTED_VALUE"""),"Medium")</f>
        <v>Medium</v>
      </c>
      <c r="G144" s="3" t="str">
        <f ca="1">IFERROR(__xludf.DUMMYFUNCTION("""COMPUTED_VALUE"""),"15.0606%;")</f>
        <v>15.0606%;</v>
      </c>
    </row>
    <row r="145" spans="1:7" x14ac:dyDescent="0.2">
      <c r="A145" s="3">
        <f ca="1">IFERROR(__xludf.DUMMYFUNCTION("""COMPUTED_VALUE"""),337)</f>
        <v>337</v>
      </c>
      <c r="B145" s="4" t="str">
        <f ca="1">IFERROR(__xludf.DUMMYFUNCTION("""COMPUTED_VALUE"""),"House Robber III")</f>
        <v>House Robber III</v>
      </c>
      <c r="C145" s="8" t="str">
        <f ca="1">IFERROR(__xludf.DUMMYFUNCTION("""COMPUTED_VALUE"""),"https://leetcode.com/problems/house-robber-iii")</f>
        <v>https://leetcode.com/problems/house-robber-iii</v>
      </c>
      <c r="D145" s="3" t="str">
        <f ca="1">IFERROR(__xludf.DUMMYFUNCTION("""COMPUTED_VALUE"""),"N")</f>
        <v>N</v>
      </c>
      <c r="E145" s="6">
        <f ca="1">IFERROR(__xludf.DUMMYFUNCTION("""COMPUTED_VALUE"""),0.539)</f>
        <v>0.53900000000000003</v>
      </c>
      <c r="F145" s="3" t="str">
        <f ca="1">IFERROR(__xludf.DUMMYFUNCTION("""COMPUTED_VALUE"""),"Medium")</f>
        <v>Medium</v>
      </c>
      <c r="G145" s="3" t="str">
        <f ca="1">IFERROR(__xludf.DUMMYFUNCTION("""COMPUTED_VALUE"""),"30.4706%;")</f>
        <v>30.4706%;</v>
      </c>
    </row>
    <row r="146" spans="1:7" x14ac:dyDescent="0.2">
      <c r="A146" s="3">
        <f ca="1">IFERROR(__xludf.DUMMYFUNCTION("""COMPUTED_VALUE"""),339)</f>
        <v>339</v>
      </c>
      <c r="B146" s="4" t="str">
        <f ca="1">IFERROR(__xludf.DUMMYFUNCTION("""COMPUTED_VALUE"""),"Nested List Weight Sum")</f>
        <v>Nested List Weight Sum</v>
      </c>
      <c r="C146" s="8" t="str">
        <f ca="1">IFERROR(__xludf.DUMMYFUNCTION("""COMPUTED_VALUE"""),"https://leetcode.com/problems/nested-list-weight-sum")</f>
        <v>https://leetcode.com/problems/nested-list-weight-sum</v>
      </c>
      <c r="D146" s="3" t="str">
        <f ca="1">IFERROR(__xludf.DUMMYFUNCTION("""COMPUTED_VALUE"""),"Y")</f>
        <v>Y</v>
      </c>
      <c r="E146" s="6">
        <f ca="1">IFERROR(__xludf.DUMMYFUNCTION("""COMPUTED_VALUE"""),0.822)</f>
        <v>0.82199999999999995</v>
      </c>
      <c r="F146" s="3" t="str">
        <f ca="1">IFERROR(__xludf.DUMMYFUNCTION("""COMPUTED_VALUE"""),"Medium")</f>
        <v>Medium</v>
      </c>
      <c r="G146" s="3" t="str">
        <f ca="1">IFERROR(__xludf.DUMMYFUNCTION("""COMPUTED_VALUE"""),"14.6484%;")</f>
        <v>14.6484%;</v>
      </c>
    </row>
    <row r="147" spans="1:7" x14ac:dyDescent="0.2">
      <c r="A147" s="3">
        <f ca="1">IFERROR(__xludf.DUMMYFUNCTION("""COMPUTED_VALUE"""),340)</f>
        <v>340</v>
      </c>
      <c r="B147" s="4" t="str">
        <f ca="1">IFERROR(__xludf.DUMMYFUNCTION("""COMPUTED_VALUE"""),"Longest Substring with At Most K Distinct Characters")</f>
        <v>Longest Substring with At Most K Distinct Characters</v>
      </c>
      <c r="C147" s="8" t="str">
        <f ca="1">IFERROR(__xludf.DUMMYFUNCTION("""COMPUTED_VALUE"""),"https://leetcode.com/problems/longest-substring-with-at-most-k-distinct-characters")</f>
        <v>https://leetcode.com/problems/longest-substring-with-at-most-k-distinct-characters</v>
      </c>
      <c r="D147" s="3" t="str">
        <f ca="1">IFERROR(__xludf.DUMMYFUNCTION("""COMPUTED_VALUE"""),"Y")</f>
        <v>Y</v>
      </c>
      <c r="E147" s="6">
        <f ca="1">IFERROR(__xludf.DUMMYFUNCTION("""COMPUTED_VALUE"""),0.478)</f>
        <v>0.47799999999999998</v>
      </c>
      <c r="F147" s="3" t="str">
        <f ca="1">IFERROR(__xludf.DUMMYFUNCTION("""COMPUTED_VALUE"""),"Medium")</f>
        <v>Medium</v>
      </c>
      <c r="G147" s="3" t="str">
        <f ca="1">IFERROR(__xludf.DUMMYFUNCTION("""COMPUTED_VALUE"""),"29.4431%;")</f>
        <v>29.4431%;</v>
      </c>
    </row>
    <row r="148" spans="1:7" x14ac:dyDescent="0.2">
      <c r="A148" s="3">
        <f ca="1">IFERROR(__xludf.DUMMYFUNCTION("""COMPUTED_VALUE"""),347)</f>
        <v>347</v>
      </c>
      <c r="B148" s="4" t="str">
        <f ca="1">IFERROR(__xludf.DUMMYFUNCTION("""COMPUTED_VALUE"""),"Top K Frequent Elements")</f>
        <v>Top K Frequent Elements</v>
      </c>
      <c r="C148" s="8" t="str">
        <f ca="1">IFERROR(__xludf.DUMMYFUNCTION("""COMPUTED_VALUE"""),"https://leetcode.com/problems/top-k-frequent-elements")</f>
        <v>https://leetcode.com/problems/top-k-frequent-elements</v>
      </c>
      <c r="D148" s="3" t="str">
        <f ca="1">IFERROR(__xludf.DUMMYFUNCTION("""COMPUTED_VALUE"""),"N")</f>
        <v>N</v>
      </c>
      <c r="E148" s="6">
        <f ca="1">IFERROR(__xludf.DUMMYFUNCTION("""COMPUTED_VALUE"""),0.648)</f>
        <v>0.64800000000000002</v>
      </c>
      <c r="F148" s="3" t="str">
        <f ca="1">IFERROR(__xludf.DUMMYFUNCTION("""COMPUTED_VALUE"""),"Medium")</f>
        <v>Medium</v>
      </c>
      <c r="G148" s="3" t="str">
        <f ca="1">IFERROR(__xludf.DUMMYFUNCTION("""COMPUTED_VALUE"""),"36.1359%;")</f>
        <v>36.1359%;</v>
      </c>
    </row>
    <row r="149" spans="1:7" x14ac:dyDescent="0.2">
      <c r="A149" s="3">
        <f ca="1">IFERROR(__xludf.DUMMYFUNCTION("""COMPUTED_VALUE"""),348)</f>
        <v>348</v>
      </c>
      <c r="B149" s="4" t="str">
        <f ca="1">IFERROR(__xludf.DUMMYFUNCTION("""COMPUTED_VALUE"""),"Design Tic-Tac-Toe")</f>
        <v>Design Tic-Tac-Toe</v>
      </c>
      <c r="C149" s="8" t="str">
        <f ca="1">IFERROR(__xludf.DUMMYFUNCTION("""COMPUTED_VALUE"""),"https://leetcode.com/problems/design-tic-tac-toe")</f>
        <v>https://leetcode.com/problems/design-tic-tac-toe</v>
      </c>
      <c r="D149" s="3" t="str">
        <f ca="1">IFERROR(__xludf.DUMMYFUNCTION("""COMPUTED_VALUE"""),"Y")</f>
        <v>Y</v>
      </c>
      <c r="E149" s="6">
        <f ca="1">IFERROR(__xludf.DUMMYFUNCTION("""COMPUTED_VALUE"""),0.576)</f>
        <v>0.57599999999999996</v>
      </c>
      <c r="F149" s="3" t="str">
        <f ca="1">IFERROR(__xludf.DUMMYFUNCTION("""COMPUTED_VALUE"""),"Medium")</f>
        <v>Medium</v>
      </c>
      <c r="G149" s="3" t="str">
        <f ca="1">IFERROR(__xludf.DUMMYFUNCTION("""COMPUTED_VALUE"""),"50.7365%;")</f>
        <v>50.7365%;</v>
      </c>
    </row>
    <row r="150" spans="1:7" x14ac:dyDescent="0.2">
      <c r="A150" s="3">
        <f ca="1">IFERROR(__xludf.DUMMYFUNCTION("""COMPUTED_VALUE"""),353)</f>
        <v>353</v>
      </c>
      <c r="B150" s="4" t="str">
        <f ca="1">IFERROR(__xludf.DUMMYFUNCTION("""COMPUTED_VALUE"""),"Design Snake Game")</f>
        <v>Design Snake Game</v>
      </c>
      <c r="C150" s="8" t="str">
        <f ca="1">IFERROR(__xludf.DUMMYFUNCTION("""COMPUTED_VALUE"""),"https://leetcode.com/problems/design-snake-game")</f>
        <v>https://leetcode.com/problems/design-snake-game</v>
      </c>
      <c r="D150" s="3" t="str">
        <f ca="1">IFERROR(__xludf.DUMMYFUNCTION("""COMPUTED_VALUE"""),"Y")</f>
        <v>Y</v>
      </c>
      <c r="E150" s="6">
        <f ca="1">IFERROR(__xludf.DUMMYFUNCTION("""COMPUTED_VALUE"""),0.391)</f>
        <v>0.39100000000000001</v>
      </c>
      <c r="F150" s="3" t="str">
        <f ca="1">IFERROR(__xludf.DUMMYFUNCTION("""COMPUTED_VALUE"""),"Medium")</f>
        <v>Medium</v>
      </c>
      <c r="G150" s="3" t="str">
        <f ca="1">IFERROR(__xludf.DUMMYFUNCTION("""COMPUTED_VALUE"""),"11.0501%;")</f>
        <v>11.0501%;</v>
      </c>
    </row>
    <row r="151" spans="1:7" x14ac:dyDescent="0.2">
      <c r="A151" s="3">
        <f ca="1">IFERROR(__xludf.DUMMYFUNCTION("""COMPUTED_VALUE"""),362)</f>
        <v>362</v>
      </c>
      <c r="B151" s="4" t="str">
        <f ca="1">IFERROR(__xludf.DUMMYFUNCTION("""COMPUTED_VALUE"""),"Design Hit Counter")</f>
        <v>Design Hit Counter</v>
      </c>
      <c r="C151" s="8" t="str">
        <f ca="1">IFERROR(__xludf.DUMMYFUNCTION("""COMPUTED_VALUE"""),"https://leetcode.com/problems/design-hit-counter")</f>
        <v>https://leetcode.com/problems/design-hit-counter</v>
      </c>
      <c r="D151" s="3" t="str">
        <f ca="1">IFERROR(__xludf.DUMMYFUNCTION("""COMPUTED_VALUE"""),"Y")</f>
        <v>Y</v>
      </c>
      <c r="E151" s="6">
        <f ca="1">IFERROR(__xludf.DUMMYFUNCTION("""COMPUTED_VALUE"""),0.684)</f>
        <v>0.68400000000000005</v>
      </c>
      <c r="F151" s="3" t="str">
        <f ca="1">IFERROR(__xludf.DUMMYFUNCTION("""COMPUTED_VALUE"""),"Medium")</f>
        <v>Medium</v>
      </c>
      <c r="G151" s="3" t="str">
        <f ca="1">IFERROR(__xludf.DUMMYFUNCTION("""COMPUTED_VALUE"""),"22.9524%;")</f>
        <v>22.9524%;</v>
      </c>
    </row>
    <row r="152" spans="1:7" x14ac:dyDescent="0.2">
      <c r="A152" s="3">
        <f ca="1">IFERROR(__xludf.DUMMYFUNCTION("""COMPUTED_VALUE"""),366)</f>
        <v>366</v>
      </c>
      <c r="B152" s="4" t="str">
        <f ca="1">IFERROR(__xludf.DUMMYFUNCTION("""COMPUTED_VALUE"""),"Find Leaves of Binary Tree")</f>
        <v>Find Leaves of Binary Tree</v>
      </c>
      <c r="C152" s="8" t="str">
        <f ca="1">IFERROR(__xludf.DUMMYFUNCTION("""COMPUTED_VALUE"""),"https://leetcode.com/problems/find-leaves-of-binary-tree")</f>
        <v>https://leetcode.com/problems/find-leaves-of-binary-tree</v>
      </c>
      <c r="D152" s="3" t="str">
        <f ca="1">IFERROR(__xludf.DUMMYFUNCTION("""COMPUTED_VALUE"""),"Y")</f>
        <v>Y</v>
      </c>
      <c r="E152" s="6">
        <f ca="1">IFERROR(__xludf.DUMMYFUNCTION("""COMPUTED_VALUE"""),0.801)</f>
        <v>0.80100000000000005</v>
      </c>
      <c r="F152" s="3" t="str">
        <f ca="1">IFERROR(__xludf.DUMMYFUNCTION("""COMPUTED_VALUE"""),"Medium")</f>
        <v>Medium</v>
      </c>
      <c r="G152" s="3" t="str">
        <f ca="1">IFERROR(__xludf.DUMMYFUNCTION("""COMPUTED_VALUE"""),"34.7751%;")</f>
        <v>34.7751%;</v>
      </c>
    </row>
    <row r="153" spans="1:7" x14ac:dyDescent="0.2">
      <c r="A153" s="3">
        <f ca="1">IFERROR(__xludf.DUMMYFUNCTION("""COMPUTED_VALUE"""),373)</f>
        <v>373</v>
      </c>
      <c r="B153" s="4" t="str">
        <f ca="1">IFERROR(__xludf.DUMMYFUNCTION("""COMPUTED_VALUE"""),"Find K Pairs with Smallest Sums")</f>
        <v>Find K Pairs with Smallest Sums</v>
      </c>
      <c r="C153" s="8" t="str">
        <f ca="1">IFERROR(__xludf.DUMMYFUNCTION("""COMPUTED_VALUE"""),"https://leetcode.com/problems/find-k-pairs-with-smallest-sums")</f>
        <v>https://leetcode.com/problems/find-k-pairs-with-smallest-sums</v>
      </c>
      <c r="D153" s="3" t="str">
        <f ca="1">IFERROR(__xludf.DUMMYFUNCTION("""COMPUTED_VALUE"""),"N")</f>
        <v>N</v>
      </c>
      <c r="E153" s="6">
        <f ca="1">IFERROR(__xludf.DUMMYFUNCTION("""COMPUTED_VALUE"""),0.383)</f>
        <v>0.38300000000000001</v>
      </c>
      <c r="F153" s="3" t="str">
        <f ca="1">IFERROR(__xludf.DUMMYFUNCTION("""COMPUTED_VALUE"""),"Medium")</f>
        <v>Medium</v>
      </c>
      <c r="G153" s="3" t="str">
        <f ca="1">IFERROR(__xludf.DUMMYFUNCTION("""COMPUTED_VALUE"""),"30.6958%;")</f>
        <v>30.6958%;</v>
      </c>
    </row>
    <row r="154" spans="1:7" x14ac:dyDescent="0.2">
      <c r="A154" s="3">
        <f ca="1">IFERROR(__xludf.DUMMYFUNCTION("""COMPUTED_VALUE"""),377)</f>
        <v>377</v>
      </c>
      <c r="B154" s="4" t="str">
        <f ca="1">IFERROR(__xludf.DUMMYFUNCTION("""COMPUTED_VALUE"""),"Combination Sum IV")</f>
        <v>Combination Sum IV</v>
      </c>
      <c r="C154" s="8" t="str">
        <f ca="1">IFERROR(__xludf.DUMMYFUNCTION("""COMPUTED_VALUE"""),"https://leetcode.com/problems/combination-sum-iv")</f>
        <v>https://leetcode.com/problems/combination-sum-iv</v>
      </c>
      <c r="D154" s="3" t="str">
        <f ca="1">IFERROR(__xludf.DUMMYFUNCTION("""COMPUTED_VALUE"""),"N")</f>
        <v>N</v>
      </c>
      <c r="E154" s="6">
        <f ca="1">IFERROR(__xludf.DUMMYFUNCTION("""COMPUTED_VALUE"""),0.521)</f>
        <v>0.52100000000000002</v>
      </c>
      <c r="F154" s="3" t="str">
        <f ca="1">IFERROR(__xludf.DUMMYFUNCTION("""COMPUTED_VALUE"""),"Medium")</f>
        <v>Medium</v>
      </c>
      <c r="G154" s="3" t="str">
        <f ca="1">IFERROR(__xludf.DUMMYFUNCTION("""COMPUTED_VALUE"""),"7.45367%;")</f>
        <v>7.45367%;</v>
      </c>
    </row>
    <row r="155" spans="1:7" x14ac:dyDescent="0.2">
      <c r="A155" s="3">
        <f ca="1">IFERROR(__xludf.DUMMYFUNCTION("""COMPUTED_VALUE"""),378)</f>
        <v>378</v>
      </c>
      <c r="B155" s="4" t="str">
        <f ca="1">IFERROR(__xludf.DUMMYFUNCTION("""COMPUTED_VALUE"""),"Kth Smallest Element in a Sorted Matrix")</f>
        <v>Kth Smallest Element in a Sorted Matrix</v>
      </c>
      <c r="C155" s="8" t="str">
        <f ca="1">IFERROR(__xludf.DUMMYFUNCTION("""COMPUTED_VALUE"""),"https://leetcode.com/problems/kth-smallest-element-in-a-sorted-matrix")</f>
        <v>https://leetcode.com/problems/kth-smallest-element-in-a-sorted-matrix</v>
      </c>
      <c r="D155" s="3" t="str">
        <f ca="1">IFERROR(__xludf.DUMMYFUNCTION("""COMPUTED_VALUE"""),"N")</f>
        <v>N</v>
      </c>
      <c r="E155" s="6">
        <f ca="1">IFERROR(__xludf.DUMMYFUNCTION("""COMPUTED_VALUE"""),0.616)</f>
        <v>0.61599999999999999</v>
      </c>
      <c r="F155" s="3" t="str">
        <f ca="1">IFERROR(__xludf.DUMMYFUNCTION("""COMPUTED_VALUE"""),"Medium")</f>
        <v>Medium</v>
      </c>
      <c r="G155" s="3" t="str">
        <f ca="1">IFERROR(__xludf.DUMMYFUNCTION("""COMPUTED_VALUE"""),"13.5345%;")</f>
        <v>13.5345%;</v>
      </c>
    </row>
    <row r="156" spans="1:7" x14ac:dyDescent="0.2">
      <c r="A156" s="3">
        <f ca="1">IFERROR(__xludf.DUMMYFUNCTION("""COMPUTED_VALUE"""),380)</f>
        <v>380</v>
      </c>
      <c r="B156" s="4" t="str">
        <f ca="1">IFERROR(__xludf.DUMMYFUNCTION("""COMPUTED_VALUE"""),"Insert Delete GetRandom O(1)")</f>
        <v>Insert Delete GetRandom O(1)</v>
      </c>
      <c r="C156" s="8" t="str">
        <f ca="1">IFERROR(__xludf.DUMMYFUNCTION("""COMPUTED_VALUE"""),"https://leetcode.com/problems/insert-delete-getrandom-o1")</f>
        <v>https://leetcode.com/problems/insert-delete-getrandom-o1</v>
      </c>
      <c r="D156" s="3" t="str">
        <f ca="1">IFERROR(__xludf.DUMMYFUNCTION("""COMPUTED_VALUE"""),"N")</f>
        <v>N</v>
      </c>
      <c r="E156" s="6">
        <f ca="1">IFERROR(__xludf.DUMMYFUNCTION("""COMPUTED_VALUE"""),0.52)</f>
        <v>0.52</v>
      </c>
      <c r="F156" s="3" t="str">
        <f ca="1">IFERROR(__xludf.DUMMYFUNCTION("""COMPUTED_VALUE"""),"Medium")</f>
        <v>Medium</v>
      </c>
      <c r="G156" s="3" t="str">
        <f ca="1">IFERROR(__xludf.DUMMYFUNCTION("""COMPUTED_VALUE"""),"33.9317%;")</f>
        <v>33.9317%;</v>
      </c>
    </row>
    <row r="157" spans="1:7" x14ac:dyDescent="0.2">
      <c r="A157" s="3">
        <f ca="1">IFERROR(__xludf.DUMMYFUNCTION("""COMPUTED_VALUE"""),390)</f>
        <v>390</v>
      </c>
      <c r="B157" s="4" t="str">
        <f ca="1">IFERROR(__xludf.DUMMYFUNCTION("""COMPUTED_VALUE"""),"Elimination Game")</f>
        <v>Elimination Game</v>
      </c>
      <c r="C157" s="8" t="str">
        <f ca="1">IFERROR(__xludf.DUMMYFUNCTION("""COMPUTED_VALUE"""),"https://leetcode.com/problems/elimination-game")</f>
        <v>https://leetcode.com/problems/elimination-game</v>
      </c>
      <c r="D157" s="3" t="str">
        <f ca="1">IFERROR(__xludf.DUMMYFUNCTION("""COMPUTED_VALUE"""),"N")</f>
        <v>N</v>
      </c>
      <c r="E157" s="6">
        <f ca="1">IFERROR(__xludf.DUMMYFUNCTION("""COMPUTED_VALUE"""),0.465)</f>
        <v>0.46500000000000002</v>
      </c>
      <c r="F157" s="3" t="str">
        <f ca="1">IFERROR(__xludf.DUMMYFUNCTION("""COMPUTED_VALUE"""),"Medium")</f>
        <v>Medium</v>
      </c>
      <c r="G157" s="3" t="str">
        <f ca="1">IFERROR(__xludf.DUMMYFUNCTION("""COMPUTED_VALUE"""),"8.13372%;")</f>
        <v>8.13372%;</v>
      </c>
    </row>
    <row r="158" spans="1:7" x14ac:dyDescent="0.2">
      <c r="A158" s="3">
        <f ca="1">IFERROR(__xludf.DUMMYFUNCTION("""COMPUTED_VALUE"""),394)</f>
        <v>394</v>
      </c>
      <c r="B158" s="4" t="str">
        <f ca="1">IFERROR(__xludf.DUMMYFUNCTION("""COMPUTED_VALUE"""),"Decode String")</f>
        <v>Decode String</v>
      </c>
      <c r="C158" s="8" t="str">
        <f ca="1">IFERROR(__xludf.DUMMYFUNCTION("""COMPUTED_VALUE"""),"https://leetcode.com/problems/decode-string")</f>
        <v>https://leetcode.com/problems/decode-string</v>
      </c>
      <c r="D158" s="3" t="str">
        <f ca="1">IFERROR(__xludf.DUMMYFUNCTION("""COMPUTED_VALUE"""),"N")</f>
        <v>N</v>
      </c>
      <c r="E158" s="6">
        <f ca="1">IFERROR(__xludf.DUMMYFUNCTION("""COMPUTED_VALUE"""),0.576)</f>
        <v>0.57599999999999996</v>
      </c>
      <c r="F158" s="3" t="str">
        <f ca="1">IFERROR(__xludf.DUMMYFUNCTION("""COMPUTED_VALUE"""),"Medium")</f>
        <v>Medium</v>
      </c>
      <c r="G158" s="3" t="str">
        <f ca="1">IFERROR(__xludf.DUMMYFUNCTION("""COMPUTED_VALUE"""),"24.2782%;")</f>
        <v>24.2782%;</v>
      </c>
    </row>
    <row r="159" spans="1:7" x14ac:dyDescent="0.2">
      <c r="A159" s="3">
        <f ca="1">IFERROR(__xludf.DUMMYFUNCTION("""COMPUTED_VALUE"""),395)</f>
        <v>395</v>
      </c>
      <c r="B159" s="4" t="str">
        <f ca="1">IFERROR(__xludf.DUMMYFUNCTION("""COMPUTED_VALUE"""),"Longest Substring with At Least K Repeating Characters")</f>
        <v>Longest Substring with At Least K Repeating Characters</v>
      </c>
      <c r="C159" s="8" t="str">
        <f ca="1">IFERROR(__xludf.DUMMYFUNCTION("""COMPUTED_VALUE"""),"https://leetcode.com/problems/longest-substring-with-at-least-k-repeating-characters")</f>
        <v>https://leetcode.com/problems/longest-substring-with-at-least-k-repeating-characters</v>
      </c>
      <c r="D159" s="3" t="str">
        <f ca="1">IFERROR(__xludf.DUMMYFUNCTION("""COMPUTED_VALUE"""),"N")</f>
        <v>N</v>
      </c>
      <c r="E159" s="6">
        <f ca="1">IFERROR(__xludf.DUMMYFUNCTION("""COMPUTED_VALUE"""),0.448)</f>
        <v>0.44800000000000001</v>
      </c>
      <c r="F159" s="3" t="str">
        <f ca="1">IFERROR(__xludf.DUMMYFUNCTION("""COMPUTED_VALUE"""),"Medium")</f>
        <v>Medium</v>
      </c>
      <c r="G159" s="3" t="str">
        <f ca="1">IFERROR(__xludf.DUMMYFUNCTION("""COMPUTED_VALUE"""),"4.36651%;")</f>
        <v>4.36651%;</v>
      </c>
    </row>
    <row r="160" spans="1:7" x14ac:dyDescent="0.2">
      <c r="A160" s="3">
        <f ca="1">IFERROR(__xludf.DUMMYFUNCTION("""COMPUTED_VALUE"""),397)</f>
        <v>397</v>
      </c>
      <c r="B160" s="4" t="str">
        <f ca="1">IFERROR(__xludf.DUMMYFUNCTION("""COMPUTED_VALUE"""),"Integer Replacement")</f>
        <v>Integer Replacement</v>
      </c>
      <c r="C160" s="8" t="str">
        <f ca="1">IFERROR(__xludf.DUMMYFUNCTION("""COMPUTED_VALUE"""),"https://leetcode.com/problems/integer-replacement")</f>
        <v>https://leetcode.com/problems/integer-replacement</v>
      </c>
      <c r="D160" s="3" t="str">
        <f ca="1">IFERROR(__xludf.DUMMYFUNCTION("""COMPUTED_VALUE"""),"N")</f>
        <v>N</v>
      </c>
      <c r="E160" s="6">
        <f ca="1">IFERROR(__xludf.DUMMYFUNCTION("""COMPUTED_VALUE"""),0.351)</f>
        <v>0.35099999999999998</v>
      </c>
      <c r="F160" s="3" t="str">
        <f ca="1">IFERROR(__xludf.DUMMYFUNCTION("""COMPUTED_VALUE"""),"Medium")</f>
        <v>Medium</v>
      </c>
      <c r="G160" s="3" t="str">
        <f ca="1">IFERROR(__xludf.DUMMYFUNCTION("""COMPUTED_VALUE"""),"10.5314%;")</f>
        <v>10.5314%;</v>
      </c>
    </row>
    <row r="161" spans="1:7" x14ac:dyDescent="0.2">
      <c r="A161" s="3">
        <f ca="1">IFERROR(__xludf.DUMMYFUNCTION("""COMPUTED_VALUE"""),399)</f>
        <v>399</v>
      </c>
      <c r="B161" s="4" t="str">
        <f ca="1">IFERROR(__xludf.DUMMYFUNCTION("""COMPUTED_VALUE"""),"Evaluate Division")</f>
        <v>Evaluate Division</v>
      </c>
      <c r="C161" s="8" t="str">
        <f ca="1">IFERROR(__xludf.DUMMYFUNCTION("""COMPUTED_VALUE"""),"https://leetcode.com/problems/evaluate-division")</f>
        <v>https://leetcode.com/problems/evaluate-division</v>
      </c>
      <c r="D161" s="3" t="str">
        <f ca="1">IFERROR(__xludf.DUMMYFUNCTION("""COMPUTED_VALUE"""),"N")</f>
        <v>N</v>
      </c>
      <c r="E161" s="6">
        <f ca="1">IFERROR(__xludf.DUMMYFUNCTION("""COMPUTED_VALUE"""),0.596)</f>
        <v>0.59599999999999997</v>
      </c>
      <c r="F161" s="3" t="str">
        <f ca="1">IFERROR(__xludf.DUMMYFUNCTION("""COMPUTED_VALUE"""),"Medium")</f>
        <v>Medium</v>
      </c>
      <c r="G161" s="3" t="str">
        <f ca="1">IFERROR(__xludf.DUMMYFUNCTION("""COMPUTED_VALUE"""),"50.8975%;")</f>
        <v>50.8975%;</v>
      </c>
    </row>
    <row r="162" spans="1:7" x14ac:dyDescent="0.2">
      <c r="A162" s="3">
        <f ca="1">IFERROR(__xludf.DUMMYFUNCTION("""COMPUTED_VALUE"""),402)</f>
        <v>402</v>
      </c>
      <c r="B162" s="4" t="str">
        <f ca="1">IFERROR(__xludf.DUMMYFUNCTION("""COMPUTED_VALUE"""),"Remove K Digits")</f>
        <v>Remove K Digits</v>
      </c>
      <c r="C162" s="8" t="str">
        <f ca="1">IFERROR(__xludf.DUMMYFUNCTION("""COMPUTED_VALUE"""),"https://leetcode.com/problems/remove-k-digits")</f>
        <v>https://leetcode.com/problems/remove-k-digits</v>
      </c>
      <c r="D162" s="3" t="str">
        <f ca="1">IFERROR(__xludf.DUMMYFUNCTION("""COMPUTED_VALUE"""),"N")</f>
        <v>N</v>
      </c>
      <c r="E162" s="6">
        <f ca="1">IFERROR(__xludf.DUMMYFUNCTION("""COMPUTED_VALUE"""),0.305)</f>
        <v>0.30499999999999999</v>
      </c>
      <c r="F162" s="3" t="str">
        <f ca="1">IFERROR(__xludf.DUMMYFUNCTION("""COMPUTED_VALUE"""),"Medium")</f>
        <v>Medium</v>
      </c>
      <c r="G162" s="3" t="str">
        <f ca="1">IFERROR(__xludf.DUMMYFUNCTION("""COMPUTED_VALUE"""),"10.9156%;")</f>
        <v>10.9156%;</v>
      </c>
    </row>
    <row r="163" spans="1:7" x14ac:dyDescent="0.2">
      <c r="A163" s="3">
        <f ca="1">IFERROR(__xludf.DUMMYFUNCTION("""COMPUTED_VALUE"""),406)</f>
        <v>406</v>
      </c>
      <c r="B163" s="4" t="str">
        <f ca="1">IFERROR(__xludf.DUMMYFUNCTION("""COMPUTED_VALUE"""),"Queue Reconstruction by Height")</f>
        <v>Queue Reconstruction by Height</v>
      </c>
      <c r="C163" s="8" t="str">
        <f ca="1">IFERROR(__xludf.DUMMYFUNCTION("""COMPUTED_VALUE"""),"https://leetcode.com/problems/queue-reconstruction-by-height")</f>
        <v>https://leetcode.com/problems/queue-reconstruction-by-height</v>
      </c>
      <c r="D163" s="3" t="str">
        <f ca="1">IFERROR(__xludf.DUMMYFUNCTION("""COMPUTED_VALUE"""),"N")</f>
        <v>N</v>
      </c>
      <c r="E163" s="6">
        <f ca="1">IFERROR(__xludf.DUMMYFUNCTION("""COMPUTED_VALUE"""),0.728)</f>
        <v>0.72799999999999998</v>
      </c>
      <c r="F163" s="3" t="str">
        <f ca="1">IFERROR(__xludf.DUMMYFUNCTION("""COMPUTED_VALUE"""),"Medium")</f>
        <v>Medium</v>
      </c>
      <c r="G163" s="3" t="str">
        <f ca="1">IFERROR(__xludf.DUMMYFUNCTION("""COMPUTED_VALUE"""),"9.76992%;")</f>
        <v>9.76992%;</v>
      </c>
    </row>
    <row r="164" spans="1:7" x14ac:dyDescent="0.2">
      <c r="A164" s="3">
        <f ca="1">IFERROR(__xludf.DUMMYFUNCTION("""COMPUTED_VALUE"""),416)</f>
        <v>416</v>
      </c>
      <c r="B164" s="4" t="str">
        <f ca="1">IFERROR(__xludf.DUMMYFUNCTION("""COMPUTED_VALUE"""),"Partition Equal Subset Sum")</f>
        <v>Partition Equal Subset Sum</v>
      </c>
      <c r="C164" s="8" t="str">
        <f ca="1">IFERROR(__xludf.DUMMYFUNCTION("""COMPUTED_VALUE"""),"https://leetcode.com/problems/partition-equal-subset-sum")</f>
        <v>https://leetcode.com/problems/partition-equal-subset-sum</v>
      </c>
      <c r="D164" s="3" t="str">
        <f ca="1">IFERROR(__xludf.DUMMYFUNCTION("""COMPUTED_VALUE"""),"N")</f>
        <v>N</v>
      </c>
      <c r="E164" s="6">
        <f ca="1">IFERROR(__xludf.DUMMYFUNCTION("""COMPUTED_VALUE"""),0.466)</f>
        <v>0.46600000000000003</v>
      </c>
      <c r="F164" s="3" t="str">
        <f ca="1">IFERROR(__xludf.DUMMYFUNCTION("""COMPUTED_VALUE"""),"Medium")</f>
        <v>Medium</v>
      </c>
      <c r="G164" s="3" t="str">
        <f ca="1">IFERROR(__xludf.DUMMYFUNCTION("""COMPUTED_VALUE"""),"5.05328%;")</f>
        <v>5.05328%;</v>
      </c>
    </row>
    <row r="165" spans="1:7" x14ac:dyDescent="0.2">
      <c r="A165" s="3">
        <f ca="1">IFERROR(__xludf.DUMMYFUNCTION("""COMPUTED_VALUE"""),417)</f>
        <v>417</v>
      </c>
      <c r="B165" s="4" t="str">
        <f ca="1">IFERROR(__xludf.DUMMYFUNCTION("""COMPUTED_VALUE"""),"Pacific Atlantic Water Flow")</f>
        <v>Pacific Atlantic Water Flow</v>
      </c>
      <c r="C165" s="8" t="str">
        <f ca="1">IFERROR(__xludf.DUMMYFUNCTION("""COMPUTED_VALUE"""),"https://leetcode.com/problems/pacific-atlantic-water-flow")</f>
        <v>https://leetcode.com/problems/pacific-atlantic-water-flow</v>
      </c>
      <c r="D165" s="3" t="str">
        <f ca="1">IFERROR(__xludf.DUMMYFUNCTION("""COMPUTED_VALUE"""),"N")</f>
        <v>N</v>
      </c>
      <c r="E165" s="6">
        <f ca="1">IFERROR(__xludf.DUMMYFUNCTION("""COMPUTED_VALUE"""),0.54)</f>
        <v>0.54</v>
      </c>
      <c r="F165" s="3" t="str">
        <f ca="1">IFERROR(__xludf.DUMMYFUNCTION("""COMPUTED_VALUE"""),"Medium")</f>
        <v>Medium</v>
      </c>
      <c r="G165" s="3" t="str">
        <f ca="1">IFERROR(__xludf.DUMMYFUNCTION("""COMPUTED_VALUE"""),"23.3085%;")</f>
        <v>23.3085%;</v>
      </c>
    </row>
    <row r="166" spans="1:7" x14ac:dyDescent="0.2">
      <c r="A166" s="3">
        <f ca="1">IFERROR(__xludf.DUMMYFUNCTION("""COMPUTED_VALUE"""),419)</f>
        <v>419</v>
      </c>
      <c r="B166" s="4" t="str">
        <f ca="1">IFERROR(__xludf.DUMMYFUNCTION("""COMPUTED_VALUE"""),"Battleships in a Board")</f>
        <v>Battleships in a Board</v>
      </c>
      <c r="C166" s="8" t="str">
        <f ca="1">IFERROR(__xludf.DUMMYFUNCTION("""COMPUTED_VALUE"""),"https://leetcode.com/problems/battleships-in-a-board")</f>
        <v>https://leetcode.com/problems/battleships-in-a-board</v>
      </c>
      <c r="D166" s="3" t="str">
        <f ca="1">IFERROR(__xludf.DUMMYFUNCTION("""COMPUTED_VALUE"""),"N")</f>
        <v>N</v>
      </c>
      <c r="E166" s="6">
        <f ca="1">IFERROR(__xludf.DUMMYFUNCTION("""COMPUTED_VALUE"""),0.747)</f>
        <v>0.747</v>
      </c>
      <c r="F166" s="3" t="str">
        <f ca="1">IFERROR(__xludf.DUMMYFUNCTION("""COMPUTED_VALUE"""),"Medium")</f>
        <v>Medium</v>
      </c>
      <c r="G166" s="3" t="str">
        <f ca="1">IFERROR(__xludf.DUMMYFUNCTION("""COMPUTED_VALUE"""),"6.05172%;")</f>
        <v>6.05172%;</v>
      </c>
    </row>
    <row r="167" spans="1:7" x14ac:dyDescent="0.2">
      <c r="A167" s="3">
        <f ca="1">IFERROR(__xludf.DUMMYFUNCTION("""COMPUTED_VALUE"""),421)</f>
        <v>421</v>
      </c>
      <c r="B167" s="4" t="str">
        <f ca="1">IFERROR(__xludf.DUMMYFUNCTION("""COMPUTED_VALUE"""),"Maximum XOR of Two Numbers in an Array")</f>
        <v>Maximum XOR of Two Numbers in an Array</v>
      </c>
      <c r="C167" s="8" t="str">
        <f ca="1">IFERROR(__xludf.DUMMYFUNCTION("""COMPUTED_VALUE"""),"https://leetcode.com/problems/maximum-xor-of-two-numbers-in-an-array")</f>
        <v>https://leetcode.com/problems/maximum-xor-of-two-numbers-in-an-array</v>
      </c>
      <c r="D167" s="3" t="str">
        <f ca="1">IFERROR(__xludf.DUMMYFUNCTION("""COMPUTED_VALUE"""),"N")</f>
        <v>N</v>
      </c>
      <c r="E167" s="6">
        <f ca="1">IFERROR(__xludf.DUMMYFUNCTION("""COMPUTED_VALUE"""),0.545)</f>
        <v>0.54500000000000004</v>
      </c>
      <c r="F167" s="3" t="str">
        <f ca="1">IFERROR(__xludf.DUMMYFUNCTION("""COMPUTED_VALUE"""),"Medium")</f>
        <v>Medium</v>
      </c>
      <c r="G167" s="3" t="str">
        <f ca="1">IFERROR(__xludf.DUMMYFUNCTION("""COMPUTED_VALUE"""),"10.5314%;")</f>
        <v>10.5314%;</v>
      </c>
    </row>
    <row r="168" spans="1:7" x14ac:dyDescent="0.2">
      <c r="A168" s="3">
        <f ca="1">IFERROR(__xludf.DUMMYFUNCTION("""COMPUTED_VALUE"""),424)</f>
        <v>424</v>
      </c>
      <c r="B168" s="4" t="str">
        <f ca="1">IFERROR(__xludf.DUMMYFUNCTION("""COMPUTED_VALUE"""),"Longest Repeating Character Replacement")</f>
        <v>Longest Repeating Character Replacement</v>
      </c>
      <c r="C168" s="8" t="str">
        <f ca="1">IFERROR(__xludf.DUMMYFUNCTION("""COMPUTED_VALUE"""),"https://leetcode.com/problems/longest-repeating-character-replacement")</f>
        <v>https://leetcode.com/problems/longest-repeating-character-replacement</v>
      </c>
      <c r="D168" s="3" t="str">
        <f ca="1">IFERROR(__xludf.DUMMYFUNCTION("""COMPUTED_VALUE"""),"N")</f>
        <v>N</v>
      </c>
      <c r="E168" s="6">
        <f ca="1">IFERROR(__xludf.DUMMYFUNCTION("""COMPUTED_VALUE"""),0.515)</f>
        <v>0.51500000000000001</v>
      </c>
      <c r="F168" s="3" t="str">
        <f ca="1">IFERROR(__xludf.DUMMYFUNCTION("""COMPUTED_VALUE"""),"Medium")</f>
        <v>Medium</v>
      </c>
      <c r="G168" s="3" t="str">
        <f ca="1">IFERROR(__xludf.DUMMYFUNCTION("""COMPUTED_VALUE"""),"19.8963%;")</f>
        <v>19.8963%;</v>
      </c>
    </row>
    <row r="169" spans="1:7" x14ac:dyDescent="0.2">
      <c r="A169" s="3">
        <f ca="1">IFERROR(__xludf.DUMMYFUNCTION("""COMPUTED_VALUE"""),433)</f>
        <v>433</v>
      </c>
      <c r="B169" s="4" t="str">
        <f ca="1">IFERROR(__xludf.DUMMYFUNCTION("""COMPUTED_VALUE"""),"Minimum Genetic Mutation")</f>
        <v>Minimum Genetic Mutation</v>
      </c>
      <c r="C169" s="8" t="str">
        <f ca="1">IFERROR(__xludf.DUMMYFUNCTION("""COMPUTED_VALUE"""),"https://leetcode.com/problems/minimum-genetic-mutation")</f>
        <v>https://leetcode.com/problems/minimum-genetic-mutation</v>
      </c>
      <c r="D169" s="3" t="str">
        <f ca="1">IFERROR(__xludf.DUMMYFUNCTION("""COMPUTED_VALUE"""),"N")</f>
        <v>N</v>
      </c>
      <c r="E169" s="6">
        <f ca="1">IFERROR(__xludf.DUMMYFUNCTION("""COMPUTED_VALUE"""),0.52)</f>
        <v>0.52</v>
      </c>
      <c r="F169" s="3" t="str">
        <f ca="1">IFERROR(__xludf.DUMMYFUNCTION("""COMPUTED_VALUE"""),"Medium")</f>
        <v>Medium</v>
      </c>
      <c r="G169" s="3" t="str">
        <f ca="1">IFERROR(__xludf.DUMMYFUNCTION("""COMPUTED_VALUE"""),"4.96245%;")</f>
        <v>4.96245%;</v>
      </c>
    </row>
    <row r="170" spans="1:7" x14ac:dyDescent="0.2">
      <c r="A170" s="3">
        <f ca="1">IFERROR(__xludf.DUMMYFUNCTION("""COMPUTED_VALUE"""),435)</f>
        <v>435</v>
      </c>
      <c r="B170" s="4" t="str">
        <f ca="1">IFERROR(__xludf.DUMMYFUNCTION("""COMPUTED_VALUE"""),"Non-overlapping Intervals")</f>
        <v>Non-overlapping Intervals</v>
      </c>
      <c r="C170" s="8" t="str">
        <f ca="1">IFERROR(__xludf.DUMMYFUNCTION("""COMPUTED_VALUE"""),"https://leetcode.com/problems/non-overlapping-intervals")</f>
        <v>https://leetcode.com/problems/non-overlapping-intervals</v>
      </c>
      <c r="D170" s="3" t="str">
        <f ca="1">IFERROR(__xludf.DUMMYFUNCTION("""COMPUTED_VALUE"""),"N")</f>
        <v>N</v>
      </c>
      <c r="E170" s="6">
        <f ca="1">IFERROR(__xludf.DUMMYFUNCTION("""COMPUTED_VALUE"""),0.499)</f>
        <v>0.499</v>
      </c>
      <c r="F170" s="3" t="str">
        <f ca="1">IFERROR(__xludf.DUMMYFUNCTION("""COMPUTED_VALUE"""),"Medium")</f>
        <v>Medium</v>
      </c>
      <c r="G170" s="3" t="str">
        <f ca="1">IFERROR(__xludf.DUMMYFUNCTION("""COMPUTED_VALUE"""),"4.10177%;")</f>
        <v>4.10177%;</v>
      </c>
    </row>
    <row r="171" spans="1:7" x14ac:dyDescent="0.2">
      <c r="A171" s="3">
        <f ca="1">IFERROR(__xludf.DUMMYFUNCTION("""COMPUTED_VALUE"""),437)</f>
        <v>437</v>
      </c>
      <c r="B171" s="4" t="str">
        <f ca="1">IFERROR(__xludf.DUMMYFUNCTION("""COMPUTED_VALUE"""),"Path Sum III")</f>
        <v>Path Sum III</v>
      </c>
      <c r="C171" s="8" t="str">
        <f ca="1">IFERROR(__xludf.DUMMYFUNCTION("""COMPUTED_VALUE"""),"https://leetcode.com/problems/path-sum-iii")</f>
        <v>https://leetcode.com/problems/path-sum-iii</v>
      </c>
      <c r="D171" s="3" t="str">
        <f ca="1">IFERROR(__xludf.DUMMYFUNCTION("""COMPUTED_VALUE"""),"N")</f>
        <v>N</v>
      </c>
      <c r="E171" s="6">
        <f ca="1">IFERROR(__xludf.DUMMYFUNCTION("""COMPUTED_VALUE"""),0.487)</f>
        <v>0.48699999999999999</v>
      </c>
      <c r="F171" s="3" t="str">
        <f ca="1">IFERROR(__xludf.DUMMYFUNCTION("""COMPUTED_VALUE"""),"Medium")</f>
        <v>Medium</v>
      </c>
      <c r="G171" s="3" t="str">
        <f ca="1">IFERROR(__xludf.DUMMYFUNCTION("""COMPUTED_VALUE"""),"12.0432%;")</f>
        <v>12.0432%;</v>
      </c>
    </row>
    <row r="172" spans="1:7" x14ac:dyDescent="0.2">
      <c r="A172" s="3">
        <f ca="1">IFERROR(__xludf.DUMMYFUNCTION("""COMPUTED_VALUE"""),438)</f>
        <v>438</v>
      </c>
      <c r="B172" s="4" t="str">
        <f ca="1">IFERROR(__xludf.DUMMYFUNCTION("""COMPUTED_VALUE"""),"Find All Anagrams in a String")</f>
        <v>Find All Anagrams in a String</v>
      </c>
      <c r="C172" s="8" t="str">
        <f ca="1">IFERROR(__xludf.DUMMYFUNCTION("""COMPUTED_VALUE"""),"https://leetcode.com/problems/find-all-anagrams-in-a-string")</f>
        <v>https://leetcode.com/problems/find-all-anagrams-in-a-string</v>
      </c>
      <c r="D172" s="3" t="str">
        <f ca="1">IFERROR(__xludf.DUMMYFUNCTION("""COMPUTED_VALUE"""),"N")</f>
        <v>N</v>
      </c>
      <c r="E172" s="6">
        <f ca="1">IFERROR(__xludf.DUMMYFUNCTION("""COMPUTED_VALUE"""),0.49)</f>
        <v>0.49</v>
      </c>
      <c r="F172" s="3" t="str">
        <f ca="1">IFERROR(__xludf.DUMMYFUNCTION("""COMPUTED_VALUE"""),"Medium")</f>
        <v>Medium</v>
      </c>
      <c r="G172" s="3" t="str">
        <f ca="1">IFERROR(__xludf.DUMMYFUNCTION("""COMPUTED_VALUE"""),"19.3228%;")</f>
        <v>19.3228%;</v>
      </c>
    </row>
    <row r="173" spans="1:7" x14ac:dyDescent="0.2">
      <c r="A173" s="3">
        <f ca="1">IFERROR(__xludf.DUMMYFUNCTION("""COMPUTED_VALUE"""),442)</f>
        <v>442</v>
      </c>
      <c r="B173" s="4" t="str">
        <f ca="1">IFERROR(__xludf.DUMMYFUNCTION("""COMPUTED_VALUE"""),"Find All Duplicates in an Array")</f>
        <v>Find All Duplicates in an Array</v>
      </c>
      <c r="C173" s="8" t="str">
        <f ca="1">IFERROR(__xludf.DUMMYFUNCTION("""COMPUTED_VALUE"""),"https://leetcode.com/problems/find-all-duplicates-in-an-array")</f>
        <v>https://leetcode.com/problems/find-all-duplicates-in-an-array</v>
      </c>
      <c r="D173" s="3" t="str">
        <f ca="1">IFERROR(__xludf.DUMMYFUNCTION("""COMPUTED_VALUE"""),"N")</f>
        <v>N</v>
      </c>
      <c r="E173" s="6">
        <f ca="1">IFERROR(__xludf.DUMMYFUNCTION("""COMPUTED_VALUE"""),0.734)</f>
        <v>0.73399999999999999</v>
      </c>
      <c r="F173" s="3" t="str">
        <f ca="1">IFERROR(__xludf.DUMMYFUNCTION("""COMPUTED_VALUE"""),"Medium")</f>
        <v>Medium</v>
      </c>
      <c r="G173" s="3" t="str">
        <f ca="1">IFERROR(__xludf.DUMMYFUNCTION("""COMPUTED_VALUE"""),"15.4765%;")</f>
        <v>15.4765%;</v>
      </c>
    </row>
    <row r="174" spans="1:7" x14ac:dyDescent="0.2">
      <c r="A174" s="3">
        <f ca="1">IFERROR(__xludf.DUMMYFUNCTION("""COMPUTED_VALUE"""),443)</f>
        <v>443</v>
      </c>
      <c r="B174" s="4" t="str">
        <f ca="1">IFERROR(__xludf.DUMMYFUNCTION("""COMPUTED_VALUE"""),"String Compression")</f>
        <v>String Compression</v>
      </c>
      <c r="C174" s="8" t="str">
        <f ca="1">IFERROR(__xludf.DUMMYFUNCTION("""COMPUTED_VALUE"""),"https://leetcode.com/problems/string-compression")</f>
        <v>https://leetcode.com/problems/string-compression</v>
      </c>
      <c r="D174" s="3" t="str">
        <f ca="1">IFERROR(__xludf.DUMMYFUNCTION("""COMPUTED_VALUE"""),"N")</f>
        <v>N</v>
      </c>
      <c r="E174" s="6">
        <f ca="1">IFERROR(__xludf.DUMMYFUNCTION("""COMPUTED_VALUE"""),0.489)</f>
        <v>0.48899999999999999</v>
      </c>
      <c r="F174" s="3" t="str">
        <f ca="1">IFERROR(__xludf.DUMMYFUNCTION("""COMPUTED_VALUE"""),"Medium")</f>
        <v>Medium</v>
      </c>
      <c r="G174" s="3" t="str">
        <f ca="1">IFERROR(__xludf.DUMMYFUNCTION("""COMPUTED_VALUE"""),"10.9156%;")</f>
        <v>10.9156%;</v>
      </c>
    </row>
    <row r="175" spans="1:7" x14ac:dyDescent="0.2">
      <c r="A175" s="3">
        <f ca="1">IFERROR(__xludf.DUMMYFUNCTION("""COMPUTED_VALUE"""),445)</f>
        <v>445</v>
      </c>
      <c r="B175" s="4" t="str">
        <f ca="1">IFERROR(__xludf.DUMMYFUNCTION("""COMPUTED_VALUE"""),"Add Two Numbers II")</f>
        <v>Add Two Numbers II</v>
      </c>
      <c r="C175" s="8" t="str">
        <f ca="1">IFERROR(__xludf.DUMMYFUNCTION("""COMPUTED_VALUE"""),"https://leetcode.com/problems/add-two-numbers-ii")</f>
        <v>https://leetcode.com/problems/add-two-numbers-ii</v>
      </c>
      <c r="D175" s="3" t="str">
        <f ca="1">IFERROR(__xludf.DUMMYFUNCTION("""COMPUTED_VALUE"""),"N")</f>
        <v>N</v>
      </c>
      <c r="E175" s="6">
        <f ca="1">IFERROR(__xludf.DUMMYFUNCTION("""COMPUTED_VALUE"""),0.595)</f>
        <v>0.59499999999999997</v>
      </c>
      <c r="F175" s="3" t="str">
        <f ca="1">IFERROR(__xludf.DUMMYFUNCTION("""COMPUTED_VALUE"""),"Medium")</f>
        <v>Medium</v>
      </c>
      <c r="G175" s="3" t="str">
        <f ca="1">IFERROR(__xludf.DUMMYFUNCTION("""COMPUTED_VALUE"""),"15.6541%;")</f>
        <v>15.6541%;</v>
      </c>
    </row>
    <row r="176" spans="1:7" x14ac:dyDescent="0.2">
      <c r="A176" s="3">
        <f ca="1">IFERROR(__xludf.DUMMYFUNCTION("""COMPUTED_VALUE"""),449)</f>
        <v>449</v>
      </c>
      <c r="B176" s="4" t="str">
        <f ca="1">IFERROR(__xludf.DUMMYFUNCTION("""COMPUTED_VALUE"""),"Serialize and Deserialize BST")</f>
        <v>Serialize and Deserialize BST</v>
      </c>
      <c r="C176" s="8" t="str">
        <f ca="1">IFERROR(__xludf.DUMMYFUNCTION("""COMPUTED_VALUE"""),"https://leetcode.com/problems/serialize-and-deserialize-bst")</f>
        <v>https://leetcode.com/problems/serialize-and-deserialize-bst</v>
      </c>
      <c r="D176" s="3" t="str">
        <f ca="1">IFERROR(__xludf.DUMMYFUNCTION("""COMPUTED_VALUE"""),"N")</f>
        <v>N</v>
      </c>
      <c r="E176" s="6">
        <f ca="1">IFERROR(__xludf.DUMMYFUNCTION("""COMPUTED_VALUE"""),0.568)</f>
        <v>0.56799999999999995</v>
      </c>
      <c r="F176" s="3" t="str">
        <f ca="1">IFERROR(__xludf.DUMMYFUNCTION("""COMPUTED_VALUE"""),"Medium")</f>
        <v>Medium</v>
      </c>
      <c r="G176" s="3" t="str">
        <f ca="1">IFERROR(__xludf.DUMMYFUNCTION("""COMPUTED_VALUE"""),"23.687%;")</f>
        <v>23.687%;</v>
      </c>
    </row>
    <row r="177" spans="1:7" x14ac:dyDescent="0.2">
      <c r="A177" s="3">
        <f ca="1">IFERROR(__xludf.DUMMYFUNCTION("""COMPUTED_VALUE"""),450)</f>
        <v>450</v>
      </c>
      <c r="B177" s="4" t="str">
        <f ca="1">IFERROR(__xludf.DUMMYFUNCTION("""COMPUTED_VALUE"""),"Delete Node in a BST")</f>
        <v>Delete Node in a BST</v>
      </c>
      <c r="C177" s="8" t="str">
        <f ca="1">IFERROR(__xludf.DUMMYFUNCTION("""COMPUTED_VALUE"""),"https://leetcode.com/problems/delete-node-in-a-bst")</f>
        <v>https://leetcode.com/problems/delete-node-in-a-bst</v>
      </c>
      <c r="D177" s="3" t="str">
        <f ca="1">IFERROR(__xludf.DUMMYFUNCTION("""COMPUTED_VALUE"""),"N")</f>
        <v>N</v>
      </c>
      <c r="E177" s="6">
        <f ca="1">IFERROR(__xludf.DUMMYFUNCTION("""COMPUTED_VALUE"""),0.5)</f>
        <v>0.5</v>
      </c>
      <c r="F177" s="3" t="str">
        <f ca="1">IFERROR(__xludf.DUMMYFUNCTION("""COMPUTED_VALUE"""),"Medium")</f>
        <v>Medium</v>
      </c>
      <c r="G177" s="3" t="str">
        <f ca="1">IFERROR(__xludf.DUMMYFUNCTION("""COMPUTED_VALUE"""),"2.95194%;")</f>
        <v>2.95194%;</v>
      </c>
    </row>
    <row r="178" spans="1:7" x14ac:dyDescent="0.2">
      <c r="A178" s="3">
        <f ca="1">IFERROR(__xludf.DUMMYFUNCTION("""COMPUTED_VALUE"""),451)</f>
        <v>451</v>
      </c>
      <c r="B178" s="4" t="str">
        <f ca="1">IFERROR(__xludf.DUMMYFUNCTION("""COMPUTED_VALUE"""),"Sort Characters By Frequency")</f>
        <v>Sort Characters By Frequency</v>
      </c>
      <c r="C178" s="8" t="str">
        <f ca="1">IFERROR(__xludf.DUMMYFUNCTION("""COMPUTED_VALUE"""),"https://leetcode.com/problems/sort-characters-by-frequency")</f>
        <v>https://leetcode.com/problems/sort-characters-by-frequency</v>
      </c>
      <c r="D178" s="3" t="str">
        <f ca="1">IFERROR(__xludf.DUMMYFUNCTION("""COMPUTED_VALUE"""),"N")</f>
        <v>N</v>
      </c>
      <c r="E178" s="6">
        <f ca="1">IFERROR(__xludf.DUMMYFUNCTION("""COMPUTED_VALUE"""),0.686)</f>
        <v>0.68600000000000005</v>
      </c>
      <c r="F178" s="3" t="str">
        <f ca="1">IFERROR(__xludf.DUMMYFUNCTION("""COMPUTED_VALUE"""),"Medium")</f>
        <v>Medium</v>
      </c>
      <c r="G178" s="3" t="str">
        <f ca="1">IFERROR(__xludf.DUMMYFUNCTION("""COMPUTED_VALUE"""),"3.27249%;")</f>
        <v>3.27249%;</v>
      </c>
    </row>
    <row r="179" spans="1:7" x14ac:dyDescent="0.2">
      <c r="A179" s="3">
        <f ca="1">IFERROR(__xludf.DUMMYFUNCTION("""COMPUTED_VALUE"""),452)</f>
        <v>452</v>
      </c>
      <c r="B179" s="4" t="str">
        <f ca="1">IFERROR(__xludf.DUMMYFUNCTION("""COMPUTED_VALUE"""),"Minimum Number of Arrows to Burst Balloons")</f>
        <v>Minimum Number of Arrows to Burst Balloons</v>
      </c>
      <c r="C179" s="8" t="str">
        <f ca="1">IFERROR(__xludf.DUMMYFUNCTION("""COMPUTED_VALUE"""),"https://leetcode.com/problems/minimum-number-of-arrows-to-burst-balloons")</f>
        <v>https://leetcode.com/problems/minimum-number-of-arrows-to-burst-balloons</v>
      </c>
      <c r="D179" s="3" t="str">
        <f ca="1">IFERROR(__xludf.DUMMYFUNCTION("""COMPUTED_VALUE"""),"N")</f>
        <v>N</v>
      </c>
      <c r="E179" s="6">
        <f ca="1">IFERROR(__xludf.DUMMYFUNCTION("""COMPUTED_VALUE"""),0.532)</f>
        <v>0.53200000000000003</v>
      </c>
      <c r="F179" s="3" t="str">
        <f ca="1">IFERROR(__xludf.DUMMYFUNCTION("""COMPUTED_VALUE"""),"Medium")</f>
        <v>Medium</v>
      </c>
      <c r="G179" s="3" t="str">
        <f ca="1">IFERROR(__xludf.DUMMYFUNCTION("""COMPUTED_VALUE"""),"6.05172%;")</f>
        <v>6.05172%;</v>
      </c>
    </row>
    <row r="180" spans="1:7" x14ac:dyDescent="0.2">
      <c r="A180" s="3">
        <f ca="1">IFERROR(__xludf.DUMMYFUNCTION("""COMPUTED_VALUE"""),453)</f>
        <v>453</v>
      </c>
      <c r="B180" s="4" t="str">
        <f ca="1">IFERROR(__xludf.DUMMYFUNCTION("""COMPUTED_VALUE"""),"Minimum Moves to Equal Array Elements")</f>
        <v>Minimum Moves to Equal Array Elements</v>
      </c>
      <c r="C180" s="8" t="str">
        <f ca="1">IFERROR(__xludf.DUMMYFUNCTION("""COMPUTED_VALUE"""),"https://leetcode.com/problems/minimum-moves-to-equal-array-elements")</f>
        <v>https://leetcode.com/problems/minimum-moves-to-equal-array-elements</v>
      </c>
      <c r="D180" s="3" t="str">
        <f ca="1">IFERROR(__xludf.DUMMYFUNCTION("""COMPUTED_VALUE"""),"N")</f>
        <v>N</v>
      </c>
      <c r="E180" s="6">
        <f ca="1">IFERROR(__xludf.DUMMYFUNCTION("""COMPUTED_VALUE"""),0.557)</f>
        <v>0.55700000000000005</v>
      </c>
      <c r="F180" s="3" t="str">
        <f ca="1">IFERROR(__xludf.DUMMYFUNCTION("""COMPUTED_VALUE"""),"Medium")</f>
        <v>Medium</v>
      </c>
      <c r="G180" s="3" t="str">
        <f ca="1">IFERROR(__xludf.DUMMYFUNCTION("""COMPUTED_VALUE"""),"7.76389%;")</f>
        <v>7.76389%;</v>
      </c>
    </row>
    <row r="181" spans="1:7" x14ac:dyDescent="0.2">
      <c r="A181" s="3">
        <f ca="1">IFERROR(__xludf.DUMMYFUNCTION("""COMPUTED_VALUE"""),456)</f>
        <v>456</v>
      </c>
      <c r="B181" s="4" t="str">
        <f ca="1">IFERROR(__xludf.DUMMYFUNCTION("""COMPUTED_VALUE"""),"132 Pattern")</f>
        <v>132 Pattern</v>
      </c>
      <c r="C181" s="8" t="str">
        <f ca="1">IFERROR(__xludf.DUMMYFUNCTION("""COMPUTED_VALUE"""),"https://leetcode.com/problems/132-pattern")</f>
        <v>https://leetcode.com/problems/132-pattern</v>
      </c>
      <c r="D181" s="3" t="str">
        <f ca="1">IFERROR(__xludf.DUMMYFUNCTION("""COMPUTED_VALUE"""),"N")</f>
        <v>N</v>
      </c>
      <c r="E181" s="6">
        <f ca="1">IFERROR(__xludf.DUMMYFUNCTION("""COMPUTED_VALUE"""),0.325)</f>
        <v>0.32500000000000001</v>
      </c>
      <c r="F181" s="3" t="str">
        <f ca="1">IFERROR(__xludf.DUMMYFUNCTION("""COMPUTED_VALUE"""),"Medium")</f>
        <v>Medium</v>
      </c>
      <c r="G181" s="3" t="str">
        <f ca="1">IFERROR(__xludf.DUMMYFUNCTION("""COMPUTED_VALUE"""),"5.79688%;")</f>
        <v>5.79688%;</v>
      </c>
    </row>
    <row r="182" spans="1:7" x14ac:dyDescent="0.2">
      <c r="A182" s="3">
        <f ca="1">IFERROR(__xludf.DUMMYFUNCTION("""COMPUTED_VALUE"""),462)</f>
        <v>462</v>
      </c>
      <c r="B182" s="4" t="str">
        <f ca="1">IFERROR(__xludf.DUMMYFUNCTION("""COMPUTED_VALUE"""),"Minimum Moves to Equal Array Elements II")</f>
        <v>Minimum Moves to Equal Array Elements II</v>
      </c>
      <c r="C182" s="8" t="str">
        <f ca="1">IFERROR(__xludf.DUMMYFUNCTION("""COMPUTED_VALUE"""),"https://leetcode.com/problems/minimum-moves-to-equal-array-elements-ii")</f>
        <v>https://leetcode.com/problems/minimum-moves-to-equal-array-elements-ii</v>
      </c>
      <c r="D182" s="3" t="str">
        <f ca="1">IFERROR(__xludf.DUMMYFUNCTION("""COMPUTED_VALUE"""),"N")</f>
        <v>N</v>
      </c>
      <c r="E182" s="6">
        <f ca="1">IFERROR(__xludf.DUMMYFUNCTION("""COMPUTED_VALUE"""),0.602)</f>
        <v>0.60199999999999998</v>
      </c>
      <c r="F182" s="3" t="str">
        <f ca="1">IFERROR(__xludf.DUMMYFUNCTION("""COMPUTED_VALUE"""),"Medium")</f>
        <v>Medium</v>
      </c>
      <c r="G182" s="3" t="str">
        <f ca="1">IFERROR(__xludf.DUMMYFUNCTION("""COMPUTED_VALUE"""),"17.4543%;")</f>
        <v>17.4543%;</v>
      </c>
    </row>
    <row r="183" spans="1:7" x14ac:dyDescent="0.2">
      <c r="A183" s="3">
        <f ca="1">IFERROR(__xludf.DUMMYFUNCTION("""COMPUTED_VALUE"""),474)</f>
        <v>474</v>
      </c>
      <c r="B183" s="4" t="str">
        <f ca="1">IFERROR(__xludf.DUMMYFUNCTION("""COMPUTED_VALUE"""),"Ones and Zeroes")</f>
        <v>Ones and Zeroes</v>
      </c>
      <c r="C183" s="8" t="str">
        <f ca="1">IFERROR(__xludf.DUMMYFUNCTION("""COMPUTED_VALUE"""),"https://leetcode.com/problems/ones-and-zeroes")</f>
        <v>https://leetcode.com/problems/ones-and-zeroes</v>
      </c>
      <c r="D183" s="3" t="str">
        <f ca="1">IFERROR(__xludf.DUMMYFUNCTION("""COMPUTED_VALUE"""),"N")</f>
        <v>N</v>
      </c>
      <c r="E183" s="6">
        <f ca="1">IFERROR(__xludf.DUMMYFUNCTION("""COMPUTED_VALUE"""),0.467)</f>
        <v>0.46700000000000003</v>
      </c>
      <c r="F183" s="3" t="str">
        <f ca="1">IFERROR(__xludf.DUMMYFUNCTION("""COMPUTED_VALUE"""),"Medium")</f>
        <v>Medium</v>
      </c>
      <c r="G183" s="3" t="str">
        <f ca="1">IFERROR(__xludf.DUMMYFUNCTION("""COMPUTED_VALUE"""),"6.33026%;")</f>
        <v>6.33026%;</v>
      </c>
    </row>
    <row r="184" spans="1:7" x14ac:dyDescent="0.2">
      <c r="A184" s="3">
        <f ca="1">IFERROR(__xludf.DUMMYFUNCTION("""COMPUTED_VALUE"""),475)</f>
        <v>475</v>
      </c>
      <c r="B184" s="4" t="str">
        <f ca="1">IFERROR(__xludf.DUMMYFUNCTION("""COMPUTED_VALUE"""),"Heaters")</f>
        <v>Heaters</v>
      </c>
      <c r="C184" s="8" t="str">
        <f ca="1">IFERROR(__xludf.DUMMYFUNCTION("""COMPUTED_VALUE"""),"https://leetcode.com/problems/heaters")</f>
        <v>https://leetcode.com/problems/heaters</v>
      </c>
      <c r="D184" s="3" t="str">
        <f ca="1">IFERROR(__xludf.DUMMYFUNCTION("""COMPUTED_VALUE"""),"N")</f>
        <v>N</v>
      </c>
      <c r="E184" s="6">
        <f ca="1">IFERROR(__xludf.DUMMYFUNCTION("""COMPUTED_VALUE"""),0.361)</f>
        <v>0.36099999999999999</v>
      </c>
      <c r="F184" s="3" t="str">
        <f ca="1">IFERROR(__xludf.DUMMYFUNCTION("""COMPUTED_VALUE"""),"Medium")</f>
        <v>Medium</v>
      </c>
      <c r="G184" s="3" t="str">
        <f ca="1">IFERROR(__xludf.DUMMYFUNCTION("""COMPUTED_VALUE"""),"11.83%;")</f>
        <v>11.83%;</v>
      </c>
    </row>
    <row r="185" spans="1:7" x14ac:dyDescent="0.2">
      <c r="A185" s="3">
        <f ca="1">IFERROR(__xludf.DUMMYFUNCTION("""COMPUTED_VALUE"""),490)</f>
        <v>490</v>
      </c>
      <c r="B185" s="4" t="str">
        <f ca="1">IFERROR(__xludf.DUMMYFUNCTION("""COMPUTED_VALUE"""),"The Maze")</f>
        <v>The Maze</v>
      </c>
      <c r="C185" s="8" t="str">
        <f ca="1">IFERROR(__xludf.DUMMYFUNCTION("""COMPUTED_VALUE"""),"https://leetcode.com/problems/the-maze")</f>
        <v>https://leetcode.com/problems/the-maze</v>
      </c>
      <c r="D185" s="3" t="str">
        <f ca="1">IFERROR(__xludf.DUMMYFUNCTION("""COMPUTED_VALUE"""),"Y")</f>
        <v>Y</v>
      </c>
      <c r="E185" s="6">
        <f ca="1">IFERROR(__xludf.DUMMYFUNCTION("""COMPUTED_VALUE"""),0.554)</f>
        <v>0.55400000000000005</v>
      </c>
      <c r="F185" s="3" t="str">
        <f ca="1">IFERROR(__xludf.DUMMYFUNCTION("""COMPUTED_VALUE"""),"Medium")</f>
        <v>Medium</v>
      </c>
      <c r="G185" s="3" t="str">
        <f ca="1">IFERROR(__xludf.DUMMYFUNCTION("""COMPUTED_VALUE"""),"8.23186%;")</f>
        <v>8.23186%;</v>
      </c>
    </row>
    <row r="186" spans="1:7" x14ac:dyDescent="0.2">
      <c r="A186" s="3">
        <f ca="1">IFERROR(__xludf.DUMMYFUNCTION("""COMPUTED_VALUE"""),494)</f>
        <v>494</v>
      </c>
      <c r="B186" s="4" t="str">
        <f ca="1">IFERROR(__xludf.DUMMYFUNCTION("""COMPUTED_VALUE"""),"Target Sum")</f>
        <v>Target Sum</v>
      </c>
      <c r="C186" s="8" t="str">
        <f ca="1">IFERROR(__xludf.DUMMYFUNCTION("""COMPUTED_VALUE"""),"https://leetcode.com/problems/target-sum")</f>
        <v>https://leetcode.com/problems/target-sum</v>
      </c>
      <c r="D186" s="3" t="str">
        <f ca="1">IFERROR(__xludf.DUMMYFUNCTION("""COMPUTED_VALUE"""),"N")</f>
        <v>N</v>
      </c>
      <c r="E186" s="6">
        <f ca="1">IFERROR(__xludf.DUMMYFUNCTION("""COMPUTED_VALUE"""),0.456)</f>
        <v>0.45600000000000002</v>
      </c>
      <c r="F186" s="3" t="str">
        <f ca="1">IFERROR(__xludf.DUMMYFUNCTION("""COMPUTED_VALUE"""),"Medium")</f>
        <v>Medium</v>
      </c>
      <c r="G186" s="3" t="str">
        <f ca="1">IFERROR(__xludf.DUMMYFUNCTION("""COMPUTED_VALUE"""),"4.668%;")</f>
        <v>4.668%;</v>
      </c>
    </row>
    <row r="187" spans="1:7" x14ac:dyDescent="0.2">
      <c r="A187" s="3">
        <f ca="1">IFERROR(__xludf.DUMMYFUNCTION("""COMPUTED_VALUE"""),503)</f>
        <v>503</v>
      </c>
      <c r="B187" s="4" t="str">
        <f ca="1">IFERROR(__xludf.DUMMYFUNCTION("""COMPUTED_VALUE"""),"Next Greater Element II")</f>
        <v>Next Greater Element II</v>
      </c>
      <c r="C187" s="8" t="str">
        <f ca="1">IFERROR(__xludf.DUMMYFUNCTION("""COMPUTED_VALUE"""),"https://leetcode.com/problems/next-greater-element-ii")</f>
        <v>https://leetcode.com/problems/next-greater-element-ii</v>
      </c>
      <c r="D187" s="3" t="str">
        <f ca="1">IFERROR(__xludf.DUMMYFUNCTION("""COMPUTED_VALUE"""),"N")</f>
        <v>N</v>
      </c>
      <c r="E187" s="6">
        <f ca="1">IFERROR(__xludf.DUMMYFUNCTION("""COMPUTED_VALUE"""),0.631)</f>
        <v>0.63100000000000001</v>
      </c>
      <c r="F187" s="3" t="str">
        <f ca="1">IFERROR(__xludf.DUMMYFUNCTION("""COMPUTED_VALUE"""),"Medium")</f>
        <v>Medium</v>
      </c>
      <c r="G187" s="3" t="str">
        <f ca="1">IFERROR(__xludf.DUMMYFUNCTION("""COMPUTED_VALUE"""),"28.1721%;")</f>
        <v>28.1721%;</v>
      </c>
    </row>
    <row r="188" spans="1:7" x14ac:dyDescent="0.2">
      <c r="A188" s="3">
        <f ca="1">IFERROR(__xludf.DUMMYFUNCTION("""COMPUTED_VALUE"""),516)</f>
        <v>516</v>
      </c>
      <c r="B188" s="4" t="str">
        <f ca="1">IFERROR(__xludf.DUMMYFUNCTION("""COMPUTED_VALUE"""),"Longest Palindromic Subsequence")</f>
        <v>Longest Palindromic Subsequence</v>
      </c>
      <c r="C188" s="8" t="str">
        <f ca="1">IFERROR(__xludf.DUMMYFUNCTION("""COMPUTED_VALUE"""),"https://leetcode.com/problems/longest-palindromic-subsequence")</f>
        <v>https://leetcode.com/problems/longest-palindromic-subsequence</v>
      </c>
      <c r="D188" s="3" t="str">
        <f ca="1">IFERROR(__xludf.DUMMYFUNCTION("""COMPUTED_VALUE"""),"N")</f>
        <v>N</v>
      </c>
      <c r="E188" s="6">
        <f ca="1">IFERROR(__xludf.DUMMYFUNCTION("""COMPUTED_VALUE"""),0.607)</f>
        <v>0.60699999999999998</v>
      </c>
      <c r="F188" s="3" t="str">
        <f ca="1">IFERROR(__xludf.DUMMYFUNCTION("""COMPUTED_VALUE"""),"Medium")</f>
        <v>Medium</v>
      </c>
      <c r="G188" s="3" t="str">
        <f ca="1">IFERROR(__xludf.DUMMYFUNCTION("""COMPUTED_VALUE"""),"6.09941%;")</f>
        <v>6.09941%;</v>
      </c>
    </row>
    <row r="189" spans="1:7" x14ac:dyDescent="0.2">
      <c r="A189" s="3">
        <f ca="1">IFERROR(__xludf.DUMMYFUNCTION("""COMPUTED_VALUE"""),518)</f>
        <v>518</v>
      </c>
      <c r="B189" s="4" t="str">
        <f ca="1">IFERROR(__xludf.DUMMYFUNCTION("""COMPUTED_VALUE"""),"Coin Change II")</f>
        <v>Coin Change II</v>
      </c>
      <c r="C189" s="8" t="str">
        <f ca="1">IFERROR(__xludf.DUMMYFUNCTION("""COMPUTED_VALUE"""),"https://leetcode.com/problems/coin-change-ii")</f>
        <v>https://leetcode.com/problems/coin-change-ii</v>
      </c>
      <c r="D189" s="3" t="str">
        <f ca="1">IFERROR(__xludf.DUMMYFUNCTION("""COMPUTED_VALUE"""),"N")</f>
        <v>N</v>
      </c>
      <c r="E189" s="6">
        <f ca="1">IFERROR(__xludf.DUMMYFUNCTION("""COMPUTED_VALUE"""),0.599)</f>
        <v>0.59899999999999998</v>
      </c>
      <c r="F189" s="3" t="str">
        <f ca="1">IFERROR(__xludf.DUMMYFUNCTION("""COMPUTED_VALUE"""),"Medium")</f>
        <v>Medium</v>
      </c>
      <c r="G189" s="3" t="str">
        <f ca="1">IFERROR(__xludf.DUMMYFUNCTION("""COMPUTED_VALUE"""),"21.999%;")</f>
        <v>21.999%;</v>
      </c>
    </row>
    <row r="190" spans="1:7" x14ac:dyDescent="0.2">
      <c r="A190" s="3">
        <f ca="1">IFERROR(__xludf.DUMMYFUNCTION("""COMPUTED_VALUE"""),523)</f>
        <v>523</v>
      </c>
      <c r="B190" s="4" t="str">
        <f ca="1">IFERROR(__xludf.DUMMYFUNCTION("""COMPUTED_VALUE"""),"Continuous Subarray Sum")</f>
        <v>Continuous Subarray Sum</v>
      </c>
      <c r="C190" s="8" t="str">
        <f ca="1">IFERROR(__xludf.DUMMYFUNCTION("""COMPUTED_VALUE"""),"https://leetcode.com/problems/continuous-subarray-sum")</f>
        <v>https://leetcode.com/problems/continuous-subarray-sum</v>
      </c>
      <c r="D190" s="3" t="str">
        <f ca="1">IFERROR(__xludf.DUMMYFUNCTION("""COMPUTED_VALUE"""),"N")</f>
        <v>N</v>
      </c>
      <c r="E190" s="6">
        <f ca="1">IFERROR(__xludf.DUMMYFUNCTION("""COMPUTED_VALUE"""),0.285)</f>
        <v>0.28499999999999998</v>
      </c>
      <c r="F190" s="3" t="str">
        <f ca="1">IFERROR(__xludf.DUMMYFUNCTION("""COMPUTED_VALUE"""),"Medium")</f>
        <v>Medium</v>
      </c>
      <c r="G190" s="3" t="str">
        <f ca="1">IFERROR(__xludf.DUMMYFUNCTION("""COMPUTED_VALUE"""),"8.6224%;")</f>
        <v>8.6224%;</v>
      </c>
    </row>
    <row r="191" spans="1:7" x14ac:dyDescent="0.2">
      <c r="A191" s="3">
        <f ca="1">IFERROR(__xludf.DUMMYFUNCTION("""COMPUTED_VALUE"""),525)</f>
        <v>525</v>
      </c>
      <c r="B191" s="4" t="str">
        <f ca="1">IFERROR(__xludf.DUMMYFUNCTION("""COMPUTED_VALUE"""),"Contiguous Array")</f>
        <v>Contiguous Array</v>
      </c>
      <c r="C191" s="8" t="str">
        <f ca="1">IFERROR(__xludf.DUMMYFUNCTION("""COMPUTED_VALUE"""),"https://leetcode.com/problems/contiguous-array")</f>
        <v>https://leetcode.com/problems/contiguous-array</v>
      </c>
      <c r="D191" s="3" t="str">
        <f ca="1">IFERROR(__xludf.DUMMYFUNCTION("""COMPUTED_VALUE"""),"N")</f>
        <v>N</v>
      </c>
      <c r="E191" s="6">
        <f ca="1">IFERROR(__xludf.DUMMYFUNCTION("""COMPUTED_VALUE"""),0.468)</f>
        <v>0.46800000000000003</v>
      </c>
      <c r="F191" s="3" t="str">
        <f ca="1">IFERROR(__xludf.DUMMYFUNCTION("""COMPUTED_VALUE"""),"Medium")</f>
        <v>Medium</v>
      </c>
      <c r="G191" s="3" t="str">
        <f ca="1">IFERROR(__xludf.DUMMYFUNCTION("""COMPUTED_VALUE"""),"6.51018%;")</f>
        <v>6.51018%;</v>
      </c>
    </row>
    <row r="192" spans="1:7" x14ac:dyDescent="0.2">
      <c r="A192" s="3">
        <f ca="1">IFERROR(__xludf.DUMMYFUNCTION("""COMPUTED_VALUE"""),529)</f>
        <v>529</v>
      </c>
      <c r="B192" s="4" t="str">
        <f ca="1">IFERROR(__xludf.DUMMYFUNCTION("""COMPUTED_VALUE"""),"Minesweeper")</f>
        <v>Minesweeper</v>
      </c>
      <c r="C192" s="8" t="str">
        <f ca="1">IFERROR(__xludf.DUMMYFUNCTION("""COMPUTED_VALUE"""),"https://leetcode.com/problems/minesweeper")</f>
        <v>https://leetcode.com/problems/minesweeper</v>
      </c>
      <c r="D192" s="3" t="str">
        <f ca="1">IFERROR(__xludf.DUMMYFUNCTION("""COMPUTED_VALUE"""),"N")</f>
        <v>N</v>
      </c>
      <c r="E192" s="6">
        <f ca="1">IFERROR(__xludf.DUMMYFUNCTION("""COMPUTED_VALUE"""),0.655)</f>
        <v>0.65500000000000003</v>
      </c>
      <c r="F192" s="3" t="str">
        <f ca="1">IFERROR(__xludf.DUMMYFUNCTION("""COMPUTED_VALUE"""),"Medium")</f>
        <v>Medium</v>
      </c>
      <c r="G192" s="3" t="str">
        <f ca="1">IFERROR(__xludf.DUMMYFUNCTION("""COMPUTED_VALUE"""),"9.11345%;")</f>
        <v>9.11345%;</v>
      </c>
    </row>
    <row r="193" spans="1:7" x14ac:dyDescent="0.2">
      <c r="A193" s="3">
        <f ca="1">IFERROR(__xludf.DUMMYFUNCTION("""COMPUTED_VALUE"""),531)</f>
        <v>531</v>
      </c>
      <c r="B193" s="4" t="str">
        <f ca="1">IFERROR(__xludf.DUMMYFUNCTION("""COMPUTED_VALUE"""),"Lonely Pixel I")</f>
        <v>Lonely Pixel I</v>
      </c>
      <c r="C193" s="8" t="str">
        <f ca="1">IFERROR(__xludf.DUMMYFUNCTION("""COMPUTED_VALUE"""),"https://leetcode.com/problems/lonely-pixel-i")</f>
        <v>https://leetcode.com/problems/lonely-pixel-i</v>
      </c>
      <c r="D193" s="3" t="str">
        <f ca="1">IFERROR(__xludf.DUMMYFUNCTION("""COMPUTED_VALUE"""),"Y")</f>
        <v>Y</v>
      </c>
      <c r="E193" s="6">
        <f ca="1">IFERROR(__xludf.DUMMYFUNCTION("""COMPUTED_VALUE"""),0.621)</f>
        <v>0.621</v>
      </c>
      <c r="F193" s="3" t="str">
        <f ca="1">IFERROR(__xludf.DUMMYFUNCTION("""COMPUTED_VALUE"""),"Medium")</f>
        <v>Medium</v>
      </c>
      <c r="G193" s="3" t="str">
        <f ca="1">IFERROR(__xludf.DUMMYFUNCTION("""COMPUTED_VALUE"""),"33.0855%;")</f>
        <v>33.0855%;</v>
      </c>
    </row>
    <row r="194" spans="1:7" x14ac:dyDescent="0.2">
      <c r="A194" s="3">
        <f ca="1">IFERROR(__xludf.DUMMYFUNCTION("""COMPUTED_VALUE"""),538)</f>
        <v>538</v>
      </c>
      <c r="B194" s="4" t="str">
        <f ca="1">IFERROR(__xludf.DUMMYFUNCTION("""COMPUTED_VALUE"""),"Convert BST to Greater Tree")</f>
        <v>Convert BST to Greater Tree</v>
      </c>
      <c r="C194" s="8" t="str">
        <f ca="1">IFERROR(__xludf.DUMMYFUNCTION("""COMPUTED_VALUE"""),"https://leetcode.com/problems/convert-bst-to-greater-tree")</f>
        <v>https://leetcode.com/problems/convert-bst-to-greater-tree</v>
      </c>
      <c r="D194" s="3" t="str">
        <f ca="1">IFERROR(__xludf.DUMMYFUNCTION("""COMPUTED_VALUE"""),"N")</f>
        <v>N</v>
      </c>
      <c r="E194" s="6">
        <f ca="1">IFERROR(__xludf.DUMMYFUNCTION("""COMPUTED_VALUE"""),0.674)</f>
        <v>0.67400000000000004</v>
      </c>
      <c r="F194" s="3" t="str">
        <f ca="1">IFERROR(__xludf.DUMMYFUNCTION("""COMPUTED_VALUE"""),"Medium")</f>
        <v>Medium</v>
      </c>
      <c r="G194" s="3" t="str">
        <f ca="1">IFERROR(__xludf.DUMMYFUNCTION("""COMPUTED_VALUE"""),"35.1133%;")</f>
        <v>35.1133%;</v>
      </c>
    </row>
    <row r="195" spans="1:7" x14ac:dyDescent="0.2">
      <c r="A195" s="3">
        <f ca="1">IFERROR(__xludf.DUMMYFUNCTION("""COMPUTED_VALUE"""),539)</f>
        <v>539</v>
      </c>
      <c r="B195" s="4" t="str">
        <f ca="1">IFERROR(__xludf.DUMMYFUNCTION("""COMPUTED_VALUE"""),"Minimum Time Difference")</f>
        <v>Minimum Time Difference</v>
      </c>
      <c r="C195" s="8" t="str">
        <f ca="1">IFERROR(__xludf.DUMMYFUNCTION("""COMPUTED_VALUE"""),"https://leetcode.com/problems/minimum-time-difference")</f>
        <v>https://leetcode.com/problems/minimum-time-difference</v>
      </c>
      <c r="D195" s="3" t="str">
        <f ca="1">IFERROR(__xludf.DUMMYFUNCTION("""COMPUTED_VALUE"""),"N")</f>
        <v>N</v>
      </c>
      <c r="E195" s="6">
        <f ca="1">IFERROR(__xludf.DUMMYFUNCTION("""COMPUTED_VALUE"""),0.563)</f>
        <v>0.56299999999999994</v>
      </c>
      <c r="F195" s="3" t="str">
        <f ca="1">IFERROR(__xludf.DUMMYFUNCTION("""COMPUTED_VALUE"""),"Medium")</f>
        <v>Medium</v>
      </c>
      <c r="G195" s="3" t="str">
        <f ca="1">IFERROR(__xludf.DUMMYFUNCTION("""COMPUTED_VALUE"""),"6.51018%;")</f>
        <v>6.51018%;</v>
      </c>
    </row>
    <row r="196" spans="1:7" x14ac:dyDescent="0.2">
      <c r="A196" s="3">
        <f ca="1">IFERROR(__xludf.DUMMYFUNCTION("""COMPUTED_VALUE"""),540)</f>
        <v>540</v>
      </c>
      <c r="B196" s="4" t="str">
        <f ca="1">IFERROR(__xludf.DUMMYFUNCTION("""COMPUTED_VALUE"""),"Single Element in a Sorted Array")</f>
        <v>Single Element in a Sorted Array</v>
      </c>
      <c r="C196" s="8" t="str">
        <f ca="1">IFERROR(__xludf.DUMMYFUNCTION("""COMPUTED_VALUE"""),"https://leetcode.com/problems/single-element-in-a-sorted-array")</f>
        <v>https://leetcode.com/problems/single-element-in-a-sorted-array</v>
      </c>
      <c r="D196" s="3" t="str">
        <f ca="1">IFERROR(__xludf.DUMMYFUNCTION("""COMPUTED_VALUE"""),"N")</f>
        <v>N</v>
      </c>
      <c r="E196" s="6">
        <f ca="1">IFERROR(__xludf.DUMMYFUNCTION("""COMPUTED_VALUE"""),0.585)</f>
        <v>0.58499999999999996</v>
      </c>
      <c r="F196" s="3" t="str">
        <f ca="1">IFERROR(__xludf.DUMMYFUNCTION("""COMPUTED_VALUE"""),"Medium")</f>
        <v>Medium</v>
      </c>
      <c r="G196" s="3" t="str">
        <f ca="1">IFERROR(__xludf.DUMMYFUNCTION("""COMPUTED_VALUE"""),"39.8822%;")</f>
        <v>39.8822%;</v>
      </c>
    </row>
    <row r="197" spans="1:7" x14ac:dyDescent="0.2">
      <c r="A197" s="3">
        <f ca="1">IFERROR(__xludf.DUMMYFUNCTION("""COMPUTED_VALUE"""),542)</f>
        <v>542</v>
      </c>
      <c r="B197" s="4" t="str">
        <f ca="1">IFERROR(__xludf.DUMMYFUNCTION("""COMPUTED_VALUE"""),"01 Matrix")</f>
        <v>01 Matrix</v>
      </c>
      <c r="C197" s="8" t="str">
        <f ca="1">IFERROR(__xludf.DUMMYFUNCTION("""COMPUTED_VALUE"""),"https://leetcode.com/problems/01-matrix")</f>
        <v>https://leetcode.com/problems/01-matrix</v>
      </c>
      <c r="D197" s="3" t="str">
        <f ca="1">IFERROR(__xludf.DUMMYFUNCTION("""COMPUTED_VALUE"""),"N")</f>
        <v>N</v>
      </c>
      <c r="E197" s="6">
        <f ca="1">IFERROR(__xludf.DUMMYFUNCTION("""COMPUTED_VALUE"""),0.442)</f>
        <v>0.442</v>
      </c>
      <c r="F197" s="3" t="str">
        <f ca="1">IFERROR(__xludf.DUMMYFUNCTION("""COMPUTED_VALUE"""),"Medium")</f>
        <v>Medium</v>
      </c>
      <c r="G197" s="3" t="str">
        <f ca="1">IFERROR(__xludf.DUMMYFUNCTION("""COMPUTED_VALUE"""),"20.5452%;")</f>
        <v>20.5452%;</v>
      </c>
    </row>
    <row r="198" spans="1:7" x14ac:dyDescent="0.2">
      <c r="A198" s="3">
        <f ca="1">IFERROR(__xludf.DUMMYFUNCTION("""COMPUTED_VALUE"""),545)</f>
        <v>545</v>
      </c>
      <c r="B198" s="4" t="str">
        <f ca="1">IFERROR(__xludf.DUMMYFUNCTION("""COMPUTED_VALUE"""),"Boundary of Binary Tree")</f>
        <v>Boundary of Binary Tree</v>
      </c>
      <c r="C198" s="8" t="str">
        <f ca="1">IFERROR(__xludf.DUMMYFUNCTION("""COMPUTED_VALUE"""),"https://leetcode.com/problems/boundary-of-binary-tree")</f>
        <v>https://leetcode.com/problems/boundary-of-binary-tree</v>
      </c>
      <c r="D198" s="3" t="str">
        <f ca="1">IFERROR(__xludf.DUMMYFUNCTION("""COMPUTED_VALUE"""),"Y")</f>
        <v>Y</v>
      </c>
      <c r="E198" s="6">
        <f ca="1">IFERROR(__xludf.DUMMYFUNCTION("""COMPUTED_VALUE"""),0.443)</f>
        <v>0.443</v>
      </c>
      <c r="F198" s="3" t="str">
        <f ca="1">IFERROR(__xludf.DUMMYFUNCTION("""COMPUTED_VALUE"""),"Medium")</f>
        <v>Medium</v>
      </c>
      <c r="G198" s="3" t="str">
        <f ca="1">IFERROR(__xludf.DUMMYFUNCTION("""COMPUTED_VALUE"""),"57.8269%;")</f>
        <v>57.8269%;</v>
      </c>
    </row>
    <row r="199" spans="1:7" x14ac:dyDescent="0.2">
      <c r="A199" s="3">
        <f ca="1">IFERROR(__xludf.DUMMYFUNCTION("""COMPUTED_VALUE"""),547)</f>
        <v>547</v>
      </c>
      <c r="B199" s="4" t="str">
        <f ca="1">IFERROR(__xludf.DUMMYFUNCTION("""COMPUTED_VALUE"""),"Number of Provinces")</f>
        <v>Number of Provinces</v>
      </c>
      <c r="C199" s="8" t="str">
        <f ca="1">IFERROR(__xludf.DUMMYFUNCTION("""COMPUTED_VALUE"""),"https://leetcode.com/problems/number-of-provinces")</f>
        <v>https://leetcode.com/problems/number-of-provinces</v>
      </c>
      <c r="D199" s="3" t="str">
        <f ca="1">IFERROR(__xludf.DUMMYFUNCTION("""COMPUTED_VALUE"""),"N")</f>
        <v>N</v>
      </c>
      <c r="E199" s="6">
        <f ca="1">IFERROR(__xludf.DUMMYFUNCTION("""COMPUTED_VALUE"""),0.633)</f>
        <v>0.63300000000000001</v>
      </c>
      <c r="F199" s="3" t="str">
        <f ca="1">IFERROR(__xludf.DUMMYFUNCTION("""COMPUTED_VALUE"""),"Medium")</f>
        <v>Medium</v>
      </c>
      <c r="G199" s="3" t="str">
        <f ca="1">IFERROR(__xludf.DUMMYFUNCTION("""COMPUTED_VALUE"""),"40.2711%;")</f>
        <v>40.2711%;</v>
      </c>
    </row>
    <row r="200" spans="1:7" x14ac:dyDescent="0.2">
      <c r="A200" s="3">
        <f ca="1">IFERROR(__xludf.DUMMYFUNCTION("""COMPUTED_VALUE"""),1730)</f>
        <v>1730</v>
      </c>
      <c r="B200" s="4" t="str">
        <f ca="1">IFERROR(__xludf.DUMMYFUNCTION("""COMPUTED_VALUE"""),"Shortest Path to Get Food")</f>
        <v>Shortest Path to Get Food</v>
      </c>
      <c r="C200" s="8" t="str">
        <f ca="1">IFERROR(__xludf.DUMMYFUNCTION("""COMPUTED_VALUE"""),"https://leetcode.com/problems/shortest-path-to-get-food")</f>
        <v>https://leetcode.com/problems/shortest-path-to-get-food</v>
      </c>
      <c r="D200" s="3" t="str">
        <f ca="1">IFERROR(__xludf.DUMMYFUNCTION("""COMPUTED_VALUE"""),"Y")</f>
        <v>Y</v>
      </c>
      <c r="E200" s="6">
        <f ca="1">IFERROR(__xludf.DUMMYFUNCTION("""COMPUTED_VALUE"""),0.541)</f>
        <v>0.54100000000000004</v>
      </c>
      <c r="F200" s="3" t="str">
        <f ca="1">IFERROR(__xludf.DUMMYFUNCTION("""COMPUTED_VALUE"""),"Medium")</f>
        <v>Medium</v>
      </c>
      <c r="G200" s="3" t="str">
        <f ca="1">IFERROR(__xludf.DUMMYFUNCTION("""COMPUTED_VALUE"""),"32.3468%;")</f>
        <v>32.3468%;</v>
      </c>
    </row>
    <row r="201" spans="1:7" x14ac:dyDescent="0.2">
      <c r="A201" s="3">
        <f ca="1">IFERROR(__xludf.DUMMYFUNCTION("""COMPUTED_VALUE"""),556)</f>
        <v>556</v>
      </c>
      <c r="B201" s="4" t="str">
        <f ca="1">IFERROR(__xludf.DUMMYFUNCTION("""COMPUTED_VALUE"""),"Next Greater Element III")</f>
        <v>Next Greater Element III</v>
      </c>
      <c r="C201" s="8" t="str">
        <f ca="1">IFERROR(__xludf.DUMMYFUNCTION("""COMPUTED_VALUE"""),"https://leetcode.com/problems/next-greater-element-iii")</f>
        <v>https://leetcode.com/problems/next-greater-element-iii</v>
      </c>
      <c r="D201" s="3" t="str">
        <f ca="1">IFERROR(__xludf.DUMMYFUNCTION("""COMPUTED_VALUE"""),"N")</f>
        <v>N</v>
      </c>
      <c r="E201" s="6">
        <f ca="1">IFERROR(__xludf.DUMMYFUNCTION("""COMPUTED_VALUE"""),0.341)</f>
        <v>0.34100000000000003</v>
      </c>
      <c r="F201" s="3" t="str">
        <f ca="1">IFERROR(__xludf.DUMMYFUNCTION("""COMPUTED_VALUE"""),"Medium")</f>
        <v>Medium</v>
      </c>
      <c r="G201" s="3" t="str">
        <f ca="1">IFERROR(__xludf.DUMMYFUNCTION("""COMPUTED_VALUE"""),"42.6427%;")</f>
        <v>42.6427%;</v>
      </c>
    </row>
    <row r="202" spans="1:7" x14ac:dyDescent="0.2">
      <c r="A202" s="3">
        <f ca="1">IFERROR(__xludf.DUMMYFUNCTION("""COMPUTED_VALUE"""),560)</f>
        <v>560</v>
      </c>
      <c r="B202" s="4" t="str">
        <f ca="1">IFERROR(__xludf.DUMMYFUNCTION("""COMPUTED_VALUE"""),"Subarray Sum Equals K")</f>
        <v>Subarray Sum Equals K</v>
      </c>
      <c r="C202" s="8" t="str">
        <f ca="1">IFERROR(__xludf.DUMMYFUNCTION("""COMPUTED_VALUE"""),"https://leetcode.com/problems/subarray-sum-equals-k")</f>
        <v>https://leetcode.com/problems/subarray-sum-equals-k</v>
      </c>
      <c r="D202" s="3" t="str">
        <f ca="1">IFERROR(__xludf.DUMMYFUNCTION("""COMPUTED_VALUE"""),"N")</f>
        <v>N</v>
      </c>
      <c r="E202" s="6">
        <f ca="1">IFERROR(__xludf.DUMMYFUNCTION("""COMPUTED_VALUE"""),0.44)</f>
        <v>0.44</v>
      </c>
      <c r="F202" s="3" t="str">
        <f ca="1">IFERROR(__xludf.DUMMYFUNCTION("""COMPUTED_VALUE"""),"Medium")</f>
        <v>Medium</v>
      </c>
      <c r="G202" s="3" t="str">
        <f ca="1">IFERROR(__xludf.DUMMYFUNCTION("""COMPUTED_VALUE"""),"32.0896%;")</f>
        <v>32.0896%;</v>
      </c>
    </row>
    <row r="203" spans="1:7" x14ac:dyDescent="0.2">
      <c r="A203" s="3">
        <f ca="1">IFERROR(__xludf.DUMMYFUNCTION("""COMPUTED_VALUE"""),567)</f>
        <v>567</v>
      </c>
      <c r="B203" s="4" t="str">
        <f ca="1">IFERROR(__xludf.DUMMYFUNCTION("""COMPUTED_VALUE"""),"Permutation in String")</f>
        <v>Permutation in String</v>
      </c>
      <c r="C203" s="8" t="str">
        <f ca="1">IFERROR(__xludf.DUMMYFUNCTION("""COMPUTED_VALUE"""),"https://leetcode.com/problems/permutation-in-string")</f>
        <v>https://leetcode.com/problems/permutation-in-string</v>
      </c>
      <c r="D203" s="3" t="str">
        <f ca="1">IFERROR(__xludf.DUMMYFUNCTION("""COMPUTED_VALUE"""),"N")</f>
        <v>N</v>
      </c>
      <c r="E203" s="6">
        <f ca="1">IFERROR(__xludf.DUMMYFUNCTION("""COMPUTED_VALUE"""),0.437)</f>
        <v>0.437</v>
      </c>
      <c r="F203" s="3" t="str">
        <f ca="1">IFERROR(__xludf.DUMMYFUNCTION("""COMPUTED_VALUE"""),"Medium")</f>
        <v>Medium</v>
      </c>
      <c r="G203" s="3" t="str">
        <f ca="1">IFERROR(__xludf.DUMMYFUNCTION("""COMPUTED_VALUE"""),"8.5413%;")</f>
        <v>8.5413%;</v>
      </c>
    </row>
    <row r="204" spans="1:7" x14ac:dyDescent="0.2">
      <c r="A204" s="3">
        <f ca="1">IFERROR(__xludf.DUMMYFUNCTION("""COMPUTED_VALUE"""),576)</f>
        <v>576</v>
      </c>
      <c r="B204" s="4" t="str">
        <f ca="1">IFERROR(__xludf.DUMMYFUNCTION("""COMPUTED_VALUE"""),"Out of Boundary Paths")</f>
        <v>Out of Boundary Paths</v>
      </c>
      <c r="C204" s="8" t="str">
        <f ca="1">IFERROR(__xludf.DUMMYFUNCTION("""COMPUTED_VALUE"""),"https://leetcode.com/problems/out-of-boundary-paths")</f>
        <v>https://leetcode.com/problems/out-of-boundary-paths</v>
      </c>
      <c r="D204" s="3" t="str">
        <f ca="1">IFERROR(__xludf.DUMMYFUNCTION("""COMPUTED_VALUE"""),"N")</f>
        <v>N</v>
      </c>
      <c r="E204" s="6">
        <f ca="1">IFERROR(__xludf.DUMMYFUNCTION("""COMPUTED_VALUE"""),0.443)</f>
        <v>0.443</v>
      </c>
      <c r="F204" s="3" t="str">
        <f ca="1">IFERROR(__xludf.DUMMYFUNCTION("""COMPUTED_VALUE"""),"Medium")</f>
        <v>Medium</v>
      </c>
      <c r="G204" s="3" t="str">
        <f ca="1">IFERROR(__xludf.DUMMYFUNCTION("""COMPUTED_VALUE"""),"14.3983%;")</f>
        <v>14.3983%;</v>
      </c>
    </row>
    <row r="205" spans="1:7" x14ac:dyDescent="0.2">
      <c r="A205" s="3">
        <f ca="1">IFERROR(__xludf.DUMMYFUNCTION("""COMPUTED_VALUE"""),581)</f>
        <v>581</v>
      </c>
      <c r="B205" s="4" t="str">
        <f ca="1">IFERROR(__xludf.DUMMYFUNCTION("""COMPUTED_VALUE"""),"Shortest Unsorted Continuous Subarray")</f>
        <v>Shortest Unsorted Continuous Subarray</v>
      </c>
      <c r="C205" s="8" t="str">
        <f ca="1">IFERROR(__xludf.DUMMYFUNCTION("""COMPUTED_VALUE"""),"https://leetcode.com/problems/shortest-unsorted-continuous-subarray")</f>
        <v>https://leetcode.com/problems/shortest-unsorted-continuous-subarray</v>
      </c>
      <c r="D205" s="3" t="str">
        <f ca="1">IFERROR(__xludf.DUMMYFUNCTION("""COMPUTED_VALUE"""),"N")</f>
        <v>N</v>
      </c>
      <c r="E205" s="6">
        <f ca="1">IFERROR(__xludf.DUMMYFUNCTION("""COMPUTED_VALUE"""),0.363)</f>
        <v>0.36299999999999999</v>
      </c>
      <c r="F205" s="3" t="str">
        <f ca="1">IFERROR(__xludf.DUMMYFUNCTION("""COMPUTED_VALUE"""),"Medium")</f>
        <v>Medium</v>
      </c>
      <c r="G205" s="3" t="str">
        <f ca="1">IFERROR(__xludf.DUMMYFUNCTION("""COMPUTED_VALUE"""),"18.6643%;")</f>
        <v>18.6643%;</v>
      </c>
    </row>
    <row r="206" spans="1:7" x14ac:dyDescent="0.2">
      <c r="A206" s="3">
        <f ca="1">IFERROR(__xludf.DUMMYFUNCTION("""COMPUTED_VALUE"""),583)</f>
        <v>583</v>
      </c>
      <c r="B206" s="4" t="str">
        <f ca="1">IFERROR(__xludf.DUMMYFUNCTION("""COMPUTED_VALUE"""),"Delete Operation for Two Strings")</f>
        <v>Delete Operation for Two Strings</v>
      </c>
      <c r="C206" s="8" t="str">
        <f ca="1">IFERROR(__xludf.DUMMYFUNCTION("""COMPUTED_VALUE"""),"https://leetcode.com/problems/delete-operation-for-two-strings")</f>
        <v>https://leetcode.com/problems/delete-operation-for-two-strings</v>
      </c>
      <c r="D206" s="3" t="str">
        <f ca="1">IFERROR(__xludf.DUMMYFUNCTION("""COMPUTED_VALUE"""),"N")</f>
        <v>N</v>
      </c>
      <c r="E206" s="6">
        <f ca="1">IFERROR(__xludf.DUMMYFUNCTION("""COMPUTED_VALUE"""),0.594)</f>
        <v>0.59399999999999997</v>
      </c>
      <c r="F206" s="3" t="str">
        <f ca="1">IFERROR(__xludf.DUMMYFUNCTION("""COMPUTED_VALUE"""),"Medium")</f>
        <v>Medium</v>
      </c>
      <c r="G206" s="3" t="str">
        <f ca="1">IFERROR(__xludf.DUMMYFUNCTION("""COMPUTED_VALUE"""),"4.4797%;")</f>
        <v>4.4797%;</v>
      </c>
    </row>
    <row r="207" spans="1:7" x14ac:dyDescent="0.2">
      <c r="A207" s="3">
        <f ca="1">IFERROR(__xludf.DUMMYFUNCTION("""COMPUTED_VALUE"""),609)</f>
        <v>609</v>
      </c>
      <c r="B207" s="4" t="str">
        <f ca="1">IFERROR(__xludf.DUMMYFUNCTION("""COMPUTED_VALUE"""),"Find Duplicate File in System")</f>
        <v>Find Duplicate File in System</v>
      </c>
      <c r="C207" s="8" t="str">
        <f ca="1">IFERROR(__xludf.DUMMYFUNCTION("""COMPUTED_VALUE"""),"https://leetcode.com/problems/find-duplicate-file-in-system")</f>
        <v>https://leetcode.com/problems/find-duplicate-file-in-system</v>
      </c>
      <c r="D207" s="3" t="str">
        <f ca="1">IFERROR(__xludf.DUMMYFUNCTION("""COMPUTED_VALUE"""),"N")</f>
        <v>N</v>
      </c>
      <c r="E207" s="6">
        <f ca="1">IFERROR(__xludf.DUMMYFUNCTION("""COMPUTED_VALUE"""),0.678)</f>
        <v>0.67800000000000005</v>
      </c>
      <c r="F207" s="3" t="str">
        <f ca="1">IFERROR(__xludf.DUMMYFUNCTION("""COMPUTED_VALUE"""),"Medium")</f>
        <v>Medium</v>
      </c>
      <c r="G207" s="3" t="str">
        <f ca="1">IFERROR(__xludf.DUMMYFUNCTION("""COMPUTED_VALUE"""),"14.0897%;")</f>
        <v>14.0897%;</v>
      </c>
    </row>
    <row r="208" spans="1:7" x14ac:dyDescent="0.2">
      <c r="A208" s="3">
        <f ca="1">IFERROR(__xludf.DUMMYFUNCTION("""COMPUTED_VALUE"""),621)</f>
        <v>621</v>
      </c>
      <c r="B208" s="4" t="str">
        <f ca="1">IFERROR(__xludf.DUMMYFUNCTION("""COMPUTED_VALUE"""),"Task Scheduler")</f>
        <v>Task Scheduler</v>
      </c>
      <c r="C208" s="8" t="str">
        <f ca="1">IFERROR(__xludf.DUMMYFUNCTION("""COMPUTED_VALUE"""),"https://leetcode.com/problems/task-scheduler")</f>
        <v>https://leetcode.com/problems/task-scheduler</v>
      </c>
      <c r="D208" s="3" t="str">
        <f ca="1">IFERROR(__xludf.DUMMYFUNCTION("""COMPUTED_VALUE"""),"N")</f>
        <v>N</v>
      </c>
      <c r="E208" s="6">
        <f ca="1">IFERROR(__xludf.DUMMYFUNCTION("""COMPUTED_VALUE"""),0.558)</f>
        <v>0.55800000000000005</v>
      </c>
      <c r="F208" s="3" t="str">
        <f ca="1">IFERROR(__xludf.DUMMYFUNCTION("""COMPUTED_VALUE"""),"Medium")</f>
        <v>Medium</v>
      </c>
      <c r="G208" s="3" t="str">
        <f ca="1">IFERROR(__xludf.DUMMYFUNCTION("""COMPUTED_VALUE"""),"18.1911%;")</f>
        <v>18.1911%;</v>
      </c>
    </row>
    <row r="209" spans="1:7" x14ac:dyDescent="0.2">
      <c r="A209" s="3">
        <f ca="1">IFERROR(__xludf.DUMMYFUNCTION("""COMPUTED_VALUE"""),623)</f>
        <v>623</v>
      </c>
      <c r="B209" s="4" t="str">
        <f ca="1">IFERROR(__xludf.DUMMYFUNCTION("""COMPUTED_VALUE"""),"Add One Row to Tree")</f>
        <v>Add One Row to Tree</v>
      </c>
      <c r="C209" s="8" t="str">
        <f ca="1">IFERROR(__xludf.DUMMYFUNCTION("""COMPUTED_VALUE"""),"https://leetcode.com/problems/add-one-row-to-tree")</f>
        <v>https://leetcode.com/problems/add-one-row-to-tree</v>
      </c>
      <c r="D209" s="3" t="str">
        <f ca="1">IFERROR(__xludf.DUMMYFUNCTION("""COMPUTED_VALUE"""),"N")</f>
        <v>N</v>
      </c>
      <c r="E209" s="6">
        <f ca="1">IFERROR(__xludf.DUMMYFUNCTION("""COMPUTED_VALUE"""),0.595)</f>
        <v>0.59499999999999997</v>
      </c>
      <c r="F209" s="3" t="str">
        <f ca="1">IFERROR(__xludf.DUMMYFUNCTION("""COMPUTED_VALUE"""),"Medium")</f>
        <v>Medium</v>
      </c>
      <c r="G209" s="3" t="str">
        <f ca="1">IFERROR(__xludf.DUMMYFUNCTION("""COMPUTED_VALUE"""),"11.6245%;")</f>
        <v>11.6245%;</v>
      </c>
    </row>
    <row r="210" spans="1:7" x14ac:dyDescent="0.2">
      <c r="A210" s="3">
        <f ca="1">IFERROR(__xludf.DUMMYFUNCTION("""COMPUTED_VALUE"""),636)</f>
        <v>636</v>
      </c>
      <c r="B210" s="4" t="str">
        <f ca="1">IFERROR(__xludf.DUMMYFUNCTION("""COMPUTED_VALUE"""),"Exclusive Time of Functions")</f>
        <v>Exclusive Time of Functions</v>
      </c>
      <c r="C210" s="8" t="str">
        <f ca="1">IFERROR(__xludf.DUMMYFUNCTION("""COMPUTED_VALUE"""),"https://leetcode.com/problems/exclusive-time-of-functions")</f>
        <v>https://leetcode.com/problems/exclusive-time-of-functions</v>
      </c>
      <c r="D210" s="3" t="str">
        <f ca="1">IFERROR(__xludf.DUMMYFUNCTION("""COMPUTED_VALUE"""),"N")</f>
        <v>N</v>
      </c>
      <c r="E210" s="6">
        <f ca="1">IFERROR(__xludf.DUMMYFUNCTION("""COMPUTED_VALUE"""),0.611)</f>
        <v>0.61099999999999999</v>
      </c>
      <c r="F210" s="3" t="str">
        <f ca="1">IFERROR(__xludf.DUMMYFUNCTION("""COMPUTED_VALUE"""),"Medium")</f>
        <v>Medium</v>
      </c>
      <c r="G210" s="3" t="str">
        <f ca="1">IFERROR(__xludf.DUMMYFUNCTION("""COMPUTED_VALUE"""),"22.4815%;")</f>
        <v>22.4815%;</v>
      </c>
    </row>
    <row r="211" spans="1:7" x14ac:dyDescent="0.2">
      <c r="A211" s="3">
        <f ca="1">IFERROR(__xludf.DUMMYFUNCTION("""COMPUTED_VALUE"""),646)</f>
        <v>646</v>
      </c>
      <c r="B211" s="4" t="str">
        <f ca="1">IFERROR(__xludf.DUMMYFUNCTION("""COMPUTED_VALUE"""),"Maximum Length of Pair Chain")</f>
        <v>Maximum Length of Pair Chain</v>
      </c>
      <c r="C211" s="8" t="str">
        <f ca="1">IFERROR(__xludf.DUMMYFUNCTION("""COMPUTED_VALUE"""),"https://leetcode.com/problems/maximum-length-of-pair-chain")</f>
        <v>https://leetcode.com/problems/maximum-length-of-pair-chain</v>
      </c>
      <c r="D211" s="3" t="str">
        <f ca="1">IFERROR(__xludf.DUMMYFUNCTION("""COMPUTED_VALUE"""),"N")</f>
        <v>N</v>
      </c>
      <c r="E211" s="6">
        <f ca="1">IFERROR(__xludf.DUMMYFUNCTION("""COMPUTED_VALUE"""),0.564)</f>
        <v>0.56399999999999995</v>
      </c>
      <c r="F211" s="3" t="str">
        <f ca="1">IFERROR(__xludf.DUMMYFUNCTION("""COMPUTED_VALUE"""),"Medium")</f>
        <v>Medium</v>
      </c>
      <c r="G211" s="3" t="str">
        <f ca="1">IFERROR(__xludf.DUMMYFUNCTION("""COMPUTED_VALUE"""),"8.43555%;")</f>
        <v>8.43555%;</v>
      </c>
    </row>
    <row r="212" spans="1:7" x14ac:dyDescent="0.2">
      <c r="A212" s="3">
        <f ca="1">IFERROR(__xludf.DUMMYFUNCTION("""COMPUTED_VALUE"""),647)</f>
        <v>647</v>
      </c>
      <c r="B212" s="4" t="str">
        <f ca="1">IFERROR(__xludf.DUMMYFUNCTION("""COMPUTED_VALUE"""),"Palindromic Substrings")</f>
        <v>Palindromic Substrings</v>
      </c>
      <c r="C212" s="8" t="str">
        <f ca="1">IFERROR(__xludf.DUMMYFUNCTION("""COMPUTED_VALUE"""),"https://leetcode.com/problems/palindromic-substrings")</f>
        <v>https://leetcode.com/problems/palindromic-substrings</v>
      </c>
      <c r="D212" s="3" t="str">
        <f ca="1">IFERROR(__xludf.DUMMYFUNCTION("""COMPUTED_VALUE"""),"N")</f>
        <v>N</v>
      </c>
      <c r="E212" s="6">
        <f ca="1">IFERROR(__xludf.DUMMYFUNCTION("""COMPUTED_VALUE"""),0.664)</f>
        <v>0.66400000000000003</v>
      </c>
      <c r="F212" s="3" t="str">
        <f ca="1">IFERROR(__xludf.DUMMYFUNCTION("""COMPUTED_VALUE"""),"Medium")</f>
        <v>Medium</v>
      </c>
      <c r="G212" s="3" t="str">
        <f ca="1">IFERROR(__xludf.DUMMYFUNCTION("""COMPUTED_VALUE"""),"13.4513%;")</f>
        <v>13.4513%;</v>
      </c>
    </row>
    <row r="213" spans="1:7" x14ac:dyDescent="0.2">
      <c r="A213" s="3">
        <f ca="1">IFERROR(__xludf.DUMMYFUNCTION("""COMPUTED_VALUE"""),648)</f>
        <v>648</v>
      </c>
      <c r="B213" s="4" t="str">
        <f ca="1">IFERROR(__xludf.DUMMYFUNCTION("""COMPUTED_VALUE"""),"Replace Words")</f>
        <v>Replace Words</v>
      </c>
      <c r="C213" s="8" t="str">
        <f ca="1">IFERROR(__xludf.DUMMYFUNCTION("""COMPUTED_VALUE"""),"https://leetcode.com/problems/replace-words")</f>
        <v>https://leetcode.com/problems/replace-words</v>
      </c>
      <c r="D213" s="3" t="str">
        <f ca="1">IFERROR(__xludf.DUMMYFUNCTION("""COMPUTED_VALUE"""),"N")</f>
        <v>N</v>
      </c>
      <c r="E213" s="6">
        <f ca="1">IFERROR(__xludf.DUMMYFUNCTION("""COMPUTED_VALUE"""),0.627)</f>
        <v>0.627</v>
      </c>
      <c r="F213" s="3" t="str">
        <f ca="1">IFERROR(__xludf.DUMMYFUNCTION("""COMPUTED_VALUE"""),"Medium")</f>
        <v>Medium</v>
      </c>
      <c r="G213" s="3" t="str">
        <f ca="1">IFERROR(__xludf.DUMMYFUNCTION("""COMPUTED_VALUE"""),"9.3649%;")</f>
        <v>9.3649%;</v>
      </c>
    </row>
    <row r="214" spans="1:7" x14ac:dyDescent="0.2">
      <c r="A214" s="3">
        <f ca="1">IFERROR(__xludf.DUMMYFUNCTION("""COMPUTED_VALUE"""),652)</f>
        <v>652</v>
      </c>
      <c r="B214" s="4" t="str">
        <f ca="1">IFERROR(__xludf.DUMMYFUNCTION("""COMPUTED_VALUE"""),"Find Duplicate Subtrees")</f>
        <v>Find Duplicate Subtrees</v>
      </c>
      <c r="C214" s="8" t="str">
        <f ca="1">IFERROR(__xludf.DUMMYFUNCTION("""COMPUTED_VALUE"""),"https://leetcode.com/problems/find-duplicate-subtrees")</f>
        <v>https://leetcode.com/problems/find-duplicate-subtrees</v>
      </c>
      <c r="D214" s="3" t="str">
        <f ca="1">IFERROR(__xludf.DUMMYFUNCTION("""COMPUTED_VALUE"""),"N")</f>
        <v>N</v>
      </c>
      <c r="E214" s="6">
        <f ca="1">IFERROR(__xludf.DUMMYFUNCTION("""COMPUTED_VALUE"""),0.565)</f>
        <v>0.56499999999999995</v>
      </c>
      <c r="F214" s="3" t="str">
        <f ca="1">IFERROR(__xludf.DUMMYFUNCTION("""COMPUTED_VALUE"""),"Medium")</f>
        <v>Medium</v>
      </c>
      <c r="G214" s="3" t="str">
        <f ca="1">IFERROR(__xludf.DUMMYFUNCTION("""COMPUTED_VALUE"""),"7.5915%;")</f>
        <v>7.5915%;</v>
      </c>
    </row>
    <row r="215" spans="1:7" x14ac:dyDescent="0.2">
      <c r="A215" s="3">
        <f ca="1">IFERROR(__xludf.DUMMYFUNCTION("""COMPUTED_VALUE"""),658)</f>
        <v>658</v>
      </c>
      <c r="B215" s="4" t="str">
        <f ca="1">IFERROR(__xludf.DUMMYFUNCTION("""COMPUTED_VALUE"""),"Find K Closest Elements")</f>
        <v>Find K Closest Elements</v>
      </c>
      <c r="C215" s="8" t="str">
        <f ca="1">IFERROR(__xludf.DUMMYFUNCTION("""COMPUTED_VALUE"""),"https://leetcode.com/problems/find-k-closest-elements")</f>
        <v>https://leetcode.com/problems/find-k-closest-elements</v>
      </c>
      <c r="D215" s="3" t="str">
        <f ca="1">IFERROR(__xludf.DUMMYFUNCTION("""COMPUTED_VALUE"""),"N")</f>
        <v>N</v>
      </c>
      <c r="E215" s="6">
        <f ca="1">IFERROR(__xludf.DUMMYFUNCTION("""COMPUTED_VALUE"""),0.468)</f>
        <v>0.46800000000000003</v>
      </c>
      <c r="F215" s="3" t="str">
        <f ca="1">IFERROR(__xludf.DUMMYFUNCTION("""COMPUTED_VALUE"""),"Medium")</f>
        <v>Medium</v>
      </c>
      <c r="G215" s="3" t="str">
        <f ca="1">IFERROR(__xludf.DUMMYFUNCTION("""COMPUTED_VALUE"""),"29.1472%;")</f>
        <v>29.1472%;</v>
      </c>
    </row>
    <row r="216" spans="1:7" x14ac:dyDescent="0.2">
      <c r="A216" s="3">
        <f ca="1">IFERROR(__xludf.DUMMYFUNCTION("""COMPUTED_VALUE"""),662)</f>
        <v>662</v>
      </c>
      <c r="B216" s="4" t="str">
        <f ca="1">IFERROR(__xludf.DUMMYFUNCTION("""COMPUTED_VALUE"""),"Maximum Width of Binary Tree")</f>
        <v>Maximum Width of Binary Tree</v>
      </c>
      <c r="C216" s="8" t="str">
        <f ca="1">IFERROR(__xludf.DUMMYFUNCTION("""COMPUTED_VALUE"""),"https://leetcode.com/problems/maximum-width-of-binary-tree")</f>
        <v>https://leetcode.com/problems/maximum-width-of-binary-tree</v>
      </c>
      <c r="D216" s="3" t="str">
        <f ca="1">IFERROR(__xludf.DUMMYFUNCTION("""COMPUTED_VALUE"""),"N")</f>
        <v>N</v>
      </c>
      <c r="E216" s="6">
        <f ca="1">IFERROR(__xludf.DUMMYFUNCTION("""COMPUTED_VALUE"""),0.406)</f>
        <v>0.40600000000000003</v>
      </c>
      <c r="F216" s="3" t="str">
        <f ca="1">IFERROR(__xludf.DUMMYFUNCTION("""COMPUTED_VALUE"""),"Medium")</f>
        <v>Medium</v>
      </c>
      <c r="G216" s="3" t="str">
        <f ca="1">IFERROR(__xludf.DUMMYFUNCTION("""COMPUTED_VALUE"""),"9.8053%;")</f>
        <v>9.8053%;</v>
      </c>
    </row>
    <row r="217" spans="1:7" x14ac:dyDescent="0.2">
      <c r="A217" s="3">
        <f ca="1">IFERROR(__xludf.DUMMYFUNCTION("""COMPUTED_VALUE"""),665)</f>
        <v>665</v>
      </c>
      <c r="B217" s="4" t="str">
        <f ca="1">IFERROR(__xludf.DUMMYFUNCTION("""COMPUTED_VALUE"""),"Non-decreasing Array")</f>
        <v>Non-decreasing Array</v>
      </c>
      <c r="C217" s="8" t="str">
        <f ca="1">IFERROR(__xludf.DUMMYFUNCTION("""COMPUTED_VALUE"""),"https://leetcode.com/problems/non-decreasing-array")</f>
        <v>https://leetcode.com/problems/non-decreasing-array</v>
      </c>
      <c r="D217" s="3" t="str">
        <f ca="1">IFERROR(__xludf.DUMMYFUNCTION("""COMPUTED_VALUE"""),"N")</f>
        <v>N</v>
      </c>
      <c r="E217" s="6">
        <f ca="1">IFERROR(__xludf.DUMMYFUNCTION("""COMPUTED_VALUE"""),0.242)</f>
        <v>0.24199999999999999</v>
      </c>
      <c r="F217" s="3" t="str">
        <f ca="1">IFERROR(__xludf.DUMMYFUNCTION("""COMPUTED_VALUE"""),"Medium")</f>
        <v>Medium</v>
      </c>
      <c r="G217" s="3" t="str">
        <f ca="1">IFERROR(__xludf.DUMMYFUNCTION("""COMPUTED_VALUE"""),"16.3908%;")</f>
        <v>16.3908%;</v>
      </c>
    </row>
    <row r="218" spans="1:7" x14ac:dyDescent="0.2">
      <c r="A218" s="3">
        <f ca="1">IFERROR(__xludf.DUMMYFUNCTION("""COMPUTED_VALUE"""),669)</f>
        <v>669</v>
      </c>
      <c r="B218" s="4" t="str">
        <f ca="1">IFERROR(__xludf.DUMMYFUNCTION("""COMPUTED_VALUE"""),"Trim a Binary Search Tree")</f>
        <v>Trim a Binary Search Tree</v>
      </c>
      <c r="C218" s="8" t="str">
        <f ca="1">IFERROR(__xludf.DUMMYFUNCTION("""COMPUTED_VALUE"""),"https://leetcode.com/problems/trim-a-binary-search-tree")</f>
        <v>https://leetcode.com/problems/trim-a-binary-search-tree</v>
      </c>
      <c r="D218" s="3" t="str">
        <f ca="1">IFERROR(__xludf.DUMMYFUNCTION("""COMPUTED_VALUE"""),"N")</f>
        <v>N</v>
      </c>
      <c r="E218" s="6">
        <f ca="1">IFERROR(__xludf.DUMMYFUNCTION("""COMPUTED_VALUE"""),0.663)</f>
        <v>0.66300000000000003</v>
      </c>
      <c r="F218" s="3" t="str">
        <f ca="1">IFERROR(__xludf.DUMMYFUNCTION("""COMPUTED_VALUE"""),"Medium")</f>
        <v>Medium</v>
      </c>
      <c r="G218" s="3" t="str">
        <f ca="1">IFERROR(__xludf.DUMMYFUNCTION("""COMPUTED_VALUE"""),"6.10543%;")</f>
        <v>6.10543%;</v>
      </c>
    </row>
    <row r="219" spans="1:7" x14ac:dyDescent="0.2">
      <c r="A219" s="3">
        <f ca="1">IFERROR(__xludf.DUMMYFUNCTION("""COMPUTED_VALUE"""),670)</f>
        <v>670</v>
      </c>
      <c r="B219" s="4" t="str">
        <f ca="1">IFERROR(__xludf.DUMMYFUNCTION("""COMPUTED_VALUE"""),"Maximum Swap")</f>
        <v>Maximum Swap</v>
      </c>
      <c r="C219" s="8" t="str">
        <f ca="1">IFERROR(__xludf.DUMMYFUNCTION("""COMPUTED_VALUE"""),"https://leetcode.com/problems/maximum-swap")</f>
        <v>https://leetcode.com/problems/maximum-swap</v>
      </c>
      <c r="D219" s="3" t="str">
        <f ca="1">IFERROR(__xludf.DUMMYFUNCTION("""COMPUTED_VALUE"""),"N")</f>
        <v>N</v>
      </c>
      <c r="E219" s="6">
        <f ca="1">IFERROR(__xludf.DUMMYFUNCTION("""COMPUTED_VALUE"""),0.479)</f>
        <v>0.47899999999999998</v>
      </c>
      <c r="F219" s="3" t="str">
        <f ca="1">IFERROR(__xludf.DUMMYFUNCTION("""COMPUTED_VALUE"""),"Medium")</f>
        <v>Medium</v>
      </c>
      <c r="G219" s="3" t="str">
        <f ca="1">IFERROR(__xludf.DUMMYFUNCTION("""COMPUTED_VALUE"""),"16.6494%;")</f>
        <v>16.6494%;</v>
      </c>
    </row>
    <row r="220" spans="1:7" x14ac:dyDescent="0.2">
      <c r="A220" s="3">
        <f ca="1">IFERROR(__xludf.DUMMYFUNCTION("""COMPUTED_VALUE"""),673)</f>
        <v>673</v>
      </c>
      <c r="B220" s="4" t="str">
        <f ca="1">IFERROR(__xludf.DUMMYFUNCTION("""COMPUTED_VALUE"""),"Number of Longest Increasing Subsequence")</f>
        <v>Number of Longest Increasing Subsequence</v>
      </c>
      <c r="C220" s="8" t="str">
        <f ca="1">IFERROR(__xludf.DUMMYFUNCTION("""COMPUTED_VALUE"""),"https://leetcode.com/problems/number-of-longest-increasing-subsequence")</f>
        <v>https://leetcode.com/problems/number-of-longest-increasing-subsequence</v>
      </c>
      <c r="D220" s="3" t="str">
        <f ca="1">IFERROR(__xludf.DUMMYFUNCTION("""COMPUTED_VALUE"""),"N")</f>
        <v>N</v>
      </c>
      <c r="E220" s="6">
        <f ca="1">IFERROR(__xludf.DUMMYFUNCTION("""COMPUTED_VALUE"""),0.423)</f>
        <v>0.42299999999999999</v>
      </c>
      <c r="F220" s="3" t="str">
        <f ca="1">IFERROR(__xludf.DUMMYFUNCTION("""COMPUTED_VALUE"""),"Medium")</f>
        <v>Medium</v>
      </c>
      <c r="G220" s="3" t="str">
        <f ca="1">IFERROR(__xludf.DUMMYFUNCTION("""COMPUTED_VALUE"""),"18.9445%;")</f>
        <v>18.9445%;</v>
      </c>
    </row>
    <row r="221" spans="1:7" x14ac:dyDescent="0.2">
      <c r="A221" s="3">
        <f ca="1">IFERROR(__xludf.DUMMYFUNCTION("""COMPUTED_VALUE"""),678)</f>
        <v>678</v>
      </c>
      <c r="B221" s="4" t="str">
        <f ca="1">IFERROR(__xludf.DUMMYFUNCTION("""COMPUTED_VALUE"""),"Valid Parenthesis String")</f>
        <v>Valid Parenthesis String</v>
      </c>
      <c r="C221" s="8" t="str">
        <f ca="1">IFERROR(__xludf.DUMMYFUNCTION("""COMPUTED_VALUE"""),"https://leetcode.com/problems/valid-parenthesis-string")</f>
        <v>https://leetcode.com/problems/valid-parenthesis-string</v>
      </c>
      <c r="D221" s="3" t="str">
        <f ca="1">IFERROR(__xludf.DUMMYFUNCTION("""COMPUTED_VALUE"""),"N")</f>
        <v>N</v>
      </c>
      <c r="E221" s="6">
        <f ca="1">IFERROR(__xludf.DUMMYFUNCTION("""COMPUTED_VALUE"""),0.339)</f>
        <v>0.33900000000000002</v>
      </c>
      <c r="F221" s="3" t="str">
        <f ca="1">IFERROR(__xludf.DUMMYFUNCTION("""COMPUTED_VALUE"""),"Medium")</f>
        <v>Medium</v>
      </c>
      <c r="G221" s="3" t="str">
        <f ca="1">IFERROR(__xludf.DUMMYFUNCTION("""COMPUTED_VALUE"""),"4.89212%;")</f>
        <v>4.89212%;</v>
      </c>
    </row>
    <row r="222" spans="1:7" x14ac:dyDescent="0.2">
      <c r="A222" s="3">
        <f ca="1">IFERROR(__xludf.DUMMYFUNCTION("""COMPUTED_VALUE"""),681)</f>
        <v>681</v>
      </c>
      <c r="B222" s="4" t="str">
        <f ca="1">IFERROR(__xludf.DUMMYFUNCTION("""COMPUTED_VALUE"""),"Next Closest Time")</f>
        <v>Next Closest Time</v>
      </c>
      <c r="C222" s="8" t="str">
        <f ca="1">IFERROR(__xludf.DUMMYFUNCTION("""COMPUTED_VALUE"""),"https://leetcode.com/problems/next-closest-time")</f>
        <v>https://leetcode.com/problems/next-closest-time</v>
      </c>
      <c r="D222" s="3" t="str">
        <f ca="1">IFERROR(__xludf.DUMMYFUNCTION("""COMPUTED_VALUE"""),"Y")</f>
        <v>Y</v>
      </c>
      <c r="E222" s="6">
        <f ca="1">IFERROR(__xludf.DUMMYFUNCTION("""COMPUTED_VALUE"""),0.464)</f>
        <v>0.46400000000000002</v>
      </c>
      <c r="F222" s="3" t="str">
        <f ca="1">IFERROR(__xludf.DUMMYFUNCTION("""COMPUTED_VALUE"""),"Medium")</f>
        <v>Medium</v>
      </c>
      <c r="G222" s="3" t="str">
        <f ca="1">IFERROR(__xludf.DUMMYFUNCTION("""COMPUTED_VALUE"""),"27.9635%;")</f>
        <v>27.9635%;</v>
      </c>
    </row>
    <row r="223" spans="1:7" x14ac:dyDescent="0.2">
      <c r="A223" s="3">
        <f ca="1">IFERROR(__xludf.DUMMYFUNCTION("""COMPUTED_VALUE"""),684)</f>
        <v>684</v>
      </c>
      <c r="B223" s="4" t="str">
        <f ca="1">IFERROR(__xludf.DUMMYFUNCTION("""COMPUTED_VALUE"""),"Redundant Connection")</f>
        <v>Redundant Connection</v>
      </c>
      <c r="C223" s="8" t="str">
        <f ca="1">IFERROR(__xludf.DUMMYFUNCTION("""COMPUTED_VALUE"""),"https://leetcode.com/problems/redundant-connection")</f>
        <v>https://leetcode.com/problems/redundant-connection</v>
      </c>
      <c r="D223" s="3" t="str">
        <f ca="1">IFERROR(__xludf.DUMMYFUNCTION("""COMPUTED_VALUE"""),"N")</f>
        <v>N</v>
      </c>
      <c r="E223" s="6">
        <f ca="1">IFERROR(__xludf.DUMMYFUNCTION("""COMPUTED_VALUE"""),0.62)</f>
        <v>0.62</v>
      </c>
      <c r="F223" s="3" t="str">
        <f ca="1">IFERROR(__xludf.DUMMYFUNCTION("""COMPUTED_VALUE"""),"Medium")</f>
        <v>Medium</v>
      </c>
      <c r="G223" s="3" t="str">
        <f ca="1">IFERROR(__xludf.DUMMYFUNCTION("""COMPUTED_VALUE"""),"6.82667%;")</f>
        <v>6.82667%;</v>
      </c>
    </row>
    <row r="224" spans="1:7" x14ac:dyDescent="0.2">
      <c r="A224" s="3">
        <f ca="1">IFERROR(__xludf.DUMMYFUNCTION("""COMPUTED_VALUE"""),688)</f>
        <v>688</v>
      </c>
      <c r="B224" s="4" t="str">
        <f ca="1">IFERROR(__xludf.DUMMYFUNCTION("""COMPUTED_VALUE"""),"Knight Probability in Chessboard")</f>
        <v>Knight Probability in Chessboard</v>
      </c>
      <c r="C224" s="8" t="str">
        <f ca="1">IFERROR(__xludf.DUMMYFUNCTION("""COMPUTED_VALUE"""),"https://leetcode.com/problems/knight-probability-in-chessboard")</f>
        <v>https://leetcode.com/problems/knight-probability-in-chessboard</v>
      </c>
      <c r="D224" s="3" t="str">
        <f ca="1">IFERROR(__xludf.DUMMYFUNCTION("""COMPUTED_VALUE"""),"N")</f>
        <v>N</v>
      </c>
      <c r="E224" s="6">
        <f ca="1">IFERROR(__xludf.DUMMYFUNCTION("""COMPUTED_VALUE"""),0.521)</f>
        <v>0.52100000000000002</v>
      </c>
      <c r="F224" s="3" t="str">
        <f ca="1">IFERROR(__xludf.DUMMYFUNCTION("""COMPUTED_VALUE"""),"Medium")</f>
        <v>Medium</v>
      </c>
      <c r="G224" s="3" t="str">
        <f ca="1">IFERROR(__xludf.DUMMYFUNCTION("""COMPUTED_VALUE"""),"36.4372%;")</f>
        <v>36.4372%;</v>
      </c>
    </row>
    <row r="225" spans="1:7" x14ac:dyDescent="0.2">
      <c r="A225" s="3">
        <f ca="1">IFERROR(__xludf.DUMMYFUNCTION("""COMPUTED_VALUE"""),690)</f>
        <v>690</v>
      </c>
      <c r="B225" s="4" t="str">
        <f ca="1">IFERROR(__xludf.DUMMYFUNCTION("""COMPUTED_VALUE"""),"Employee Importance")</f>
        <v>Employee Importance</v>
      </c>
      <c r="C225" s="8" t="str">
        <f ca="1">IFERROR(__xludf.DUMMYFUNCTION("""COMPUTED_VALUE"""),"https://leetcode.com/problems/employee-importance")</f>
        <v>https://leetcode.com/problems/employee-importance</v>
      </c>
      <c r="D225" s="3" t="str">
        <f ca="1">IFERROR(__xludf.DUMMYFUNCTION("""COMPUTED_VALUE"""),"N")</f>
        <v>N</v>
      </c>
      <c r="E225" s="6">
        <f ca="1">IFERROR(__xludf.DUMMYFUNCTION("""COMPUTED_VALUE"""),0.652)</f>
        <v>0.65200000000000002</v>
      </c>
      <c r="F225" s="3" t="str">
        <f ca="1">IFERROR(__xludf.DUMMYFUNCTION("""COMPUTED_VALUE"""),"Medium")</f>
        <v>Medium</v>
      </c>
      <c r="G225" s="3" t="str">
        <f ca="1">IFERROR(__xludf.DUMMYFUNCTION("""COMPUTED_VALUE"""),"10.8714%;")</f>
        <v>10.8714%;</v>
      </c>
    </row>
    <row r="226" spans="1:7" x14ac:dyDescent="0.2">
      <c r="A226" s="3">
        <f ca="1">IFERROR(__xludf.DUMMYFUNCTION("""COMPUTED_VALUE"""),692)</f>
        <v>692</v>
      </c>
      <c r="B226" s="4" t="str">
        <f ca="1">IFERROR(__xludf.DUMMYFUNCTION("""COMPUTED_VALUE"""),"Top K Frequent Words")</f>
        <v>Top K Frequent Words</v>
      </c>
      <c r="C226" s="8" t="str">
        <f ca="1">IFERROR(__xludf.DUMMYFUNCTION("""COMPUTED_VALUE"""),"https://leetcode.com/problems/top-k-frequent-words")</f>
        <v>https://leetcode.com/problems/top-k-frequent-words</v>
      </c>
      <c r="D226" s="3" t="str">
        <f ca="1">IFERROR(__xludf.DUMMYFUNCTION("""COMPUTED_VALUE"""),"N")</f>
        <v>N</v>
      </c>
      <c r="E226" s="6">
        <f ca="1">IFERROR(__xludf.DUMMYFUNCTION("""COMPUTED_VALUE"""),0.569)</f>
        <v>0.56899999999999995</v>
      </c>
      <c r="F226" s="3" t="str">
        <f ca="1">IFERROR(__xludf.DUMMYFUNCTION("""COMPUTED_VALUE"""),"Medium")</f>
        <v>Medium</v>
      </c>
      <c r="G226" s="3" t="str">
        <f ca="1">IFERROR(__xludf.DUMMYFUNCTION("""COMPUTED_VALUE"""),"22.9024%;")</f>
        <v>22.9024%;</v>
      </c>
    </row>
    <row r="227" spans="1:7" x14ac:dyDescent="0.2">
      <c r="A227" s="3">
        <f ca="1">IFERROR(__xludf.DUMMYFUNCTION("""COMPUTED_VALUE"""),694)</f>
        <v>694</v>
      </c>
      <c r="B227" s="4" t="str">
        <f ca="1">IFERROR(__xludf.DUMMYFUNCTION("""COMPUTED_VALUE"""),"Number of Distinct Islands")</f>
        <v>Number of Distinct Islands</v>
      </c>
      <c r="C227" s="8" t="str">
        <f ca="1">IFERROR(__xludf.DUMMYFUNCTION("""COMPUTED_VALUE"""),"https://leetcode.com/problems/number-of-distinct-islands")</f>
        <v>https://leetcode.com/problems/number-of-distinct-islands</v>
      </c>
      <c r="D227" s="3" t="str">
        <f ca="1">IFERROR(__xludf.DUMMYFUNCTION("""COMPUTED_VALUE"""),"Y")</f>
        <v>Y</v>
      </c>
      <c r="E227" s="6">
        <f ca="1">IFERROR(__xludf.DUMMYFUNCTION("""COMPUTED_VALUE"""),0.606)</f>
        <v>0.60599999999999998</v>
      </c>
      <c r="F227" s="3" t="str">
        <f ca="1">IFERROR(__xludf.DUMMYFUNCTION("""COMPUTED_VALUE"""),"Medium")</f>
        <v>Medium</v>
      </c>
      <c r="G227" s="3" t="str">
        <f ca="1">IFERROR(__xludf.DUMMYFUNCTION("""COMPUTED_VALUE"""),"30.1647%;")</f>
        <v>30.1647%;</v>
      </c>
    </row>
    <row r="228" spans="1:7" x14ac:dyDescent="0.2">
      <c r="A228" s="3">
        <f ca="1">IFERROR(__xludf.DUMMYFUNCTION("""COMPUTED_VALUE"""),695)</f>
        <v>695</v>
      </c>
      <c r="B228" s="4" t="str">
        <f ca="1">IFERROR(__xludf.DUMMYFUNCTION("""COMPUTED_VALUE"""),"Max Area of Island")</f>
        <v>Max Area of Island</v>
      </c>
      <c r="C228" s="8" t="str">
        <f ca="1">IFERROR(__xludf.DUMMYFUNCTION("""COMPUTED_VALUE"""),"https://leetcode.com/problems/max-area-of-island")</f>
        <v>https://leetcode.com/problems/max-area-of-island</v>
      </c>
      <c r="D228" s="3" t="str">
        <f ca="1">IFERROR(__xludf.DUMMYFUNCTION("""COMPUTED_VALUE"""),"N")</f>
        <v>N</v>
      </c>
      <c r="E228" s="6">
        <f ca="1">IFERROR(__xludf.DUMMYFUNCTION("""COMPUTED_VALUE"""),0.717)</f>
        <v>0.71699999999999997</v>
      </c>
      <c r="F228" s="3" t="str">
        <f ca="1">IFERROR(__xludf.DUMMYFUNCTION("""COMPUTED_VALUE"""),"Medium")</f>
        <v>Medium</v>
      </c>
      <c r="G228" s="3" t="str">
        <f ca="1">IFERROR(__xludf.DUMMYFUNCTION("""COMPUTED_VALUE"""),"25.9623%;")</f>
        <v>25.9623%;</v>
      </c>
    </row>
    <row r="229" spans="1:7" x14ac:dyDescent="0.2">
      <c r="A229" s="3">
        <f ca="1">IFERROR(__xludf.DUMMYFUNCTION("""COMPUTED_VALUE"""),698)</f>
        <v>698</v>
      </c>
      <c r="B229" s="4" t="str">
        <f ca="1">IFERROR(__xludf.DUMMYFUNCTION("""COMPUTED_VALUE"""),"Partition to K Equal Sum Subsets")</f>
        <v>Partition to K Equal Sum Subsets</v>
      </c>
      <c r="C229" s="8" t="str">
        <f ca="1">IFERROR(__xludf.DUMMYFUNCTION("""COMPUTED_VALUE"""),"https://leetcode.com/problems/partition-to-k-equal-sum-subsets")</f>
        <v>https://leetcode.com/problems/partition-to-k-equal-sum-subsets</v>
      </c>
      <c r="D229" s="3" t="str">
        <f ca="1">IFERROR(__xludf.DUMMYFUNCTION("""COMPUTED_VALUE"""),"N")</f>
        <v>N</v>
      </c>
      <c r="E229" s="6">
        <f ca="1">IFERROR(__xludf.DUMMYFUNCTION("""COMPUTED_VALUE"""),0.408)</f>
        <v>0.40799999999999997</v>
      </c>
      <c r="F229" s="3" t="str">
        <f ca="1">IFERROR(__xludf.DUMMYFUNCTION("""COMPUTED_VALUE"""),"Medium")</f>
        <v>Medium</v>
      </c>
      <c r="G229" s="3" t="str">
        <f ca="1">IFERROR(__xludf.DUMMYFUNCTION("""COMPUTED_VALUE"""),"17.5652%;")</f>
        <v>17.5652%;</v>
      </c>
    </row>
    <row r="230" spans="1:7" x14ac:dyDescent="0.2">
      <c r="A230" s="3">
        <f ca="1">IFERROR(__xludf.DUMMYFUNCTION("""COMPUTED_VALUE"""),721)</f>
        <v>721</v>
      </c>
      <c r="B230" s="4" t="str">
        <f ca="1">IFERROR(__xludf.DUMMYFUNCTION("""COMPUTED_VALUE"""),"Accounts Merge")</f>
        <v>Accounts Merge</v>
      </c>
      <c r="C230" s="8" t="str">
        <f ca="1">IFERROR(__xludf.DUMMYFUNCTION("""COMPUTED_VALUE"""),"https://leetcode.com/problems/accounts-merge")</f>
        <v>https://leetcode.com/problems/accounts-merge</v>
      </c>
      <c r="D230" s="3" t="str">
        <f ca="1">IFERROR(__xludf.DUMMYFUNCTION("""COMPUTED_VALUE"""),"N")</f>
        <v>N</v>
      </c>
      <c r="E230" s="6">
        <f ca="1">IFERROR(__xludf.DUMMYFUNCTION("""COMPUTED_VALUE"""),0.564)</f>
        <v>0.56399999999999995</v>
      </c>
      <c r="F230" s="3" t="str">
        <f ca="1">IFERROR(__xludf.DUMMYFUNCTION("""COMPUTED_VALUE"""),"Medium")</f>
        <v>Medium</v>
      </c>
      <c r="G230" s="3" t="str">
        <f ca="1">IFERROR(__xludf.DUMMYFUNCTION("""COMPUTED_VALUE"""),"19.088%;")</f>
        <v>19.088%;</v>
      </c>
    </row>
    <row r="231" spans="1:7" x14ac:dyDescent="0.2">
      <c r="A231" s="3">
        <f ca="1">IFERROR(__xludf.DUMMYFUNCTION("""COMPUTED_VALUE"""),729)</f>
        <v>729</v>
      </c>
      <c r="B231" s="4" t="str">
        <f ca="1">IFERROR(__xludf.DUMMYFUNCTION("""COMPUTED_VALUE"""),"My Calendar I")</f>
        <v>My Calendar I</v>
      </c>
      <c r="C231" s="8" t="str">
        <f ca="1">IFERROR(__xludf.DUMMYFUNCTION("""COMPUTED_VALUE"""),"https://leetcode.com/problems/my-calendar-i")</f>
        <v>https://leetcode.com/problems/my-calendar-i</v>
      </c>
      <c r="D231" s="3" t="str">
        <f ca="1">IFERROR(__xludf.DUMMYFUNCTION("""COMPUTED_VALUE"""),"N")</f>
        <v>N</v>
      </c>
      <c r="E231" s="6">
        <f ca="1">IFERROR(__xludf.DUMMYFUNCTION("""COMPUTED_VALUE"""),0.572)</f>
        <v>0.57199999999999995</v>
      </c>
      <c r="F231" s="3" t="str">
        <f ca="1">IFERROR(__xludf.DUMMYFUNCTION("""COMPUTED_VALUE"""),"Medium")</f>
        <v>Medium</v>
      </c>
      <c r="G231" s="3" t="str">
        <f ca="1">IFERROR(__xludf.DUMMYFUNCTION("""COMPUTED_VALUE"""),"7.95471%;")</f>
        <v>7.95471%;</v>
      </c>
    </row>
    <row r="232" spans="1:7" x14ac:dyDescent="0.2">
      <c r="A232" s="3">
        <f ca="1">IFERROR(__xludf.DUMMYFUNCTION("""COMPUTED_VALUE"""),735)</f>
        <v>735</v>
      </c>
      <c r="B232" s="4" t="str">
        <f ca="1">IFERROR(__xludf.DUMMYFUNCTION("""COMPUTED_VALUE"""),"Asteroid Collision")</f>
        <v>Asteroid Collision</v>
      </c>
      <c r="C232" s="8" t="str">
        <f ca="1">IFERROR(__xludf.DUMMYFUNCTION("""COMPUTED_VALUE"""),"https://leetcode.com/problems/asteroid-collision")</f>
        <v>https://leetcode.com/problems/asteroid-collision</v>
      </c>
      <c r="D232" s="3" t="str">
        <f ca="1">IFERROR(__xludf.DUMMYFUNCTION("""COMPUTED_VALUE"""),"N")</f>
        <v>N</v>
      </c>
      <c r="E232" s="6">
        <f ca="1">IFERROR(__xludf.DUMMYFUNCTION("""COMPUTED_VALUE"""),0.444)</f>
        <v>0.44400000000000001</v>
      </c>
      <c r="F232" s="3" t="str">
        <f ca="1">IFERROR(__xludf.DUMMYFUNCTION("""COMPUTED_VALUE"""),"Medium")</f>
        <v>Medium</v>
      </c>
      <c r="G232" s="3" t="str">
        <f ca="1">IFERROR(__xludf.DUMMYFUNCTION("""COMPUTED_VALUE"""),"43.967%;")</f>
        <v>43.967%;</v>
      </c>
    </row>
    <row r="233" spans="1:7" x14ac:dyDescent="0.2">
      <c r="A233" s="3">
        <f ca="1">IFERROR(__xludf.DUMMYFUNCTION("""COMPUTED_VALUE"""),739)</f>
        <v>739</v>
      </c>
      <c r="B233" s="4" t="str">
        <f ca="1">IFERROR(__xludf.DUMMYFUNCTION("""COMPUTED_VALUE"""),"Daily Temperatures")</f>
        <v>Daily Temperatures</v>
      </c>
      <c r="C233" s="8" t="str">
        <f ca="1">IFERROR(__xludf.DUMMYFUNCTION("""COMPUTED_VALUE"""),"https://leetcode.com/problems/daily-temperatures")</f>
        <v>https://leetcode.com/problems/daily-temperatures</v>
      </c>
      <c r="D233" s="3" t="str">
        <f ca="1">IFERROR(__xludf.DUMMYFUNCTION("""COMPUTED_VALUE"""),"N")</f>
        <v>N</v>
      </c>
      <c r="E233" s="6">
        <f ca="1">IFERROR(__xludf.DUMMYFUNCTION("""COMPUTED_VALUE"""),0.666)</f>
        <v>0.66600000000000004</v>
      </c>
      <c r="F233" s="3" t="str">
        <f ca="1">IFERROR(__xludf.DUMMYFUNCTION("""COMPUTED_VALUE"""),"Medium")</f>
        <v>Medium</v>
      </c>
      <c r="G233" s="3" t="str">
        <f ca="1">IFERROR(__xludf.DUMMYFUNCTION("""COMPUTED_VALUE"""),"20.6549%;")</f>
        <v>20.6549%;</v>
      </c>
    </row>
    <row r="234" spans="1:7" x14ac:dyDescent="0.2">
      <c r="A234" s="3">
        <f ca="1">IFERROR(__xludf.DUMMYFUNCTION("""COMPUTED_VALUE"""),740)</f>
        <v>740</v>
      </c>
      <c r="B234" s="4" t="str">
        <f ca="1">IFERROR(__xludf.DUMMYFUNCTION("""COMPUTED_VALUE"""),"Delete and Earn")</f>
        <v>Delete and Earn</v>
      </c>
      <c r="C234" s="8" t="str">
        <f ca="1">IFERROR(__xludf.DUMMYFUNCTION("""COMPUTED_VALUE"""),"https://leetcode.com/problems/delete-and-earn")</f>
        <v>https://leetcode.com/problems/delete-and-earn</v>
      </c>
      <c r="D234" s="3" t="str">
        <f ca="1">IFERROR(__xludf.DUMMYFUNCTION("""COMPUTED_VALUE"""),"N")</f>
        <v>N</v>
      </c>
      <c r="E234" s="6">
        <f ca="1">IFERROR(__xludf.DUMMYFUNCTION("""COMPUTED_VALUE"""),0.574)</f>
        <v>0.57399999999999995</v>
      </c>
      <c r="F234" s="3" t="str">
        <f ca="1">IFERROR(__xludf.DUMMYFUNCTION("""COMPUTED_VALUE"""),"Medium")</f>
        <v>Medium</v>
      </c>
      <c r="G234" s="3" t="str">
        <f ca="1">IFERROR(__xludf.DUMMYFUNCTION("""COMPUTED_VALUE"""),"17.8893%;")</f>
        <v>17.8893%;</v>
      </c>
    </row>
    <row r="235" spans="1:7" x14ac:dyDescent="0.2">
      <c r="A235" s="3">
        <f ca="1">IFERROR(__xludf.DUMMYFUNCTION("""COMPUTED_VALUE"""),743)</f>
        <v>743</v>
      </c>
      <c r="B235" s="4" t="str">
        <f ca="1">IFERROR(__xludf.DUMMYFUNCTION("""COMPUTED_VALUE"""),"Network Delay Time")</f>
        <v>Network Delay Time</v>
      </c>
      <c r="C235" s="8" t="str">
        <f ca="1">IFERROR(__xludf.DUMMYFUNCTION("""COMPUTED_VALUE"""),"https://leetcode.com/problems/network-delay-time")</f>
        <v>https://leetcode.com/problems/network-delay-time</v>
      </c>
      <c r="D235" s="3" t="str">
        <f ca="1">IFERROR(__xludf.DUMMYFUNCTION("""COMPUTED_VALUE"""),"N")</f>
        <v>N</v>
      </c>
      <c r="E235" s="6">
        <f ca="1">IFERROR(__xludf.DUMMYFUNCTION("""COMPUTED_VALUE"""),0.515)</f>
        <v>0.51500000000000001</v>
      </c>
      <c r="F235" s="3" t="str">
        <f ca="1">IFERROR(__xludf.DUMMYFUNCTION("""COMPUTED_VALUE"""),"Medium")</f>
        <v>Medium</v>
      </c>
      <c r="G235" s="3" t="str">
        <f ca="1">IFERROR(__xludf.DUMMYFUNCTION("""COMPUTED_VALUE"""),"2.434%;")</f>
        <v>2.434%;</v>
      </c>
    </row>
    <row r="236" spans="1:7" x14ac:dyDescent="0.2">
      <c r="A236" s="3">
        <f ca="1">IFERROR(__xludf.DUMMYFUNCTION("""COMPUTED_VALUE"""),752)</f>
        <v>752</v>
      </c>
      <c r="B236" s="4" t="str">
        <f ca="1">IFERROR(__xludf.DUMMYFUNCTION("""COMPUTED_VALUE"""),"Open the Lock")</f>
        <v>Open the Lock</v>
      </c>
      <c r="C236" s="8" t="str">
        <f ca="1">IFERROR(__xludf.DUMMYFUNCTION("""COMPUTED_VALUE"""),"https://leetcode.com/problems/open-the-lock")</f>
        <v>https://leetcode.com/problems/open-the-lock</v>
      </c>
      <c r="D236" s="3" t="str">
        <f ca="1">IFERROR(__xludf.DUMMYFUNCTION("""COMPUTED_VALUE"""),"N")</f>
        <v>N</v>
      </c>
      <c r="E236" s="6">
        <f ca="1">IFERROR(__xludf.DUMMYFUNCTION("""COMPUTED_VALUE"""),0.555)</f>
        <v>0.55500000000000005</v>
      </c>
      <c r="F236" s="3" t="str">
        <f ca="1">IFERROR(__xludf.DUMMYFUNCTION("""COMPUTED_VALUE"""),"Medium")</f>
        <v>Medium</v>
      </c>
      <c r="G236" s="3" t="str">
        <f ca="1">IFERROR(__xludf.DUMMYFUNCTION("""COMPUTED_VALUE"""),"17.2711%;")</f>
        <v>17.2711%;</v>
      </c>
    </row>
    <row r="237" spans="1:7" x14ac:dyDescent="0.2">
      <c r="A237" s="3">
        <f ca="1">IFERROR(__xludf.DUMMYFUNCTION("""COMPUTED_VALUE"""),429)</f>
        <v>429</v>
      </c>
      <c r="B237" s="4" t="str">
        <f ca="1">IFERROR(__xludf.DUMMYFUNCTION("""COMPUTED_VALUE"""),"N-ary Tree Level Order Traversal")</f>
        <v>N-ary Tree Level Order Traversal</v>
      </c>
      <c r="C237" s="8" t="str">
        <f ca="1">IFERROR(__xludf.DUMMYFUNCTION("""COMPUTED_VALUE"""),"https://leetcode.com/problems/n-ary-tree-level-order-traversal")</f>
        <v>https://leetcode.com/problems/n-ary-tree-level-order-traversal</v>
      </c>
      <c r="D237" s="3" t="str">
        <f ca="1">IFERROR(__xludf.DUMMYFUNCTION("""COMPUTED_VALUE"""),"N")</f>
        <v>N</v>
      </c>
      <c r="E237" s="6">
        <f ca="1">IFERROR(__xludf.DUMMYFUNCTION("""COMPUTED_VALUE"""),0.706)</f>
        <v>0.70599999999999996</v>
      </c>
      <c r="F237" s="3" t="str">
        <f ca="1">IFERROR(__xludf.DUMMYFUNCTION("""COMPUTED_VALUE"""),"Medium")</f>
        <v>Medium</v>
      </c>
      <c r="G237" s="3" t="str">
        <f ca="1">IFERROR(__xludf.DUMMYFUNCTION("""COMPUTED_VALUE"""),"21.0493%;")</f>
        <v>21.0493%;</v>
      </c>
    </row>
    <row r="238" spans="1:7" x14ac:dyDescent="0.2">
      <c r="A238" s="3">
        <f ca="1">IFERROR(__xludf.DUMMYFUNCTION("""COMPUTED_VALUE"""),430)</f>
        <v>430</v>
      </c>
      <c r="B238" s="4" t="str">
        <f ca="1">IFERROR(__xludf.DUMMYFUNCTION("""COMPUTED_VALUE"""),"Flatten a Multilevel Doubly Linked List")</f>
        <v>Flatten a Multilevel Doubly Linked List</v>
      </c>
      <c r="C238" s="8" t="str">
        <f ca="1">IFERROR(__xludf.DUMMYFUNCTION("""COMPUTED_VALUE"""),"https://leetcode.com/problems/flatten-a-multilevel-doubly-linked-list")</f>
        <v>https://leetcode.com/problems/flatten-a-multilevel-doubly-linked-list</v>
      </c>
      <c r="D238" s="3" t="str">
        <f ca="1">IFERROR(__xludf.DUMMYFUNCTION("""COMPUTED_VALUE"""),"N")</f>
        <v>N</v>
      </c>
      <c r="E238" s="6">
        <f ca="1">IFERROR(__xludf.DUMMYFUNCTION("""COMPUTED_VALUE"""),0.595)</f>
        <v>0.59499999999999997</v>
      </c>
      <c r="F238" s="3" t="str">
        <f ca="1">IFERROR(__xludf.DUMMYFUNCTION("""COMPUTED_VALUE"""),"Medium")</f>
        <v>Medium</v>
      </c>
      <c r="G238" s="3" t="str">
        <f ca="1">IFERROR(__xludf.DUMMYFUNCTION("""COMPUTED_VALUE"""),"8.08023%;")</f>
        <v>8.08023%;</v>
      </c>
    </row>
    <row r="239" spans="1:7" x14ac:dyDescent="0.2">
      <c r="A239" s="3">
        <f ca="1">IFERROR(__xludf.DUMMYFUNCTION("""COMPUTED_VALUE"""),763)</f>
        <v>763</v>
      </c>
      <c r="B239" s="4" t="str">
        <f ca="1">IFERROR(__xludf.DUMMYFUNCTION("""COMPUTED_VALUE"""),"Partition Labels")</f>
        <v>Partition Labels</v>
      </c>
      <c r="C239" s="8" t="str">
        <f ca="1">IFERROR(__xludf.DUMMYFUNCTION("""COMPUTED_VALUE"""),"https://leetcode.com/problems/partition-labels")</f>
        <v>https://leetcode.com/problems/partition-labels</v>
      </c>
      <c r="D239" s="3" t="str">
        <f ca="1">IFERROR(__xludf.DUMMYFUNCTION("""COMPUTED_VALUE"""),"N")</f>
        <v>N</v>
      </c>
      <c r="E239" s="6">
        <f ca="1">IFERROR(__xludf.DUMMYFUNCTION("""COMPUTED_VALUE"""),0.798)</f>
        <v>0.79800000000000004</v>
      </c>
      <c r="F239" s="3" t="str">
        <f ca="1">IFERROR(__xludf.DUMMYFUNCTION("""COMPUTED_VALUE"""),"Medium")</f>
        <v>Medium</v>
      </c>
      <c r="G239" s="3" t="str">
        <f ca="1">IFERROR(__xludf.DUMMYFUNCTION("""COMPUTED_VALUE"""),"9.84095%;")</f>
        <v>9.84095%;</v>
      </c>
    </row>
    <row r="240" spans="1:7" x14ac:dyDescent="0.2">
      <c r="A240" s="3">
        <f ca="1">IFERROR(__xludf.DUMMYFUNCTION("""COMPUTED_VALUE"""),767)</f>
        <v>767</v>
      </c>
      <c r="B240" s="4" t="str">
        <f ca="1">IFERROR(__xludf.DUMMYFUNCTION("""COMPUTED_VALUE"""),"Reorganize String")</f>
        <v>Reorganize String</v>
      </c>
      <c r="C240" s="8" t="str">
        <f ca="1">IFERROR(__xludf.DUMMYFUNCTION("""COMPUTED_VALUE"""),"https://leetcode.com/problems/reorganize-string")</f>
        <v>https://leetcode.com/problems/reorganize-string</v>
      </c>
      <c r="D240" s="3" t="str">
        <f ca="1">IFERROR(__xludf.DUMMYFUNCTION("""COMPUTED_VALUE"""),"N")</f>
        <v>N</v>
      </c>
      <c r="E240" s="6">
        <f ca="1">IFERROR(__xludf.DUMMYFUNCTION("""COMPUTED_VALUE"""),0.528)</f>
        <v>0.52800000000000002</v>
      </c>
      <c r="F240" s="3" t="str">
        <f ca="1">IFERROR(__xludf.DUMMYFUNCTION("""COMPUTED_VALUE"""),"Medium")</f>
        <v>Medium</v>
      </c>
      <c r="G240" s="3" t="str">
        <f ca="1">IFERROR(__xludf.DUMMYFUNCTION("""COMPUTED_VALUE"""),"58.4964%;")</f>
        <v>58.4964%;</v>
      </c>
    </row>
    <row r="241" spans="1:7" x14ac:dyDescent="0.2">
      <c r="A241" s="3">
        <f ca="1">IFERROR(__xludf.DUMMYFUNCTION("""COMPUTED_VALUE"""),777)</f>
        <v>777</v>
      </c>
      <c r="B241" s="4" t="str">
        <f ca="1">IFERROR(__xludf.DUMMYFUNCTION("""COMPUTED_VALUE"""),"Swap Adjacent in LR String")</f>
        <v>Swap Adjacent in LR String</v>
      </c>
      <c r="C241" s="8" t="str">
        <f ca="1">IFERROR(__xludf.DUMMYFUNCTION("""COMPUTED_VALUE"""),"https://leetcode.com/problems/swap-adjacent-in-lr-string")</f>
        <v>https://leetcode.com/problems/swap-adjacent-in-lr-string</v>
      </c>
      <c r="D241" s="3" t="str">
        <f ca="1">IFERROR(__xludf.DUMMYFUNCTION("""COMPUTED_VALUE"""),"N")</f>
        <v>N</v>
      </c>
      <c r="E241" s="6">
        <f ca="1">IFERROR(__xludf.DUMMYFUNCTION("""COMPUTED_VALUE"""),0.371)</f>
        <v>0.371</v>
      </c>
      <c r="F241" s="3" t="str">
        <f ca="1">IFERROR(__xludf.DUMMYFUNCTION("""COMPUTED_VALUE"""),"Medium")</f>
        <v>Medium</v>
      </c>
      <c r="G241" s="3" t="str">
        <f ca="1">IFERROR(__xludf.DUMMYFUNCTION("""COMPUTED_VALUE"""),"17.6689%;")</f>
        <v>17.6689%;</v>
      </c>
    </row>
    <row r="242" spans="1:7" x14ac:dyDescent="0.2">
      <c r="A242" s="3">
        <f ca="1">IFERROR(__xludf.DUMMYFUNCTION("""COMPUTED_VALUE"""),779)</f>
        <v>779</v>
      </c>
      <c r="B242" s="4" t="str">
        <f ca="1">IFERROR(__xludf.DUMMYFUNCTION("""COMPUTED_VALUE"""),"K-th Symbol in Grammar")</f>
        <v>K-th Symbol in Grammar</v>
      </c>
      <c r="C242" s="8" t="str">
        <f ca="1">IFERROR(__xludf.DUMMYFUNCTION("""COMPUTED_VALUE"""),"https://leetcode.com/problems/k-th-symbol-in-grammar")</f>
        <v>https://leetcode.com/problems/k-th-symbol-in-grammar</v>
      </c>
      <c r="D242" s="3" t="str">
        <f ca="1">IFERROR(__xludf.DUMMYFUNCTION("""COMPUTED_VALUE"""),"N")</f>
        <v>N</v>
      </c>
      <c r="E242" s="6">
        <f ca="1">IFERROR(__xludf.DUMMYFUNCTION("""COMPUTED_VALUE"""),0.409)</f>
        <v>0.40899999999999997</v>
      </c>
      <c r="F242" s="3" t="str">
        <f ca="1">IFERROR(__xludf.DUMMYFUNCTION("""COMPUTED_VALUE"""),"Medium")</f>
        <v>Medium</v>
      </c>
      <c r="G242" s="3" t="str">
        <f ca="1">IFERROR(__xludf.DUMMYFUNCTION("""COMPUTED_VALUE"""),"12.7609%;")</f>
        <v>12.7609%;</v>
      </c>
    </row>
    <row r="243" spans="1:7" x14ac:dyDescent="0.2">
      <c r="A243" s="3">
        <f ca="1">IFERROR(__xludf.DUMMYFUNCTION("""COMPUTED_VALUE"""),781)</f>
        <v>781</v>
      </c>
      <c r="B243" s="4" t="str">
        <f ca="1">IFERROR(__xludf.DUMMYFUNCTION("""COMPUTED_VALUE"""),"Rabbits in Forest")</f>
        <v>Rabbits in Forest</v>
      </c>
      <c r="C243" s="8" t="str">
        <f ca="1">IFERROR(__xludf.DUMMYFUNCTION("""COMPUTED_VALUE"""),"https://leetcode.com/problems/rabbits-in-forest")</f>
        <v>https://leetcode.com/problems/rabbits-in-forest</v>
      </c>
      <c r="D243" s="3" t="str">
        <f ca="1">IFERROR(__xludf.DUMMYFUNCTION("""COMPUTED_VALUE"""),"N")</f>
        <v>N</v>
      </c>
      <c r="E243" s="6">
        <f ca="1">IFERROR(__xludf.DUMMYFUNCTION("""COMPUTED_VALUE"""),0.552)</f>
        <v>0.55200000000000005</v>
      </c>
      <c r="F243" s="3" t="str">
        <f ca="1">IFERROR(__xludf.DUMMYFUNCTION("""COMPUTED_VALUE"""),"Medium")</f>
        <v>Medium</v>
      </c>
      <c r="G243" s="3" t="str">
        <f ca="1">IFERROR(__xludf.DUMMYFUNCTION("""COMPUTED_VALUE"""),"24.9931%;")</f>
        <v>24.9931%;</v>
      </c>
    </row>
    <row r="244" spans="1:7" x14ac:dyDescent="0.2">
      <c r="A244" s="3">
        <f ca="1">IFERROR(__xludf.DUMMYFUNCTION("""COMPUTED_VALUE"""),784)</f>
        <v>784</v>
      </c>
      <c r="B244" s="4" t="str">
        <f ca="1">IFERROR(__xludf.DUMMYFUNCTION("""COMPUTED_VALUE"""),"Letter Case Permutation")</f>
        <v>Letter Case Permutation</v>
      </c>
      <c r="C244" s="8" t="str">
        <f ca="1">IFERROR(__xludf.DUMMYFUNCTION("""COMPUTED_VALUE"""),"https://leetcode.com/problems/letter-case-permutation")</f>
        <v>https://leetcode.com/problems/letter-case-permutation</v>
      </c>
      <c r="D244" s="3" t="str">
        <f ca="1">IFERROR(__xludf.DUMMYFUNCTION("""COMPUTED_VALUE"""),"N")</f>
        <v>N</v>
      </c>
      <c r="E244" s="6">
        <f ca="1">IFERROR(__xludf.DUMMYFUNCTION("""COMPUTED_VALUE"""),0.735)</f>
        <v>0.73499999999999999</v>
      </c>
      <c r="F244" s="3" t="str">
        <f ca="1">IFERROR(__xludf.DUMMYFUNCTION("""COMPUTED_VALUE"""),"Medium")</f>
        <v>Medium</v>
      </c>
      <c r="G244" s="3" t="str">
        <f ca="1">IFERROR(__xludf.DUMMYFUNCTION("""COMPUTED_VALUE"""),"4.56854%;")</f>
        <v>4.56854%;</v>
      </c>
    </row>
    <row r="245" spans="1:7" x14ac:dyDescent="0.2">
      <c r="A245" s="3">
        <f ca="1">IFERROR(__xludf.DUMMYFUNCTION("""COMPUTED_VALUE"""),785)</f>
        <v>785</v>
      </c>
      <c r="B245" s="4" t="str">
        <f ca="1">IFERROR(__xludf.DUMMYFUNCTION("""COMPUTED_VALUE"""),"Is Graph Bipartite?")</f>
        <v>Is Graph Bipartite?</v>
      </c>
      <c r="C245" s="8" t="str">
        <f ca="1">IFERROR(__xludf.DUMMYFUNCTION("""COMPUTED_VALUE"""),"https://leetcode.com/problems/is-graph-bipartite")</f>
        <v>https://leetcode.com/problems/is-graph-bipartite</v>
      </c>
      <c r="D245" s="3" t="str">
        <f ca="1">IFERROR(__xludf.DUMMYFUNCTION("""COMPUTED_VALUE"""),"N")</f>
        <v>N</v>
      </c>
      <c r="E245" s="6">
        <f ca="1">IFERROR(__xludf.DUMMYFUNCTION("""COMPUTED_VALUE"""),0.527)</f>
        <v>0.52700000000000002</v>
      </c>
      <c r="F245" s="3" t="str">
        <f ca="1">IFERROR(__xludf.DUMMYFUNCTION("""COMPUTED_VALUE"""),"Medium")</f>
        <v>Medium</v>
      </c>
      <c r="G245" s="3" t="str">
        <f ca="1">IFERROR(__xludf.DUMMYFUNCTION("""COMPUTED_VALUE"""),"17.5074%;")</f>
        <v>17.5074%;</v>
      </c>
    </row>
    <row r="246" spans="1:7" x14ac:dyDescent="0.2">
      <c r="A246" s="3">
        <f ca="1">IFERROR(__xludf.DUMMYFUNCTION("""COMPUTED_VALUE"""),787)</f>
        <v>787</v>
      </c>
      <c r="B246" s="4" t="str">
        <f ca="1">IFERROR(__xludf.DUMMYFUNCTION("""COMPUTED_VALUE"""),"Cheapest Flights Within K Stops")</f>
        <v>Cheapest Flights Within K Stops</v>
      </c>
      <c r="C246" s="8" t="str">
        <f ca="1">IFERROR(__xludf.DUMMYFUNCTION("""COMPUTED_VALUE"""),"https://leetcode.com/problems/cheapest-flights-within-k-stops")</f>
        <v>https://leetcode.com/problems/cheapest-flights-within-k-stops</v>
      </c>
      <c r="D246" s="3" t="str">
        <f ca="1">IFERROR(__xludf.DUMMYFUNCTION("""COMPUTED_VALUE"""),"N")</f>
        <v>N</v>
      </c>
      <c r="E246" s="6">
        <f ca="1">IFERROR(__xludf.DUMMYFUNCTION("""COMPUTED_VALUE"""),0.359)</f>
        <v>0.35899999999999999</v>
      </c>
      <c r="F246" s="3" t="str">
        <f ca="1">IFERROR(__xludf.DUMMYFUNCTION("""COMPUTED_VALUE"""),"Medium")</f>
        <v>Medium</v>
      </c>
      <c r="G246" s="3" t="str">
        <f ca="1">IFERROR(__xludf.DUMMYFUNCTION("""COMPUTED_VALUE"""),"27.5794%;")</f>
        <v>27.5794%;</v>
      </c>
    </row>
    <row r="247" spans="1:7" x14ac:dyDescent="0.2">
      <c r="A247" s="3">
        <f ca="1">IFERROR(__xludf.DUMMYFUNCTION("""COMPUTED_VALUE"""),790)</f>
        <v>790</v>
      </c>
      <c r="B247" s="4" t="str">
        <f ca="1">IFERROR(__xludf.DUMMYFUNCTION("""COMPUTED_VALUE"""),"Domino and Tromino Tiling")</f>
        <v>Domino and Tromino Tiling</v>
      </c>
      <c r="C247" s="8" t="str">
        <f ca="1">IFERROR(__xludf.DUMMYFUNCTION("""COMPUTED_VALUE"""),"https://leetcode.com/problems/domino-and-tromino-tiling")</f>
        <v>https://leetcode.com/problems/domino-and-tromino-tiling</v>
      </c>
      <c r="D247" s="3" t="str">
        <f ca="1">IFERROR(__xludf.DUMMYFUNCTION("""COMPUTED_VALUE"""),"N")</f>
        <v>N</v>
      </c>
      <c r="E247" s="6">
        <f ca="1">IFERROR(__xludf.DUMMYFUNCTION("""COMPUTED_VALUE"""),0.484)</f>
        <v>0.48399999999999999</v>
      </c>
      <c r="F247" s="3" t="str">
        <f ca="1">IFERROR(__xludf.DUMMYFUNCTION("""COMPUTED_VALUE"""),"Medium")</f>
        <v>Medium</v>
      </c>
      <c r="G247" s="3" t="str">
        <f ca="1">IFERROR(__xludf.DUMMYFUNCTION("""COMPUTED_VALUE"""),"12.7337%;")</f>
        <v>12.7337%;</v>
      </c>
    </row>
    <row r="248" spans="1:7" x14ac:dyDescent="0.2">
      <c r="A248" s="3">
        <f ca="1">IFERROR(__xludf.DUMMYFUNCTION("""COMPUTED_VALUE"""),792)</f>
        <v>792</v>
      </c>
      <c r="B248" s="4" t="str">
        <f ca="1">IFERROR(__xludf.DUMMYFUNCTION("""COMPUTED_VALUE"""),"Number of Matching Subsequences")</f>
        <v>Number of Matching Subsequences</v>
      </c>
      <c r="C248" s="8" t="str">
        <f ca="1">IFERROR(__xludf.DUMMYFUNCTION("""COMPUTED_VALUE"""),"https://leetcode.com/problems/number-of-matching-subsequences")</f>
        <v>https://leetcode.com/problems/number-of-matching-subsequences</v>
      </c>
      <c r="D248" s="3" t="str">
        <f ca="1">IFERROR(__xludf.DUMMYFUNCTION("""COMPUTED_VALUE"""),"N")</f>
        <v>N</v>
      </c>
      <c r="E248" s="6">
        <f ca="1">IFERROR(__xludf.DUMMYFUNCTION("""COMPUTED_VALUE"""),0.519)</f>
        <v>0.51900000000000002</v>
      </c>
      <c r="F248" s="3" t="str">
        <f ca="1">IFERROR(__xludf.DUMMYFUNCTION("""COMPUTED_VALUE"""),"Medium")</f>
        <v>Medium</v>
      </c>
      <c r="G248" s="3" t="str">
        <f ca="1">IFERROR(__xludf.DUMMYFUNCTION("""COMPUTED_VALUE"""),"15.4166%;")</f>
        <v>15.4166%;</v>
      </c>
    </row>
    <row r="249" spans="1:7" x14ac:dyDescent="0.2">
      <c r="A249" s="3">
        <f ca="1">IFERROR(__xludf.DUMMYFUNCTION("""COMPUTED_VALUE"""),802)</f>
        <v>802</v>
      </c>
      <c r="B249" s="4" t="str">
        <f ca="1">IFERROR(__xludf.DUMMYFUNCTION("""COMPUTED_VALUE"""),"Find Eventual Safe States")</f>
        <v>Find Eventual Safe States</v>
      </c>
      <c r="C249" s="8" t="str">
        <f ca="1">IFERROR(__xludf.DUMMYFUNCTION("""COMPUTED_VALUE"""),"https://leetcode.com/problems/find-eventual-safe-states")</f>
        <v>https://leetcode.com/problems/find-eventual-safe-states</v>
      </c>
      <c r="D249" s="3" t="str">
        <f ca="1">IFERROR(__xludf.DUMMYFUNCTION("""COMPUTED_VALUE"""),"N")</f>
        <v>N</v>
      </c>
      <c r="E249" s="6">
        <f ca="1">IFERROR(__xludf.DUMMYFUNCTION("""COMPUTED_VALUE"""),0.553)</f>
        <v>0.55300000000000005</v>
      </c>
      <c r="F249" s="3" t="str">
        <f ca="1">IFERROR(__xludf.DUMMYFUNCTION("""COMPUTED_VALUE"""),"Medium")</f>
        <v>Medium</v>
      </c>
      <c r="G249" s="3" t="str">
        <f ca="1">IFERROR(__xludf.DUMMYFUNCTION("""COMPUTED_VALUE"""),"12.673%;")</f>
        <v>12.673%;</v>
      </c>
    </row>
    <row r="250" spans="1:7" x14ac:dyDescent="0.2">
      <c r="A250" s="3">
        <f ca="1">IFERROR(__xludf.DUMMYFUNCTION("""COMPUTED_VALUE"""),814)</f>
        <v>814</v>
      </c>
      <c r="B250" s="4" t="str">
        <f ca="1">IFERROR(__xludf.DUMMYFUNCTION("""COMPUTED_VALUE"""),"Binary Tree Pruning")</f>
        <v>Binary Tree Pruning</v>
      </c>
      <c r="C250" s="8" t="str">
        <f ca="1">IFERROR(__xludf.DUMMYFUNCTION("""COMPUTED_VALUE"""),"https://leetcode.com/problems/binary-tree-pruning")</f>
        <v>https://leetcode.com/problems/binary-tree-pruning</v>
      </c>
      <c r="D250" s="3" t="str">
        <f ca="1">IFERROR(__xludf.DUMMYFUNCTION("""COMPUTED_VALUE"""),"N")</f>
        <v>N</v>
      </c>
      <c r="E250" s="6">
        <f ca="1">IFERROR(__xludf.DUMMYFUNCTION("""COMPUTED_VALUE"""),0.726)</f>
        <v>0.72599999999999998</v>
      </c>
      <c r="F250" s="3" t="str">
        <f ca="1">IFERROR(__xludf.DUMMYFUNCTION("""COMPUTED_VALUE"""),"Medium")</f>
        <v>Medium</v>
      </c>
      <c r="G250" s="3" t="str">
        <f ca="1">IFERROR(__xludf.DUMMYFUNCTION("""COMPUTED_VALUE"""),"6.70077%;")</f>
        <v>6.70077%;</v>
      </c>
    </row>
    <row r="251" spans="1:7" x14ac:dyDescent="0.2">
      <c r="A251" s="3">
        <f ca="1">IFERROR(__xludf.DUMMYFUNCTION("""COMPUTED_VALUE"""),823)</f>
        <v>823</v>
      </c>
      <c r="B251" s="4" t="str">
        <f ca="1">IFERROR(__xludf.DUMMYFUNCTION("""COMPUTED_VALUE"""),"Binary Trees With Factors")</f>
        <v>Binary Trees With Factors</v>
      </c>
      <c r="C251" s="8" t="str">
        <f ca="1">IFERROR(__xludf.DUMMYFUNCTION("""COMPUTED_VALUE"""),"https://leetcode.com/problems/binary-trees-with-factors")</f>
        <v>https://leetcode.com/problems/binary-trees-with-factors</v>
      </c>
      <c r="D251" s="3" t="str">
        <f ca="1">IFERROR(__xludf.DUMMYFUNCTION("""COMPUTED_VALUE"""),"N")</f>
        <v>N</v>
      </c>
      <c r="E251" s="6">
        <f ca="1">IFERROR(__xludf.DUMMYFUNCTION("""COMPUTED_VALUE"""),0.5)</f>
        <v>0.5</v>
      </c>
      <c r="F251" s="3" t="str">
        <f ca="1">IFERROR(__xludf.DUMMYFUNCTION("""COMPUTED_VALUE"""),"Medium")</f>
        <v>Medium</v>
      </c>
      <c r="G251" s="3" t="str">
        <f ca="1">IFERROR(__xludf.DUMMYFUNCTION("""COMPUTED_VALUE"""),"30.6869%;")</f>
        <v>30.6869%;</v>
      </c>
    </row>
    <row r="252" spans="1:7" x14ac:dyDescent="0.2">
      <c r="A252" s="3">
        <f ca="1">IFERROR(__xludf.DUMMYFUNCTION("""COMPUTED_VALUE"""),826)</f>
        <v>826</v>
      </c>
      <c r="B252" s="4" t="str">
        <f ca="1">IFERROR(__xludf.DUMMYFUNCTION("""COMPUTED_VALUE"""),"Most Profit Assigning Work")</f>
        <v>Most Profit Assigning Work</v>
      </c>
      <c r="C252" s="8" t="str">
        <f ca="1">IFERROR(__xludf.DUMMYFUNCTION("""COMPUTED_VALUE"""),"https://leetcode.com/problems/most-profit-assigning-work")</f>
        <v>https://leetcode.com/problems/most-profit-assigning-work</v>
      </c>
      <c r="D252" s="3" t="str">
        <f ca="1">IFERROR(__xludf.DUMMYFUNCTION("""COMPUTED_VALUE"""),"N")</f>
        <v>N</v>
      </c>
      <c r="E252" s="6">
        <f ca="1">IFERROR(__xludf.DUMMYFUNCTION("""COMPUTED_VALUE"""),0.445)</f>
        <v>0.44500000000000001</v>
      </c>
      <c r="F252" s="3" t="str">
        <f ca="1">IFERROR(__xludf.DUMMYFUNCTION("""COMPUTED_VALUE"""),"Medium")</f>
        <v>Medium</v>
      </c>
      <c r="G252" s="3" t="str">
        <f ca="1">IFERROR(__xludf.DUMMYFUNCTION("""COMPUTED_VALUE"""),"13.2126%;")</f>
        <v>13.2126%;</v>
      </c>
    </row>
    <row r="253" spans="1:7" x14ac:dyDescent="0.2">
      <c r="A253" s="3">
        <f ca="1">IFERROR(__xludf.DUMMYFUNCTION("""COMPUTED_VALUE"""),622)</f>
        <v>622</v>
      </c>
      <c r="B253" s="4" t="str">
        <f ca="1">IFERROR(__xludf.DUMMYFUNCTION("""COMPUTED_VALUE"""),"Design Circular Queue")</f>
        <v>Design Circular Queue</v>
      </c>
      <c r="C253" s="8" t="str">
        <f ca="1">IFERROR(__xludf.DUMMYFUNCTION("""COMPUTED_VALUE"""),"https://leetcode.com/problems/design-circular-queue")</f>
        <v>https://leetcode.com/problems/design-circular-queue</v>
      </c>
      <c r="D253" s="3" t="str">
        <f ca="1">IFERROR(__xludf.DUMMYFUNCTION("""COMPUTED_VALUE"""),"N")</f>
        <v>N</v>
      </c>
      <c r="E253" s="6">
        <f ca="1">IFERROR(__xludf.DUMMYFUNCTION("""COMPUTED_VALUE"""),0.518)</f>
        <v>0.51800000000000002</v>
      </c>
      <c r="F253" s="3" t="str">
        <f ca="1">IFERROR(__xludf.DUMMYFUNCTION("""COMPUTED_VALUE"""),"Medium")</f>
        <v>Medium</v>
      </c>
      <c r="G253" s="3" t="str">
        <f ca="1">IFERROR(__xludf.DUMMYFUNCTION("""COMPUTED_VALUE"""),"8.52941%;")</f>
        <v>8.52941%;</v>
      </c>
    </row>
    <row r="254" spans="1:7" x14ac:dyDescent="0.2">
      <c r="A254" s="3">
        <f ca="1">IFERROR(__xludf.DUMMYFUNCTION("""COMPUTED_VALUE"""),838)</f>
        <v>838</v>
      </c>
      <c r="B254" s="4" t="str">
        <f ca="1">IFERROR(__xludf.DUMMYFUNCTION("""COMPUTED_VALUE"""),"Push Dominoes")</f>
        <v>Push Dominoes</v>
      </c>
      <c r="C254" s="8" t="str">
        <f ca="1">IFERROR(__xludf.DUMMYFUNCTION("""COMPUTED_VALUE"""),"https://leetcode.com/problems/push-dominoes")</f>
        <v>https://leetcode.com/problems/push-dominoes</v>
      </c>
      <c r="D254" s="3" t="str">
        <f ca="1">IFERROR(__xludf.DUMMYFUNCTION("""COMPUTED_VALUE"""),"N")</f>
        <v>N</v>
      </c>
      <c r="E254" s="6">
        <f ca="1">IFERROR(__xludf.DUMMYFUNCTION("""COMPUTED_VALUE"""),0.57)</f>
        <v>0.56999999999999995</v>
      </c>
      <c r="F254" s="3" t="str">
        <f ca="1">IFERROR(__xludf.DUMMYFUNCTION("""COMPUTED_VALUE"""),"Medium")</f>
        <v>Medium</v>
      </c>
      <c r="G254" s="3" t="str">
        <f ca="1">IFERROR(__xludf.DUMMYFUNCTION("""COMPUTED_VALUE"""),"25.4772%;")</f>
        <v>25.4772%;</v>
      </c>
    </row>
    <row r="255" spans="1:7" x14ac:dyDescent="0.2">
      <c r="A255" s="3">
        <f ca="1">IFERROR(__xludf.DUMMYFUNCTION("""COMPUTED_VALUE"""),841)</f>
        <v>841</v>
      </c>
      <c r="B255" s="4" t="str">
        <f ca="1">IFERROR(__xludf.DUMMYFUNCTION("""COMPUTED_VALUE"""),"Keys and Rooms")</f>
        <v>Keys and Rooms</v>
      </c>
      <c r="C255" s="8" t="str">
        <f ca="1">IFERROR(__xludf.DUMMYFUNCTION("""COMPUTED_VALUE"""),"https://leetcode.com/problems/keys-and-rooms")</f>
        <v>https://leetcode.com/problems/keys-and-rooms</v>
      </c>
      <c r="D255" s="3" t="str">
        <f ca="1">IFERROR(__xludf.DUMMYFUNCTION("""COMPUTED_VALUE"""),"N")</f>
        <v>N</v>
      </c>
      <c r="E255" s="6">
        <f ca="1">IFERROR(__xludf.DUMMYFUNCTION("""COMPUTED_VALUE"""),0.702)</f>
        <v>0.70199999999999996</v>
      </c>
      <c r="F255" s="3" t="str">
        <f ca="1">IFERROR(__xludf.DUMMYFUNCTION("""COMPUTED_VALUE"""),"Medium")</f>
        <v>Medium</v>
      </c>
      <c r="G255" s="3" t="str">
        <f ca="1">IFERROR(__xludf.DUMMYFUNCTION("""COMPUTED_VALUE"""),"16.1532%;")</f>
        <v>16.1532%;</v>
      </c>
    </row>
    <row r="256" spans="1:7" x14ac:dyDescent="0.2">
      <c r="A256" s="3">
        <f ca="1">IFERROR(__xludf.DUMMYFUNCTION("""COMPUTED_VALUE"""),849)</f>
        <v>849</v>
      </c>
      <c r="B256" s="4" t="str">
        <f ca="1">IFERROR(__xludf.DUMMYFUNCTION("""COMPUTED_VALUE"""),"Maximize Distance to Closest Person")</f>
        <v>Maximize Distance to Closest Person</v>
      </c>
      <c r="C256" s="8" t="str">
        <f ca="1">IFERROR(__xludf.DUMMYFUNCTION("""COMPUTED_VALUE"""),"https://leetcode.com/problems/maximize-distance-to-closest-person")</f>
        <v>https://leetcode.com/problems/maximize-distance-to-closest-person</v>
      </c>
      <c r="D256" s="3" t="str">
        <f ca="1">IFERROR(__xludf.DUMMYFUNCTION("""COMPUTED_VALUE"""),"N")</f>
        <v>N</v>
      </c>
      <c r="E256" s="6">
        <f ca="1">IFERROR(__xludf.DUMMYFUNCTION("""COMPUTED_VALUE"""),0.476)</f>
        <v>0.47599999999999998</v>
      </c>
      <c r="F256" s="3" t="str">
        <f ca="1">IFERROR(__xludf.DUMMYFUNCTION("""COMPUTED_VALUE"""),"Medium")</f>
        <v>Medium</v>
      </c>
      <c r="G256" s="3" t="str">
        <f ca="1">IFERROR(__xludf.DUMMYFUNCTION("""COMPUTED_VALUE"""),"7.8531%;")</f>
        <v>7.8531%;</v>
      </c>
    </row>
    <row r="257" spans="1:7" x14ac:dyDescent="0.2">
      <c r="A257" s="3">
        <f ca="1">IFERROR(__xludf.DUMMYFUNCTION("""COMPUTED_VALUE"""),852)</f>
        <v>852</v>
      </c>
      <c r="B257" s="4" t="str">
        <f ca="1">IFERROR(__xludf.DUMMYFUNCTION("""COMPUTED_VALUE"""),"Peak Index in a Mountain Array")</f>
        <v>Peak Index in a Mountain Array</v>
      </c>
      <c r="C257" s="8" t="str">
        <f ca="1">IFERROR(__xludf.DUMMYFUNCTION("""COMPUTED_VALUE"""),"https://leetcode.com/problems/peak-index-in-a-mountain-array")</f>
        <v>https://leetcode.com/problems/peak-index-in-a-mountain-array</v>
      </c>
      <c r="D257" s="3" t="str">
        <f ca="1">IFERROR(__xludf.DUMMYFUNCTION("""COMPUTED_VALUE"""),"N")</f>
        <v>N</v>
      </c>
      <c r="E257" s="6">
        <f ca="1">IFERROR(__xludf.DUMMYFUNCTION("""COMPUTED_VALUE"""),0.694)</f>
        <v>0.69399999999999995</v>
      </c>
      <c r="F257" s="3" t="str">
        <f ca="1">IFERROR(__xludf.DUMMYFUNCTION("""COMPUTED_VALUE"""),"Medium")</f>
        <v>Medium</v>
      </c>
      <c r="G257" s="3" t="str">
        <f ca="1">IFERROR(__xludf.DUMMYFUNCTION("""COMPUTED_VALUE"""),"11.0703%;")</f>
        <v>11.0703%;</v>
      </c>
    </row>
    <row r="258" spans="1:7" x14ac:dyDescent="0.2">
      <c r="A258" s="3">
        <f ca="1">IFERROR(__xludf.DUMMYFUNCTION("""COMPUTED_VALUE"""),863)</f>
        <v>863</v>
      </c>
      <c r="B258" s="4" t="str">
        <f ca="1">IFERROR(__xludf.DUMMYFUNCTION("""COMPUTED_VALUE"""),"All Nodes Distance K in Binary Tree")</f>
        <v>All Nodes Distance K in Binary Tree</v>
      </c>
      <c r="C258" s="8" t="str">
        <f ca="1">IFERROR(__xludf.DUMMYFUNCTION("""COMPUTED_VALUE"""),"https://leetcode.com/problems/all-nodes-distance-k-in-binary-tree")</f>
        <v>https://leetcode.com/problems/all-nodes-distance-k-in-binary-tree</v>
      </c>
      <c r="D258" s="3" t="str">
        <f ca="1">IFERROR(__xludf.DUMMYFUNCTION("""COMPUTED_VALUE"""),"N")</f>
        <v>N</v>
      </c>
      <c r="E258" s="6">
        <f ca="1">IFERROR(__xludf.DUMMYFUNCTION("""COMPUTED_VALUE"""),0.621)</f>
        <v>0.621</v>
      </c>
      <c r="F258" s="3" t="str">
        <f ca="1">IFERROR(__xludf.DUMMYFUNCTION("""COMPUTED_VALUE"""),"Medium")</f>
        <v>Medium</v>
      </c>
      <c r="G258" s="3" t="str">
        <f ca="1">IFERROR(__xludf.DUMMYFUNCTION("""COMPUTED_VALUE"""),"57.8269%;")</f>
        <v>57.8269%;</v>
      </c>
    </row>
    <row r="259" spans="1:7" x14ac:dyDescent="0.2">
      <c r="A259" s="3">
        <f ca="1">IFERROR(__xludf.DUMMYFUNCTION("""COMPUTED_VALUE"""),875)</f>
        <v>875</v>
      </c>
      <c r="B259" s="4" t="str">
        <f ca="1">IFERROR(__xludf.DUMMYFUNCTION("""COMPUTED_VALUE"""),"Koko Eating Bananas")</f>
        <v>Koko Eating Bananas</v>
      </c>
      <c r="C259" s="8" t="str">
        <f ca="1">IFERROR(__xludf.DUMMYFUNCTION("""COMPUTED_VALUE"""),"https://leetcode.com/problems/koko-eating-bananas")</f>
        <v>https://leetcode.com/problems/koko-eating-bananas</v>
      </c>
      <c r="D259" s="3" t="str">
        <f ca="1">IFERROR(__xludf.DUMMYFUNCTION("""COMPUTED_VALUE"""),"N")</f>
        <v>N</v>
      </c>
      <c r="E259" s="6">
        <f ca="1">IFERROR(__xludf.DUMMYFUNCTION("""COMPUTED_VALUE"""),0.522)</f>
        <v>0.52200000000000002</v>
      </c>
      <c r="F259" s="3" t="str">
        <f ca="1">IFERROR(__xludf.DUMMYFUNCTION("""COMPUTED_VALUE"""),"Medium")</f>
        <v>Medium</v>
      </c>
      <c r="G259" s="3" t="str">
        <f ca="1">IFERROR(__xludf.DUMMYFUNCTION("""COMPUTED_VALUE"""),"37.5164%;")</f>
        <v>37.5164%;</v>
      </c>
    </row>
    <row r="260" spans="1:7" x14ac:dyDescent="0.2">
      <c r="A260" s="3">
        <f ca="1">IFERROR(__xludf.DUMMYFUNCTION("""COMPUTED_VALUE"""),528)</f>
        <v>528</v>
      </c>
      <c r="B260" s="4" t="str">
        <f ca="1">IFERROR(__xludf.DUMMYFUNCTION("""COMPUTED_VALUE"""),"Random Pick with Weight")</f>
        <v>Random Pick with Weight</v>
      </c>
      <c r="C260" s="8" t="str">
        <f ca="1">IFERROR(__xludf.DUMMYFUNCTION("""COMPUTED_VALUE"""),"https://leetcode.com/problems/random-pick-with-weight")</f>
        <v>https://leetcode.com/problems/random-pick-with-weight</v>
      </c>
      <c r="D260" s="3" t="str">
        <f ca="1">IFERROR(__xludf.DUMMYFUNCTION("""COMPUTED_VALUE"""),"N")</f>
        <v>N</v>
      </c>
      <c r="E260" s="6">
        <f ca="1">IFERROR(__xludf.DUMMYFUNCTION("""COMPUTED_VALUE"""),0.461)</f>
        <v>0.46100000000000002</v>
      </c>
      <c r="F260" s="3" t="str">
        <f ca="1">IFERROR(__xludf.DUMMYFUNCTION("""COMPUTED_VALUE"""),"Medium")</f>
        <v>Medium</v>
      </c>
      <c r="G260" s="3" t="str">
        <f ca="1">IFERROR(__xludf.DUMMYFUNCTION("""COMPUTED_VALUE"""),"4.33911%;")</f>
        <v>4.33911%;</v>
      </c>
    </row>
    <row r="261" spans="1:7" x14ac:dyDescent="0.2">
      <c r="A261" s="3">
        <f ca="1">IFERROR(__xludf.DUMMYFUNCTION("""COMPUTED_VALUE"""),886)</f>
        <v>886</v>
      </c>
      <c r="B261" s="4" t="str">
        <f ca="1">IFERROR(__xludf.DUMMYFUNCTION("""COMPUTED_VALUE"""),"Possible Bipartition")</f>
        <v>Possible Bipartition</v>
      </c>
      <c r="C261" s="8" t="str">
        <f ca="1">IFERROR(__xludf.DUMMYFUNCTION("""COMPUTED_VALUE"""),"https://leetcode.com/problems/possible-bipartition")</f>
        <v>https://leetcode.com/problems/possible-bipartition</v>
      </c>
      <c r="D261" s="3" t="str">
        <f ca="1">IFERROR(__xludf.DUMMYFUNCTION("""COMPUTED_VALUE"""),"N")</f>
        <v>N</v>
      </c>
      <c r="E261" s="6">
        <f ca="1">IFERROR(__xludf.DUMMYFUNCTION("""COMPUTED_VALUE"""),0.484)</f>
        <v>0.48399999999999999</v>
      </c>
      <c r="F261" s="3" t="str">
        <f ca="1">IFERROR(__xludf.DUMMYFUNCTION("""COMPUTED_VALUE"""),"Medium")</f>
        <v>Medium</v>
      </c>
      <c r="G261" s="3" t="str">
        <f ca="1">IFERROR(__xludf.DUMMYFUNCTION("""COMPUTED_VALUE"""),"6.2725%;")</f>
        <v>6.2725%;</v>
      </c>
    </row>
    <row r="262" spans="1:7" x14ac:dyDescent="0.2">
      <c r="A262" s="3">
        <f ca="1">IFERROR(__xludf.DUMMYFUNCTION("""COMPUTED_VALUE"""),889)</f>
        <v>889</v>
      </c>
      <c r="B262" s="4" t="str">
        <f ca="1">IFERROR(__xludf.DUMMYFUNCTION("""COMPUTED_VALUE"""),"Construct Binary Tree from Preorder and Postorder Traversal")</f>
        <v>Construct Binary Tree from Preorder and Postorder Traversal</v>
      </c>
      <c r="C262" s="8" t="str">
        <f ca="1">IFERROR(__xludf.DUMMYFUNCTION("""COMPUTED_VALUE"""),"https://leetcode.com/problems/construct-binary-tree-from-preorder-and-postorder-traversal")</f>
        <v>https://leetcode.com/problems/construct-binary-tree-from-preorder-and-postorder-traversal</v>
      </c>
      <c r="D262" s="3" t="str">
        <f ca="1">IFERROR(__xludf.DUMMYFUNCTION("""COMPUTED_VALUE"""),"N")</f>
        <v>N</v>
      </c>
      <c r="E262" s="6">
        <f ca="1">IFERROR(__xludf.DUMMYFUNCTION("""COMPUTED_VALUE"""),0.708)</f>
        <v>0.70799999999999996</v>
      </c>
      <c r="F262" s="3" t="str">
        <f ca="1">IFERROR(__xludf.DUMMYFUNCTION("""COMPUTED_VALUE"""),"Medium")</f>
        <v>Medium</v>
      </c>
      <c r="G262" s="3" t="str">
        <f ca="1">IFERROR(__xludf.DUMMYFUNCTION("""COMPUTED_VALUE"""),"12.2646%;")</f>
        <v>12.2646%;</v>
      </c>
    </row>
    <row r="263" spans="1:7" x14ac:dyDescent="0.2">
      <c r="A263" s="3">
        <f ca="1">IFERROR(__xludf.DUMMYFUNCTION("""COMPUTED_VALUE"""),894)</f>
        <v>894</v>
      </c>
      <c r="B263" s="4" t="str">
        <f ca="1">IFERROR(__xludf.DUMMYFUNCTION("""COMPUTED_VALUE"""),"All Possible Full Binary Trees")</f>
        <v>All Possible Full Binary Trees</v>
      </c>
      <c r="C263" s="8" t="str">
        <f ca="1">IFERROR(__xludf.DUMMYFUNCTION("""COMPUTED_VALUE"""),"https://leetcode.com/problems/all-possible-full-binary-trees")</f>
        <v>https://leetcode.com/problems/all-possible-full-binary-trees</v>
      </c>
      <c r="D263" s="3" t="str">
        <f ca="1">IFERROR(__xludf.DUMMYFUNCTION("""COMPUTED_VALUE"""),"N")</f>
        <v>N</v>
      </c>
      <c r="E263" s="6">
        <f ca="1">IFERROR(__xludf.DUMMYFUNCTION("""COMPUTED_VALUE"""),0.8)</f>
        <v>0.8</v>
      </c>
      <c r="F263" s="3" t="str">
        <f ca="1">IFERROR(__xludf.DUMMYFUNCTION("""COMPUTED_VALUE"""),"Medium")</f>
        <v>Medium</v>
      </c>
      <c r="G263" s="3" t="str">
        <f ca="1">IFERROR(__xludf.DUMMYFUNCTION("""COMPUTED_VALUE"""),"16.843%;")</f>
        <v>16.843%;</v>
      </c>
    </row>
    <row r="264" spans="1:7" x14ac:dyDescent="0.2">
      <c r="A264" s="3">
        <f ca="1">IFERROR(__xludf.DUMMYFUNCTION("""COMPUTED_VALUE"""),901)</f>
        <v>901</v>
      </c>
      <c r="B264" s="4" t="str">
        <f ca="1">IFERROR(__xludf.DUMMYFUNCTION("""COMPUTED_VALUE"""),"Online Stock Span")</f>
        <v>Online Stock Span</v>
      </c>
      <c r="C264" s="8" t="str">
        <f ca="1">IFERROR(__xludf.DUMMYFUNCTION("""COMPUTED_VALUE"""),"https://leetcode.com/problems/online-stock-span")</f>
        <v>https://leetcode.com/problems/online-stock-span</v>
      </c>
      <c r="D264" s="3" t="str">
        <f ca="1">IFERROR(__xludf.DUMMYFUNCTION("""COMPUTED_VALUE"""),"N")</f>
        <v>N</v>
      </c>
      <c r="E264" s="6">
        <f ca="1">IFERROR(__xludf.DUMMYFUNCTION("""COMPUTED_VALUE"""),0.652)</f>
        <v>0.65200000000000002</v>
      </c>
      <c r="F264" s="3" t="str">
        <f ca="1">IFERROR(__xludf.DUMMYFUNCTION("""COMPUTED_VALUE"""),"Medium")</f>
        <v>Medium</v>
      </c>
      <c r="G264" s="3" t="str">
        <f ca="1">IFERROR(__xludf.DUMMYFUNCTION("""COMPUTED_VALUE"""),"16.5506%;")</f>
        <v>16.5506%;</v>
      </c>
    </row>
    <row r="265" spans="1:7" x14ac:dyDescent="0.2">
      <c r="A265" s="3">
        <f ca="1">IFERROR(__xludf.DUMMYFUNCTION("""COMPUTED_VALUE"""),904)</f>
        <v>904</v>
      </c>
      <c r="B265" s="4" t="str">
        <f ca="1">IFERROR(__xludf.DUMMYFUNCTION("""COMPUTED_VALUE"""),"Fruit Into Baskets")</f>
        <v>Fruit Into Baskets</v>
      </c>
      <c r="C265" s="8" t="str">
        <f ca="1">IFERROR(__xludf.DUMMYFUNCTION("""COMPUTED_VALUE"""),"https://leetcode.com/problems/fruit-into-baskets")</f>
        <v>https://leetcode.com/problems/fruit-into-baskets</v>
      </c>
      <c r="D265" s="3" t="str">
        <f ca="1">IFERROR(__xludf.DUMMYFUNCTION("""COMPUTED_VALUE"""),"N")</f>
        <v>N</v>
      </c>
      <c r="E265" s="6">
        <f ca="1">IFERROR(__xludf.DUMMYFUNCTION("""COMPUTED_VALUE"""),0.426)</f>
        <v>0.42599999999999999</v>
      </c>
      <c r="F265" s="3" t="str">
        <f ca="1">IFERROR(__xludf.DUMMYFUNCTION("""COMPUTED_VALUE"""),"Medium")</f>
        <v>Medium</v>
      </c>
      <c r="G265" s="3" t="str">
        <f ca="1">IFERROR(__xludf.DUMMYFUNCTION("""COMPUTED_VALUE"""),"16.5506%;")</f>
        <v>16.5506%;</v>
      </c>
    </row>
    <row r="266" spans="1:7" x14ac:dyDescent="0.2">
      <c r="A266" s="3">
        <f ca="1">IFERROR(__xludf.DUMMYFUNCTION("""COMPUTED_VALUE"""),907)</f>
        <v>907</v>
      </c>
      <c r="B266" s="4" t="str">
        <f ca="1">IFERROR(__xludf.DUMMYFUNCTION("""COMPUTED_VALUE"""),"Sum of Subarray Minimums")</f>
        <v>Sum of Subarray Minimums</v>
      </c>
      <c r="C266" s="8" t="str">
        <f ca="1">IFERROR(__xludf.DUMMYFUNCTION("""COMPUTED_VALUE"""),"https://leetcode.com/problems/sum-of-subarray-minimums")</f>
        <v>https://leetcode.com/problems/sum-of-subarray-minimums</v>
      </c>
      <c r="D266" s="3" t="str">
        <f ca="1">IFERROR(__xludf.DUMMYFUNCTION("""COMPUTED_VALUE"""),"N")</f>
        <v>N</v>
      </c>
      <c r="E266" s="6">
        <f ca="1">IFERROR(__xludf.DUMMYFUNCTION("""COMPUTED_VALUE"""),0.343)</f>
        <v>0.34300000000000003</v>
      </c>
      <c r="F266" s="3" t="str">
        <f ca="1">IFERROR(__xludf.DUMMYFUNCTION("""COMPUTED_VALUE"""),"Medium")</f>
        <v>Medium</v>
      </c>
      <c r="G266" s="3" t="str">
        <f ca="1">IFERROR(__xludf.DUMMYFUNCTION("""COMPUTED_VALUE"""),"44.0606%;")</f>
        <v>44.0606%;</v>
      </c>
    </row>
    <row r="267" spans="1:7" x14ac:dyDescent="0.2">
      <c r="A267" s="3">
        <f ca="1">IFERROR(__xludf.DUMMYFUNCTION("""COMPUTED_VALUE"""),909)</f>
        <v>909</v>
      </c>
      <c r="B267" s="4" t="str">
        <f ca="1">IFERROR(__xludf.DUMMYFUNCTION("""COMPUTED_VALUE"""),"Snakes and Ladders")</f>
        <v>Snakes and Ladders</v>
      </c>
      <c r="C267" s="8" t="str">
        <f ca="1">IFERROR(__xludf.DUMMYFUNCTION("""COMPUTED_VALUE"""),"https://leetcode.com/problems/snakes-and-ladders")</f>
        <v>https://leetcode.com/problems/snakes-and-ladders</v>
      </c>
      <c r="D267" s="3" t="str">
        <f ca="1">IFERROR(__xludf.DUMMYFUNCTION("""COMPUTED_VALUE"""),"N")</f>
        <v>N</v>
      </c>
      <c r="E267" s="6">
        <f ca="1">IFERROR(__xludf.DUMMYFUNCTION("""COMPUTED_VALUE"""),0.409)</f>
        <v>0.40899999999999997</v>
      </c>
      <c r="F267" s="3" t="str">
        <f ca="1">IFERROR(__xludf.DUMMYFUNCTION("""COMPUTED_VALUE"""),"Medium")</f>
        <v>Medium</v>
      </c>
      <c r="G267" s="3" t="str">
        <f ca="1">IFERROR(__xludf.DUMMYFUNCTION("""COMPUTED_VALUE"""),"40.7267%;")</f>
        <v>40.7267%;</v>
      </c>
    </row>
    <row r="268" spans="1:7" x14ac:dyDescent="0.2">
      <c r="A268" s="3">
        <f ca="1">IFERROR(__xludf.DUMMYFUNCTION("""COMPUTED_VALUE"""),912)</f>
        <v>912</v>
      </c>
      <c r="B268" s="4" t="str">
        <f ca="1">IFERROR(__xludf.DUMMYFUNCTION("""COMPUTED_VALUE"""),"Sort an Array")</f>
        <v>Sort an Array</v>
      </c>
      <c r="C268" s="8" t="str">
        <f ca="1">IFERROR(__xludf.DUMMYFUNCTION("""COMPUTED_VALUE"""),"https://leetcode.com/problems/sort-an-array")</f>
        <v>https://leetcode.com/problems/sort-an-array</v>
      </c>
      <c r="D268" s="3" t="str">
        <f ca="1">IFERROR(__xludf.DUMMYFUNCTION("""COMPUTED_VALUE"""),"N")</f>
        <v>N</v>
      </c>
      <c r="E268" s="6">
        <f ca="1">IFERROR(__xludf.DUMMYFUNCTION("""COMPUTED_VALUE"""),0.595)</f>
        <v>0.59499999999999997</v>
      </c>
      <c r="F268" s="3" t="str">
        <f ca="1">IFERROR(__xludf.DUMMYFUNCTION("""COMPUTED_VALUE"""),"Medium")</f>
        <v>Medium</v>
      </c>
      <c r="G268" s="3" t="str">
        <f ca="1">IFERROR(__xludf.DUMMYFUNCTION("""COMPUTED_VALUE"""),"6.68445%;")</f>
        <v>6.68445%;</v>
      </c>
    </row>
    <row r="269" spans="1:7" x14ac:dyDescent="0.2">
      <c r="A269" s="3">
        <f ca="1">IFERROR(__xludf.DUMMYFUNCTION("""COMPUTED_VALUE"""),921)</f>
        <v>921</v>
      </c>
      <c r="B269" s="4" t="str">
        <f ca="1">IFERROR(__xludf.DUMMYFUNCTION("""COMPUTED_VALUE"""),"Minimum Add to Make Parentheses Valid")</f>
        <v>Minimum Add to Make Parentheses Valid</v>
      </c>
      <c r="C269" s="8" t="str">
        <f ca="1">IFERROR(__xludf.DUMMYFUNCTION("""COMPUTED_VALUE"""),"https://leetcode.com/problems/minimum-add-to-make-parentheses-valid")</f>
        <v>https://leetcode.com/problems/minimum-add-to-make-parentheses-valid</v>
      </c>
      <c r="D269" s="3" t="str">
        <f ca="1">IFERROR(__xludf.DUMMYFUNCTION("""COMPUTED_VALUE"""),"N")</f>
        <v>N</v>
      </c>
      <c r="E269" s="6">
        <f ca="1">IFERROR(__xludf.DUMMYFUNCTION("""COMPUTED_VALUE"""),0.762)</f>
        <v>0.76200000000000001</v>
      </c>
      <c r="F269" s="3" t="str">
        <f ca="1">IFERROR(__xludf.DUMMYFUNCTION("""COMPUTED_VALUE"""),"Medium")</f>
        <v>Medium</v>
      </c>
      <c r="G269" s="3" t="str">
        <f ca="1">IFERROR(__xludf.DUMMYFUNCTION("""COMPUTED_VALUE"""),"4.92703%;")</f>
        <v>4.92703%;</v>
      </c>
    </row>
    <row r="270" spans="1:7" x14ac:dyDescent="0.2">
      <c r="A270" s="3">
        <f ca="1">IFERROR(__xludf.DUMMYFUNCTION("""COMPUTED_VALUE"""),926)</f>
        <v>926</v>
      </c>
      <c r="B270" s="4" t="str">
        <f ca="1">IFERROR(__xludf.DUMMYFUNCTION("""COMPUTED_VALUE"""),"Flip String to Monotone Increasing")</f>
        <v>Flip String to Monotone Increasing</v>
      </c>
      <c r="C270" s="8" t="str">
        <f ca="1">IFERROR(__xludf.DUMMYFUNCTION("""COMPUTED_VALUE"""),"https://leetcode.com/problems/flip-string-to-monotone-increasing")</f>
        <v>https://leetcode.com/problems/flip-string-to-monotone-increasing</v>
      </c>
      <c r="D270" s="3" t="str">
        <f ca="1">IFERROR(__xludf.DUMMYFUNCTION("""COMPUTED_VALUE"""),"N")</f>
        <v>N</v>
      </c>
      <c r="E270" s="6">
        <f ca="1">IFERROR(__xludf.DUMMYFUNCTION("""COMPUTED_VALUE"""),0.596)</f>
        <v>0.59599999999999997</v>
      </c>
      <c r="F270" s="3" t="str">
        <f ca="1">IFERROR(__xludf.DUMMYFUNCTION("""COMPUTED_VALUE"""),"Medium")</f>
        <v>Medium</v>
      </c>
      <c r="G270" s="3" t="str">
        <f ca="1">IFERROR(__xludf.DUMMYFUNCTION("""COMPUTED_VALUE"""),"18.5275%;")</f>
        <v>18.5275%;</v>
      </c>
    </row>
    <row r="271" spans="1:7" x14ac:dyDescent="0.2">
      <c r="A271" s="3">
        <f ca="1">IFERROR(__xludf.DUMMYFUNCTION("""COMPUTED_VALUE"""),931)</f>
        <v>931</v>
      </c>
      <c r="B271" s="4" t="str">
        <f ca="1">IFERROR(__xludf.DUMMYFUNCTION("""COMPUTED_VALUE"""),"Minimum Falling Path Sum")</f>
        <v>Minimum Falling Path Sum</v>
      </c>
      <c r="C271" s="8" t="str">
        <f ca="1">IFERROR(__xludf.DUMMYFUNCTION("""COMPUTED_VALUE"""),"https://leetcode.com/problems/minimum-falling-path-sum")</f>
        <v>https://leetcode.com/problems/minimum-falling-path-sum</v>
      </c>
      <c r="D271" s="3" t="str">
        <f ca="1">IFERROR(__xludf.DUMMYFUNCTION("""COMPUTED_VALUE"""),"N")</f>
        <v>N</v>
      </c>
      <c r="E271" s="6">
        <f ca="1">IFERROR(__xludf.DUMMYFUNCTION("""COMPUTED_VALUE"""),0.685)</f>
        <v>0.68500000000000005</v>
      </c>
      <c r="F271" s="3" t="str">
        <f ca="1">IFERROR(__xludf.DUMMYFUNCTION("""COMPUTED_VALUE"""),"Medium")</f>
        <v>Medium</v>
      </c>
      <c r="G271" s="3" t="str">
        <f ca="1">IFERROR(__xludf.DUMMYFUNCTION("""COMPUTED_VALUE"""),"9.19572%;")</f>
        <v>9.19572%;</v>
      </c>
    </row>
    <row r="272" spans="1:7" x14ac:dyDescent="0.2">
      <c r="A272" s="3">
        <f ca="1">IFERROR(__xludf.DUMMYFUNCTION("""COMPUTED_VALUE"""),934)</f>
        <v>934</v>
      </c>
      <c r="B272" s="4" t="str">
        <f ca="1">IFERROR(__xludf.DUMMYFUNCTION("""COMPUTED_VALUE"""),"Shortest Bridge")</f>
        <v>Shortest Bridge</v>
      </c>
      <c r="C272" s="8" t="str">
        <f ca="1">IFERROR(__xludf.DUMMYFUNCTION("""COMPUTED_VALUE"""),"https://leetcode.com/problems/shortest-bridge")</f>
        <v>https://leetcode.com/problems/shortest-bridge</v>
      </c>
      <c r="D272" s="3" t="str">
        <f ca="1">IFERROR(__xludf.DUMMYFUNCTION("""COMPUTED_VALUE"""),"N")</f>
        <v>N</v>
      </c>
      <c r="E272" s="6">
        <f ca="1">IFERROR(__xludf.DUMMYFUNCTION("""COMPUTED_VALUE"""),0.54)</f>
        <v>0.54</v>
      </c>
      <c r="F272" s="3" t="str">
        <f ca="1">IFERROR(__xludf.DUMMYFUNCTION("""COMPUTED_VALUE"""),"Medium")</f>
        <v>Medium</v>
      </c>
      <c r="G272" s="3" t="str">
        <f ca="1">IFERROR(__xludf.DUMMYFUNCTION("""COMPUTED_VALUE"""),"23.5284%;")</f>
        <v>23.5284%;</v>
      </c>
    </row>
    <row r="273" spans="1:7" x14ac:dyDescent="0.2">
      <c r="A273" s="3">
        <f ca="1">IFERROR(__xludf.DUMMYFUNCTION("""COMPUTED_VALUE"""),937)</f>
        <v>937</v>
      </c>
      <c r="B273" s="4" t="str">
        <f ca="1">IFERROR(__xludf.DUMMYFUNCTION("""COMPUTED_VALUE"""),"Reorder Data in Log Files")</f>
        <v>Reorder Data in Log Files</v>
      </c>
      <c r="C273" s="8" t="str">
        <f ca="1">IFERROR(__xludf.DUMMYFUNCTION("""COMPUTED_VALUE"""),"https://leetcode.com/problems/reorder-data-in-log-files")</f>
        <v>https://leetcode.com/problems/reorder-data-in-log-files</v>
      </c>
      <c r="D273" s="3" t="str">
        <f ca="1">IFERROR(__xludf.DUMMYFUNCTION("""COMPUTED_VALUE"""),"N")</f>
        <v>N</v>
      </c>
      <c r="E273" s="6">
        <f ca="1">IFERROR(__xludf.DUMMYFUNCTION("""COMPUTED_VALUE"""),0.564)</f>
        <v>0.56399999999999995</v>
      </c>
      <c r="F273" s="3" t="str">
        <f ca="1">IFERROR(__xludf.DUMMYFUNCTION("""COMPUTED_VALUE"""),"Medium")</f>
        <v>Medium</v>
      </c>
      <c r="G273" s="3" t="str">
        <f ca="1">IFERROR(__xludf.DUMMYFUNCTION("""COMPUTED_VALUE"""),"91.001%;")</f>
        <v>91.001%;</v>
      </c>
    </row>
    <row r="274" spans="1:7" x14ac:dyDescent="0.2">
      <c r="A274" s="3">
        <f ca="1">IFERROR(__xludf.DUMMYFUNCTION("""COMPUTED_VALUE"""),947)</f>
        <v>947</v>
      </c>
      <c r="B274" s="4" t="str">
        <f ca="1">IFERROR(__xludf.DUMMYFUNCTION("""COMPUTED_VALUE"""),"Most Stones Removed with Same Row or Column")</f>
        <v>Most Stones Removed with Same Row or Column</v>
      </c>
      <c r="C274" s="8" t="str">
        <f ca="1">IFERROR(__xludf.DUMMYFUNCTION("""COMPUTED_VALUE"""),"https://leetcode.com/problems/most-stones-removed-with-same-row-or-column")</f>
        <v>https://leetcode.com/problems/most-stones-removed-with-same-row-or-column</v>
      </c>
      <c r="D274" s="3" t="str">
        <f ca="1">IFERROR(__xludf.DUMMYFUNCTION("""COMPUTED_VALUE"""),"N")</f>
        <v>N</v>
      </c>
      <c r="E274" s="6">
        <f ca="1">IFERROR(__xludf.DUMMYFUNCTION("""COMPUTED_VALUE"""),0.588)</f>
        <v>0.58799999999999997</v>
      </c>
      <c r="F274" s="3" t="str">
        <f ca="1">IFERROR(__xludf.DUMMYFUNCTION("""COMPUTED_VALUE"""),"Medium")</f>
        <v>Medium</v>
      </c>
      <c r="G274" s="3" t="str">
        <f ca="1">IFERROR(__xludf.DUMMYFUNCTION("""COMPUTED_VALUE"""),"1.65598%;")</f>
        <v>1.65598%;</v>
      </c>
    </row>
    <row r="275" spans="1:7" x14ac:dyDescent="0.2">
      <c r="A275" s="3">
        <f ca="1">IFERROR(__xludf.DUMMYFUNCTION("""COMPUTED_VALUE"""),949)</f>
        <v>949</v>
      </c>
      <c r="B275" s="4" t="str">
        <f ca="1">IFERROR(__xludf.DUMMYFUNCTION("""COMPUTED_VALUE"""),"Largest Time for Given Digits")</f>
        <v>Largest Time for Given Digits</v>
      </c>
      <c r="C275" s="8" t="str">
        <f ca="1">IFERROR(__xludf.DUMMYFUNCTION("""COMPUTED_VALUE"""),"https://leetcode.com/problems/largest-time-for-given-digits")</f>
        <v>https://leetcode.com/problems/largest-time-for-given-digits</v>
      </c>
      <c r="D275" s="3" t="str">
        <f ca="1">IFERROR(__xludf.DUMMYFUNCTION("""COMPUTED_VALUE"""),"N")</f>
        <v>N</v>
      </c>
      <c r="E275" s="6">
        <f ca="1">IFERROR(__xludf.DUMMYFUNCTION("""COMPUTED_VALUE"""),0.352)</f>
        <v>0.35199999999999998</v>
      </c>
      <c r="F275" s="3" t="str">
        <f ca="1">IFERROR(__xludf.DUMMYFUNCTION("""COMPUTED_VALUE"""),"Medium")</f>
        <v>Medium</v>
      </c>
      <c r="G275" s="3" t="str">
        <f ca="1">IFERROR(__xludf.DUMMYFUNCTION("""COMPUTED_VALUE"""),"22.4815%;")</f>
        <v>22.4815%;</v>
      </c>
    </row>
    <row r="276" spans="1:7" x14ac:dyDescent="0.2">
      <c r="A276" s="3">
        <f ca="1">IFERROR(__xludf.DUMMYFUNCTION("""COMPUTED_VALUE"""),958)</f>
        <v>958</v>
      </c>
      <c r="B276" s="4" t="str">
        <f ca="1">IFERROR(__xludf.DUMMYFUNCTION("""COMPUTED_VALUE"""),"Check Completeness of a Binary Tree")</f>
        <v>Check Completeness of a Binary Tree</v>
      </c>
      <c r="C276" s="8" t="str">
        <f ca="1">IFERROR(__xludf.DUMMYFUNCTION("""COMPUTED_VALUE"""),"https://leetcode.com/problems/check-completeness-of-a-binary-tree")</f>
        <v>https://leetcode.com/problems/check-completeness-of-a-binary-tree</v>
      </c>
      <c r="D276" s="3" t="str">
        <f ca="1">IFERROR(__xludf.DUMMYFUNCTION("""COMPUTED_VALUE"""),"N")</f>
        <v>N</v>
      </c>
      <c r="E276" s="6">
        <f ca="1">IFERROR(__xludf.DUMMYFUNCTION("""COMPUTED_VALUE"""),0.538)</f>
        <v>0.53800000000000003</v>
      </c>
      <c r="F276" s="3" t="str">
        <f ca="1">IFERROR(__xludf.DUMMYFUNCTION("""COMPUTED_VALUE"""),"Medium")</f>
        <v>Medium</v>
      </c>
      <c r="G276" s="3" t="str">
        <f ca="1">IFERROR(__xludf.DUMMYFUNCTION("""COMPUTED_VALUE"""),"10.3695%;")</f>
        <v>10.3695%;</v>
      </c>
    </row>
    <row r="277" spans="1:7" x14ac:dyDescent="0.2">
      <c r="A277" s="3">
        <f ca="1">IFERROR(__xludf.DUMMYFUNCTION("""COMPUTED_VALUE"""),962)</f>
        <v>962</v>
      </c>
      <c r="B277" s="4" t="str">
        <f ca="1">IFERROR(__xludf.DUMMYFUNCTION("""COMPUTED_VALUE"""),"Maximum Width Ramp")</f>
        <v>Maximum Width Ramp</v>
      </c>
      <c r="C277" s="8" t="str">
        <f ca="1">IFERROR(__xludf.DUMMYFUNCTION("""COMPUTED_VALUE"""),"https://leetcode.com/problems/maximum-width-ramp")</f>
        <v>https://leetcode.com/problems/maximum-width-ramp</v>
      </c>
      <c r="D277" s="3" t="str">
        <f ca="1">IFERROR(__xludf.DUMMYFUNCTION("""COMPUTED_VALUE"""),"N")</f>
        <v>N</v>
      </c>
      <c r="E277" s="6">
        <f ca="1">IFERROR(__xludf.DUMMYFUNCTION("""COMPUTED_VALUE"""),0.49)</f>
        <v>0.49</v>
      </c>
      <c r="F277" s="3" t="str">
        <f ca="1">IFERROR(__xludf.DUMMYFUNCTION("""COMPUTED_VALUE"""),"Medium")</f>
        <v>Medium</v>
      </c>
      <c r="G277" s="3" t="str">
        <f ca="1">IFERROR(__xludf.DUMMYFUNCTION("""COMPUTED_VALUE"""),"26.6516%;")</f>
        <v>26.6516%;</v>
      </c>
    </row>
    <row r="278" spans="1:7" x14ac:dyDescent="0.2">
      <c r="A278" s="3">
        <f ca="1">IFERROR(__xludf.DUMMYFUNCTION("""COMPUTED_VALUE"""),973)</f>
        <v>973</v>
      </c>
      <c r="B278" s="4" t="str">
        <f ca="1">IFERROR(__xludf.DUMMYFUNCTION("""COMPUTED_VALUE"""),"K Closest Points to Origin")</f>
        <v>K Closest Points to Origin</v>
      </c>
      <c r="C278" s="8" t="str">
        <f ca="1">IFERROR(__xludf.DUMMYFUNCTION("""COMPUTED_VALUE"""),"https://leetcode.com/problems/k-closest-points-to-origin")</f>
        <v>https://leetcode.com/problems/k-closest-points-to-origin</v>
      </c>
      <c r="D278" s="3" t="str">
        <f ca="1">IFERROR(__xludf.DUMMYFUNCTION("""COMPUTED_VALUE"""),"N")</f>
        <v>N</v>
      </c>
      <c r="E278" s="6">
        <f ca="1">IFERROR(__xludf.DUMMYFUNCTION("""COMPUTED_VALUE"""),0.658)</f>
        <v>0.65800000000000003</v>
      </c>
      <c r="F278" s="3" t="str">
        <f ca="1">IFERROR(__xludf.DUMMYFUNCTION("""COMPUTED_VALUE"""),"Medium")</f>
        <v>Medium</v>
      </c>
      <c r="G278" s="3" t="str">
        <f ca="1">IFERROR(__xludf.DUMMYFUNCTION("""COMPUTED_VALUE"""),"70.9466%;")</f>
        <v>70.9466%;</v>
      </c>
    </row>
    <row r="279" spans="1:7" x14ac:dyDescent="0.2">
      <c r="A279" s="3">
        <f ca="1">IFERROR(__xludf.DUMMYFUNCTION("""COMPUTED_VALUE"""),979)</f>
        <v>979</v>
      </c>
      <c r="B279" s="4" t="str">
        <f ca="1">IFERROR(__xludf.DUMMYFUNCTION("""COMPUTED_VALUE"""),"Distribute Coins in Binary Tree")</f>
        <v>Distribute Coins in Binary Tree</v>
      </c>
      <c r="C279" s="8" t="str">
        <f ca="1">IFERROR(__xludf.DUMMYFUNCTION("""COMPUTED_VALUE"""),"https://leetcode.com/problems/distribute-coins-in-binary-tree")</f>
        <v>https://leetcode.com/problems/distribute-coins-in-binary-tree</v>
      </c>
      <c r="D279" s="3" t="str">
        <f ca="1">IFERROR(__xludf.DUMMYFUNCTION("""COMPUTED_VALUE"""),"N")</f>
        <v>N</v>
      </c>
      <c r="E279" s="6">
        <f ca="1">IFERROR(__xludf.DUMMYFUNCTION("""COMPUTED_VALUE"""),0.721)</f>
        <v>0.72099999999999997</v>
      </c>
      <c r="F279" s="3" t="str">
        <f ca="1">IFERROR(__xludf.DUMMYFUNCTION("""COMPUTED_VALUE"""),"Medium")</f>
        <v>Medium</v>
      </c>
      <c r="G279" s="3" t="str">
        <f ca="1">IFERROR(__xludf.DUMMYFUNCTION("""COMPUTED_VALUE"""),"37.183%;")</f>
        <v>37.183%;</v>
      </c>
    </row>
    <row r="280" spans="1:7" x14ac:dyDescent="0.2">
      <c r="A280" s="3">
        <f ca="1">IFERROR(__xludf.DUMMYFUNCTION("""COMPUTED_VALUE"""),981)</f>
        <v>981</v>
      </c>
      <c r="B280" s="4" t="str">
        <f ca="1">IFERROR(__xludf.DUMMYFUNCTION("""COMPUTED_VALUE"""),"Time Based Key-Value Store")</f>
        <v>Time Based Key-Value Store</v>
      </c>
      <c r="C280" s="8" t="str">
        <f ca="1">IFERROR(__xludf.DUMMYFUNCTION("""COMPUTED_VALUE"""),"https://leetcode.com/problems/time-based-key-value-store")</f>
        <v>https://leetcode.com/problems/time-based-key-value-store</v>
      </c>
      <c r="D280" s="3" t="str">
        <f ca="1">IFERROR(__xludf.DUMMYFUNCTION("""COMPUTED_VALUE"""),"N")</f>
        <v>N</v>
      </c>
      <c r="E280" s="6">
        <f ca="1">IFERROR(__xludf.DUMMYFUNCTION("""COMPUTED_VALUE"""),0.534)</f>
        <v>0.53400000000000003</v>
      </c>
      <c r="F280" s="3" t="str">
        <f ca="1">IFERROR(__xludf.DUMMYFUNCTION("""COMPUTED_VALUE"""),"Medium")</f>
        <v>Medium</v>
      </c>
      <c r="G280" s="3" t="str">
        <f ca="1">IFERROR(__xludf.DUMMYFUNCTION("""COMPUTED_VALUE"""),"35.3204%;")</f>
        <v>35.3204%;</v>
      </c>
    </row>
    <row r="281" spans="1:7" x14ac:dyDescent="0.2">
      <c r="A281" s="3">
        <f ca="1">IFERROR(__xludf.DUMMYFUNCTION("""COMPUTED_VALUE"""),983)</f>
        <v>983</v>
      </c>
      <c r="B281" s="4" t="str">
        <f ca="1">IFERROR(__xludf.DUMMYFUNCTION("""COMPUTED_VALUE"""),"Minimum Cost For Tickets")</f>
        <v>Minimum Cost For Tickets</v>
      </c>
      <c r="C281" s="8" t="str">
        <f ca="1">IFERROR(__xludf.DUMMYFUNCTION("""COMPUTED_VALUE"""),"https://leetcode.com/problems/minimum-cost-for-tickets")</f>
        <v>https://leetcode.com/problems/minimum-cost-for-tickets</v>
      </c>
      <c r="D281" s="3" t="str">
        <f ca="1">IFERROR(__xludf.DUMMYFUNCTION("""COMPUTED_VALUE"""),"N")</f>
        <v>N</v>
      </c>
      <c r="E281" s="6">
        <f ca="1">IFERROR(__xludf.DUMMYFUNCTION("""COMPUTED_VALUE"""),0.644)</f>
        <v>0.64400000000000002</v>
      </c>
      <c r="F281" s="3" t="str">
        <f ca="1">IFERROR(__xludf.DUMMYFUNCTION("""COMPUTED_VALUE"""),"Medium")</f>
        <v>Medium</v>
      </c>
      <c r="G281" s="3" t="str">
        <f ca="1">IFERROR(__xludf.DUMMYFUNCTION("""COMPUTED_VALUE"""),"33.9317%;")</f>
        <v>33.9317%;</v>
      </c>
    </row>
    <row r="282" spans="1:7" x14ac:dyDescent="0.2">
      <c r="A282" s="3">
        <f ca="1">IFERROR(__xludf.DUMMYFUNCTION("""COMPUTED_VALUE"""),990)</f>
        <v>990</v>
      </c>
      <c r="B282" s="4" t="str">
        <f ca="1">IFERROR(__xludf.DUMMYFUNCTION("""COMPUTED_VALUE"""),"Satisfiability of Equality Equations")</f>
        <v>Satisfiability of Equality Equations</v>
      </c>
      <c r="C282" s="8" t="str">
        <f ca="1">IFERROR(__xludf.DUMMYFUNCTION("""COMPUTED_VALUE"""),"https://leetcode.com/problems/satisfiability-of-equality-equations")</f>
        <v>https://leetcode.com/problems/satisfiability-of-equality-equations</v>
      </c>
      <c r="D282" s="3" t="str">
        <f ca="1">IFERROR(__xludf.DUMMYFUNCTION("""COMPUTED_VALUE"""),"N")</f>
        <v>N</v>
      </c>
      <c r="E282" s="6">
        <f ca="1">IFERROR(__xludf.DUMMYFUNCTION("""COMPUTED_VALUE"""),0.507)</f>
        <v>0.50700000000000001</v>
      </c>
      <c r="F282" s="3" t="str">
        <f ca="1">IFERROR(__xludf.DUMMYFUNCTION("""COMPUTED_VALUE"""),"Medium")</f>
        <v>Medium</v>
      </c>
      <c r="G282" s="3" t="str">
        <f ca="1">IFERROR(__xludf.DUMMYFUNCTION("""COMPUTED_VALUE"""),"16.0961%;")</f>
        <v>16.0961%;</v>
      </c>
    </row>
    <row r="283" spans="1:7" x14ac:dyDescent="0.2">
      <c r="A283" s="3">
        <f ca="1">IFERROR(__xludf.DUMMYFUNCTION("""COMPUTED_VALUE"""),994)</f>
        <v>994</v>
      </c>
      <c r="B283" s="4" t="str">
        <f ca="1">IFERROR(__xludf.DUMMYFUNCTION("""COMPUTED_VALUE"""),"Rotting Oranges")</f>
        <v>Rotting Oranges</v>
      </c>
      <c r="C283" s="8" t="str">
        <f ca="1">IFERROR(__xludf.DUMMYFUNCTION("""COMPUTED_VALUE"""),"https://leetcode.com/problems/rotting-oranges")</f>
        <v>https://leetcode.com/problems/rotting-oranges</v>
      </c>
      <c r="D283" s="3" t="str">
        <f ca="1">IFERROR(__xludf.DUMMYFUNCTION("""COMPUTED_VALUE"""),"N")</f>
        <v>N</v>
      </c>
      <c r="E283" s="6">
        <f ca="1">IFERROR(__xludf.DUMMYFUNCTION("""COMPUTED_VALUE"""),0.525)</f>
        <v>0.52500000000000002</v>
      </c>
      <c r="F283" s="3" t="str">
        <f ca="1">IFERROR(__xludf.DUMMYFUNCTION("""COMPUTED_VALUE"""),"Medium")</f>
        <v>Medium</v>
      </c>
      <c r="G283" s="3" t="str">
        <f ca="1">IFERROR(__xludf.DUMMYFUNCTION("""COMPUTED_VALUE"""),"51.8456%;")</f>
        <v>51.8456%;</v>
      </c>
    </row>
    <row r="284" spans="1:7" x14ac:dyDescent="0.2">
      <c r="A284" s="3">
        <f ca="1">IFERROR(__xludf.DUMMYFUNCTION("""COMPUTED_VALUE"""),1004)</f>
        <v>1004</v>
      </c>
      <c r="B284" s="4" t="str">
        <f ca="1">IFERROR(__xludf.DUMMYFUNCTION("""COMPUTED_VALUE"""),"Max Consecutive Ones III")</f>
        <v>Max Consecutive Ones III</v>
      </c>
      <c r="C284" s="8" t="str">
        <f ca="1">IFERROR(__xludf.DUMMYFUNCTION("""COMPUTED_VALUE"""),"https://leetcode.com/problems/max-consecutive-ones-iii")</f>
        <v>https://leetcode.com/problems/max-consecutive-ones-iii</v>
      </c>
      <c r="D284" s="3" t="str">
        <f ca="1">IFERROR(__xludf.DUMMYFUNCTION("""COMPUTED_VALUE"""),"N")</f>
        <v>N</v>
      </c>
      <c r="E284" s="6">
        <f ca="1">IFERROR(__xludf.DUMMYFUNCTION("""COMPUTED_VALUE"""),0.634)</f>
        <v>0.63400000000000001</v>
      </c>
      <c r="F284" s="3" t="str">
        <f ca="1">IFERROR(__xludf.DUMMYFUNCTION("""COMPUTED_VALUE"""),"Medium")</f>
        <v>Medium</v>
      </c>
      <c r="G284" s="3" t="str">
        <f ca="1">IFERROR(__xludf.DUMMYFUNCTION("""COMPUTED_VALUE"""),"4.668%;")</f>
        <v>4.668%;</v>
      </c>
    </row>
    <row r="285" spans="1:7" x14ac:dyDescent="0.2">
      <c r="A285" s="3">
        <f ca="1">IFERROR(__xludf.DUMMYFUNCTION("""COMPUTED_VALUE"""),1008)</f>
        <v>1008</v>
      </c>
      <c r="B285" s="4" t="str">
        <f ca="1">IFERROR(__xludf.DUMMYFUNCTION("""COMPUTED_VALUE"""),"Construct Binary Search Tree from Preorder Traversal")</f>
        <v>Construct Binary Search Tree from Preorder Traversal</v>
      </c>
      <c r="C285" s="8" t="str">
        <f ca="1">IFERROR(__xludf.DUMMYFUNCTION("""COMPUTED_VALUE"""),"https://leetcode.com/problems/construct-binary-search-tree-from-preorder-traversal")</f>
        <v>https://leetcode.com/problems/construct-binary-search-tree-from-preorder-traversal</v>
      </c>
      <c r="D285" s="3" t="str">
        <f ca="1">IFERROR(__xludf.DUMMYFUNCTION("""COMPUTED_VALUE"""),"N")</f>
        <v>N</v>
      </c>
      <c r="E285" s="6">
        <f ca="1">IFERROR(__xludf.DUMMYFUNCTION("""COMPUTED_VALUE"""),0.81)</f>
        <v>0.81</v>
      </c>
      <c r="F285" s="3" t="str">
        <f ca="1">IFERROR(__xludf.DUMMYFUNCTION("""COMPUTED_VALUE"""),"Medium")</f>
        <v>Medium</v>
      </c>
      <c r="G285" s="3" t="str">
        <f ca="1">IFERROR(__xludf.DUMMYFUNCTION("""COMPUTED_VALUE"""),"4.45085%;")</f>
        <v>4.45085%;</v>
      </c>
    </row>
    <row r="286" spans="1:7" x14ac:dyDescent="0.2">
      <c r="A286" s="3">
        <f ca="1">IFERROR(__xludf.DUMMYFUNCTION("""COMPUTED_VALUE"""),1010)</f>
        <v>1010</v>
      </c>
      <c r="B286" s="4" t="str">
        <f ca="1">IFERROR(__xludf.DUMMYFUNCTION("""COMPUTED_VALUE"""),"Pairs of Songs With Total Durations Divisible by 60")</f>
        <v>Pairs of Songs With Total Durations Divisible by 60</v>
      </c>
      <c r="C286" s="8" t="str">
        <f ca="1">IFERROR(__xludf.DUMMYFUNCTION("""COMPUTED_VALUE"""),"https://leetcode.com/problems/pairs-of-songs-with-total-durations-divisible-by-60")</f>
        <v>https://leetcode.com/problems/pairs-of-songs-with-total-durations-divisible-by-60</v>
      </c>
      <c r="D286" s="3" t="str">
        <f ca="1">IFERROR(__xludf.DUMMYFUNCTION("""COMPUTED_VALUE"""),"N")</f>
        <v>N</v>
      </c>
      <c r="E286" s="6">
        <f ca="1">IFERROR(__xludf.DUMMYFUNCTION("""COMPUTED_VALUE"""),0.529)</f>
        <v>0.52900000000000003</v>
      </c>
      <c r="F286" s="3" t="str">
        <f ca="1">IFERROR(__xludf.DUMMYFUNCTION("""COMPUTED_VALUE"""),"Medium")</f>
        <v>Medium</v>
      </c>
      <c r="G286" s="3" t="str">
        <f ca="1">IFERROR(__xludf.DUMMYFUNCTION("""COMPUTED_VALUE"""),"3.01616%;")</f>
        <v>3.01616%;</v>
      </c>
    </row>
    <row r="287" spans="1:7" x14ac:dyDescent="0.2">
      <c r="A287" s="3">
        <f ca="1">IFERROR(__xludf.DUMMYFUNCTION("""COMPUTED_VALUE"""),1011)</f>
        <v>1011</v>
      </c>
      <c r="B287" s="4" t="str">
        <f ca="1">IFERROR(__xludf.DUMMYFUNCTION("""COMPUTED_VALUE"""),"Capacity To Ship Packages Within D Days")</f>
        <v>Capacity To Ship Packages Within D Days</v>
      </c>
      <c r="C287" s="8" t="str">
        <f ca="1">IFERROR(__xludf.DUMMYFUNCTION("""COMPUTED_VALUE"""),"https://leetcode.com/problems/capacity-to-ship-packages-within-d-days")</f>
        <v>https://leetcode.com/problems/capacity-to-ship-packages-within-d-days</v>
      </c>
      <c r="D287" s="3" t="str">
        <f ca="1">IFERROR(__xludf.DUMMYFUNCTION("""COMPUTED_VALUE"""),"N")</f>
        <v>N</v>
      </c>
      <c r="E287" s="6">
        <f ca="1">IFERROR(__xludf.DUMMYFUNCTION("""COMPUTED_VALUE"""),0.646)</f>
        <v>0.64600000000000002</v>
      </c>
      <c r="F287" s="3" t="str">
        <f ca="1">IFERROR(__xludf.DUMMYFUNCTION("""COMPUTED_VALUE"""),"Medium")</f>
        <v>Medium</v>
      </c>
      <c r="G287" s="3" t="str">
        <f ca="1">IFERROR(__xludf.DUMMYFUNCTION("""COMPUTED_VALUE"""),"26.6263%;")</f>
        <v>26.6263%;</v>
      </c>
    </row>
    <row r="288" spans="1:7" x14ac:dyDescent="0.2">
      <c r="A288" s="3">
        <f ca="1">IFERROR(__xludf.DUMMYFUNCTION("""COMPUTED_VALUE"""),1060)</f>
        <v>1060</v>
      </c>
      <c r="B288" s="4" t="str">
        <f ca="1">IFERROR(__xludf.DUMMYFUNCTION("""COMPUTED_VALUE"""),"Missing Element in Sorted Array")</f>
        <v>Missing Element in Sorted Array</v>
      </c>
      <c r="C288" s="8" t="str">
        <f ca="1">IFERROR(__xludf.DUMMYFUNCTION("""COMPUTED_VALUE"""),"https://leetcode.com/problems/missing-element-in-sorted-array")</f>
        <v>https://leetcode.com/problems/missing-element-in-sorted-array</v>
      </c>
      <c r="D288" s="3" t="str">
        <f ca="1">IFERROR(__xludf.DUMMYFUNCTION("""COMPUTED_VALUE"""),"Y")</f>
        <v>Y</v>
      </c>
      <c r="E288" s="6">
        <f ca="1">IFERROR(__xludf.DUMMYFUNCTION("""COMPUTED_VALUE"""),0.546)</f>
        <v>0.54600000000000004</v>
      </c>
      <c r="F288" s="3" t="str">
        <f ca="1">IFERROR(__xludf.DUMMYFUNCTION("""COMPUTED_VALUE"""),"Medium")</f>
        <v>Medium</v>
      </c>
      <c r="G288" s="3" t="str">
        <f ca="1">IFERROR(__xludf.DUMMYFUNCTION("""COMPUTED_VALUE"""),"14.3983%;")</f>
        <v>14.3983%;</v>
      </c>
    </row>
    <row r="289" spans="1:7" x14ac:dyDescent="0.2">
      <c r="A289" s="3">
        <f ca="1">IFERROR(__xludf.DUMMYFUNCTION("""COMPUTED_VALUE"""),1016)</f>
        <v>1016</v>
      </c>
      <c r="B289" s="4" t="str">
        <f ca="1">IFERROR(__xludf.DUMMYFUNCTION("""COMPUTED_VALUE"""),"Binary String With Substrings Representing 1 To N")</f>
        <v>Binary String With Substrings Representing 1 To N</v>
      </c>
      <c r="C289" s="8" t="str">
        <f ca="1">IFERROR(__xludf.DUMMYFUNCTION("""COMPUTED_VALUE"""),"https://leetcode.com/problems/binary-string-with-substrings-representing-1-to-n")</f>
        <v>https://leetcode.com/problems/binary-string-with-substrings-representing-1-to-n</v>
      </c>
      <c r="D289" s="3" t="str">
        <f ca="1">IFERROR(__xludf.DUMMYFUNCTION("""COMPUTED_VALUE"""),"N")</f>
        <v>N</v>
      </c>
      <c r="E289" s="6">
        <f ca="1">IFERROR(__xludf.DUMMYFUNCTION("""COMPUTED_VALUE"""),0.576)</f>
        <v>0.57599999999999996</v>
      </c>
      <c r="F289" s="3" t="str">
        <f ca="1">IFERROR(__xludf.DUMMYFUNCTION("""COMPUTED_VALUE"""),"Medium")</f>
        <v>Medium</v>
      </c>
      <c r="G289" s="3" t="str">
        <f ca="1">IFERROR(__xludf.DUMMYFUNCTION("""COMPUTED_VALUE"""),"20.3296%;")</f>
        <v>20.3296%;</v>
      </c>
    </row>
    <row r="290" spans="1:7" x14ac:dyDescent="0.2">
      <c r="A290" s="3">
        <f ca="1">IFERROR(__xludf.DUMMYFUNCTION("""COMPUTED_VALUE"""),1020)</f>
        <v>1020</v>
      </c>
      <c r="B290" s="4" t="str">
        <f ca="1">IFERROR(__xludf.DUMMYFUNCTION("""COMPUTED_VALUE"""),"Number of Enclaves")</f>
        <v>Number of Enclaves</v>
      </c>
      <c r="C290" s="8" t="str">
        <f ca="1">IFERROR(__xludf.DUMMYFUNCTION("""COMPUTED_VALUE"""),"https://leetcode.com/problems/number-of-enclaves")</f>
        <v>https://leetcode.com/problems/number-of-enclaves</v>
      </c>
      <c r="D290" s="3" t="str">
        <f ca="1">IFERROR(__xludf.DUMMYFUNCTION("""COMPUTED_VALUE"""),"N")</f>
        <v>N</v>
      </c>
      <c r="E290" s="6">
        <f ca="1">IFERROR(__xludf.DUMMYFUNCTION("""COMPUTED_VALUE"""),0.649)</f>
        <v>0.64900000000000002</v>
      </c>
      <c r="F290" s="3" t="str">
        <f ca="1">IFERROR(__xludf.DUMMYFUNCTION("""COMPUTED_VALUE"""),"Medium")</f>
        <v>Medium</v>
      </c>
      <c r="G290" s="3" t="str">
        <f ca="1">IFERROR(__xludf.DUMMYFUNCTION("""COMPUTED_VALUE"""),"4.15654%;")</f>
        <v>4.15654%;</v>
      </c>
    </row>
    <row r="291" spans="1:7" x14ac:dyDescent="0.2">
      <c r="A291" s="3">
        <f ca="1">IFERROR(__xludf.DUMMYFUNCTION("""COMPUTED_VALUE"""),1026)</f>
        <v>1026</v>
      </c>
      <c r="B291" s="4" t="str">
        <f ca="1">IFERROR(__xludf.DUMMYFUNCTION("""COMPUTED_VALUE"""),"Maximum Difference Between Node and Ancestor")</f>
        <v>Maximum Difference Between Node and Ancestor</v>
      </c>
      <c r="C291" s="8" t="str">
        <f ca="1">IFERROR(__xludf.DUMMYFUNCTION("""COMPUTED_VALUE"""),"https://leetcode.com/problems/maximum-difference-between-node-and-ancestor")</f>
        <v>https://leetcode.com/problems/maximum-difference-between-node-and-ancestor</v>
      </c>
      <c r="D291" s="3" t="str">
        <f ca="1">IFERROR(__xludf.DUMMYFUNCTION("""COMPUTED_VALUE"""),"N")</f>
        <v>N</v>
      </c>
      <c r="E291" s="6">
        <f ca="1">IFERROR(__xludf.DUMMYFUNCTION("""COMPUTED_VALUE"""),0.734)</f>
        <v>0.73399999999999999</v>
      </c>
      <c r="F291" s="3" t="str">
        <f ca="1">IFERROR(__xludf.DUMMYFUNCTION("""COMPUTED_VALUE"""),"Medium")</f>
        <v>Medium</v>
      </c>
      <c r="G291" s="3" t="str">
        <f ca="1">IFERROR(__xludf.DUMMYFUNCTION("""COMPUTED_VALUE"""),"13.8268%;")</f>
        <v>13.8268%;</v>
      </c>
    </row>
    <row r="292" spans="1:7" x14ac:dyDescent="0.2">
      <c r="A292" s="3">
        <f ca="1">IFERROR(__xludf.DUMMYFUNCTION("""COMPUTED_VALUE"""),1151)</f>
        <v>1151</v>
      </c>
      <c r="B292" s="4" t="str">
        <f ca="1">IFERROR(__xludf.DUMMYFUNCTION("""COMPUTED_VALUE"""),"Minimum Swaps to Group All 1's Together")</f>
        <v>Minimum Swaps to Group All 1's Together</v>
      </c>
      <c r="C292" s="8" t="str">
        <f ca="1">IFERROR(__xludf.DUMMYFUNCTION("""COMPUTED_VALUE"""),"https://leetcode.com/problems/minimum-swaps-to-group-all-1s-together")</f>
        <v>https://leetcode.com/problems/minimum-swaps-to-group-all-1s-together</v>
      </c>
      <c r="D292" s="3" t="str">
        <f ca="1">IFERROR(__xludf.DUMMYFUNCTION("""COMPUTED_VALUE"""),"Y")</f>
        <v>Y</v>
      </c>
      <c r="E292" s="6">
        <f ca="1">IFERROR(__xludf.DUMMYFUNCTION("""COMPUTED_VALUE"""),0.609)</f>
        <v>0.60899999999999999</v>
      </c>
      <c r="F292" s="3" t="str">
        <f ca="1">IFERROR(__xludf.DUMMYFUNCTION("""COMPUTED_VALUE"""),"Medium")</f>
        <v>Medium</v>
      </c>
      <c r="G292" s="3" t="str">
        <f ca="1">IFERROR(__xludf.DUMMYFUNCTION("""COMPUTED_VALUE"""),"22.5746%;")</f>
        <v>22.5746%;</v>
      </c>
    </row>
    <row r="293" spans="1:7" x14ac:dyDescent="0.2">
      <c r="A293" s="3">
        <f ca="1">IFERROR(__xludf.DUMMYFUNCTION("""COMPUTED_VALUE"""),1152)</f>
        <v>1152</v>
      </c>
      <c r="B293" s="4" t="str">
        <f ca="1">IFERROR(__xludf.DUMMYFUNCTION("""COMPUTED_VALUE"""),"Analyze User Website Visit Pattern")</f>
        <v>Analyze User Website Visit Pattern</v>
      </c>
      <c r="C293" s="8" t="str">
        <f ca="1">IFERROR(__xludf.DUMMYFUNCTION("""COMPUTED_VALUE"""),"https://leetcode.com/problems/analyze-user-website-visit-pattern")</f>
        <v>https://leetcode.com/problems/analyze-user-website-visit-pattern</v>
      </c>
      <c r="D293" s="3" t="str">
        <f ca="1">IFERROR(__xludf.DUMMYFUNCTION("""COMPUTED_VALUE"""),"Y")</f>
        <v>Y</v>
      </c>
      <c r="E293" s="6">
        <f ca="1">IFERROR(__xludf.DUMMYFUNCTION("""COMPUTED_VALUE"""),0.433)</f>
        <v>0.433</v>
      </c>
      <c r="F293" s="3" t="str">
        <f ca="1">IFERROR(__xludf.DUMMYFUNCTION("""COMPUTED_VALUE"""),"Medium")</f>
        <v>Medium</v>
      </c>
      <c r="G293" s="3" t="str">
        <f ca="1">IFERROR(__xludf.DUMMYFUNCTION("""COMPUTED_VALUE"""),"95.3566%;")</f>
        <v>95.3566%;</v>
      </c>
    </row>
    <row r="294" spans="1:7" x14ac:dyDescent="0.2">
      <c r="A294" s="3">
        <f ca="1">IFERROR(__xludf.DUMMYFUNCTION("""COMPUTED_VALUE"""),1039)</f>
        <v>1039</v>
      </c>
      <c r="B294" s="4" t="str">
        <f ca="1">IFERROR(__xludf.DUMMYFUNCTION("""COMPUTED_VALUE"""),"Minimum Score Triangulation of Polygon")</f>
        <v>Minimum Score Triangulation of Polygon</v>
      </c>
      <c r="C294" s="8" t="str">
        <f ca="1">IFERROR(__xludf.DUMMYFUNCTION("""COMPUTED_VALUE"""),"https://leetcode.com/problems/minimum-score-triangulation-of-polygon")</f>
        <v>https://leetcode.com/problems/minimum-score-triangulation-of-polygon</v>
      </c>
      <c r="D294" s="3" t="str">
        <f ca="1">IFERROR(__xludf.DUMMYFUNCTION("""COMPUTED_VALUE"""),"N")</f>
        <v>N</v>
      </c>
      <c r="E294" s="6">
        <f ca="1">IFERROR(__xludf.DUMMYFUNCTION("""COMPUTED_VALUE"""),0.546)</f>
        <v>0.54600000000000004</v>
      </c>
      <c r="F294" s="3" t="str">
        <f ca="1">IFERROR(__xludf.DUMMYFUNCTION("""COMPUTED_VALUE"""),"Medium")</f>
        <v>Medium</v>
      </c>
      <c r="G294" s="3" t="str">
        <f ca="1">IFERROR(__xludf.DUMMYFUNCTION("""COMPUTED_VALUE"""),"18.0018%;")</f>
        <v>18.0018%;</v>
      </c>
    </row>
    <row r="295" spans="1:7" x14ac:dyDescent="0.2">
      <c r="A295" s="3">
        <f ca="1">IFERROR(__xludf.DUMMYFUNCTION("""COMPUTED_VALUE"""),1038)</f>
        <v>1038</v>
      </c>
      <c r="B295" s="4" t="str">
        <f ca="1">IFERROR(__xludf.DUMMYFUNCTION("""COMPUTED_VALUE"""),"Binary Search Tree to Greater Sum Tree")</f>
        <v>Binary Search Tree to Greater Sum Tree</v>
      </c>
      <c r="C295" s="8" t="str">
        <f ca="1">IFERROR(__xludf.DUMMYFUNCTION("""COMPUTED_VALUE"""),"https://leetcode.com/problems/binary-search-tree-to-greater-sum-tree")</f>
        <v>https://leetcode.com/problems/binary-search-tree-to-greater-sum-tree</v>
      </c>
      <c r="D295" s="3" t="str">
        <f ca="1">IFERROR(__xludf.DUMMYFUNCTION("""COMPUTED_VALUE"""),"N")</f>
        <v>N</v>
      </c>
      <c r="E295" s="6">
        <f ca="1">IFERROR(__xludf.DUMMYFUNCTION("""COMPUTED_VALUE"""),0.854)</f>
        <v>0.85399999999999998</v>
      </c>
      <c r="F295" s="3" t="str">
        <f ca="1">IFERROR(__xludf.DUMMYFUNCTION("""COMPUTED_VALUE"""),"Medium")</f>
        <v>Medium</v>
      </c>
      <c r="G295" s="3" t="str">
        <f ca="1">IFERROR(__xludf.DUMMYFUNCTION("""COMPUTED_VALUE"""),"30.5422%;")</f>
        <v>30.5422%;</v>
      </c>
    </row>
    <row r="296" spans="1:7" x14ac:dyDescent="0.2">
      <c r="A296" s="3">
        <f ca="1">IFERROR(__xludf.DUMMYFUNCTION("""COMPUTED_VALUE"""),1041)</f>
        <v>1041</v>
      </c>
      <c r="B296" s="4" t="str">
        <f ca="1">IFERROR(__xludf.DUMMYFUNCTION("""COMPUTED_VALUE"""),"Robot Bounded In Circle")</f>
        <v>Robot Bounded In Circle</v>
      </c>
      <c r="C296" s="8" t="str">
        <f ca="1">IFERROR(__xludf.DUMMYFUNCTION("""COMPUTED_VALUE"""),"https://leetcode.com/problems/robot-bounded-in-circle")</f>
        <v>https://leetcode.com/problems/robot-bounded-in-circle</v>
      </c>
      <c r="D296" s="3" t="str">
        <f ca="1">IFERROR(__xludf.DUMMYFUNCTION("""COMPUTED_VALUE"""),"N")</f>
        <v>N</v>
      </c>
      <c r="E296" s="6">
        <f ca="1">IFERROR(__xludf.DUMMYFUNCTION("""COMPUTED_VALUE"""),0.553)</f>
        <v>0.55300000000000005</v>
      </c>
      <c r="F296" s="3" t="str">
        <f ca="1">IFERROR(__xludf.DUMMYFUNCTION("""COMPUTED_VALUE"""),"Medium")</f>
        <v>Medium</v>
      </c>
      <c r="G296" s="3" t="str">
        <f ca="1">IFERROR(__xludf.DUMMYFUNCTION("""COMPUTED_VALUE"""),"34.7992%;")</f>
        <v>34.7992%;</v>
      </c>
    </row>
    <row r="297" spans="1:7" x14ac:dyDescent="0.2">
      <c r="A297" s="3">
        <f ca="1">IFERROR(__xludf.DUMMYFUNCTION("""COMPUTED_VALUE"""),1166)</f>
        <v>1166</v>
      </c>
      <c r="B297" s="4" t="str">
        <f ca="1">IFERROR(__xludf.DUMMYFUNCTION("""COMPUTED_VALUE"""),"Design File System")</f>
        <v>Design File System</v>
      </c>
      <c r="C297" s="8" t="str">
        <f ca="1">IFERROR(__xludf.DUMMYFUNCTION("""COMPUTED_VALUE"""),"https://leetcode.com/problems/design-file-system")</f>
        <v>https://leetcode.com/problems/design-file-system</v>
      </c>
      <c r="D297" s="3" t="str">
        <f ca="1">IFERROR(__xludf.DUMMYFUNCTION("""COMPUTED_VALUE"""),"Y")</f>
        <v>Y</v>
      </c>
      <c r="E297" s="6">
        <f ca="1">IFERROR(__xludf.DUMMYFUNCTION("""COMPUTED_VALUE"""),0.62)</f>
        <v>0.62</v>
      </c>
      <c r="F297" s="3" t="str">
        <f ca="1">IFERROR(__xludf.DUMMYFUNCTION("""COMPUTED_VALUE"""),"Medium")</f>
        <v>Medium</v>
      </c>
      <c r="G297" s="3" t="str">
        <f ca="1">IFERROR(__xludf.DUMMYFUNCTION("""COMPUTED_VALUE"""),"16.2761%;")</f>
        <v>16.2761%;</v>
      </c>
    </row>
    <row r="298" spans="1:7" x14ac:dyDescent="0.2">
      <c r="A298" s="3">
        <f ca="1">IFERROR(__xludf.DUMMYFUNCTION("""COMPUTED_VALUE"""),1167)</f>
        <v>1167</v>
      </c>
      <c r="B298" s="4" t="str">
        <f ca="1">IFERROR(__xludf.DUMMYFUNCTION("""COMPUTED_VALUE"""),"Minimum Cost to Connect Sticks")</f>
        <v>Minimum Cost to Connect Sticks</v>
      </c>
      <c r="C298" s="8" t="str">
        <f ca="1">IFERROR(__xludf.DUMMYFUNCTION("""COMPUTED_VALUE"""),"https://leetcode.com/problems/minimum-cost-to-connect-sticks")</f>
        <v>https://leetcode.com/problems/minimum-cost-to-connect-sticks</v>
      </c>
      <c r="D298" s="3" t="str">
        <f ca="1">IFERROR(__xludf.DUMMYFUNCTION("""COMPUTED_VALUE"""),"Y")</f>
        <v>Y</v>
      </c>
      <c r="E298" s="6">
        <f ca="1">IFERROR(__xludf.DUMMYFUNCTION("""COMPUTED_VALUE"""),0.678)</f>
        <v>0.67800000000000005</v>
      </c>
      <c r="F298" s="3" t="str">
        <f ca="1">IFERROR(__xludf.DUMMYFUNCTION("""COMPUTED_VALUE"""),"Medium")</f>
        <v>Medium</v>
      </c>
      <c r="G298" s="3" t="str">
        <f ca="1">IFERROR(__xludf.DUMMYFUNCTION("""COMPUTED_VALUE"""),"49.5636%;")</f>
        <v>49.5636%;</v>
      </c>
    </row>
    <row r="299" spans="1:7" x14ac:dyDescent="0.2">
      <c r="A299" s="3">
        <f ca="1">IFERROR(__xludf.DUMMYFUNCTION("""COMPUTED_VALUE"""),1048)</f>
        <v>1048</v>
      </c>
      <c r="B299" s="4" t="str">
        <f ca="1">IFERROR(__xludf.DUMMYFUNCTION("""COMPUTED_VALUE"""),"Longest String Chain")</f>
        <v>Longest String Chain</v>
      </c>
      <c r="C299" s="8" t="str">
        <f ca="1">IFERROR(__xludf.DUMMYFUNCTION("""COMPUTED_VALUE"""),"https://leetcode.com/problems/longest-string-chain")</f>
        <v>https://leetcode.com/problems/longest-string-chain</v>
      </c>
      <c r="D299" s="3" t="str">
        <f ca="1">IFERROR(__xludf.DUMMYFUNCTION("""COMPUTED_VALUE"""),"N")</f>
        <v>N</v>
      </c>
      <c r="E299" s="6">
        <f ca="1">IFERROR(__xludf.DUMMYFUNCTION("""COMPUTED_VALUE"""),0.591)</f>
        <v>0.59099999999999997</v>
      </c>
      <c r="F299" s="3" t="str">
        <f ca="1">IFERROR(__xludf.DUMMYFUNCTION("""COMPUTED_VALUE"""),"Medium")</f>
        <v>Medium</v>
      </c>
      <c r="G299" s="3" t="str">
        <f ca="1">IFERROR(__xludf.DUMMYFUNCTION("""COMPUTED_VALUE"""),"12.7337%;")</f>
        <v>12.7337%;</v>
      </c>
    </row>
    <row r="300" spans="1:7" x14ac:dyDescent="0.2">
      <c r="A300" s="3">
        <f ca="1">IFERROR(__xludf.DUMMYFUNCTION("""COMPUTED_VALUE"""),1197)</f>
        <v>1197</v>
      </c>
      <c r="B300" s="4" t="str">
        <f ca="1">IFERROR(__xludf.DUMMYFUNCTION("""COMPUTED_VALUE"""),"Minimum Knight Moves")</f>
        <v>Minimum Knight Moves</v>
      </c>
      <c r="C300" s="8" t="str">
        <f ca="1">IFERROR(__xludf.DUMMYFUNCTION("""COMPUTED_VALUE"""),"https://leetcode.com/problems/minimum-knight-moves")</f>
        <v>https://leetcode.com/problems/minimum-knight-moves</v>
      </c>
      <c r="D300" s="3" t="str">
        <f ca="1">IFERROR(__xludf.DUMMYFUNCTION("""COMPUTED_VALUE"""),"Y")</f>
        <v>Y</v>
      </c>
      <c r="E300" s="6">
        <f ca="1">IFERROR(__xludf.DUMMYFUNCTION("""COMPUTED_VALUE"""),0.397)</f>
        <v>0.39700000000000002</v>
      </c>
      <c r="F300" s="3" t="str">
        <f ca="1">IFERROR(__xludf.DUMMYFUNCTION("""COMPUTED_VALUE"""),"Medium")</f>
        <v>Medium</v>
      </c>
      <c r="G300" s="3" t="str">
        <f ca="1">IFERROR(__xludf.DUMMYFUNCTION("""COMPUTED_VALUE"""),"38.1761%;")</f>
        <v>38.1761%;</v>
      </c>
    </row>
    <row r="301" spans="1:7" x14ac:dyDescent="0.2">
      <c r="A301" s="3">
        <f ca="1">IFERROR(__xludf.DUMMYFUNCTION("""COMPUTED_VALUE"""),1229)</f>
        <v>1229</v>
      </c>
      <c r="B301" s="4" t="str">
        <f ca="1">IFERROR(__xludf.DUMMYFUNCTION("""COMPUTED_VALUE"""),"Meeting Scheduler")</f>
        <v>Meeting Scheduler</v>
      </c>
      <c r="C301" s="8" t="str">
        <f ca="1">IFERROR(__xludf.DUMMYFUNCTION("""COMPUTED_VALUE"""),"https://leetcode.com/problems/meeting-scheduler")</f>
        <v>https://leetcode.com/problems/meeting-scheduler</v>
      </c>
      <c r="D301" s="3" t="str">
        <f ca="1">IFERROR(__xludf.DUMMYFUNCTION("""COMPUTED_VALUE"""),"Y")</f>
        <v>Y</v>
      </c>
      <c r="E301" s="6">
        <f ca="1">IFERROR(__xludf.DUMMYFUNCTION("""COMPUTED_VALUE"""),0.554)</f>
        <v>0.55400000000000005</v>
      </c>
      <c r="F301" s="3" t="str">
        <f ca="1">IFERROR(__xludf.DUMMYFUNCTION("""COMPUTED_VALUE"""),"Medium")</f>
        <v>Medium</v>
      </c>
      <c r="G301" s="3" t="str">
        <f ca="1">IFERROR(__xludf.DUMMYFUNCTION("""COMPUTED_VALUE"""),"13.7947%;")</f>
        <v>13.7947%;</v>
      </c>
    </row>
    <row r="302" spans="1:7" x14ac:dyDescent="0.2">
      <c r="A302" s="3">
        <f ca="1">IFERROR(__xludf.DUMMYFUNCTION("""COMPUTED_VALUE"""),1091)</f>
        <v>1091</v>
      </c>
      <c r="B302" s="4" t="str">
        <f ca="1">IFERROR(__xludf.DUMMYFUNCTION("""COMPUTED_VALUE"""),"Shortest Path in Binary Matrix")</f>
        <v>Shortest Path in Binary Matrix</v>
      </c>
      <c r="C302" s="8" t="str">
        <f ca="1">IFERROR(__xludf.DUMMYFUNCTION("""COMPUTED_VALUE"""),"https://leetcode.com/problems/shortest-path-in-binary-matrix")</f>
        <v>https://leetcode.com/problems/shortest-path-in-binary-matrix</v>
      </c>
      <c r="D302" s="3" t="str">
        <f ca="1">IFERROR(__xludf.DUMMYFUNCTION("""COMPUTED_VALUE"""),"N")</f>
        <v>N</v>
      </c>
      <c r="E302" s="6">
        <f ca="1">IFERROR(__xludf.DUMMYFUNCTION("""COMPUTED_VALUE"""),0.445)</f>
        <v>0.44500000000000001</v>
      </c>
      <c r="F302" s="3" t="str">
        <f ca="1">IFERROR(__xludf.DUMMYFUNCTION("""COMPUTED_VALUE"""),"Medium")</f>
        <v>Medium</v>
      </c>
      <c r="G302" s="3" t="str">
        <f ca="1">IFERROR(__xludf.DUMMYFUNCTION("""COMPUTED_VALUE"""),"27.009%;")</f>
        <v>27.009%;</v>
      </c>
    </row>
    <row r="303" spans="1:7" x14ac:dyDescent="0.2">
      <c r="A303" s="3">
        <f ca="1">IFERROR(__xludf.DUMMYFUNCTION("""COMPUTED_VALUE"""),1094)</f>
        <v>1094</v>
      </c>
      <c r="B303" s="4" t="str">
        <f ca="1">IFERROR(__xludf.DUMMYFUNCTION("""COMPUTED_VALUE"""),"Car Pooling")</f>
        <v>Car Pooling</v>
      </c>
      <c r="C303" s="8" t="str">
        <f ca="1">IFERROR(__xludf.DUMMYFUNCTION("""COMPUTED_VALUE"""),"https://leetcode.com/problems/car-pooling")</f>
        <v>https://leetcode.com/problems/car-pooling</v>
      </c>
      <c r="D303" s="3" t="str">
        <f ca="1">IFERROR(__xludf.DUMMYFUNCTION("""COMPUTED_VALUE"""),"N")</f>
        <v>N</v>
      </c>
      <c r="E303" s="6">
        <f ca="1">IFERROR(__xludf.DUMMYFUNCTION("""COMPUTED_VALUE"""),0.573)</f>
        <v>0.57299999999999995</v>
      </c>
      <c r="F303" s="3" t="str">
        <f ca="1">IFERROR(__xludf.DUMMYFUNCTION("""COMPUTED_VALUE"""),"Medium")</f>
        <v>Medium</v>
      </c>
      <c r="G303" s="3" t="str">
        <f ca="1">IFERROR(__xludf.DUMMYFUNCTION("""COMPUTED_VALUE"""),"17.3884%;")</f>
        <v>17.3884%;</v>
      </c>
    </row>
    <row r="304" spans="1:7" x14ac:dyDescent="0.2">
      <c r="A304" s="3">
        <f ca="1">IFERROR(__xludf.DUMMYFUNCTION("""COMPUTED_VALUE"""),1110)</f>
        <v>1110</v>
      </c>
      <c r="B304" s="4" t="str">
        <f ca="1">IFERROR(__xludf.DUMMYFUNCTION("""COMPUTED_VALUE"""),"Delete Nodes And Return Forest")</f>
        <v>Delete Nodes And Return Forest</v>
      </c>
      <c r="C304" s="8" t="str">
        <f ca="1">IFERROR(__xludf.DUMMYFUNCTION("""COMPUTED_VALUE"""),"https://leetcode.com/problems/delete-nodes-and-return-forest")</f>
        <v>https://leetcode.com/problems/delete-nodes-and-return-forest</v>
      </c>
      <c r="D304" s="3" t="str">
        <f ca="1">IFERROR(__xludf.DUMMYFUNCTION("""COMPUTED_VALUE"""),"N")</f>
        <v>N</v>
      </c>
      <c r="E304" s="6">
        <f ca="1">IFERROR(__xludf.DUMMYFUNCTION("""COMPUTED_VALUE"""),0.693)</f>
        <v>0.69299999999999995</v>
      </c>
      <c r="F304" s="3" t="str">
        <f ca="1">IFERROR(__xludf.DUMMYFUNCTION("""COMPUTED_VALUE"""),"Medium")</f>
        <v>Medium</v>
      </c>
      <c r="G304" s="3" t="str">
        <f ca="1">IFERROR(__xludf.DUMMYFUNCTION("""COMPUTED_VALUE"""),"21.3862%;")</f>
        <v>21.3862%;</v>
      </c>
    </row>
    <row r="305" spans="1:7" x14ac:dyDescent="0.2">
      <c r="A305" s="3">
        <f ca="1">IFERROR(__xludf.DUMMYFUNCTION("""COMPUTED_VALUE"""),1291)</f>
        <v>1291</v>
      </c>
      <c r="B305" s="4" t="str">
        <f ca="1">IFERROR(__xludf.DUMMYFUNCTION("""COMPUTED_VALUE"""),"Sequential Digits")</f>
        <v>Sequential Digits</v>
      </c>
      <c r="C305" s="8" t="str">
        <f ca="1">IFERROR(__xludf.DUMMYFUNCTION("""COMPUTED_VALUE"""),"https://leetcode.com/problems/sequential-digits")</f>
        <v>https://leetcode.com/problems/sequential-digits</v>
      </c>
      <c r="D305" s="3" t="str">
        <f ca="1">IFERROR(__xludf.DUMMYFUNCTION("""COMPUTED_VALUE"""),"N")</f>
        <v>N</v>
      </c>
      <c r="E305" s="6">
        <f ca="1">IFERROR(__xludf.DUMMYFUNCTION("""COMPUTED_VALUE"""),0.613)</f>
        <v>0.61299999999999999</v>
      </c>
      <c r="F305" s="3" t="str">
        <f ca="1">IFERROR(__xludf.DUMMYFUNCTION("""COMPUTED_VALUE"""),"Medium")</f>
        <v>Medium</v>
      </c>
      <c r="G305" s="3" t="str">
        <f ca="1">IFERROR(__xludf.DUMMYFUNCTION("""COMPUTED_VALUE"""),"44.5652%;")</f>
        <v>44.5652%;</v>
      </c>
    </row>
    <row r="306" spans="1:7" x14ac:dyDescent="0.2">
      <c r="A306" s="3">
        <f ca="1">IFERROR(__xludf.DUMMYFUNCTION("""COMPUTED_VALUE"""),1130)</f>
        <v>1130</v>
      </c>
      <c r="B306" s="4" t="str">
        <f ca="1">IFERROR(__xludf.DUMMYFUNCTION("""COMPUTED_VALUE"""),"Minimum Cost Tree From Leaf Values")</f>
        <v>Minimum Cost Tree From Leaf Values</v>
      </c>
      <c r="C306" s="8" t="str">
        <f ca="1">IFERROR(__xludf.DUMMYFUNCTION("""COMPUTED_VALUE"""),"https://leetcode.com/problems/minimum-cost-tree-from-leaf-values")</f>
        <v>https://leetcode.com/problems/minimum-cost-tree-from-leaf-values</v>
      </c>
      <c r="D306" s="3" t="str">
        <f ca="1">IFERROR(__xludf.DUMMYFUNCTION("""COMPUTED_VALUE"""),"N")</f>
        <v>N</v>
      </c>
      <c r="E306" s="6">
        <f ca="1">IFERROR(__xludf.DUMMYFUNCTION("""COMPUTED_VALUE"""),0.685)</f>
        <v>0.68500000000000005</v>
      </c>
      <c r="F306" s="3" t="str">
        <f ca="1">IFERROR(__xludf.DUMMYFUNCTION("""COMPUTED_VALUE"""),"Medium")</f>
        <v>Medium</v>
      </c>
      <c r="G306" s="3" t="str">
        <f ca="1">IFERROR(__xludf.DUMMYFUNCTION("""COMPUTED_VALUE"""),"14.7215%;")</f>
        <v>14.7215%;</v>
      </c>
    </row>
    <row r="307" spans="1:7" x14ac:dyDescent="0.2">
      <c r="A307" s="3">
        <f ca="1">IFERROR(__xludf.DUMMYFUNCTION("""COMPUTED_VALUE"""),1146)</f>
        <v>1146</v>
      </c>
      <c r="B307" s="4" t="str">
        <f ca="1">IFERROR(__xludf.DUMMYFUNCTION("""COMPUTED_VALUE"""),"Snapshot Array")</f>
        <v>Snapshot Array</v>
      </c>
      <c r="C307" s="8" t="str">
        <f ca="1">IFERROR(__xludf.DUMMYFUNCTION("""COMPUTED_VALUE"""),"https://leetcode.com/problems/snapshot-array")</f>
        <v>https://leetcode.com/problems/snapshot-array</v>
      </c>
      <c r="D307" s="3" t="str">
        <f ca="1">IFERROR(__xludf.DUMMYFUNCTION("""COMPUTED_VALUE"""),"N")</f>
        <v>N</v>
      </c>
      <c r="E307" s="6">
        <f ca="1">IFERROR(__xludf.DUMMYFUNCTION("""COMPUTED_VALUE"""),0.373)</f>
        <v>0.373</v>
      </c>
      <c r="F307" s="3" t="str">
        <f ca="1">IFERROR(__xludf.DUMMYFUNCTION("""COMPUTED_VALUE"""),"Medium")</f>
        <v>Medium</v>
      </c>
      <c r="G307" s="3" t="str">
        <f ca="1">IFERROR(__xludf.DUMMYFUNCTION("""COMPUTED_VALUE"""),"16.9293%;")</f>
        <v>16.9293%;</v>
      </c>
    </row>
    <row r="308" spans="1:7" x14ac:dyDescent="0.2">
      <c r="A308" s="3">
        <f ca="1">IFERROR(__xludf.DUMMYFUNCTION("""COMPUTED_VALUE"""),1143)</f>
        <v>1143</v>
      </c>
      <c r="B308" s="4" t="str">
        <f ca="1">IFERROR(__xludf.DUMMYFUNCTION("""COMPUTED_VALUE"""),"Longest Common Subsequence")</f>
        <v>Longest Common Subsequence</v>
      </c>
      <c r="C308" s="8" t="str">
        <f ca="1">IFERROR(__xludf.DUMMYFUNCTION("""COMPUTED_VALUE"""),"https://leetcode.com/problems/longest-common-subsequence")</f>
        <v>https://leetcode.com/problems/longest-common-subsequence</v>
      </c>
      <c r="D308" s="3" t="str">
        <f ca="1">IFERROR(__xludf.DUMMYFUNCTION("""COMPUTED_VALUE"""),"N")</f>
        <v>N</v>
      </c>
      <c r="E308" s="6">
        <f ca="1">IFERROR(__xludf.DUMMYFUNCTION("""COMPUTED_VALUE"""),0.588)</f>
        <v>0.58799999999999997</v>
      </c>
      <c r="F308" s="3" t="str">
        <f ca="1">IFERROR(__xludf.DUMMYFUNCTION("""COMPUTED_VALUE"""),"Medium")</f>
        <v>Medium</v>
      </c>
      <c r="G308" s="3" t="str">
        <f ca="1">IFERROR(__xludf.DUMMYFUNCTION("""COMPUTED_VALUE"""),"8.98071%;")</f>
        <v>8.98071%;</v>
      </c>
    </row>
    <row r="309" spans="1:7" x14ac:dyDescent="0.2">
      <c r="A309" s="3">
        <f ca="1">IFERROR(__xludf.DUMMYFUNCTION("""COMPUTED_VALUE"""),1329)</f>
        <v>1329</v>
      </c>
      <c r="B309" s="4" t="str">
        <f ca="1">IFERROR(__xludf.DUMMYFUNCTION("""COMPUTED_VALUE"""),"Sort the Matrix Diagonally")</f>
        <v>Sort the Matrix Diagonally</v>
      </c>
      <c r="C309" s="8" t="str">
        <f ca="1">IFERROR(__xludf.DUMMYFUNCTION("""COMPUTED_VALUE"""),"https://leetcode.com/problems/sort-the-matrix-diagonally")</f>
        <v>https://leetcode.com/problems/sort-the-matrix-diagonally</v>
      </c>
      <c r="D309" s="3" t="str">
        <f ca="1">IFERROR(__xludf.DUMMYFUNCTION("""COMPUTED_VALUE"""),"N")</f>
        <v>N</v>
      </c>
      <c r="E309" s="6">
        <f ca="1">IFERROR(__xludf.DUMMYFUNCTION("""COMPUTED_VALUE"""),0.836)</f>
        <v>0.83599999999999997</v>
      </c>
      <c r="F309" s="3" t="str">
        <f ca="1">IFERROR(__xludf.DUMMYFUNCTION("""COMPUTED_VALUE"""),"Medium")</f>
        <v>Medium</v>
      </c>
      <c r="G309" s="3" t="str">
        <f ca="1">IFERROR(__xludf.DUMMYFUNCTION("""COMPUTED_VALUE"""),"9.11345%;")</f>
        <v>9.11345%;</v>
      </c>
    </row>
    <row r="310" spans="1:7" x14ac:dyDescent="0.2">
      <c r="A310" s="3">
        <f ca="1">IFERROR(__xludf.DUMMYFUNCTION("""COMPUTED_VALUE"""),1169)</f>
        <v>1169</v>
      </c>
      <c r="B310" s="4" t="str">
        <f ca="1">IFERROR(__xludf.DUMMYFUNCTION("""COMPUTED_VALUE"""),"Invalid Transactions")</f>
        <v>Invalid Transactions</v>
      </c>
      <c r="C310" s="8" t="str">
        <f ca="1">IFERROR(__xludf.DUMMYFUNCTION("""COMPUTED_VALUE"""),"https://leetcode.com/problems/invalid-transactions")</f>
        <v>https://leetcode.com/problems/invalid-transactions</v>
      </c>
      <c r="D310" s="3" t="str">
        <f ca="1">IFERROR(__xludf.DUMMYFUNCTION("""COMPUTED_VALUE"""),"N")</f>
        <v>N</v>
      </c>
      <c r="E310" s="6">
        <f ca="1">IFERROR(__xludf.DUMMYFUNCTION("""COMPUTED_VALUE"""),0.312)</f>
        <v>0.312</v>
      </c>
      <c r="F310" s="3" t="str">
        <f ca="1">IFERROR(__xludf.DUMMYFUNCTION("""COMPUTED_VALUE"""),"Medium")</f>
        <v>Medium</v>
      </c>
      <c r="G310" s="3" t="str">
        <f ca="1">IFERROR(__xludf.DUMMYFUNCTION("""COMPUTED_VALUE"""),"5.89617%;")</f>
        <v>5.89617%;</v>
      </c>
    </row>
    <row r="311" spans="1:7" x14ac:dyDescent="0.2">
      <c r="A311" s="3">
        <f ca="1">IFERROR(__xludf.DUMMYFUNCTION("""COMPUTED_VALUE"""),1191)</f>
        <v>1191</v>
      </c>
      <c r="B311" s="4" t="str">
        <f ca="1">IFERROR(__xludf.DUMMYFUNCTION("""COMPUTED_VALUE"""),"K-Concatenation Maximum Sum")</f>
        <v>K-Concatenation Maximum Sum</v>
      </c>
      <c r="C311" s="8" t="str">
        <f ca="1">IFERROR(__xludf.DUMMYFUNCTION("""COMPUTED_VALUE"""),"https://leetcode.com/problems/k-concatenation-maximum-sum")</f>
        <v>https://leetcode.com/problems/k-concatenation-maximum-sum</v>
      </c>
      <c r="D311" s="3" t="str">
        <f ca="1">IFERROR(__xludf.DUMMYFUNCTION("""COMPUTED_VALUE"""),"N")</f>
        <v>N</v>
      </c>
      <c r="E311" s="6">
        <f ca="1">IFERROR(__xludf.DUMMYFUNCTION("""COMPUTED_VALUE"""),0.239)</f>
        <v>0.23899999999999999</v>
      </c>
      <c r="F311" s="3" t="str">
        <f ca="1">IFERROR(__xludf.DUMMYFUNCTION("""COMPUTED_VALUE"""),"Medium")</f>
        <v>Medium</v>
      </c>
      <c r="G311" s="3" t="str">
        <f ca="1">IFERROR(__xludf.DUMMYFUNCTION("""COMPUTED_VALUE"""),"28.2766%;")</f>
        <v>28.2766%;</v>
      </c>
    </row>
    <row r="312" spans="1:7" x14ac:dyDescent="0.2">
      <c r="A312" s="3">
        <f ca="1">IFERROR(__xludf.DUMMYFUNCTION("""COMPUTED_VALUE"""),2139)</f>
        <v>2139</v>
      </c>
      <c r="B312" s="4" t="str">
        <f ca="1">IFERROR(__xludf.DUMMYFUNCTION("""COMPUTED_VALUE"""),"Minimum Moves to Reach Target Score")</f>
        <v>Minimum Moves to Reach Target Score</v>
      </c>
      <c r="C312" s="8" t="str">
        <f ca="1">IFERROR(__xludf.DUMMYFUNCTION("""COMPUTED_VALUE"""),"https://leetcode.com/problems/minimum-moves-to-reach-target-score")</f>
        <v>https://leetcode.com/problems/minimum-moves-to-reach-target-score</v>
      </c>
      <c r="D312" s="3" t="str">
        <f ca="1">IFERROR(__xludf.DUMMYFUNCTION("""COMPUTED_VALUE"""),"N")</f>
        <v>N</v>
      </c>
      <c r="E312" s="6">
        <f ca="1">IFERROR(__xludf.DUMMYFUNCTION("""COMPUTED_VALUE"""),0.484)</f>
        <v>0.48399999999999999</v>
      </c>
      <c r="F312" s="3" t="str">
        <f ca="1">IFERROR(__xludf.DUMMYFUNCTION("""COMPUTED_VALUE"""),"Medium")</f>
        <v>Medium</v>
      </c>
      <c r="G312" s="3" t="str">
        <f ca="1">IFERROR(__xludf.DUMMYFUNCTION("""COMPUTED_VALUE"""),"15.4166%;")</f>
        <v>15.4166%;</v>
      </c>
    </row>
    <row r="313" spans="1:7" x14ac:dyDescent="0.2">
      <c r="A313" s="3">
        <f ca="1">IFERROR(__xludf.DUMMYFUNCTION("""COMPUTED_VALUE"""),1405)</f>
        <v>1405</v>
      </c>
      <c r="B313" s="4" t="str">
        <f ca="1">IFERROR(__xludf.DUMMYFUNCTION("""COMPUTED_VALUE"""),"Longest Happy String")</f>
        <v>Longest Happy String</v>
      </c>
      <c r="C313" s="8" t="str">
        <f ca="1">IFERROR(__xludf.DUMMYFUNCTION("""COMPUTED_VALUE"""),"https://leetcode.com/problems/longest-happy-string")</f>
        <v>https://leetcode.com/problems/longest-happy-string</v>
      </c>
      <c r="D313" s="3" t="str">
        <f ca="1">IFERROR(__xludf.DUMMYFUNCTION("""COMPUTED_VALUE"""),"N")</f>
        <v>N</v>
      </c>
      <c r="E313" s="6">
        <f ca="1">IFERROR(__xludf.DUMMYFUNCTION("""COMPUTED_VALUE"""),0.574)</f>
        <v>0.57399999999999995</v>
      </c>
      <c r="F313" s="3" t="str">
        <f ca="1">IFERROR(__xludf.DUMMYFUNCTION("""COMPUTED_VALUE"""),"Medium")</f>
        <v>Medium</v>
      </c>
      <c r="G313" s="3" t="str">
        <f ca="1">IFERROR(__xludf.DUMMYFUNCTION("""COMPUTED_VALUE"""),"32.3468%;")</f>
        <v>32.3468%;</v>
      </c>
    </row>
    <row r="314" spans="1:7" x14ac:dyDescent="0.2">
      <c r="A314" s="3">
        <f ca="1">IFERROR(__xludf.DUMMYFUNCTION("""COMPUTED_VALUE"""),1202)</f>
        <v>1202</v>
      </c>
      <c r="B314" s="4" t="str">
        <f ca="1">IFERROR(__xludf.DUMMYFUNCTION("""COMPUTED_VALUE"""),"Smallest String With Swaps")</f>
        <v>Smallest String With Swaps</v>
      </c>
      <c r="C314" s="8" t="str">
        <f ca="1">IFERROR(__xludf.DUMMYFUNCTION("""COMPUTED_VALUE"""),"https://leetcode.com/problems/smallest-string-with-swaps")</f>
        <v>https://leetcode.com/problems/smallest-string-with-swaps</v>
      </c>
      <c r="D314" s="3" t="str">
        <f ca="1">IFERROR(__xludf.DUMMYFUNCTION("""COMPUTED_VALUE"""),"N")</f>
        <v>N</v>
      </c>
      <c r="E314" s="6">
        <f ca="1">IFERROR(__xludf.DUMMYFUNCTION("""COMPUTED_VALUE"""),0.576)</f>
        <v>0.57599999999999996</v>
      </c>
      <c r="F314" s="3" t="str">
        <f ca="1">IFERROR(__xludf.DUMMYFUNCTION("""COMPUTED_VALUE"""),"Medium")</f>
        <v>Medium</v>
      </c>
      <c r="G314" s="3" t="str">
        <f ca="1">IFERROR(__xludf.DUMMYFUNCTION("""COMPUTED_VALUE"""),"10.8714%;")</f>
        <v>10.8714%;</v>
      </c>
    </row>
    <row r="315" spans="1:7" x14ac:dyDescent="0.2">
      <c r="A315" s="3">
        <f ca="1">IFERROR(__xludf.DUMMYFUNCTION("""COMPUTED_VALUE"""),1209)</f>
        <v>1209</v>
      </c>
      <c r="B315" s="4" t="str">
        <f ca="1">IFERROR(__xludf.DUMMYFUNCTION("""COMPUTED_VALUE"""),"Remove All Adjacent Duplicates in String II")</f>
        <v>Remove All Adjacent Duplicates in String II</v>
      </c>
      <c r="C315" s="8" t="str">
        <f ca="1">IFERROR(__xludf.DUMMYFUNCTION("""COMPUTED_VALUE"""),"https://leetcode.com/problems/remove-all-adjacent-duplicates-in-string-ii")</f>
        <v>https://leetcode.com/problems/remove-all-adjacent-duplicates-in-string-ii</v>
      </c>
      <c r="D315" s="3" t="str">
        <f ca="1">IFERROR(__xludf.DUMMYFUNCTION("""COMPUTED_VALUE"""),"N")</f>
        <v>N</v>
      </c>
      <c r="E315" s="6">
        <f ca="1">IFERROR(__xludf.DUMMYFUNCTION("""COMPUTED_VALUE"""),0.56)</f>
        <v>0.56000000000000005</v>
      </c>
      <c r="F315" s="3" t="str">
        <f ca="1">IFERROR(__xludf.DUMMYFUNCTION("""COMPUTED_VALUE"""),"Medium")</f>
        <v>Medium</v>
      </c>
      <c r="G315" s="3" t="str">
        <f ca="1">IFERROR(__xludf.DUMMYFUNCTION("""COMPUTED_VALUE"""),"31.6486%;")</f>
        <v>31.6486%;</v>
      </c>
    </row>
    <row r="316" spans="1:7" x14ac:dyDescent="0.2">
      <c r="A316" s="3">
        <f ca="1">IFERROR(__xludf.DUMMYFUNCTION("""COMPUTED_VALUE"""),1706)</f>
        <v>1706</v>
      </c>
      <c r="B316" s="4" t="str">
        <f ca="1">IFERROR(__xludf.DUMMYFUNCTION("""COMPUTED_VALUE"""),"Where Will the Ball Fall")</f>
        <v>Where Will the Ball Fall</v>
      </c>
      <c r="C316" s="8" t="str">
        <f ca="1">IFERROR(__xludf.DUMMYFUNCTION("""COMPUTED_VALUE"""),"https://leetcode.com/problems/where-will-the-ball-fall")</f>
        <v>https://leetcode.com/problems/where-will-the-ball-fall</v>
      </c>
      <c r="D316" s="3" t="str">
        <f ca="1">IFERROR(__xludf.DUMMYFUNCTION("""COMPUTED_VALUE"""),"N")</f>
        <v>N</v>
      </c>
      <c r="E316" s="6">
        <f ca="1">IFERROR(__xludf.DUMMYFUNCTION("""COMPUTED_VALUE"""),0.716)</f>
        <v>0.71599999999999997</v>
      </c>
      <c r="F316" s="3" t="str">
        <f ca="1">IFERROR(__xludf.DUMMYFUNCTION("""COMPUTED_VALUE"""),"Medium")</f>
        <v>Medium</v>
      </c>
      <c r="G316" s="3" t="str">
        <f ca="1">IFERROR(__xludf.DUMMYFUNCTION("""COMPUTED_VALUE"""),"2.5692%;")</f>
        <v>2.5692%;</v>
      </c>
    </row>
    <row r="317" spans="1:7" x14ac:dyDescent="0.2">
      <c r="A317" s="3">
        <f ca="1">IFERROR(__xludf.DUMMYFUNCTION("""COMPUTED_VALUE"""),1726)</f>
        <v>1726</v>
      </c>
      <c r="B317" s="4" t="str">
        <f ca="1">IFERROR(__xludf.DUMMYFUNCTION("""COMPUTED_VALUE"""),"Tuple with Same Product")</f>
        <v>Tuple with Same Product</v>
      </c>
      <c r="C317" s="8" t="str">
        <f ca="1">IFERROR(__xludf.DUMMYFUNCTION("""COMPUTED_VALUE"""),"https://leetcode.com/problems/tuple-with-same-product")</f>
        <v>https://leetcode.com/problems/tuple-with-same-product</v>
      </c>
      <c r="D317" s="3" t="str">
        <f ca="1">IFERROR(__xludf.DUMMYFUNCTION("""COMPUTED_VALUE"""),"N")</f>
        <v>N</v>
      </c>
      <c r="E317" s="6">
        <f ca="1">IFERROR(__xludf.DUMMYFUNCTION("""COMPUTED_VALUE"""),0.608)</f>
        <v>0.60799999999999998</v>
      </c>
      <c r="F317" s="3" t="str">
        <f ca="1">IFERROR(__xludf.DUMMYFUNCTION("""COMPUTED_VALUE"""),"Medium")</f>
        <v>Medium</v>
      </c>
      <c r="G317" s="3" t="str">
        <f ca="1">IFERROR(__xludf.DUMMYFUNCTION("""COMPUTED_VALUE"""),"22.5746%;")</f>
        <v>22.5746%;</v>
      </c>
    </row>
    <row r="318" spans="1:7" x14ac:dyDescent="0.2">
      <c r="A318" s="3">
        <f ca="1">IFERROR(__xludf.DUMMYFUNCTION("""COMPUTED_VALUE"""),1429)</f>
        <v>1429</v>
      </c>
      <c r="B318" s="4" t="str">
        <f ca="1">IFERROR(__xludf.DUMMYFUNCTION("""COMPUTED_VALUE"""),"First Unique Number")</f>
        <v>First Unique Number</v>
      </c>
      <c r="C318" s="8" t="str">
        <f ca="1">IFERROR(__xludf.DUMMYFUNCTION("""COMPUTED_VALUE"""),"https://leetcode.com/problems/first-unique-number")</f>
        <v>https://leetcode.com/problems/first-unique-number</v>
      </c>
      <c r="D318" s="3" t="str">
        <f ca="1">IFERROR(__xludf.DUMMYFUNCTION("""COMPUTED_VALUE"""),"Y")</f>
        <v>Y</v>
      </c>
      <c r="E318" s="6">
        <f ca="1">IFERROR(__xludf.DUMMYFUNCTION("""COMPUTED_VALUE"""),0.527)</f>
        <v>0.52700000000000002</v>
      </c>
      <c r="F318" s="3" t="str">
        <f ca="1">IFERROR(__xludf.DUMMYFUNCTION("""COMPUTED_VALUE"""),"Medium")</f>
        <v>Medium</v>
      </c>
      <c r="G318" s="3" t="str">
        <f ca="1">IFERROR(__xludf.DUMMYFUNCTION("""COMPUTED_VALUE"""),"35.3902%;")</f>
        <v>35.3902%;</v>
      </c>
    </row>
    <row r="319" spans="1:7" x14ac:dyDescent="0.2">
      <c r="A319" s="3">
        <f ca="1">IFERROR(__xludf.DUMMYFUNCTION("""COMPUTED_VALUE"""),1249)</f>
        <v>1249</v>
      </c>
      <c r="B319" s="4" t="str">
        <f ca="1">IFERROR(__xludf.DUMMYFUNCTION("""COMPUTED_VALUE"""),"Minimum Remove to Make Valid Parentheses")</f>
        <v>Minimum Remove to Make Valid Parentheses</v>
      </c>
      <c r="C319" s="8" t="str">
        <f ca="1">IFERROR(__xludf.DUMMYFUNCTION("""COMPUTED_VALUE"""),"https://leetcode.com/problems/minimum-remove-to-make-valid-parentheses")</f>
        <v>https://leetcode.com/problems/minimum-remove-to-make-valid-parentheses</v>
      </c>
      <c r="D319" s="3" t="str">
        <f ca="1">IFERROR(__xludf.DUMMYFUNCTION("""COMPUTED_VALUE"""),"N")</f>
        <v>N</v>
      </c>
      <c r="E319" s="6">
        <f ca="1">IFERROR(__xludf.DUMMYFUNCTION("""COMPUTED_VALUE"""),0.657)</f>
        <v>0.65700000000000003</v>
      </c>
      <c r="F319" s="3" t="str">
        <f ca="1">IFERROR(__xludf.DUMMYFUNCTION("""COMPUTED_VALUE"""),"Medium")</f>
        <v>Medium</v>
      </c>
      <c r="G319" s="3" t="str">
        <f ca="1">IFERROR(__xludf.DUMMYFUNCTION("""COMPUTED_VALUE"""),"8.03794%;")</f>
        <v>8.03794%;</v>
      </c>
    </row>
    <row r="320" spans="1:7" x14ac:dyDescent="0.2">
      <c r="A320" s="3">
        <f ca="1">IFERROR(__xludf.DUMMYFUNCTION("""COMPUTED_VALUE"""),1428)</f>
        <v>1428</v>
      </c>
      <c r="B320" s="4" t="str">
        <f ca="1">IFERROR(__xludf.DUMMYFUNCTION("""COMPUTED_VALUE"""),"Leftmost Column with at Least a One")</f>
        <v>Leftmost Column with at Least a One</v>
      </c>
      <c r="C320" s="8" t="str">
        <f ca="1">IFERROR(__xludf.DUMMYFUNCTION("""COMPUTED_VALUE"""),"https://leetcode.com/problems/leftmost-column-with-at-least-a-one")</f>
        <v>https://leetcode.com/problems/leftmost-column-with-at-least-a-one</v>
      </c>
      <c r="D320" s="3" t="str">
        <f ca="1">IFERROR(__xludf.DUMMYFUNCTION("""COMPUTED_VALUE"""),"Y")</f>
        <v>Y</v>
      </c>
      <c r="E320" s="6">
        <f ca="1">IFERROR(__xludf.DUMMYFUNCTION("""COMPUTED_VALUE"""),0.53)</f>
        <v>0.53</v>
      </c>
      <c r="F320" s="3" t="str">
        <f ca="1">IFERROR(__xludf.DUMMYFUNCTION("""COMPUTED_VALUE"""),"Medium")</f>
        <v>Medium</v>
      </c>
      <c r="G320" s="3" t="str">
        <f ca="1">IFERROR(__xludf.DUMMYFUNCTION("""COMPUTED_VALUE"""),"15.0606%;")</f>
        <v>15.0606%;</v>
      </c>
    </row>
    <row r="321" spans="1:7" x14ac:dyDescent="0.2">
      <c r="A321" s="3">
        <f ca="1">IFERROR(__xludf.DUMMYFUNCTION("""COMPUTED_VALUE"""),1268)</f>
        <v>1268</v>
      </c>
      <c r="B321" s="4" t="str">
        <f ca="1">IFERROR(__xludf.DUMMYFUNCTION("""COMPUTED_VALUE"""),"Search Suggestions System")</f>
        <v>Search Suggestions System</v>
      </c>
      <c r="C321" s="8" t="str">
        <f ca="1">IFERROR(__xludf.DUMMYFUNCTION("""COMPUTED_VALUE"""),"https://leetcode.com/problems/search-suggestions-system")</f>
        <v>https://leetcode.com/problems/search-suggestions-system</v>
      </c>
      <c r="D321" s="3" t="str">
        <f ca="1">IFERROR(__xludf.DUMMYFUNCTION("""COMPUTED_VALUE"""),"N")</f>
        <v>N</v>
      </c>
      <c r="E321" s="6">
        <f ca="1">IFERROR(__xludf.DUMMYFUNCTION("""COMPUTED_VALUE"""),0.665)</f>
        <v>0.66500000000000004</v>
      </c>
      <c r="F321" s="3" t="str">
        <f ca="1">IFERROR(__xludf.DUMMYFUNCTION("""COMPUTED_VALUE"""),"Medium")</f>
        <v>Medium</v>
      </c>
      <c r="G321" s="3" t="str">
        <f ca="1">IFERROR(__xludf.DUMMYFUNCTION("""COMPUTED_VALUE"""),"73.5862%;")</f>
        <v>73.5862%;</v>
      </c>
    </row>
    <row r="322" spans="1:7" x14ac:dyDescent="0.2">
      <c r="A322" s="3">
        <f ca="1">IFERROR(__xludf.DUMMYFUNCTION("""COMPUTED_VALUE"""),1277)</f>
        <v>1277</v>
      </c>
      <c r="B322" s="4" t="str">
        <f ca="1">IFERROR(__xludf.DUMMYFUNCTION("""COMPUTED_VALUE"""),"Count Square Submatrices with All Ones")</f>
        <v>Count Square Submatrices with All Ones</v>
      </c>
      <c r="C322" s="8" t="str">
        <f ca="1">IFERROR(__xludf.DUMMYFUNCTION("""COMPUTED_VALUE"""),"https://leetcode.com/problems/count-square-submatrices-with-all-ones")</f>
        <v>https://leetcode.com/problems/count-square-submatrices-with-all-ones</v>
      </c>
      <c r="D322" s="3" t="str">
        <f ca="1">IFERROR(__xludf.DUMMYFUNCTION("""COMPUTED_VALUE"""),"N")</f>
        <v>N</v>
      </c>
      <c r="E322" s="6">
        <f ca="1">IFERROR(__xludf.DUMMYFUNCTION("""COMPUTED_VALUE"""),0.744)</f>
        <v>0.74399999999999999</v>
      </c>
      <c r="F322" s="3" t="str">
        <f ca="1">IFERROR(__xludf.DUMMYFUNCTION("""COMPUTED_VALUE"""),"Medium")</f>
        <v>Medium</v>
      </c>
      <c r="G322" s="3" t="str">
        <f ca="1">IFERROR(__xludf.DUMMYFUNCTION("""COMPUTED_VALUE"""),"6.33026%;")</f>
        <v>6.33026%;</v>
      </c>
    </row>
    <row r="323" spans="1:7" x14ac:dyDescent="0.2">
      <c r="A323" s="3">
        <f ca="1">IFERROR(__xludf.DUMMYFUNCTION("""COMPUTED_VALUE"""),1306)</f>
        <v>1306</v>
      </c>
      <c r="B323" s="4" t="str">
        <f ca="1">IFERROR(__xludf.DUMMYFUNCTION("""COMPUTED_VALUE"""),"Jump Game III")</f>
        <v>Jump Game III</v>
      </c>
      <c r="C323" s="8" t="str">
        <f ca="1">IFERROR(__xludf.DUMMYFUNCTION("""COMPUTED_VALUE"""),"https://leetcode.com/problems/jump-game-iii")</f>
        <v>https://leetcode.com/problems/jump-game-iii</v>
      </c>
      <c r="D323" s="3" t="str">
        <f ca="1">IFERROR(__xludf.DUMMYFUNCTION("""COMPUTED_VALUE"""),"N")</f>
        <v>N</v>
      </c>
      <c r="E323" s="6">
        <f ca="1">IFERROR(__xludf.DUMMYFUNCTION("""COMPUTED_VALUE"""),0.631)</f>
        <v>0.63100000000000001</v>
      </c>
      <c r="F323" s="3" t="str">
        <f ca="1">IFERROR(__xludf.DUMMYFUNCTION("""COMPUTED_VALUE"""),"Medium")</f>
        <v>Medium</v>
      </c>
      <c r="G323" s="3" t="str">
        <f ca="1">IFERROR(__xludf.DUMMYFUNCTION("""COMPUTED_VALUE"""),"5.2654%;")</f>
        <v>5.2654%;</v>
      </c>
    </row>
    <row r="324" spans="1:7" x14ac:dyDescent="0.2">
      <c r="A324" s="3">
        <f ca="1">IFERROR(__xludf.DUMMYFUNCTION("""COMPUTED_VALUE"""),1344)</f>
        <v>1344</v>
      </c>
      <c r="B324" s="4" t="str">
        <f ca="1">IFERROR(__xludf.DUMMYFUNCTION("""COMPUTED_VALUE"""),"Angle Between Hands of a Clock")</f>
        <v>Angle Between Hands of a Clock</v>
      </c>
      <c r="C324" s="8" t="str">
        <f ca="1">IFERROR(__xludf.DUMMYFUNCTION("""COMPUTED_VALUE"""),"https://leetcode.com/problems/angle-between-hands-of-a-clock")</f>
        <v>https://leetcode.com/problems/angle-between-hands-of-a-clock</v>
      </c>
      <c r="D324" s="3" t="str">
        <f ca="1">IFERROR(__xludf.DUMMYFUNCTION("""COMPUTED_VALUE"""),"N")</f>
        <v>N</v>
      </c>
      <c r="E324" s="6">
        <f ca="1">IFERROR(__xludf.DUMMYFUNCTION("""COMPUTED_VALUE"""),0.634)</f>
        <v>0.63400000000000001</v>
      </c>
      <c r="F324" s="3" t="str">
        <f ca="1">IFERROR(__xludf.DUMMYFUNCTION("""COMPUTED_VALUE"""),"Medium")</f>
        <v>Medium</v>
      </c>
      <c r="G324" s="3" t="str">
        <f ca="1">IFERROR(__xludf.DUMMYFUNCTION("""COMPUTED_VALUE"""),"36.5587%;")</f>
        <v>36.5587%;</v>
      </c>
    </row>
    <row r="325" spans="1:7" x14ac:dyDescent="0.2">
      <c r="A325" s="3">
        <f ca="1">IFERROR(__xludf.DUMMYFUNCTION("""COMPUTED_VALUE"""),1338)</f>
        <v>1338</v>
      </c>
      <c r="B325" s="4" t="str">
        <f ca="1">IFERROR(__xludf.DUMMYFUNCTION("""COMPUTED_VALUE"""),"Reduce Array Size to The Half")</f>
        <v>Reduce Array Size to The Half</v>
      </c>
      <c r="C325" s="8" t="str">
        <f ca="1">IFERROR(__xludf.DUMMYFUNCTION("""COMPUTED_VALUE"""),"https://leetcode.com/problems/reduce-array-size-to-the-half")</f>
        <v>https://leetcode.com/problems/reduce-array-size-to-the-half</v>
      </c>
      <c r="D325" s="3" t="str">
        <f ca="1">IFERROR(__xludf.DUMMYFUNCTION("""COMPUTED_VALUE"""),"N")</f>
        <v>N</v>
      </c>
      <c r="E325" s="6">
        <f ca="1">IFERROR(__xludf.DUMMYFUNCTION("""COMPUTED_VALUE"""),0.697)</f>
        <v>0.69699999999999995</v>
      </c>
      <c r="F325" s="3" t="str">
        <f ca="1">IFERROR(__xludf.DUMMYFUNCTION("""COMPUTED_VALUE"""),"Medium")</f>
        <v>Medium</v>
      </c>
      <c r="G325" s="3" t="str">
        <f ca="1">IFERROR(__xludf.DUMMYFUNCTION("""COMPUTED_VALUE"""),"9.3649%;")</f>
        <v>9.3649%;</v>
      </c>
    </row>
    <row r="326" spans="1:7" x14ac:dyDescent="0.2">
      <c r="A326" s="3">
        <f ca="1">IFERROR(__xludf.DUMMYFUNCTION("""COMPUTED_VALUE"""),1339)</f>
        <v>1339</v>
      </c>
      <c r="B326" s="4" t="str">
        <f ca="1">IFERROR(__xludf.DUMMYFUNCTION("""COMPUTED_VALUE"""),"Maximum Product of Splitted Binary Tree")</f>
        <v>Maximum Product of Splitted Binary Tree</v>
      </c>
      <c r="C326" s="8" t="str">
        <f ca="1">IFERROR(__xludf.DUMMYFUNCTION("""COMPUTED_VALUE"""),"https://leetcode.com/problems/maximum-product-of-splitted-binary-tree")</f>
        <v>https://leetcode.com/problems/maximum-product-of-splitted-binary-tree</v>
      </c>
      <c r="D326" s="3" t="str">
        <f ca="1">IFERROR(__xludf.DUMMYFUNCTION("""COMPUTED_VALUE"""),"N")</f>
        <v>N</v>
      </c>
      <c r="E326" s="6">
        <f ca="1">IFERROR(__xludf.DUMMYFUNCTION("""COMPUTED_VALUE"""),0.434)</f>
        <v>0.434</v>
      </c>
      <c r="F326" s="3" t="str">
        <f ca="1">IFERROR(__xludf.DUMMYFUNCTION("""COMPUTED_VALUE"""),"Medium")</f>
        <v>Medium</v>
      </c>
      <c r="G326" s="3" t="str">
        <f ca="1">IFERROR(__xludf.DUMMYFUNCTION("""COMPUTED_VALUE"""),"15.7911%;")</f>
        <v>15.7911%;</v>
      </c>
    </row>
    <row r="327" spans="1:7" x14ac:dyDescent="0.2">
      <c r="A327" s="3">
        <f ca="1">IFERROR(__xludf.DUMMYFUNCTION("""COMPUTED_VALUE"""),1372)</f>
        <v>1372</v>
      </c>
      <c r="B327" s="4" t="str">
        <f ca="1">IFERROR(__xludf.DUMMYFUNCTION("""COMPUTED_VALUE"""),"Longest ZigZag Path in a Binary Tree")</f>
        <v>Longest ZigZag Path in a Binary Tree</v>
      </c>
      <c r="C327" s="8" t="str">
        <f ca="1">IFERROR(__xludf.DUMMYFUNCTION("""COMPUTED_VALUE"""),"https://leetcode.com/problems/longest-zigzag-path-in-a-binary-tree")</f>
        <v>https://leetcode.com/problems/longest-zigzag-path-in-a-binary-tree</v>
      </c>
      <c r="D327" s="3" t="str">
        <f ca="1">IFERROR(__xludf.DUMMYFUNCTION("""COMPUTED_VALUE"""),"N")</f>
        <v>N</v>
      </c>
      <c r="E327" s="6">
        <f ca="1">IFERROR(__xludf.DUMMYFUNCTION("""COMPUTED_VALUE"""),0.597)</f>
        <v>0.59699999999999998</v>
      </c>
      <c r="F327" s="3" t="str">
        <f ca="1">IFERROR(__xludf.DUMMYFUNCTION("""COMPUTED_VALUE"""),"Medium")</f>
        <v>Medium</v>
      </c>
      <c r="G327" s="3" t="str">
        <f ca="1">IFERROR(__xludf.DUMMYFUNCTION("""COMPUTED_VALUE"""),"28.929%;")</f>
        <v>28.929%;</v>
      </c>
    </row>
    <row r="328" spans="1:7" x14ac:dyDescent="0.2">
      <c r="A328" s="3">
        <f ca="1">IFERROR(__xludf.DUMMYFUNCTION("""COMPUTED_VALUE"""),1353)</f>
        <v>1353</v>
      </c>
      <c r="B328" s="4" t="str">
        <f ca="1">IFERROR(__xludf.DUMMYFUNCTION("""COMPUTED_VALUE"""),"Maximum Number of Events That Can Be Attended")</f>
        <v>Maximum Number of Events That Can Be Attended</v>
      </c>
      <c r="C328" s="8" t="str">
        <f ca="1">IFERROR(__xludf.DUMMYFUNCTION("""COMPUTED_VALUE"""),"https://leetcode.com/problems/maximum-number-of-events-that-can-be-attended")</f>
        <v>https://leetcode.com/problems/maximum-number-of-events-that-can-be-attended</v>
      </c>
      <c r="D328" s="3" t="str">
        <f ca="1">IFERROR(__xludf.DUMMYFUNCTION("""COMPUTED_VALUE"""),"N")</f>
        <v>N</v>
      </c>
      <c r="E328" s="6">
        <f ca="1">IFERROR(__xludf.DUMMYFUNCTION("""COMPUTED_VALUE"""),0.329)</f>
        <v>0.32900000000000001</v>
      </c>
      <c r="F328" s="3" t="str">
        <f ca="1">IFERROR(__xludf.DUMMYFUNCTION("""COMPUTED_VALUE"""),"Medium")</f>
        <v>Medium</v>
      </c>
      <c r="G328" s="3" t="str">
        <f ca="1">IFERROR(__xludf.DUMMYFUNCTION("""COMPUTED_VALUE"""),"8.87544%;")</f>
        <v>8.87544%;</v>
      </c>
    </row>
    <row r="329" spans="1:7" x14ac:dyDescent="0.2">
      <c r="A329" s="3">
        <f ca="1">IFERROR(__xludf.DUMMYFUNCTION("""COMPUTED_VALUE"""),1396)</f>
        <v>1396</v>
      </c>
      <c r="B329" s="4" t="str">
        <f ca="1">IFERROR(__xludf.DUMMYFUNCTION("""COMPUTED_VALUE"""),"Design Underground System")</f>
        <v>Design Underground System</v>
      </c>
      <c r="C329" s="8" t="str">
        <f ca="1">IFERROR(__xludf.DUMMYFUNCTION("""COMPUTED_VALUE"""),"https://leetcode.com/problems/design-underground-system")</f>
        <v>https://leetcode.com/problems/design-underground-system</v>
      </c>
      <c r="D329" s="3" t="str">
        <f ca="1">IFERROR(__xludf.DUMMYFUNCTION("""COMPUTED_VALUE"""),"N")</f>
        <v>N</v>
      </c>
      <c r="E329" s="6">
        <f ca="1">IFERROR(__xludf.DUMMYFUNCTION("""COMPUTED_VALUE"""),0.737)</f>
        <v>0.73699999999999999</v>
      </c>
      <c r="F329" s="3" t="str">
        <f ca="1">IFERROR(__xludf.DUMMYFUNCTION("""COMPUTED_VALUE"""),"Medium")</f>
        <v>Medium</v>
      </c>
      <c r="G329" s="3" t="str">
        <f ca="1">IFERROR(__xludf.DUMMYFUNCTION("""COMPUTED_VALUE"""),"5.70091%;")</f>
        <v>5.70091%;</v>
      </c>
    </row>
    <row r="330" spans="1:7" x14ac:dyDescent="0.2">
      <c r="A330" s="3">
        <f ca="1">IFERROR(__xludf.DUMMYFUNCTION("""COMPUTED_VALUE"""),1423)</f>
        <v>1423</v>
      </c>
      <c r="B330" s="4" t="str">
        <f ca="1">IFERROR(__xludf.DUMMYFUNCTION("""COMPUTED_VALUE"""),"Maximum Points You Can Obtain from Cards")</f>
        <v>Maximum Points You Can Obtain from Cards</v>
      </c>
      <c r="C330" s="8" t="str">
        <f ca="1">IFERROR(__xludf.DUMMYFUNCTION("""COMPUTED_VALUE"""),"https://leetcode.com/problems/maximum-points-you-can-obtain-from-cards")</f>
        <v>https://leetcode.com/problems/maximum-points-you-can-obtain-from-cards</v>
      </c>
      <c r="D330" s="3" t="str">
        <f ca="1">IFERROR(__xludf.DUMMYFUNCTION("""COMPUTED_VALUE"""),"N")</f>
        <v>N</v>
      </c>
      <c r="E330" s="6">
        <f ca="1">IFERROR(__xludf.DUMMYFUNCTION("""COMPUTED_VALUE"""),0.523)</f>
        <v>0.52300000000000002</v>
      </c>
      <c r="F330" s="3" t="str">
        <f ca="1">IFERROR(__xludf.DUMMYFUNCTION("""COMPUTED_VALUE"""),"Medium")</f>
        <v>Medium</v>
      </c>
      <c r="G330" s="3" t="str">
        <f ca="1">IFERROR(__xludf.DUMMYFUNCTION("""COMPUTED_VALUE"""),"9.1407%;")</f>
        <v>9.1407%;</v>
      </c>
    </row>
    <row r="331" spans="1:7" x14ac:dyDescent="0.2">
      <c r="A331" s="3">
        <f ca="1">IFERROR(__xludf.DUMMYFUNCTION("""COMPUTED_VALUE"""),1448)</f>
        <v>1448</v>
      </c>
      <c r="B331" s="4" t="str">
        <f ca="1">IFERROR(__xludf.DUMMYFUNCTION("""COMPUTED_VALUE"""),"Count Good Nodes in Binary Tree")</f>
        <v>Count Good Nodes in Binary Tree</v>
      </c>
      <c r="C331" s="8" t="str">
        <f ca="1">IFERROR(__xludf.DUMMYFUNCTION("""COMPUTED_VALUE"""),"https://leetcode.com/problems/count-good-nodes-in-binary-tree")</f>
        <v>https://leetcode.com/problems/count-good-nodes-in-binary-tree</v>
      </c>
      <c r="D331" s="3" t="str">
        <f ca="1">IFERROR(__xludf.DUMMYFUNCTION("""COMPUTED_VALUE"""),"N")</f>
        <v>N</v>
      </c>
      <c r="E331" s="6">
        <f ca="1">IFERROR(__xludf.DUMMYFUNCTION("""COMPUTED_VALUE"""),0.746)</f>
        <v>0.746</v>
      </c>
      <c r="F331" s="3" t="str">
        <f ca="1">IFERROR(__xludf.DUMMYFUNCTION("""COMPUTED_VALUE"""),"Medium")</f>
        <v>Medium</v>
      </c>
      <c r="G331" s="3" t="str">
        <f ca="1">IFERROR(__xludf.DUMMYFUNCTION("""COMPUTED_VALUE"""),"3.31953%;")</f>
        <v>3.31953%;</v>
      </c>
    </row>
    <row r="332" spans="1:7" x14ac:dyDescent="0.2">
      <c r="A332" s="3">
        <f ca="1">IFERROR(__xludf.DUMMYFUNCTION("""COMPUTED_VALUE"""),1461)</f>
        <v>1461</v>
      </c>
      <c r="B332" s="4" t="str">
        <f ca="1">IFERROR(__xludf.DUMMYFUNCTION("""COMPUTED_VALUE"""),"Check If a String Contains All Binary Codes of Size K")</f>
        <v>Check If a String Contains All Binary Codes of Size K</v>
      </c>
      <c r="C332" s="8" t="str">
        <f ca="1">IFERROR(__xludf.DUMMYFUNCTION("""COMPUTED_VALUE"""),"https://leetcode.com/problems/check-if-a-string-contains-all-binary-codes-of-size-k")</f>
        <v>https://leetcode.com/problems/check-if-a-string-contains-all-binary-codes-of-size-k</v>
      </c>
      <c r="D332" s="3" t="str">
        <f ca="1">IFERROR(__xludf.DUMMYFUNCTION("""COMPUTED_VALUE"""),"N")</f>
        <v>N</v>
      </c>
      <c r="E332" s="6">
        <f ca="1">IFERROR(__xludf.DUMMYFUNCTION("""COMPUTED_VALUE"""),0.568)</f>
        <v>0.56799999999999995</v>
      </c>
      <c r="F332" s="3" t="str">
        <f ca="1">IFERROR(__xludf.DUMMYFUNCTION("""COMPUTED_VALUE"""),"Medium")</f>
        <v>Medium</v>
      </c>
      <c r="G332" s="3" t="str">
        <f ca="1">IFERROR(__xludf.DUMMYFUNCTION("""COMPUTED_VALUE"""),"13.2419%;")</f>
        <v>13.2419%;</v>
      </c>
    </row>
    <row r="333" spans="1:7" x14ac:dyDescent="0.2">
      <c r="A333" s="3">
        <f ca="1">IFERROR(__xludf.DUMMYFUNCTION("""COMPUTED_VALUE"""),1465)</f>
        <v>1465</v>
      </c>
      <c r="B333" s="4" t="str">
        <f ca="1">IFERROR(__xludf.DUMMYFUNCTION("""COMPUTED_VALUE"""),"Maximum Area of a Piece of Cake After Horizontal and Vertical Cuts")</f>
        <v>Maximum Area of a Piece of Cake After Horizontal and Vertical Cuts</v>
      </c>
      <c r="C333" s="8" t="str">
        <f ca="1">IFERROR(__xludf.DUMMYFUNCTION("""COMPUTED_VALUE"""),"https://leetcode.com/problems/maximum-area-of-a-piece-of-cake-after-horizontal-and-vertical-cuts")</f>
        <v>https://leetcode.com/problems/maximum-area-of-a-piece-of-cake-after-horizontal-and-vertical-cuts</v>
      </c>
      <c r="D333" s="3" t="str">
        <f ca="1">IFERROR(__xludf.DUMMYFUNCTION("""COMPUTED_VALUE"""),"N")</f>
        <v>N</v>
      </c>
      <c r="E333" s="6">
        <f ca="1">IFERROR(__xludf.DUMMYFUNCTION("""COMPUTED_VALUE"""),0.409)</f>
        <v>0.40899999999999997</v>
      </c>
      <c r="F333" s="3" t="str">
        <f ca="1">IFERROR(__xludf.DUMMYFUNCTION("""COMPUTED_VALUE"""),"Medium")</f>
        <v>Medium</v>
      </c>
      <c r="G333" s="3" t="str">
        <f ca="1">IFERROR(__xludf.DUMMYFUNCTION("""COMPUTED_VALUE"""),"12.7337%;")</f>
        <v>12.7337%;</v>
      </c>
    </row>
    <row r="334" spans="1:7" x14ac:dyDescent="0.2">
      <c r="A334" s="3">
        <f ca="1">IFERROR(__xludf.DUMMYFUNCTION("""COMPUTED_VALUE"""),1454)</f>
        <v>1454</v>
      </c>
      <c r="B334" s="4" t="str">
        <f ca="1">IFERROR(__xludf.DUMMYFUNCTION("""COMPUTED_VALUE"""),"Active Users")</f>
        <v>Active Users</v>
      </c>
      <c r="C334" s="8" t="str">
        <f ca="1">IFERROR(__xludf.DUMMYFUNCTION("""COMPUTED_VALUE"""),"https://leetcode.com/problems/active-users")</f>
        <v>https://leetcode.com/problems/active-users</v>
      </c>
      <c r="D334" s="3" t="str">
        <f ca="1">IFERROR(__xludf.DUMMYFUNCTION("""COMPUTED_VALUE"""),"Y")</f>
        <v>Y</v>
      </c>
      <c r="E334" s="6">
        <f ca="1">IFERROR(__xludf.DUMMYFUNCTION("""COMPUTED_VALUE"""),0.384)</f>
        <v>0.38400000000000001</v>
      </c>
      <c r="F334" s="3" t="str">
        <f ca="1">IFERROR(__xludf.DUMMYFUNCTION("""COMPUTED_VALUE"""),"Medium")</f>
        <v>Medium</v>
      </c>
      <c r="G334" s="3" t="str">
        <f ca="1">IFERROR(__xludf.DUMMYFUNCTION("""COMPUTED_VALUE"""),"14.3983%;")</f>
        <v>14.3983%;</v>
      </c>
    </row>
    <row r="335" spans="1:7" x14ac:dyDescent="0.2">
      <c r="A335" s="3">
        <f ca="1">IFERROR(__xludf.DUMMYFUNCTION("""COMPUTED_VALUE"""),1472)</f>
        <v>1472</v>
      </c>
      <c r="B335" s="4" t="str">
        <f ca="1">IFERROR(__xludf.DUMMYFUNCTION("""COMPUTED_VALUE"""),"Design Browser History")</f>
        <v>Design Browser History</v>
      </c>
      <c r="C335" s="8" t="str">
        <f ca="1">IFERROR(__xludf.DUMMYFUNCTION("""COMPUTED_VALUE"""),"https://leetcode.com/problems/design-browser-history")</f>
        <v>https://leetcode.com/problems/design-browser-history</v>
      </c>
      <c r="D335" s="3" t="str">
        <f ca="1">IFERROR(__xludf.DUMMYFUNCTION("""COMPUTED_VALUE"""),"N")</f>
        <v>N</v>
      </c>
      <c r="E335" s="6">
        <f ca="1">IFERROR(__xludf.DUMMYFUNCTION("""COMPUTED_VALUE"""),0.761)</f>
        <v>0.76100000000000001</v>
      </c>
      <c r="F335" s="3" t="str">
        <f ca="1">IFERROR(__xludf.DUMMYFUNCTION("""COMPUTED_VALUE"""),"Medium")</f>
        <v>Medium</v>
      </c>
      <c r="G335" s="3" t="str">
        <f ca="1">IFERROR(__xludf.DUMMYFUNCTION("""COMPUTED_VALUE"""),"16.3493%;")</f>
        <v>16.3493%;</v>
      </c>
    </row>
    <row r="336" spans="1:7" x14ac:dyDescent="0.2">
      <c r="A336" s="3">
        <f ca="1">IFERROR(__xludf.DUMMYFUNCTION("""COMPUTED_VALUE"""),1492)</f>
        <v>1492</v>
      </c>
      <c r="B336" s="4" t="str">
        <f ca="1">IFERROR(__xludf.DUMMYFUNCTION("""COMPUTED_VALUE"""),"The kth Factor of n")</f>
        <v>The kth Factor of n</v>
      </c>
      <c r="C336" s="8" t="str">
        <f ca="1">IFERROR(__xludf.DUMMYFUNCTION("""COMPUTED_VALUE"""),"https://leetcode.com/problems/the-kth-factor-of-n")</f>
        <v>https://leetcode.com/problems/the-kth-factor-of-n</v>
      </c>
      <c r="D336" s="3" t="str">
        <f ca="1">IFERROR(__xludf.DUMMYFUNCTION("""COMPUTED_VALUE"""),"N")</f>
        <v>N</v>
      </c>
      <c r="E336" s="6">
        <f ca="1">IFERROR(__xludf.DUMMYFUNCTION("""COMPUTED_VALUE"""),0.624)</f>
        <v>0.624</v>
      </c>
      <c r="F336" s="3" t="str">
        <f ca="1">IFERROR(__xludf.DUMMYFUNCTION("""COMPUTED_VALUE"""),"Medium")</f>
        <v>Medium</v>
      </c>
      <c r="G336" s="3" t="str">
        <f ca="1">IFERROR(__xludf.DUMMYFUNCTION("""COMPUTED_VALUE"""),"25.7592%;")</f>
        <v>25.7592%;</v>
      </c>
    </row>
    <row r="337" spans="1:7" x14ac:dyDescent="0.2">
      <c r="A337" s="3">
        <f ca="1">IFERROR(__xludf.DUMMYFUNCTION("""COMPUTED_VALUE"""),1482)</f>
        <v>1482</v>
      </c>
      <c r="B337" s="4" t="str">
        <f ca="1">IFERROR(__xludf.DUMMYFUNCTION("""COMPUTED_VALUE"""),"Minimum Number of Days to Make m Bouquets")</f>
        <v>Minimum Number of Days to Make m Bouquets</v>
      </c>
      <c r="C337" s="8" t="str">
        <f ca="1">IFERROR(__xludf.DUMMYFUNCTION("""COMPUTED_VALUE"""),"https://leetcode.com/problems/minimum-number-of-days-to-make-m-bouquets")</f>
        <v>https://leetcode.com/problems/minimum-number-of-days-to-make-m-bouquets</v>
      </c>
      <c r="D337" s="3" t="str">
        <f ca="1">IFERROR(__xludf.DUMMYFUNCTION("""COMPUTED_VALUE"""),"N")</f>
        <v>N</v>
      </c>
      <c r="E337" s="6">
        <f ca="1">IFERROR(__xludf.DUMMYFUNCTION("""COMPUTED_VALUE"""),0.558)</f>
        <v>0.55800000000000005</v>
      </c>
      <c r="F337" s="3" t="str">
        <f ca="1">IFERROR(__xludf.DUMMYFUNCTION("""COMPUTED_VALUE"""),"Medium")</f>
        <v>Medium</v>
      </c>
      <c r="G337" s="3" t="str">
        <f ca="1">IFERROR(__xludf.DUMMYFUNCTION("""COMPUTED_VALUE"""),"14.9457%;")</f>
        <v>14.9457%;</v>
      </c>
    </row>
    <row r="338" spans="1:7" x14ac:dyDescent="0.2">
      <c r="A338" s="3">
        <f ca="1">IFERROR(__xludf.DUMMYFUNCTION("""COMPUTED_VALUE"""),1488)</f>
        <v>1488</v>
      </c>
      <c r="B338" s="4" t="str">
        <f ca="1">IFERROR(__xludf.DUMMYFUNCTION("""COMPUTED_VALUE"""),"Avoid Flood in The City")</f>
        <v>Avoid Flood in The City</v>
      </c>
      <c r="C338" s="8" t="str">
        <f ca="1">IFERROR(__xludf.DUMMYFUNCTION("""COMPUTED_VALUE"""),"https://leetcode.com/problems/avoid-flood-in-the-city")</f>
        <v>https://leetcode.com/problems/avoid-flood-in-the-city</v>
      </c>
      <c r="D338" s="3" t="str">
        <f ca="1">IFERROR(__xludf.DUMMYFUNCTION("""COMPUTED_VALUE"""),"N")</f>
        <v>N</v>
      </c>
      <c r="E338" s="6">
        <f ca="1">IFERROR(__xludf.DUMMYFUNCTION("""COMPUTED_VALUE"""),0.261)</f>
        <v>0.26100000000000001</v>
      </c>
      <c r="F338" s="3" t="str">
        <f ca="1">IFERROR(__xludf.DUMMYFUNCTION("""COMPUTED_VALUE"""),"Medium")</f>
        <v>Medium</v>
      </c>
      <c r="G338" s="3" t="str">
        <f ca="1">IFERROR(__xludf.DUMMYFUNCTION("""COMPUTED_VALUE"""),"18.5275%;")</f>
        <v>18.5275%;</v>
      </c>
    </row>
    <row r="339" spans="1:7" x14ac:dyDescent="0.2">
      <c r="A339" s="3">
        <f ca="1">IFERROR(__xludf.DUMMYFUNCTION("""COMPUTED_VALUE"""),1497)</f>
        <v>1497</v>
      </c>
      <c r="B339" s="4" t="str">
        <f ca="1">IFERROR(__xludf.DUMMYFUNCTION("""COMPUTED_VALUE"""),"Check If Array Pairs Are Divisible by k")</f>
        <v>Check If Array Pairs Are Divisible by k</v>
      </c>
      <c r="C339" s="8" t="str">
        <f ca="1">IFERROR(__xludf.DUMMYFUNCTION("""COMPUTED_VALUE"""),"https://leetcode.com/problems/check-if-array-pairs-are-divisible-by-k")</f>
        <v>https://leetcode.com/problems/check-if-array-pairs-are-divisible-by-k</v>
      </c>
      <c r="D339" s="3" t="str">
        <f ca="1">IFERROR(__xludf.DUMMYFUNCTION("""COMPUTED_VALUE"""),"N")</f>
        <v>N</v>
      </c>
      <c r="E339" s="6">
        <f ca="1">IFERROR(__xludf.DUMMYFUNCTION("""COMPUTED_VALUE"""),0.397)</f>
        <v>0.39700000000000002</v>
      </c>
      <c r="F339" s="3" t="str">
        <f ca="1">IFERROR(__xludf.DUMMYFUNCTION("""COMPUTED_VALUE"""),"Medium")</f>
        <v>Medium</v>
      </c>
      <c r="G339" s="3" t="str">
        <f ca="1">IFERROR(__xludf.DUMMYFUNCTION("""COMPUTED_VALUE"""),"9.3649%;")</f>
        <v>9.3649%;</v>
      </c>
    </row>
    <row r="340" spans="1:7" x14ac:dyDescent="0.2">
      <c r="A340" s="3">
        <f ca="1">IFERROR(__xludf.DUMMYFUNCTION("""COMPUTED_VALUE"""),1525)</f>
        <v>1525</v>
      </c>
      <c r="B340" s="4" t="str">
        <f ca="1">IFERROR(__xludf.DUMMYFUNCTION("""COMPUTED_VALUE"""),"Number of Good Ways to Split a String")</f>
        <v>Number of Good Ways to Split a String</v>
      </c>
      <c r="C340" s="8" t="str">
        <f ca="1">IFERROR(__xludf.DUMMYFUNCTION("""COMPUTED_VALUE"""),"https://leetcode.com/problems/number-of-good-ways-to-split-a-string")</f>
        <v>https://leetcode.com/problems/number-of-good-ways-to-split-a-string</v>
      </c>
      <c r="D340" s="3" t="str">
        <f ca="1">IFERROR(__xludf.DUMMYFUNCTION("""COMPUTED_VALUE"""),"N")</f>
        <v>N</v>
      </c>
      <c r="E340" s="6">
        <f ca="1">IFERROR(__xludf.DUMMYFUNCTION("""COMPUTED_VALUE"""),0.694)</f>
        <v>0.69399999999999995</v>
      </c>
      <c r="F340" s="3" t="str">
        <f ca="1">IFERROR(__xludf.DUMMYFUNCTION("""COMPUTED_VALUE"""),"Medium")</f>
        <v>Medium</v>
      </c>
      <c r="G340" s="3" t="str">
        <f ca="1">IFERROR(__xludf.DUMMYFUNCTION("""COMPUTED_VALUE"""),"17.4543%;")</f>
        <v>17.4543%;</v>
      </c>
    </row>
    <row r="341" spans="1:7" x14ac:dyDescent="0.2">
      <c r="A341" s="3">
        <f ca="1">IFERROR(__xludf.DUMMYFUNCTION("""COMPUTED_VALUE"""),1567)</f>
        <v>1567</v>
      </c>
      <c r="B341" s="4" t="str">
        <f ca="1">IFERROR(__xludf.DUMMYFUNCTION("""COMPUTED_VALUE"""),"Maximum Length of Subarray With Positive Product")</f>
        <v>Maximum Length of Subarray With Positive Product</v>
      </c>
      <c r="C341" s="8" t="str">
        <f ca="1">IFERROR(__xludf.DUMMYFUNCTION("""COMPUTED_VALUE"""),"https://leetcode.com/problems/maximum-length-of-subarray-with-positive-product")</f>
        <v>https://leetcode.com/problems/maximum-length-of-subarray-with-positive-product</v>
      </c>
      <c r="D341" s="3" t="str">
        <f ca="1">IFERROR(__xludf.DUMMYFUNCTION("""COMPUTED_VALUE"""),"N")</f>
        <v>N</v>
      </c>
      <c r="E341" s="6">
        <f ca="1">IFERROR(__xludf.DUMMYFUNCTION("""COMPUTED_VALUE"""),0.438)</f>
        <v>0.438</v>
      </c>
      <c r="F341" s="3" t="str">
        <f ca="1">IFERROR(__xludf.DUMMYFUNCTION("""COMPUTED_VALUE"""),"Medium")</f>
        <v>Medium</v>
      </c>
      <c r="G341" s="3" t="str">
        <f ca="1">IFERROR(__xludf.DUMMYFUNCTION("""COMPUTED_VALUE"""),"49.8045%;")</f>
        <v>49.8045%;</v>
      </c>
    </row>
    <row r="342" spans="1:7" x14ac:dyDescent="0.2">
      <c r="A342" s="3">
        <f ca="1">IFERROR(__xludf.DUMMYFUNCTION("""COMPUTED_VALUE"""),1570)</f>
        <v>1570</v>
      </c>
      <c r="B342" s="4" t="str">
        <f ca="1">IFERROR(__xludf.DUMMYFUNCTION("""COMPUTED_VALUE"""),"Dot Product of Two Sparse Vectors")</f>
        <v>Dot Product of Two Sparse Vectors</v>
      </c>
      <c r="C342" s="8" t="str">
        <f ca="1">IFERROR(__xludf.DUMMYFUNCTION("""COMPUTED_VALUE"""),"https://leetcode.com/problems/dot-product-of-two-sparse-vectors")</f>
        <v>https://leetcode.com/problems/dot-product-of-two-sparse-vectors</v>
      </c>
      <c r="D342" s="3" t="str">
        <f ca="1">IFERROR(__xludf.DUMMYFUNCTION("""COMPUTED_VALUE"""),"Y")</f>
        <v>Y</v>
      </c>
      <c r="E342" s="6">
        <f ca="1">IFERROR(__xludf.DUMMYFUNCTION("""COMPUTED_VALUE"""),0.903)</f>
        <v>0.90300000000000002</v>
      </c>
      <c r="F342" s="3" t="str">
        <f ca="1">IFERROR(__xludf.DUMMYFUNCTION("""COMPUTED_VALUE"""),"Medium")</f>
        <v>Medium</v>
      </c>
      <c r="G342" s="3" t="str">
        <f ca="1">IFERROR(__xludf.DUMMYFUNCTION("""COMPUTED_VALUE"""),"8.76113%;")</f>
        <v>8.76113%;</v>
      </c>
    </row>
    <row r="343" spans="1:7" x14ac:dyDescent="0.2">
      <c r="A343" s="3">
        <f ca="1">IFERROR(__xludf.DUMMYFUNCTION("""COMPUTED_VALUE"""),1609)</f>
        <v>1609</v>
      </c>
      <c r="B343" s="4" t="str">
        <f ca="1">IFERROR(__xludf.DUMMYFUNCTION("""COMPUTED_VALUE"""),"Even Odd Tree")</f>
        <v>Even Odd Tree</v>
      </c>
      <c r="C343" s="8" t="str">
        <f ca="1">IFERROR(__xludf.DUMMYFUNCTION("""COMPUTED_VALUE"""),"https://leetcode.com/problems/even-odd-tree")</f>
        <v>https://leetcode.com/problems/even-odd-tree</v>
      </c>
      <c r="D343" s="3" t="str">
        <f ca="1">IFERROR(__xludf.DUMMYFUNCTION("""COMPUTED_VALUE"""),"N")</f>
        <v>N</v>
      </c>
      <c r="E343" s="6">
        <f ca="1">IFERROR(__xludf.DUMMYFUNCTION("""COMPUTED_VALUE"""),0.538)</f>
        <v>0.53800000000000003</v>
      </c>
      <c r="F343" s="3" t="str">
        <f ca="1">IFERROR(__xludf.DUMMYFUNCTION("""COMPUTED_VALUE"""),"Medium")</f>
        <v>Medium</v>
      </c>
      <c r="G343" s="3" t="str">
        <f ca="1">IFERROR(__xludf.DUMMYFUNCTION("""COMPUTED_VALUE"""),"12.4945%;")</f>
        <v>12.4945%;</v>
      </c>
    </row>
    <row r="344" spans="1:7" x14ac:dyDescent="0.2">
      <c r="A344" s="3">
        <f ca="1">IFERROR(__xludf.DUMMYFUNCTION("""COMPUTED_VALUE"""),1642)</f>
        <v>1642</v>
      </c>
      <c r="B344" s="4" t="str">
        <f ca="1">IFERROR(__xludf.DUMMYFUNCTION("""COMPUTED_VALUE"""),"Furthest Building You Can Reach")</f>
        <v>Furthest Building You Can Reach</v>
      </c>
      <c r="C344" s="8" t="str">
        <f ca="1">IFERROR(__xludf.DUMMYFUNCTION("""COMPUTED_VALUE"""),"https://leetcode.com/problems/furthest-building-you-can-reach")</f>
        <v>https://leetcode.com/problems/furthest-building-you-can-reach</v>
      </c>
      <c r="D344" s="3" t="str">
        <f ca="1">IFERROR(__xludf.DUMMYFUNCTION("""COMPUTED_VALUE"""),"N")</f>
        <v>N</v>
      </c>
      <c r="E344" s="6">
        <f ca="1">IFERROR(__xludf.DUMMYFUNCTION("""COMPUTED_VALUE"""),0.483)</f>
        <v>0.48299999999999998</v>
      </c>
      <c r="F344" s="3" t="str">
        <f ca="1">IFERROR(__xludf.DUMMYFUNCTION("""COMPUTED_VALUE"""),"Medium")</f>
        <v>Medium</v>
      </c>
      <c r="G344" s="3" t="str">
        <f ca="1">IFERROR(__xludf.DUMMYFUNCTION("""COMPUTED_VALUE"""),"37.5061%;")</f>
        <v>37.5061%;</v>
      </c>
    </row>
    <row r="345" spans="1:7" x14ac:dyDescent="0.2">
      <c r="A345" s="3">
        <f ca="1">IFERROR(__xludf.DUMMYFUNCTION("""COMPUTED_VALUE"""),1628)</f>
        <v>1628</v>
      </c>
      <c r="B345" s="4" t="str">
        <f ca="1">IFERROR(__xludf.DUMMYFUNCTION("""COMPUTED_VALUE"""),"Design an Expression Tree With Evaluate Function")</f>
        <v>Design an Expression Tree With Evaluate Function</v>
      </c>
      <c r="C345" s="8" t="str">
        <f ca="1">IFERROR(__xludf.DUMMYFUNCTION("""COMPUTED_VALUE"""),"https://leetcode.com/problems/design-an-expression-tree-with-evaluate-function")</f>
        <v>https://leetcode.com/problems/design-an-expression-tree-with-evaluate-function</v>
      </c>
      <c r="D345" s="3" t="str">
        <f ca="1">IFERROR(__xludf.DUMMYFUNCTION("""COMPUTED_VALUE"""),"Y")</f>
        <v>Y</v>
      </c>
      <c r="E345" s="6">
        <f ca="1">IFERROR(__xludf.DUMMYFUNCTION("""COMPUTED_VALUE"""),0.827)</f>
        <v>0.82699999999999996</v>
      </c>
      <c r="F345" s="3" t="str">
        <f ca="1">IFERROR(__xludf.DUMMYFUNCTION("""COMPUTED_VALUE"""),"Medium")</f>
        <v>Medium</v>
      </c>
      <c r="G345" s="3" t="str">
        <f ca="1">IFERROR(__xludf.DUMMYFUNCTION("""COMPUTED_VALUE"""),"59.1473%;")</f>
        <v>59.1473%;</v>
      </c>
    </row>
    <row r="346" spans="1:7" x14ac:dyDescent="0.2">
      <c r="A346" s="3">
        <f ca="1">IFERROR(__xludf.DUMMYFUNCTION("""COMPUTED_VALUE"""),1650)</f>
        <v>1650</v>
      </c>
      <c r="B346" s="4" t="str">
        <f ca="1">IFERROR(__xludf.DUMMYFUNCTION("""COMPUTED_VALUE"""),"Lowest Common Ancestor of a Binary Tree III")</f>
        <v>Lowest Common Ancestor of a Binary Tree III</v>
      </c>
      <c r="C346" s="8" t="str">
        <f ca="1">IFERROR(__xludf.DUMMYFUNCTION("""COMPUTED_VALUE"""),"https://leetcode.com/problems/lowest-common-ancestor-of-a-binary-tree-iii")</f>
        <v>https://leetcode.com/problems/lowest-common-ancestor-of-a-binary-tree-iii</v>
      </c>
      <c r="D346" s="3" t="str">
        <f ca="1">IFERROR(__xludf.DUMMYFUNCTION("""COMPUTED_VALUE"""),"Y")</f>
        <v>Y</v>
      </c>
      <c r="E346" s="6">
        <f ca="1">IFERROR(__xludf.DUMMYFUNCTION("""COMPUTED_VALUE"""),0.773)</f>
        <v>0.77300000000000002</v>
      </c>
      <c r="F346" s="3" t="str">
        <f ca="1">IFERROR(__xludf.DUMMYFUNCTION("""COMPUTED_VALUE"""),"Medium")</f>
        <v>Medium</v>
      </c>
      <c r="G346" s="3" t="str">
        <f ca="1">IFERROR(__xludf.DUMMYFUNCTION("""COMPUTED_VALUE"""),"22.8595%;")</f>
        <v>22.8595%;</v>
      </c>
    </row>
    <row r="347" spans="1:7" x14ac:dyDescent="0.2">
      <c r="A347" s="3">
        <f ca="1">IFERROR(__xludf.DUMMYFUNCTION("""COMPUTED_VALUE"""),1673)</f>
        <v>1673</v>
      </c>
      <c r="B347" s="4" t="str">
        <f ca="1">IFERROR(__xludf.DUMMYFUNCTION("""COMPUTED_VALUE"""),"Find the Most Competitive Subsequence")</f>
        <v>Find the Most Competitive Subsequence</v>
      </c>
      <c r="C347" s="8" t="str">
        <f ca="1">IFERROR(__xludf.DUMMYFUNCTION("""COMPUTED_VALUE"""),"https://leetcode.com/problems/find-the-most-competitive-subsequence")</f>
        <v>https://leetcode.com/problems/find-the-most-competitive-subsequence</v>
      </c>
      <c r="D347" s="3" t="str">
        <f ca="1">IFERROR(__xludf.DUMMYFUNCTION("""COMPUTED_VALUE"""),"N")</f>
        <v>N</v>
      </c>
      <c r="E347" s="6">
        <f ca="1">IFERROR(__xludf.DUMMYFUNCTION("""COMPUTED_VALUE"""),0.494)</f>
        <v>0.49399999999999999</v>
      </c>
      <c r="F347" s="3" t="str">
        <f ca="1">IFERROR(__xludf.DUMMYFUNCTION("""COMPUTED_VALUE"""),"Medium")</f>
        <v>Medium</v>
      </c>
      <c r="G347" s="3" t="str">
        <f ca="1">IFERROR(__xludf.DUMMYFUNCTION("""COMPUTED_VALUE"""),"12.7337%;")</f>
        <v>12.7337%;</v>
      </c>
    </row>
    <row r="348" spans="1:7" x14ac:dyDescent="0.2">
      <c r="A348" s="3">
        <f ca="1">IFERROR(__xludf.DUMMYFUNCTION("""COMPUTED_VALUE"""),1680)</f>
        <v>1680</v>
      </c>
      <c r="B348" s="4" t="str">
        <f ca="1">IFERROR(__xludf.DUMMYFUNCTION("""COMPUTED_VALUE"""),"Concatenation of Consecutive Binary Numbers")</f>
        <v>Concatenation of Consecutive Binary Numbers</v>
      </c>
      <c r="C348" s="8" t="str">
        <f ca="1">IFERROR(__xludf.DUMMYFUNCTION("""COMPUTED_VALUE"""),"https://leetcode.com/problems/concatenation-of-consecutive-binary-numbers")</f>
        <v>https://leetcode.com/problems/concatenation-of-consecutive-binary-numbers</v>
      </c>
      <c r="D348" s="3" t="str">
        <f ca="1">IFERROR(__xludf.DUMMYFUNCTION("""COMPUTED_VALUE"""),"N")</f>
        <v>N</v>
      </c>
      <c r="E348" s="6">
        <f ca="1">IFERROR(__xludf.DUMMYFUNCTION("""COMPUTED_VALUE"""),0.57)</f>
        <v>0.56999999999999995</v>
      </c>
      <c r="F348" s="3" t="str">
        <f ca="1">IFERROR(__xludf.DUMMYFUNCTION("""COMPUTED_VALUE"""),"Medium")</f>
        <v>Medium</v>
      </c>
      <c r="G348" s="3" t="str">
        <f ca="1">IFERROR(__xludf.DUMMYFUNCTION("""COMPUTED_VALUE"""),"30.352%;")</f>
        <v>30.352%;</v>
      </c>
    </row>
    <row r="349" spans="1:7" x14ac:dyDescent="0.2">
      <c r="A349" s="3">
        <f ca="1">IFERROR(__xludf.DUMMYFUNCTION("""COMPUTED_VALUE"""),1689)</f>
        <v>1689</v>
      </c>
      <c r="B349" s="4" t="str">
        <f ca="1">IFERROR(__xludf.DUMMYFUNCTION("""COMPUTED_VALUE"""),"Partitioning Into Minimum Number Of Deci-Binary Numbers")</f>
        <v>Partitioning Into Minimum Number Of Deci-Binary Numbers</v>
      </c>
      <c r="C349" s="8" t="str">
        <f ca="1">IFERROR(__xludf.DUMMYFUNCTION("""COMPUTED_VALUE"""),"https://leetcode.com/problems/partitioning-into-minimum-number-of-deci-binary-numbers")</f>
        <v>https://leetcode.com/problems/partitioning-into-minimum-number-of-deci-binary-numbers</v>
      </c>
      <c r="D349" s="3" t="str">
        <f ca="1">IFERROR(__xludf.DUMMYFUNCTION("""COMPUTED_VALUE"""),"N")</f>
        <v>N</v>
      </c>
      <c r="E349" s="6">
        <f ca="1">IFERROR(__xludf.DUMMYFUNCTION("""COMPUTED_VALUE"""),0.896)</f>
        <v>0.89600000000000002</v>
      </c>
      <c r="F349" s="3" t="str">
        <f ca="1">IFERROR(__xludf.DUMMYFUNCTION("""COMPUTED_VALUE"""),"Medium")</f>
        <v>Medium</v>
      </c>
      <c r="G349" s="3" t="str">
        <f ca="1">IFERROR(__xludf.DUMMYFUNCTION("""COMPUTED_VALUE"""),"4.661%;")</f>
        <v>4.661%;</v>
      </c>
    </row>
    <row r="350" spans="1:7" x14ac:dyDescent="0.2">
      <c r="A350" s="3">
        <f ca="1">IFERROR(__xludf.DUMMYFUNCTION("""COMPUTED_VALUE"""),1696)</f>
        <v>1696</v>
      </c>
      <c r="B350" s="4" t="str">
        <f ca="1">IFERROR(__xludf.DUMMYFUNCTION("""COMPUTED_VALUE"""),"Jump Game VI")</f>
        <v>Jump Game VI</v>
      </c>
      <c r="C350" s="8" t="str">
        <f ca="1">IFERROR(__xludf.DUMMYFUNCTION("""COMPUTED_VALUE"""),"https://leetcode.com/problems/jump-game-vi")</f>
        <v>https://leetcode.com/problems/jump-game-vi</v>
      </c>
      <c r="D350" s="3" t="str">
        <f ca="1">IFERROR(__xludf.DUMMYFUNCTION("""COMPUTED_VALUE"""),"N")</f>
        <v>N</v>
      </c>
      <c r="E350" s="6">
        <f ca="1">IFERROR(__xludf.DUMMYFUNCTION("""COMPUTED_VALUE"""),0.463)</f>
        <v>0.46300000000000002</v>
      </c>
      <c r="F350" s="3" t="str">
        <f ca="1">IFERROR(__xludf.DUMMYFUNCTION("""COMPUTED_VALUE"""),"Medium")</f>
        <v>Medium</v>
      </c>
      <c r="G350" s="3" t="str">
        <f ca="1">IFERROR(__xludf.DUMMYFUNCTION("""COMPUTED_VALUE"""),"8.99283%;")</f>
        <v>8.99283%;</v>
      </c>
    </row>
    <row r="351" spans="1:7" x14ac:dyDescent="0.2">
      <c r="A351" s="3">
        <f ca="1">IFERROR(__xludf.DUMMYFUNCTION("""COMPUTED_VALUE"""),1705)</f>
        <v>1705</v>
      </c>
      <c r="B351" s="4" t="str">
        <f ca="1">IFERROR(__xludf.DUMMYFUNCTION("""COMPUTED_VALUE"""),"Maximum Number of Eaten Apples")</f>
        <v>Maximum Number of Eaten Apples</v>
      </c>
      <c r="C351" s="8" t="str">
        <f ca="1">IFERROR(__xludf.DUMMYFUNCTION("""COMPUTED_VALUE"""),"https://leetcode.com/problems/maximum-number-of-eaten-apples")</f>
        <v>https://leetcode.com/problems/maximum-number-of-eaten-apples</v>
      </c>
      <c r="D351" s="3" t="str">
        <f ca="1">IFERROR(__xludf.DUMMYFUNCTION("""COMPUTED_VALUE"""),"N")</f>
        <v>N</v>
      </c>
      <c r="E351" s="6">
        <f ca="1">IFERROR(__xludf.DUMMYFUNCTION("""COMPUTED_VALUE"""),0.381)</f>
        <v>0.38100000000000001</v>
      </c>
      <c r="F351" s="3" t="str">
        <f ca="1">IFERROR(__xludf.DUMMYFUNCTION("""COMPUTED_VALUE"""),"Medium")</f>
        <v>Medium</v>
      </c>
      <c r="G351" s="3" t="str">
        <f ca="1">IFERROR(__xludf.DUMMYFUNCTION("""COMPUTED_VALUE"""),"46.2616%;")</f>
        <v>46.2616%;</v>
      </c>
    </row>
    <row r="352" spans="1:7" x14ac:dyDescent="0.2">
      <c r="A352" s="3">
        <f ca="1">IFERROR(__xludf.DUMMYFUNCTION("""COMPUTED_VALUE"""),1740)</f>
        <v>1740</v>
      </c>
      <c r="B352" s="4" t="str">
        <f ca="1">IFERROR(__xludf.DUMMYFUNCTION("""COMPUTED_VALUE"""),"Find Distance in a Binary Tree")</f>
        <v>Find Distance in a Binary Tree</v>
      </c>
      <c r="C352" s="8" t="str">
        <f ca="1">IFERROR(__xludf.DUMMYFUNCTION("""COMPUTED_VALUE"""),"https://leetcode.com/problems/find-distance-in-a-binary-tree")</f>
        <v>https://leetcode.com/problems/find-distance-in-a-binary-tree</v>
      </c>
      <c r="D352" s="3" t="str">
        <f ca="1">IFERROR(__xludf.DUMMYFUNCTION("""COMPUTED_VALUE"""),"Y")</f>
        <v>Y</v>
      </c>
      <c r="E352" s="6">
        <f ca="1">IFERROR(__xludf.DUMMYFUNCTION("""COMPUTED_VALUE"""),0.688)</f>
        <v>0.68799999999999994</v>
      </c>
      <c r="F352" s="3" t="str">
        <f ca="1">IFERROR(__xludf.DUMMYFUNCTION("""COMPUTED_VALUE"""),"Medium")</f>
        <v>Medium</v>
      </c>
      <c r="G352" s="3" t="str">
        <f ca="1">IFERROR(__xludf.DUMMYFUNCTION("""COMPUTED_VALUE"""),"16.1855%;")</f>
        <v>16.1855%;</v>
      </c>
    </row>
    <row r="353" spans="1:7" x14ac:dyDescent="0.2">
      <c r="A353" s="3">
        <f ca="1">IFERROR(__xludf.DUMMYFUNCTION("""COMPUTED_VALUE"""),1762)</f>
        <v>1762</v>
      </c>
      <c r="B353" s="4" t="str">
        <f ca="1">IFERROR(__xludf.DUMMYFUNCTION("""COMPUTED_VALUE"""),"Buildings With an Ocean View")</f>
        <v>Buildings With an Ocean View</v>
      </c>
      <c r="C353" s="8" t="str">
        <f ca="1">IFERROR(__xludf.DUMMYFUNCTION("""COMPUTED_VALUE"""),"https://leetcode.com/problems/buildings-with-an-ocean-view")</f>
        <v>https://leetcode.com/problems/buildings-with-an-ocean-view</v>
      </c>
      <c r="D353" s="3" t="str">
        <f ca="1">IFERROR(__xludf.DUMMYFUNCTION("""COMPUTED_VALUE"""),"Y")</f>
        <v>Y</v>
      </c>
      <c r="E353" s="6">
        <f ca="1">IFERROR(__xludf.DUMMYFUNCTION("""COMPUTED_VALUE"""),0.792)</f>
        <v>0.79200000000000004</v>
      </c>
      <c r="F353" s="3" t="str">
        <f ca="1">IFERROR(__xludf.DUMMYFUNCTION("""COMPUTED_VALUE"""),"Medium")</f>
        <v>Medium</v>
      </c>
      <c r="G353" s="3" t="str">
        <f ca="1">IFERROR(__xludf.DUMMYFUNCTION("""COMPUTED_VALUE"""),"13.5124%;")</f>
        <v>13.5124%;</v>
      </c>
    </row>
    <row r="354" spans="1:7" x14ac:dyDescent="0.2">
      <c r="A354" s="3">
        <f ca="1">IFERROR(__xludf.DUMMYFUNCTION("""COMPUTED_VALUE"""),1834)</f>
        <v>1834</v>
      </c>
      <c r="B354" s="4" t="str">
        <f ca="1">IFERROR(__xludf.DUMMYFUNCTION("""COMPUTED_VALUE"""),"Single-Threaded CPU")</f>
        <v>Single-Threaded CPU</v>
      </c>
      <c r="C354" s="8" t="str">
        <f ca="1">IFERROR(__xludf.DUMMYFUNCTION("""COMPUTED_VALUE"""),"https://leetcode.com/problems/single-threaded-cpu")</f>
        <v>https://leetcode.com/problems/single-threaded-cpu</v>
      </c>
      <c r="D354" s="3" t="str">
        <f ca="1">IFERROR(__xludf.DUMMYFUNCTION("""COMPUTED_VALUE"""),"N")</f>
        <v>N</v>
      </c>
      <c r="E354" s="6">
        <f ca="1">IFERROR(__xludf.DUMMYFUNCTION("""COMPUTED_VALUE"""),0.42)</f>
        <v>0.42</v>
      </c>
      <c r="F354" s="3" t="str">
        <f ca="1">IFERROR(__xludf.DUMMYFUNCTION("""COMPUTED_VALUE"""),"Medium")</f>
        <v>Medium</v>
      </c>
      <c r="G354" s="3" t="str">
        <f ca="1">IFERROR(__xludf.DUMMYFUNCTION("""COMPUTED_VALUE"""),"35.1903%;")</f>
        <v>35.1903%;</v>
      </c>
    </row>
    <row r="355" spans="1:7" x14ac:dyDescent="0.2">
      <c r="A355" s="3">
        <f ca="1">IFERROR(__xludf.DUMMYFUNCTION("""COMPUTED_VALUE"""),1856)</f>
        <v>1856</v>
      </c>
      <c r="B355" s="4" t="str">
        <f ca="1">IFERROR(__xludf.DUMMYFUNCTION("""COMPUTED_VALUE"""),"Maximum Subarray Min-Product")</f>
        <v>Maximum Subarray Min-Product</v>
      </c>
      <c r="C355" s="8" t="str">
        <f ca="1">IFERROR(__xludf.DUMMYFUNCTION("""COMPUTED_VALUE"""),"https://leetcode.com/problems/maximum-subarray-min-product")</f>
        <v>https://leetcode.com/problems/maximum-subarray-min-product</v>
      </c>
      <c r="D355" s="3" t="str">
        <f ca="1">IFERROR(__xludf.DUMMYFUNCTION("""COMPUTED_VALUE"""),"N")</f>
        <v>N</v>
      </c>
      <c r="E355" s="6">
        <f ca="1">IFERROR(__xludf.DUMMYFUNCTION("""COMPUTED_VALUE"""),0.377)</f>
        <v>0.377</v>
      </c>
      <c r="F355" s="3" t="str">
        <f ca="1">IFERROR(__xludf.DUMMYFUNCTION("""COMPUTED_VALUE"""),"Medium")</f>
        <v>Medium</v>
      </c>
      <c r="G355" s="3" t="str">
        <f ca="1">IFERROR(__xludf.DUMMYFUNCTION("""COMPUTED_VALUE"""),"18.5275%;")</f>
        <v>18.5275%;</v>
      </c>
    </row>
    <row r="356" spans="1:7" x14ac:dyDescent="0.2">
      <c r="A356" s="3">
        <f ca="1">IFERROR(__xludf.DUMMYFUNCTION("""COMPUTED_VALUE"""),1864)</f>
        <v>1864</v>
      </c>
      <c r="B356" s="4" t="str">
        <f ca="1">IFERROR(__xludf.DUMMYFUNCTION("""COMPUTED_VALUE"""),"Minimum Number of Swaps to Make the Binary String Alternating")</f>
        <v>Minimum Number of Swaps to Make the Binary String Alternating</v>
      </c>
      <c r="C356" s="8" t="str">
        <f ca="1">IFERROR(__xludf.DUMMYFUNCTION("""COMPUTED_VALUE"""),"https://leetcode.com/problems/minimum-number-of-swaps-to-make-the-binary-string-alternating")</f>
        <v>https://leetcode.com/problems/minimum-number-of-swaps-to-make-the-binary-string-alternating</v>
      </c>
      <c r="D356" s="3" t="str">
        <f ca="1">IFERROR(__xludf.DUMMYFUNCTION("""COMPUTED_VALUE"""),"N")</f>
        <v>N</v>
      </c>
      <c r="E356" s="6">
        <f ca="1">IFERROR(__xludf.DUMMYFUNCTION("""COMPUTED_VALUE"""),0.425)</f>
        <v>0.42499999999999999</v>
      </c>
      <c r="F356" s="3" t="str">
        <f ca="1">IFERROR(__xludf.DUMMYFUNCTION("""COMPUTED_VALUE"""),"Medium")</f>
        <v>Medium</v>
      </c>
      <c r="G356" s="3" t="str">
        <f ca="1">IFERROR(__xludf.DUMMYFUNCTION("""COMPUTED_VALUE"""),"69.0576%;")</f>
        <v>69.0576%;</v>
      </c>
    </row>
    <row r="357" spans="1:7" x14ac:dyDescent="0.2">
      <c r="A357" s="3">
        <f ca="1">IFERROR(__xludf.DUMMYFUNCTION("""COMPUTED_VALUE"""),1882)</f>
        <v>1882</v>
      </c>
      <c r="B357" s="4" t="str">
        <f ca="1">IFERROR(__xludf.DUMMYFUNCTION("""COMPUTED_VALUE"""),"Process Tasks Using Servers")</f>
        <v>Process Tasks Using Servers</v>
      </c>
      <c r="C357" s="8" t="str">
        <f ca="1">IFERROR(__xludf.DUMMYFUNCTION("""COMPUTED_VALUE"""),"https://leetcode.com/problems/process-tasks-using-servers")</f>
        <v>https://leetcode.com/problems/process-tasks-using-servers</v>
      </c>
      <c r="D357" s="3" t="str">
        <f ca="1">IFERROR(__xludf.DUMMYFUNCTION("""COMPUTED_VALUE"""),"N")</f>
        <v>N</v>
      </c>
      <c r="E357" s="6">
        <f ca="1">IFERROR(__xludf.DUMMYFUNCTION("""COMPUTED_VALUE"""),0.396)</f>
        <v>0.39600000000000002</v>
      </c>
      <c r="F357" s="3" t="str">
        <f ca="1">IFERROR(__xludf.DUMMYFUNCTION("""COMPUTED_VALUE"""),"Medium")</f>
        <v>Medium</v>
      </c>
      <c r="G357" s="3" t="str">
        <f ca="1">IFERROR(__xludf.DUMMYFUNCTION("""COMPUTED_VALUE"""),"18.5275%;")</f>
        <v>18.5275%;</v>
      </c>
    </row>
    <row r="358" spans="1:7" x14ac:dyDescent="0.2">
      <c r="A358" s="3">
        <f ca="1">IFERROR(__xludf.DUMMYFUNCTION("""COMPUTED_VALUE"""),1926)</f>
        <v>1926</v>
      </c>
      <c r="B358" s="4" t="str">
        <f ca="1">IFERROR(__xludf.DUMMYFUNCTION("""COMPUTED_VALUE"""),"Nearest Exit from Entrance in Maze")</f>
        <v>Nearest Exit from Entrance in Maze</v>
      </c>
      <c r="C358" s="8" t="str">
        <f ca="1">IFERROR(__xludf.DUMMYFUNCTION("""COMPUTED_VALUE"""),"https://leetcode.com/problems/nearest-exit-from-entrance-in-maze")</f>
        <v>https://leetcode.com/problems/nearest-exit-from-entrance-in-maze</v>
      </c>
      <c r="D358" s="3" t="str">
        <f ca="1">IFERROR(__xludf.DUMMYFUNCTION("""COMPUTED_VALUE"""),"N")</f>
        <v>N</v>
      </c>
      <c r="E358" s="6">
        <f ca="1">IFERROR(__xludf.DUMMYFUNCTION("""COMPUTED_VALUE"""),0.431)</f>
        <v>0.43099999999999999</v>
      </c>
      <c r="F358" s="3" t="str">
        <f ca="1">IFERROR(__xludf.DUMMYFUNCTION("""COMPUTED_VALUE"""),"Medium")</f>
        <v>Medium</v>
      </c>
      <c r="G358" s="3" t="str">
        <f ca="1">IFERROR(__xludf.DUMMYFUNCTION("""COMPUTED_VALUE"""),"10.3695%;")</f>
        <v>10.3695%;</v>
      </c>
    </row>
    <row r="359" spans="1:7" x14ac:dyDescent="0.2">
      <c r="A359" s="3">
        <f ca="1">IFERROR(__xludf.DUMMYFUNCTION("""COMPUTED_VALUE"""),1962)</f>
        <v>1962</v>
      </c>
      <c r="B359" s="4" t="str">
        <f ca="1">IFERROR(__xludf.DUMMYFUNCTION("""COMPUTED_VALUE"""),"Remove Stones to Minimize the Total")</f>
        <v>Remove Stones to Minimize the Total</v>
      </c>
      <c r="C359" s="8" t="str">
        <f ca="1">IFERROR(__xludf.DUMMYFUNCTION("""COMPUTED_VALUE"""),"https://leetcode.com/problems/remove-stones-to-minimize-the-total")</f>
        <v>https://leetcode.com/problems/remove-stones-to-minimize-the-total</v>
      </c>
      <c r="D359" s="3" t="str">
        <f ca="1">IFERROR(__xludf.DUMMYFUNCTION("""COMPUTED_VALUE"""),"N")</f>
        <v>N</v>
      </c>
      <c r="E359" s="6">
        <f ca="1">IFERROR(__xludf.DUMMYFUNCTION("""COMPUTED_VALUE"""),0.592)</f>
        <v>0.59199999999999997</v>
      </c>
      <c r="F359" s="3" t="str">
        <f ca="1">IFERROR(__xludf.DUMMYFUNCTION("""COMPUTED_VALUE"""),"Medium")</f>
        <v>Medium</v>
      </c>
      <c r="G359" s="3" t="str">
        <f ca="1">IFERROR(__xludf.DUMMYFUNCTION("""COMPUTED_VALUE"""),"17.8893%;")</f>
        <v>17.8893%;</v>
      </c>
    </row>
    <row r="360" spans="1:7" x14ac:dyDescent="0.2">
      <c r="A360" s="3">
        <f ca="1">IFERROR(__xludf.DUMMYFUNCTION("""COMPUTED_VALUE"""),2007)</f>
        <v>2007</v>
      </c>
      <c r="B360" s="4" t="str">
        <f ca="1">IFERROR(__xludf.DUMMYFUNCTION("""COMPUTED_VALUE"""),"Find Original Array From Doubled Array")</f>
        <v>Find Original Array From Doubled Array</v>
      </c>
      <c r="C360" s="8" t="str">
        <f ca="1">IFERROR(__xludf.DUMMYFUNCTION("""COMPUTED_VALUE"""),"https://leetcode.com/problems/find-original-array-from-doubled-array")</f>
        <v>https://leetcode.com/problems/find-original-array-from-doubled-array</v>
      </c>
      <c r="D360" s="3" t="str">
        <f ca="1">IFERROR(__xludf.DUMMYFUNCTION("""COMPUTED_VALUE"""),"N")</f>
        <v>N</v>
      </c>
      <c r="E360" s="6">
        <f ca="1">IFERROR(__xludf.DUMMYFUNCTION("""COMPUTED_VALUE"""),0.409)</f>
        <v>0.40899999999999997</v>
      </c>
      <c r="F360" s="3" t="str">
        <f ca="1">IFERROR(__xludf.DUMMYFUNCTION("""COMPUTED_VALUE"""),"Medium")</f>
        <v>Medium</v>
      </c>
      <c r="G360" s="3" t="str">
        <f ca="1">IFERROR(__xludf.DUMMYFUNCTION("""COMPUTED_VALUE"""),"17.8893%;")</f>
        <v>17.8893%;</v>
      </c>
    </row>
    <row r="361" spans="1:7" x14ac:dyDescent="0.2">
      <c r="A361" s="3">
        <f ca="1">IFERROR(__xludf.DUMMYFUNCTION("""COMPUTED_VALUE"""),2055)</f>
        <v>2055</v>
      </c>
      <c r="B361" s="4" t="str">
        <f ca="1">IFERROR(__xludf.DUMMYFUNCTION("""COMPUTED_VALUE"""),"Plates Between Candles")</f>
        <v>Plates Between Candles</v>
      </c>
      <c r="C361" s="8" t="str">
        <f ca="1">IFERROR(__xludf.DUMMYFUNCTION("""COMPUTED_VALUE"""),"https://leetcode.com/problems/plates-between-candles")</f>
        <v>https://leetcode.com/problems/plates-between-candles</v>
      </c>
      <c r="D361" s="3" t="str">
        <f ca="1">IFERROR(__xludf.DUMMYFUNCTION("""COMPUTED_VALUE"""),"N")</f>
        <v>N</v>
      </c>
      <c r="E361" s="6">
        <f ca="1">IFERROR(__xludf.DUMMYFUNCTION("""COMPUTED_VALUE"""),0.444)</f>
        <v>0.44400000000000001</v>
      </c>
      <c r="F361" s="3" t="str">
        <f ca="1">IFERROR(__xludf.DUMMYFUNCTION("""COMPUTED_VALUE"""),"Medium")</f>
        <v>Medium</v>
      </c>
      <c r="G361" s="3" t="str">
        <f ca="1">IFERROR(__xludf.DUMMYFUNCTION("""COMPUTED_VALUE"""),"80.9185%;")</f>
        <v>80.9185%;</v>
      </c>
    </row>
    <row r="362" spans="1:7" x14ac:dyDescent="0.2">
      <c r="A362" s="3">
        <f ca="1">IFERROR(__xludf.DUMMYFUNCTION("""COMPUTED_VALUE"""),2070)</f>
        <v>2070</v>
      </c>
      <c r="B362" s="4" t="str">
        <f ca="1">IFERROR(__xludf.DUMMYFUNCTION("""COMPUTED_VALUE"""),"Most Beautiful Item for Each Query")</f>
        <v>Most Beautiful Item for Each Query</v>
      </c>
      <c r="C362" s="8" t="str">
        <f ca="1">IFERROR(__xludf.DUMMYFUNCTION("""COMPUTED_VALUE"""),"https://leetcode.com/problems/most-beautiful-item-for-each-query")</f>
        <v>https://leetcode.com/problems/most-beautiful-item-for-each-query</v>
      </c>
      <c r="D362" s="3" t="str">
        <f ca="1">IFERROR(__xludf.DUMMYFUNCTION("""COMPUTED_VALUE"""),"N")</f>
        <v>N</v>
      </c>
      <c r="E362" s="6">
        <f ca="1">IFERROR(__xludf.DUMMYFUNCTION("""COMPUTED_VALUE"""),0.497)</f>
        <v>0.497</v>
      </c>
      <c r="F362" s="3" t="str">
        <f ca="1">IFERROR(__xludf.DUMMYFUNCTION("""COMPUTED_VALUE"""),"Medium")</f>
        <v>Medium</v>
      </c>
      <c r="G362" s="3" t="str">
        <f ca="1">IFERROR(__xludf.DUMMYFUNCTION("""COMPUTED_VALUE"""),"23.4546%;")</f>
        <v>23.4546%;</v>
      </c>
    </row>
    <row r="363" spans="1:7" x14ac:dyDescent="0.2">
      <c r="A363" s="3">
        <f ca="1">IFERROR(__xludf.DUMMYFUNCTION("""COMPUTED_VALUE"""),2075)</f>
        <v>2075</v>
      </c>
      <c r="B363" s="4" t="str">
        <f ca="1">IFERROR(__xludf.DUMMYFUNCTION("""COMPUTED_VALUE"""),"Decode the Slanted Ciphertext")</f>
        <v>Decode the Slanted Ciphertext</v>
      </c>
      <c r="C363" s="8" t="str">
        <f ca="1">IFERROR(__xludf.DUMMYFUNCTION("""COMPUTED_VALUE"""),"https://leetcode.com/problems/decode-the-slanted-ciphertext")</f>
        <v>https://leetcode.com/problems/decode-the-slanted-ciphertext</v>
      </c>
      <c r="D363" s="3" t="str">
        <f ca="1">IFERROR(__xludf.DUMMYFUNCTION("""COMPUTED_VALUE"""),"N")</f>
        <v>N</v>
      </c>
      <c r="E363" s="6">
        <f ca="1">IFERROR(__xludf.DUMMYFUNCTION("""COMPUTED_VALUE"""),0.502)</f>
        <v>0.502</v>
      </c>
      <c r="F363" s="3" t="str">
        <f ca="1">IFERROR(__xludf.DUMMYFUNCTION("""COMPUTED_VALUE"""),"Medium")</f>
        <v>Medium</v>
      </c>
      <c r="G363" s="3" t="str">
        <f ca="1">IFERROR(__xludf.DUMMYFUNCTION("""COMPUTED_VALUE"""),"23.4546%;")</f>
        <v>23.4546%;</v>
      </c>
    </row>
    <row r="364" spans="1:7" x14ac:dyDescent="0.2">
      <c r="A364" s="3">
        <f ca="1">IFERROR(__xludf.DUMMYFUNCTION("""COMPUTED_VALUE"""),2100)</f>
        <v>2100</v>
      </c>
      <c r="B364" s="4" t="str">
        <f ca="1">IFERROR(__xludf.DUMMYFUNCTION("""COMPUTED_VALUE"""),"Find Good Days to Rob the Bank")</f>
        <v>Find Good Days to Rob the Bank</v>
      </c>
      <c r="C364" s="8" t="str">
        <f ca="1">IFERROR(__xludf.DUMMYFUNCTION("""COMPUTED_VALUE"""),"https://leetcode.com/problems/find-good-days-to-rob-the-bank")</f>
        <v>https://leetcode.com/problems/find-good-days-to-rob-the-bank</v>
      </c>
      <c r="D364" s="3" t="str">
        <f ca="1">IFERROR(__xludf.DUMMYFUNCTION("""COMPUTED_VALUE"""),"N")</f>
        <v>N</v>
      </c>
      <c r="E364" s="6">
        <f ca="1">IFERROR(__xludf.DUMMYFUNCTION("""COMPUTED_VALUE"""),0.492)</f>
        <v>0.49199999999999999</v>
      </c>
      <c r="F364" s="3" t="str">
        <f ca="1">IFERROR(__xludf.DUMMYFUNCTION("""COMPUTED_VALUE"""),"Medium")</f>
        <v>Medium</v>
      </c>
      <c r="G364" s="3" t="str">
        <f ca="1">IFERROR(__xludf.DUMMYFUNCTION("""COMPUTED_VALUE"""),"52.8976%;")</f>
        <v>52.8976%;</v>
      </c>
    </row>
    <row r="365" spans="1:7" x14ac:dyDescent="0.2">
      <c r="A365" s="3">
        <f ca="1">IFERROR(__xludf.DUMMYFUNCTION("""COMPUTED_VALUE"""),2096)</f>
        <v>2096</v>
      </c>
      <c r="B365" s="4" t="str">
        <f ca="1">IFERROR(__xludf.DUMMYFUNCTION("""COMPUTED_VALUE"""),"Step-By-Step Directions From a Binary Tree Node to Another")</f>
        <v>Step-By-Step Directions From a Binary Tree Node to Another</v>
      </c>
      <c r="C365" s="8" t="str">
        <f ca="1">IFERROR(__xludf.DUMMYFUNCTION("""COMPUTED_VALUE"""),"https://leetcode.com/problems/step-by-step-directions-from-a-binary-tree-node-to-another")</f>
        <v>https://leetcode.com/problems/step-by-step-directions-from-a-binary-tree-node-to-another</v>
      </c>
      <c r="D365" s="3" t="str">
        <f ca="1">IFERROR(__xludf.DUMMYFUNCTION("""COMPUTED_VALUE"""),"N")</f>
        <v>N</v>
      </c>
      <c r="E365" s="6">
        <f ca="1">IFERROR(__xludf.DUMMYFUNCTION("""COMPUTED_VALUE"""),0.488)</f>
        <v>0.48799999999999999</v>
      </c>
      <c r="F365" s="3" t="str">
        <f ca="1">IFERROR(__xludf.DUMMYFUNCTION("""COMPUTED_VALUE"""),"Medium")</f>
        <v>Medium</v>
      </c>
      <c r="G365" s="3" t="str">
        <f ca="1">IFERROR(__xludf.DUMMYFUNCTION("""COMPUTED_VALUE"""),"14.1655%;")</f>
        <v>14.1655%;</v>
      </c>
    </row>
    <row r="366" spans="1:7" x14ac:dyDescent="0.2">
      <c r="A366" s="3">
        <f ca="1">IFERROR(__xludf.DUMMYFUNCTION("""COMPUTED_VALUE"""),2115)</f>
        <v>2115</v>
      </c>
      <c r="B366" s="4" t="str">
        <f ca="1">IFERROR(__xludf.DUMMYFUNCTION("""COMPUTED_VALUE"""),"Find All Possible Recipes from Given Supplies")</f>
        <v>Find All Possible Recipes from Given Supplies</v>
      </c>
      <c r="C366" s="8" t="str">
        <f ca="1">IFERROR(__xludf.DUMMYFUNCTION("""COMPUTED_VALUE"""),"https://leetcode.com/problems/find-all-possible-recipes-from-given-supplies")</f>
        <v>https://leetcode.com/problems/find-all-possible-recipes-from-given-supplies</v>
      </c>
      <c r="D366" s="3" t="str">
        <f ca="1">IFERROR(__xludf.DUMMYFUNCTION("""COMPUTED_VALUE"""),"N")</f>
        <v>N</v>
      </c>
      <c r="E366" s="6">
        <f ca="1">IFERROR(__xludf.DUMMYFUNCTION("""COMPUTED_VALUE"""),0.485)</f>
        <v>0.48499999999999999</v>
      </c>
      <c r="F366" s="3" t="str">
        <f ca="1">IFERROR(__xludf.DUMMYFUNCTION("""COMPUTED_VALUE"""),"Medium")</f>
        <v>Medium</v>
      </c>
      <c r="G366" s="3" t="str">
        <f ca="1">IFERROR(__xludf.DUMMYFUNCTION("""COMPUTED_VALUE"""),"33.4878%;")</f>
        <v>33.4878%;</v>
      </c>
    </row>
    <row r="367" spans="1:7" x14ac:dyDescent="0.2">
      <c r="A367" s="3">
        <f ca="1">IFERROR(__xludf.DUMMYFUNCTION("""COMPUTED_VALUE"""),2104)</f>
        <v>2104</v>
      </c>
      <c r="B367" s="4" t="str">
        <f ca="1">IFERROR(__xludf.DUMMYFUNCTION("""COMPUTED_VALUE"""),"Sum of Subarray Ranges")</f>
        <v>Sum of Subarray Ranges</v>
      </c>
      <c r="C367" s="8" t="str">
        <f ca="1">IFERROR(__xludf.DUMMYFUNCTION("""COMPUTED_VALUE"""),"https://leetcode.com/problems/sum-of-subarray-ranges")</f>
        <v>https://leetcode.com/problems/sum-of-subarray-ranges</v>
      </c>
      <c r="D367" s="3" t="str">
        <f ca="1">IFERROR(__xludf.DUMMYFUNCTION("""COMPUTED_VALUE"""),"N")</f>
        <v>N</v>
      </c>
      <c r="E367" s="6">
        <f ca="1">IFERROR(__xludf.DUMMYFUNCTION("""COMPUTED_VALUE"""),0.602)</f>
        <v>0.60199999999999998</v>
      </c>
      <c r="F367" s="3" t="str">
        <f ca="1">IFERROR(__xludf.DUMMYFUNCTION("""COMPUTED_VALUE"""),"Medium")</f>
        <v>Medium</v>
      </c>
      <c r="G367" s="3" t="str">
        <f ca="1">IFERROR(__xludf.DUMMYFUNCTION("""COMPUTED_VALUE"""),"76.7894%;")</f>
        <v>76.7894%;</v>
      </c>
    </row>
    <row r="368" spans="1:7" x14ac:dyDescent="0.2">
      <c r="A368" s="3">
        <f ca="1">IFERROR(__xludf.DUMMYFUNCTION("""COMPUTED_VALUE"""),2109)</f>
        <v>2109</v>
      </c>
      <c r="B368" s="4" t="str">
        <f ca="1">IFERROR(__xludf.DUMMYFUNCTION("""COMPUTED_VALUE"""),"Adding Spaces to a String")</f>
        <v>Adding Spaces to a String</v>
      </c>
      <c r="C368" s="8" t="str">
        <f ca="1">IFERROR(__xludf.DUMMYFUNCTION("""COMPUTED_VALUE"""),"https://leetcode.com/problems/adding-spaces-to-a-string")</f>
        <v>https://leetcode.com/problems/adding-spaces-to-a-string</v>
      </c>
      <c r="D368" s="3" t="str">
        <f ca="1">IFERROR(__xludf.DUMMYFUNCTION("""COMPUTED_VALUE"""),"N")</f>
        <v>N</v>
      </c>
      <c r="E368" s="6">
        <f ca="1">IFERROR(__xludf.DUMMYFUNCTION("""COMPUTED_VALUE"""),0.563)</f>
        <v>0.56299999999999994</v>
      </c>
      <c r="F368" s="3" t="str">
        <f ca="1">IFERROR(__xludf.DUMMYFUNCTION("""COMPUTED_VALUE"""),"Medium")</f>
        <v>Medium</v>
      </c>
      <c r="G368" s="3" t="str">
        <f ca="1">IFERROR(__xludf.DUMMYFUNCTION("""COMPUTED_VALUE"""),"17.0416%;")</f>
        <v>17.0416%;</v>
      </c>
    </row>
    <row r="369" spans="1:7" x14ac:dyDescent="0.2">
      <c r="A369" s="3">
        <f ca="1">IFERROR(__xludf.DUMMYFUNCTION("""COMPUTED_VALUE"""),2110)</f>
        <v>2110</v>
      </c>
      <c r="B369" s="4" t="str">
        <f ca="1">IFERROR(__xludf.DUMMYFUNCTION("""COMPUTED_VALUE"""),"Number of Smooth Descent Periods of a Stock")</f>
        <v>Number of Smooth Descent Periods of a Stock</v>
      </c>
      <c r="C369" s="8" t="str">
        <f ca="1">IFERROR(__xludf.DUMMYFUNCTION("""COMPUTED_VALUE"""),"https://leetcode.com/problems/number-of-smooth-descent-periods-of-a-stock")</f>
        <v>https://leetcode.com/problems/number-of-smooth-descent-periods-of-a-stock</v>
      </c>
      <c r="D369" s="3" t="str">
        <f ca="1">IFERROR(__xludf.DUMMYFUNCTION("""COMPUTED_VALUE"""),"N")</f>
        <v>N</v>
      </c>
      <c r="E369" s="6">
        <f ca="1">IFERROR(__xludf.DUMMYFUNCTION("""COMPUTED_VALUE"""),0.576)</f>
        <v>0.57599999999999996</v>
      </c>
      <c r="F369" s="3" t="str">
        <f ca="1">IFERROR(__xludf.DUMMYFUNCTION("""COMPUTED_VALUE"""),"Medium")</f>
        <v>Medium</v>
      </c>
      <c r="G369" s="3" t="str">
        <f ca="1">IFERROR(__xludf.DUMMYFUNCTION("""COMPUTED_VALUE"""),"38.1761%;")</f>
        <v>38.1761%;</v>
      </c>
    </row>
    <row r="370" spans="1:7" x14ac:dyDescent="0.2">
      <c r="A370" s="3">
        <f ca="1">IFERROR(__xludf.DUMMYFUNCTION("""COMPUTED_VALUE"""),2130)</f>
        <v>2130</v>
      </c>
      <c r="B370" s="4" t="str">
        <f ca="1">IFERROR(__xludf.DUMMYFUNCTION("""COMPUTED_VALUE"""),"Maximum Twin Sum of a Linked List")</f>
        <v>Maximum Twin Sum of a Linked List</v>
      </c>
      <c r="C370" s="8" t="str">
        <f ca="1">IFERROR(__xludf.DUMMYFUNCTION("""COMPUTED_VALUE"""),"https://leetcode.com/problems/maximum-twin-sum-of-a-linked-list")</f>
        <v>https://leetcode.com/problems/maximum-twin-sum-of-a-linked-list</v>
      </c>
      <c r="D370" s="3" t="str">
        <f ca="1">IFERROR(__xludf.DUMMYFUNCTION("""COMPUTED_VALUE"""),"N")</f>
        <v>N</v>
      </c>
      <c r="E370" s="6">
        <f ca="1">IFERROR(__xludf.DUMMYFUNCTION("""COMPUTED_VALUE"""),0.813)</f>
        <v>0.81299999999999994</v>
      </c>
      <c r="F370" s="3" t="str">
        <f ca="1">IFERROR(__xludf.DUMMYFUNCTION("""COMPUTED_VALUE"""),"Medium")</f>
        <v>Medium</v>
      </c>
      <c r="G370" s="3" t="str">
        <f ca="1">IFERROR(__xludf.DUMMYFUNCTION("""COMPUTED_VALUE"""),"22.1174%;")</f>
        <v>22.1174%;</v>
      </c>
    </row>
    <row r="371" spans="1:7" x14ac:dyDescent="0.2">
      <c r="A371" s="3">
        <f ca="1">IFERROR(__xludf.DUMMYFUNCTION("""COMPUTED_VALUE"""),2195)</f>
        <v>2195</v>
      </c>
      <c r="B371" s="4" t="str">
        <f ca="1">IFERROR(__xludf.DUMMYFUNCTION("""COMPUTED_VALUE"""),"Append K Integers With Minimal Sum")</f>
        <v>Append K Integers With Minimal Sum</v>
      </c>
      <c r="C371" s="8" t="str">
        <f ca="1">IFERROR(__xludf.DUMMYFUNCTION("""COMPUTED_VALUE"""),"https://leetcode.com/problems/append-k-integers-with-minimal-sum")</f>
        <v>https://leetcode.com/problems/append-k-integers-with-minimal-sum</v>
      </c>
      <c r="D371" s="3" t="str">
        <f ca="1">IFERROR(__xludf.DUMMYFUNCTION("""COMPUTED_VALUE"""),"N")</f>
        <v>N</v>
      </c>
      <c r="E371" s="6">
        <f ca="1">IFERROR(__xludf.DUMMYFUNCTION("""COMPUTED_VALUE"""),0.25)</f>
        <v>0.25</v>
      </c>
      <c r="F371" s="3" t="str">
        <f ca="1">IFERROR(__xludf.DUMMYFUNCTION("""COMPUTED_VALUE"""),"Medium")</f>
        <v>Medium</v>
      </c>
      <c r="G371" s="3" t="str">
        <f ca="1">IFERROR(__xludf.DUMMYFUNCTION("""COMPUTED_VALUE"""),"33.3416%;")</f>
        <v>33.3416%;</v>
      </c>
    </row>
    <row r="372" spans="1:7" x14ac:dyDescent="0.2">
      <c r="A372" s="3">
        <f ca="1">IFERROR(__xludf.DUMMYFUNCTION("""COMPUTED_VALUE"""),2221)</f>
        <v>2221</v>
      </c>
      <c r="B372" s="4" t="str">
        <f ca="1">IFERROR(__xludf.DUMMYFUNCTION("""COMPUTED_VALUE"""),"Find Triangular Sum of an Array")</f>
        <v>Find Triangular Sum of an Array</v>
      </c>
      <c r="C372" s="8" t="str">
        <f ca="1">IFERROR(__xludf.DUMMYFUNCTION("""COMPUTED_VALUE"""),"https://leetcode.com/problems/find-triangular-sum-of-an-array")</f>
        <v>https://leetcode.com/problems/find-triangular-sum-of-an-array</v>
      </c>
      <c r="D372" s="3" t="str">
        <f ca="1">IFERROR(__xludf.DUMMYFUNCTION("""COMPUTED_VALUE"""),"N")</f>
        <v>N</v>
      </c>
      <c r="E372" s="6">
        <f ca="1">IFERROR(__xludf.DUMMYFUNCTION("""COMPUTED_VALUE"""),0.79)</f>
        <v>0.79</v>
      </c>
      <c r="F372" s="3" t="str">
        <f ca="1">IFERROR(__xludf.DUMMYFUNCTION("""COMPUTED_VALUE"""),"Medium")</f>
        <v>Medium</v>
      </c>
      <c r="G372" s="3" t="str">
        <f ca="1">IFERROR(__xludf.DUMMYFUNCTION("""COMPUTED_VALUE"""),"73.1715%;")</f>
        <v>73.1715%;</v>
      </c>
    </row>
    <row r="373" spans="1:7" x14ac:dyDescent="0.2">
      <c r="A373" s="3">
        <f ca="1">IFERROR(__xludf.DUMMYFUNCTION("""COMPUTED_VALUE"""),2222)</f>
        <v>2222</v>
      </c>
      <c r="B373" s="4" t="str">
        <f ca="1">IFERROR(__xludf.DUMMYFUNCTION("""COMPUTED_VALUE"""),"Number of Ways to Select Buildings")</f>
        <v>Number of Ways to Select Buildings</v>
      </c>
      <c r="C373" s="8" t="str">
        <f ca="1">IFERROR(__xludf.DUMMYFUNCTION("""COMPUTED_VALUE"""),"https://leetcode.com/problems/number-of-ways-to-select-buildings")</f>
        <v>https://leetcode.com/problems/number-of-ways-to-select-buildings</v>
      </c>
      <c r="D373" s="3" t="str">
        <f ca="1">IFERROR(__xludf.DUMMYFUNCTION("""COMPUTED_VALUE"""),"N")</f>
        <v>N</v>
      </c>
      <c r="E373" s="6">
        <f ca="1">IFERROR(__xludf.DUMMYFUNCTION("""COMPUTED_VALUE"""),0.513)</f>
        <v>0.51300000000000001</v>
      </c>
      <c r="F373" s="3" t="str">
        <f ca="1">IFERROR(__xludf.DUMMYFUNCTION("""COMPUTED_VALUE"""),"Medium")</f>
        <v>Medium</v>
      </c>
      <c r="G373" s="3" t="str">
        <f ca="1">IFERROR(__xludf.DUMMYFUNCTION("""COMPUTED_VALUE"""),"81.0963%;")</f>
        <v>81.0963%;</v>
      </c>
    </row>
    <row r="374" spans="1:7" x14ac:dyDescent="0.2">
      <c r="A374" s="3">
        <f ca="1">IFERROR(__xludf.DUMMYFUNCTION("""COMPUTED_VALUE"""),2256)</f>
        <v>2256</v>
      </c>
      <c r="B374" s="4" t="str">
        <f ca="1">IFERROR(__xludf.DUMMYFUNCTION("""COMPUTED_VALUE"""),"Minimum Average Difference")</f>
        <v>Minimum Average Difference</v>
      </c>
      <c r="C374" s="8" t="str">
        <f ca="1">IFERROR(__xludf.DUMMYFUNCTION("""COMPUTED_VALUE"""),"https://leetcode.com/problems/minimum-average-difference")</f>
        <v>https://leetcode.com/problems/minimum-average-difference</v>
      </c>
      <c r="D374" s="3" t="str">
        <f ca="1">IFERROR(__xludf.DUMMYFUNCTION("""COMPUTED_VALUE"""),"N")</f>
        <v>N</v>
      </c>
      <c r="E374" s="6">
        <f ca="1">IFERROR(__xludf.DUMMYFUNCTION("""COMPUTED_VALUE"""),0.359)</f>
        <v>0.35899999999999999</v>
      </c>
      <c r="F374" s="3" t="str">
        <f ca="1">IFERROR(__xludf.DUMMYFUNCTION("""COMPUTED_VALUE"""),"Medium")</f>
        <v>Medium</v>
      </c>
      <c r="G374" s="3" t="str">
        <f ca="1">IFERROR(__xludf.DUMMYFUNCTION("""COMPUTED_VALUE"""),"31.5922%;")</f>
        <v>31.5922%;</v>
      </c>
    </row>
    <row r="375" spans="1:7" x14ac:dyDescent="0.2">
      <c r="A375" s="3">
        <f ca="1">IFERROR(__xludf.DUMMYFUNCTION("""COMPUTED_VALUE"""),2265)</f>
        <v>2265</v>
      </c>
      <c r="B375" s="4" t="str">
        <f ca="1">IFERROR(__xludf.DUMMYFUNCTION("""COMPUTED_VALUE"""),"Count Nodes Equal to Average of Subtree")</f>
        <v>Count Nodes Equal to Average of Subtree</v>
      </c>
      <c r="C375" s="8" t="str">
        <f ca="1">IFERROR(__xludf.DUMMYFUNCTION("""COMPUTED_VALUE"""),"https://leetcode.com/problems/count-nodes-equal-to-average-of-subtree")</f>
        <v>https://leetcode.com/problems/count-nodes-equal-to-average-of-subtree</v>
      </c>
      <c r="D375" s="3" t="str">
        <f ca="1">IFERROR(__xludf.DUMMYFUNCTION("""COMPUTED_VALUE"""),"N")</f>
        <v>N</v>
      </c>
      <c r="E375" s="6">
        <f ca="1">IFERROR(__xludf.DUMMYFUNCTION("""COMPUTED_VALUE"""),0.856)</f>
        <v>0.85599999999999998</v>
      </c>
      <c r="F375" s="3" t="str">
        <f ca="1">IFERROR(__xludf.DUMMYFUNCTION("""COMPUTED_VALUE"""),"Medium")</f>
        <v>Medium</v>
      </c>
      <c r="G375" s="3" t="str">
        <f ca="1">IFERROR(__xludf.DUMMYFUNCTION("""COMPUTED_VALUE"""),"10.0605%;")</f>
        <v>10.0605%;</v>
      </c>
    </row>
    <row r="376" spans="1:7" x14ac:dyDescent="0.2">
      <c r="A376" s="3">
        <f ca="1">IFERROR(__xludf.DUMMYFUNCTION("""COMPUTED_VALUE"""),2214)</f>
        <v>2214</v>
      </c>
      <c r="B376" s="4" t="str">
        <f ca="1">IFERROR(__xludf.DUMMYFUNCTION("""COMPUTED_VALUE"""),"Minimum Health to Beat Game")</f>
        <v>Minimum Health to Beat Game</v>
      </c>
      <c r="C376" s="8" t="str">
        <f ca="1">IFERROR(__xludf.DUMMYFUNCTION("""COMPUTED_VALUE"""),"https://leetcode.com/problems/minimum-health-to-beat-game")</f>
        <v>https://leetcode.com/problems/minimum-health-to-beat-game</v>
      </c>
      <c r="D376" s="3" t="str">
        <f ca="1">IFERROR(__xludf.DUMMYFUNCTION("""COMPUTED_VALUE"""),"Y")</f>
        <v>Y</v>
      </c>
      <c r="E376" s="6">
        <f ca="1">IFERROR(__xludf.DUMMYFUNCTION("""COMPUTED_VALUE"""),0.575)</f>
        <v>0.57499999999999996</v>
      </c>
      <c r="F376" s="3" t="str">
        <f ca="1">IFERROR(__xludf.DUMMYFUNCTION("""COMPUTED_VALUE"""),"Medium")</f>
        <v>Medium</v>
      </c>
      <c r="G376" s="3" t="str">
        <f ca="1">IFERROR(__xludf.DUMMYFUNCTION("""COMPUTED_VALUE"""),"95.4081%;")</f>
        <v>95.4081%;</v>
      </c>
    </row>
    <row r="377" spans="1:7" x14ac:dyDescent="0.2">
      <c r="A377" s="3">
        <f ca="1">IFERROR(__xludf.DUMMYFUNCTION("""COMPUTED_VALUE"""),2244)</f>
        <v>2244</v>
      </c>
      <c r="B377" s="4" t="str">
        <f ca="1">IFERROR(__xludf.DUMMYFUNCTION("""COMPUTED_VALUE"""),"Minimum Rounds to Complete All Tasks")</f>
        <v>Minimum Rounds to Complete All Tasks</v>
      </c>
      <c r="C377" s="8" t="str">
        <f ca="1">IFERROR(__xludf.DUMMYFUNCTION("""COMPUTED_VALUE"""),"https://leetcode.com/problems/minimum-rounds-to-complete-all-tasks")</f>
        <v>https://leetcode.com/problems/minimum-rounds-to-complete-all-tasks</v>
      </c>
      <c r="D377" s="3" t="str">
        <f ca="1">IFERROR(__xludf.DUMMYFUNCTION("""COMPUTED_VALUE"""),"N")</f>
        <v>N</v>
      </c>
      <c r="E377" s="6">
        <f ca="1">IFERROR(__xludf.DUMMYFUNCTION("""COMPUTED_VALUE"""),0.574)</f>
        <v>0.57399999999999995</v>
      </c>
      <c r="F377" s="3" t="str">
        <f ca="1">IFERROR(__xludf.DUMMYFUNCTION("""COMPUTED_VALUE"""),"Medium")</f>
        <v>Medium</v>
      </c>
      <c r="G377" s="3" t="str">
        <f ca="1">IFERROR(__xludf.DUMMYFUNCTION("""COMPUTED_VALUE"""),"32.0317%;")</f>
        <v>32.0317%;</v>
      </c>
    </row>
    <row r="378" spans="1:7" x14ac:dyDescent="0.2">
      <c r="A378" s="3">
        <f ca="1">IFERROR(__xludf.DUMMYFUNCTION("""COMPUTED_VALUE"""),2288)</f>
        <v>2288</v>
      </c>
      <c r="B378" s="4" t="str">
        <f ca="1">IFERROR(__xludf.DUMMYFUNCTION("""COMPUTED_VALUE"""),"Apply Discount to Prices")</f>
        <v>Apply Discount to Prices</v>
      </c>
      <c r="C378" s="8" t="str">
        <f ca="1">IFERROR(__xludf.DUMMYFUNCTION("""COMPUTED_VALUE"""),"https://leetcode.com/problems/apply-discount-to-prices")</f>
        <v>https://leetcode.com/problems/apply-discount-to-prices</v>
      </c>
      <c r="D378" s="3" t="str">
        <f ca="1">IFERROR(__xludf.DUMMYFUNCTION("""COMPUTED_VALUE"""),"N")</f>
        <v>N</v>
      </c>
      <c r="E378" s="6">
        <f ca="1">IFERROR(__xludf.DUMMYFUNCTION("""COMPUTED_VALUE"""),0.274)</f>
        <v>0.27400000000000002</v>
      </c>
      <c r="F378" s="3" t="str">
        <f ca="1">IFERROR(__xludf.DUMMYFUNCTION("""COMPUTED_VALUE"""),"Medium")</f>
        <v>Medium</v>
      </c>
      <c r="G378" s="3" t="str">
        <f ca="1">IFERROR(__xludf.DUMMYFUNCTION("""COMPUTED_VALUE"""),"40.7078%;")</f>
        <v>40.7078%;</v>
      </c>
    </row>
    <row r="379" spans="1:7" x14ac:dyDescent="0.2">
      <c r="A379" s="3">
        <f ca="1">IFERROR(__xludf.DUMMYFUNCTION("""COMPUTED_VALUE"""),2289)</f>
        <v>2289</v>
      </c>
      <c r="B379" s="4" t="str">
        <f ca="1">IFERROR(__xludf.DUMMYFUNCTION("""COMPUTED_VALUE"""),"Steps to Make Array Non-decreasing")</f>
        <v>Steps to Make Array Non-decreasing</v>
      </c>
      <c r="C379" s="8" t="str">
        <f ca="1">IFERROR(__xludf.DUMMYFUNCTION("""COMPUTED_VALUE"""),"https://leetcode.com/problems/steps-to-make-array-non-decreasing")</f>
        <v>https://leetcode.com/problems/steps-to-make-array-non-decreasing</v>
      </c>
      <c r="D379" s="3" t="str">
        <f ca="1">IFERROR(__xludf.DUMMYFUNCTION("""COMPUTED_VALUE"""),"N")</f>
        <v>N</v>
      </c>
      <c r="E379" s="6">
        <f ca="1">IFERROR(__xludf.DUMMYFUNCTION("""COMPUTED_VALUE"""),0.214)</f>
        <v>0.214</v>
      </c>
      <c r="F379" s="3" t="str">
        <f ca="1">IFERROR(__xludf.DUMMYFUNCTION("""COMPUTED_VALUE"""),"Medium")</f>
        <v>Medium</v>
      </c>
      <c r="G379" s="3" t="str">
        <f ca="1">IFERROR(__xludf.DUMMYFUNCTION("""COMPUTED_VALUE"""),"8.03794%;")</f>
        <v>8.03794%;</v>
      </c>
    </row>
    <row r="380" spans="1:7" x14ac:dyDescent="0.2">
      <c r="A380" s="3">
        <f ca="1">IFERROR(__xludf.DUMMYFUNCTION("""COMPUTED_VALUE"""),2294)</f>
        <v>2294</v>
      </c>
      <c r="B380" s="4" t="str">
        <f ca="1">IFERROR(__xludf.DUMMYFUNCTION("""COMPUTED_VALUE"""),"Partition Array Such That Maximum Difference Is K")</f>
        <v>Partition Array Such That Maximum Difference Is K</v>
      </c>
      <c r="C380" s="8" t="str">
        <f ca="1">IFERROR(__xludf.DUMMYFUNCTION("""COMPUTED_VALUE"""),"https://leetcode.com/problems/partition-array-such-that-maximum-difference-is-k")</f>
        <v>https://leetcode.com/problems/partition-array-such-that-maximum-difference-is-k</v>
      </c>
      <c r="D380" s="3" t="str">
        <f ca="1">IFERROR(__xludf.DUMMYFUNCTION("""COMPUTED_VALUE"""),"N")</f>
        <v>N</v>
      </c>
      <c r="E380" s="6">
        <f ca="1">IFERROR(__xludf.DUMMYFUNCTION("""COMPUTED_VALUE"""),0.726)</f>
        <v>0.72599999999999998</v>
      </c>
      <c r="F380" s="3" t="str">
        <f ca="1">IFERROR(__xludf.DUMMYFUNCTION("""COMPUTED_VALUE"""),"Medium")</f>
        <v>Medium</v>
      </c>
      <c r="G380" s="3" t="str">
        <f ca="1">IFERROR(__xludf.DUMMYFUNCTION("""COMPUTED_VALUE"""),"52.8976%;")</f>
        <v>52.8976%;</v>
      </c>
    </row>
    <row r="381" spans="1:7" x14ac:dyDescent="0.2">
      <c r="A381" s="3">
        <f ca="1">IFERROR(__xludf.DUMMYFUNCTION("""COMPUTED_VALUE"""),2311)</f>
        <v>2311</v>
      </c>
      <c r="B381" s="4" t="str">
        <f ca="1">IFERROR(__xludf.DUMMYFUNCTION("""COMPUTED_VALUE"""),"Longest Binary Subsequence Less Than or Equal to K")</f>
        <v>Longest Binary Subsequence Less Than or Equal to K</v>
      </c>
      <c r="C381" s="8" t="str">
        <f ca="1">IFERROR(__xludf.DUMMYFUNCTION("""COMPUTED_VALUE"""),"https://leetcode.com/problems/longest-binary-subsequence-less-than-or-equal-to-k")</f>
        <v>https://leetcode.com/problems/longest-binary-subsequence-less-than-or-equal-to-k</v>
      </c>
      <c r="D381" s="3" t="str">
        <f ca="1">IFERROR(__xludf.DUMMYFUNCTION("""COMPUTED_VALUE"""),"N")</f>
        <v>N</v>
      </c>
      <c r="E381" s="6">
        <f ca="1">IFERROR(__xludf.DUMMYFUNCTION("""COMPUTED_VALUE"""),0.364)</f>
        <v>0.36399999999999999</v>
      </c>
      <c r="F381" s="3" t="str">
        <f ca="1">IFERROR(__xludf.DUMMYFUNCTION("""COMPUTED_VALUE"""),"Medium")</f>
        <v>Medium</v>
      </c>
      <c r="G381" s="3" t="str">
        <f ca="1">IFERROR(__xludf.DUMMYFUNCTION("""COMPUTED_VALUE"""),"16.1855%;")</f>
        <v>16.1855%;</v>
      </c>
    </row>
    <row r="382" spans="1:7" x14ac:dyDescent="0.2">
      <c r="A382" s="3">
        <f ca="1">IFERROR(__xludf.DUMMYFUNCTION("""COMPUTED_VALUE"""),2268)</f>
        <v>2268</v>
      </c>
      <c r="B382" s="4" t="str">
        <f ca="1">IFERROR(__xludf.DUMMYFUNCTION("""COMPUTED_VALUE"""),"Minimum Number of Keypresses")</f>
        <v>Minimum Number of Keypresses</v>
      </c>
      <c r="C382" s="8" t="str">
        <f ca="1">IFERROR(__xludf.DUMMYFUNCTION("""COMPUTED_VALUE"""),"https://leetcode.com/problems/minimum-number-of-keypresses")</f>
        <v>https://leetcode.com/problems/minimum-number-of-keypresses</v>
      </c>
      <c r="D382" s="3" t="str">
        <f ca="1">IFERROR(__xludf.DUMMYFUNCTION("""COMPUTED_VALUE"""),"Y")</f>
        <v>Y</v>
      </c>
      <c r="E382" s="6">
        <f ca="1">IFERROR(__xludf.DUMMYFUNCTION("""COMPUTED_VALUE"""),0.74)</f>
        <v>0.74</v>
      </c>
      <c r="F382" s="3" t="str">
        <f ca="1">IFERROR(__xludf.DUMMYFUNCTION("""COMPUTED_VALUE"""),"Medium")</f>
        <v>Medium</v>
      </c>
      <c r="G382" s="3" t="str">
        <f ca="1">IFERROR(__xludf.DUMMYFUNCTION("""COMPUTED_VALUE"""),"84.9083%;")</f>
        <v>84.9083%;</v>
      </c>
    </row>
    <row r="383" spans="1:7" x14ac:dyDescent="0.2">
      <c r="A383" s="3">
        <f ca="1">IFERROR(__xludf.DUMMYFUNCTION("""COMPUTED_VALUE"""),2327)</f>
        <v>2327</v>
      </c>
      <c r="B383" s="4" t="str">
        <f ca="1">IFERROR(__xludf.DUMMYFUNCTION("""COMPUTED_VALUE"""),"Number of People Aware of a Secret")</f>
        <v>Number of People Aware of a Secret</v>
      </c>
      <c r="C383" s="8" t="str">
        <f ca="1">IFERROR(__xludf.DUMMYFUNCTION("""COMPUTED_VALUE"""),"https://leetcode.com/problems/number-of-people-aware-of-a-secret")</f>
        <v>https://leetcode.com/problems/number-of-people-aware-of-a-secret</v>
      </c>
      <c r="D383" s="3" t="str">
        <f ca="1">IFERROR(__xludf.DUMMYFUNCTION("""COMPUTED_VALUE"""),"N")</f>
        <v>N</v>
      </c>
      <c r="E383" s="6">
        <f ca="1">IFERROR(__xludf.DUMMYFUNCTION("""COMPUTED_VALUE"""),0.445)</f>
        <v>0.44500000000000001</v>
      </c>
      <c r="F383" s="3" t="str">
        <f ca="1">IFERROR(__xludf.DUMMYFUNCTION("""COMPUTED_VALUE"""),"Medium")</f>
        <v>Medium</v>
      </c>
      <c r="G383" s="3" t="str">
        <f ca="1">IFERROR(__xludf.DUMMYFUNCTION("""COMPUTED_VALUE"""),"26.6516%;")</f>
        <v>26.6516%;</v>
      </c>
    </row>
    <row r="384" spans="1:7" x14ac:dyDescent="0.2">
      <c r="A384" s="3">
        <f ca="1">IFERROR(__xludf.DUMMYFUNCTION("""COMPUTED_VALUE"""),2336)</f>
        <v>2336</v>
      </c>
      <c r="B384" s="4" t="str">
        <f ca="1">IFERROR(__xludf.DUMMYFUNCTION("""COMPUTED_VALUE"""),"Smallest Number in Infinite Set")</f>
        <v>Smallest Number in Infinite Set</v>
      </c>
      <c r="C384" s="8" t="str">
        <f ca="1">IFERROR(__xludf.DUMMYFUNCTION("""COMPUTED_VALUE"""),"https://leetcode.com/problems/smallest-number-in-infinite-set")</f>
        <v>https://leetcode.com/problems/smallest-number-in-infinite-set</v>
      </c>
      <c r="D384" s="3" t="str">
        <f ca="1">IFERROR(__xludf.DUMMYFUNCTION("""COMPUTED_VALUE"""),"N")</f>
        <v>N</v>
      </c>
      <c r="E384" s="6">
        <f ca="1">IFERROR(__xludf.DUMMYFUNCTION("""COMPUTED_VALUE"""),0.717)</f>
        <v>0.71699999999999997</v>
      </c>
      <c r="F384" s="3" t="str">
        <f ca="1">IFERROR(__xludf.DUMMYFUNCTION("""COMPUTED_VALUE"""),"Medium")</f>
        <v>Medium</v>
      </c>
      <c r="G384" s="3" t="str">
        <f ca="1">IFERROR(__xludf.DUMMYFUNCTION("""COMPUTED_VALUE"""),"10.5314%;")</f>
        <v>10.5314%;</v>
      </c>
    </row>
    <row r="385" spans="1:7" x14ac:dyDescent="0.2">
      <c r="A385" s="3">
        <f ca="1">IFERROR(__xludf.DUMMYFUNCTION("""COMPUTED_VALUE"""),2385)</f>
        <v>2385</v>
      </c>
      <c r="B385" s="4" t="str">
        <f ca="1">IFERROR(__xludf.DUMMYFUNCTION("""COMPUTED_VALUE"""),"Amount of Time for Binary Tree to Be Infected")</f>
        <v>Amount of Time for Binary Tree to Be Infected</v>
      </c>
      <c r="C385" s="8" t="str">
        <f ca="1">IFERROR(__xludf.DUMMYFUNCTION("""COMPUTED_VALUE"""),"https://leetcode.com/problems/amount-of-time-for-binary-tree-to-be-infected")</f>
        <v>https://leetcode.com/problems/amount-of-time-for-binary-tree-to-be-infected</v>
      </c>
      <c r="D385" s="3" t="str">
        <f ca="1">IFERROR(__xludf.DUMMYFUNCTION("""COMPUTED_VALUE"""),"N")</f>
        <v>N</v>
      </c>
      <c r="E385" s="6">
        <f ca="1">IFERROR(__xludf.DUMMYFUNCTION("""COMPUTED_VALUE"""),0.562)</f>
        <v>0.56200000000000006</v>
      </c>
      <c r="F385" s="3" t="str">
        <f ca="1">IFERROR(__xludf.DUMMYFUNCTION("""COMPUTED_VALUE"""),"Medium")</f>
        <v>Medium</v>
      </c>
      <c r="G385" s="3" t="str">
        <f ca="1">IFERROR(__xludf.DUMMYFUNCTION("""COMPUTED_VALUE"""),"29.4431%;")</f>
        <v>29.4431%;</v>
      </c>
    </row>
    <row r="386" spans="1:7" x14ac:dyDescent="0.2">
      <c r="A386" s="3">
        <f ca="1">IFERROR(__xludf.DUMMYFUNCTION("""COMPUTED_VALUE"""),2340)</f>
        <v>2340</v>
      </c>
      <c r="B386" s="4" t="str">
        <f ca="1">IFERROR(__xludf.DUMMYFUNCTION("""COMPUTED_VALUE"""),"Minimum Adjacent Swaps to Make a Valid Array")</f>
        <v>Minimum Adjacent Swaps to Make a Valid Array</v>
      </c>
      <c r="C386" s="8" t="str">
        <f ca="1">IFERROR(__xludf.DUMMYFUNCTION("""COMPUTED_VALUE"""),"https://leetcode.com/problems/minimum-adjacent-swaps-to-make-a-valid-array")</f>
        <v>https://leetcode.com/problems/minimum-adjacent-swaps-to-make-a-valid-array</v>
      </c>
      <c r="D386" s="3" t="str">
        <f ca="1">IFERROR(__xludf.DUMMYFUNCTION("""COMPUTED_VALUE"""),"Y")</f>
        <v>Y</v>
      </c>
      <c r="E386" s="6">
        <f ca="1">IFERROR(__xludf.DUMMYFUNCTION("""COMPUTED_VALUE"""),0.765)</f>
        <v>0.76500000000000001</v>
      </c>
      <c r="F386" s="3" t="str">
        <f ca="1">IFERROR(__xludf.DUMMYFUNCTION("""COMPUTED_VALUE"""),"Medium")</f>
        <v>Medium</v>
      </c>
      <c r="G386" s="3" t="str">
        <f ca="1">IFERROR(__xludf.DUMMYFUNCTION("""COMPUTED_VALUE"""),"79.7405%;")</f>
        <v>79.7405%;</v>
      </c>
    </row>
    <row r="387" spans="1:7" x14ac:dyDescent="0.2">
      <c r="A387" s="3">
        <f ca="1">IFERROR(__xludf.DUMMYFUNCTION("""COMPUTED_VALUE"""),2405)</f>
        <v>2405</v>
      </c>
      <c r="B387" s="4" t="str">
        <f ca="1">IFERROR(__xludf.DUMMYFUNCTION("""COMPUTED_VALUE"""),"Optimal Partition of String")</f>
        <v>Optimal Partition of String</v>
      </c>
      <c r="C387" s="8" t="str">
        <f ca="1">IFERROR(__xludf.DUMMYFUNCTION("""COMPUTED_VALUE"""),"https://leetcode.com/problems/optimal-partition-of-string")</f>
        <v>https://leetcode.com/problems/optimal-partition-of-string</v>
      </c>
      <c r="D387" s="3" t="str">
        <f ca="1">IFERROR(__xludf.DUMMYFUNCTION("""COMPUTED_VALUE"""),"N")</f>
        <v>N</v>
      </c>
      <c r="E387" s="6">
        <f ca="1">IFERROR(__xludf.DUMMYFUNCTION("""COMPUTED_VALUE"""),0.744)</f>
        <v>0.74399999999999999</v>
      </c>
      <c r="F387" s="3" t="str">
        <f ca="1">IFERROR(__xludf.DUMMYFUNCTION("""COMPUTED_VALUE"""),"Medium")</f>
        <v>Medium</v>
      </c>
      <c r="G387" s="3" t="str">
        <f ca="1">IFERROR(__xludf.DUMMYFUNCTION("""COMPUTED_VALUE"""),"7.34701%;")</f>
        <v>7.34701%;</v>
      </c>
    </row>
    <row r="388" spans="1:7" x14ac:dyDescent="0.2">
      <c r="A388" s="3">
        <f ca="1">IFERROR(__xludf.DUMMYFUNCTION("""COMPUTED_VALUE"""),2406)</f>
        <v>2406</v>
      </c>
      <c r="B388" s="4" t="str">
        <f ca="1">IFERROR(__xludf.DUMMYFUNCTION("""COMPUTED_VALUE"""),"Divide Intervals Into Minimum Number of Groups")</f>
        <v>Divide Intervals Into Minimum Number of Groups</v>
      </c>
      <c r="C388" s="8" t="str">
        <f ca="1">IFERROR(__xludf.DUMMYFUNCTION("""COMPUTED_VALUE"""),"https://leetcode.com/problems/divide-intervals-into-minimum-number-of-groups")</f>
        <v>https://leetcode.com/problems/divide-intervals-into-minimum-number-of-groups</v>
      </c>
      <c r="D388" s="3" t="str">
        <f ca="1">IFERROR(__xludf.DUMMYFUNCTION("""COMPUTED_VALUE"""),"N")</f>
        <v>N</v>
      </c>
      <c r="E388" s="6">
        <f ca="1">IFERROR(__xludf.DUMMYFUNCTION("""COMPUTED_VALUE"""),0.454)</f>
        <v>0.45400000000000001</v>
      </c>
      <c r="F388" s="3" t="str">
        <f ca="1">IFERROR(__xludf.DUMMYFUNCTION("""COMPUTED_VALUE"""),"Medium")</f>
        <v>Medium</v>
      </c>
      <c r="G388" s="3" t="str">
        <f ca="1">IFERROR(__xludf.DUMMYFUNCTION("""COMPUTED_VALUE"""),"18.5275%;")</f>
        <v>18.5275%;</v>
      </c>
    </row>
    <row r="389" spans="1:7" x14ac:dyDescent="0.2">
      <c r="B389" s="4"/>
      <c r="C389" s="4"/>
    </row>
    <row r="390" spans="1:7" x14ac:dyDescent="0.2">
      <c r="B390" s="4"/>
      <c r="C390" s="4"/>
    </row>
    <row r="391" spans="1:7" x14ac:dyDescent="0.2">
      <c r="B391" s="4"/>
      <c r="C391" s="4"/>
    </row>
    <row r="392" spans="1:7" x14ac:dyDescent="0.2">
      <c r="B392" s="4"/>
      <c r="C392" s="4"/>
    </row>
    <row r="393" spans="1:7" x14ac:dyDescent="0.2">
      <c r="B393" s="4"/>
      <c r="C393" s="4"/>
    </row>
    <row r="394" spans="1:7" x14ac:dyDescent="0.2">
      <c r="B394" s="4"/>
      <c r="C394" s="4"/>
    </row>
    <row r="395" spans="1:7" x14ac:dyDescent="0.2">
      <c r="B395" s="4"/>
      <c r="C395" s="4"/>
    </row>
    <row r="396" spans="1:7" x14ac:dyDescent="0.2">
      <c r="B396" s="4"/>
      <c r="C396" s="4"/>
    </row>
    <row r="397" spans="1:7" x14ac:dyDescent="0.2">
      <c r="B397" s="4"/>
      <c r="C397" s="4"/>
    </row>
    <row r="398" spans="1:7" x14ac:dyDescent="0.2">
      <c r="B398" s="4"/>
      <c r="C398" s="4"/>
    </row>
    <row r="399" spans="1:7" x14ac:dyDescent="0.2">
      <c r="B399" s="4"/>
      <c r="C399" s="4"/>
    </row>
    <row r="400" spans="1:7" x14ac:dyDescent="0.2">
      <c r="B400" s="4"/>
      <c r="C400" s="4"/>
    </row>
    <row r="401" spans="2:3" x14ac:dyDescent="0.2">
      <c r="B401" s="4"/>
      <c r="C401" s="4"/>
    </row>
    <row r="402" spans="2:3" x14ac:dyDescent="0.2">
      <c r="B402" s="4"/>
      <c r="C402" s="4"/>
    </row>
    <row r="403" spans="2:3" x14ac:dyDescent="0.2">
      <c r="B403" s="4"/>
      <c r="C403" s="4"/>
    </row>
    <row r="404" spans="2:3" x14ac:dyDescent="0.2">
      <c r="B404" s="4"/>
      <c r="C404" s="4"/>
    </row>
    <row r="405" spans="2:3" x14ac:dyDescent="0.2">
      <c r="B405" s="4"/>
      <c r="C405" s="4"/>
    </row>
    <row r="406" spans="2:3" x14ac:dyDescent="0.2">
      <c r="B406" s="4"/>
      <c r="C406" s="4"/>
    </row>
    <row r="407" spans="2:3" x14ac:dyDescent="0.2">
      <c r="B407" s="4"/>
      <c r="C407" s="4"/>
    </row>
    <row r="408" spans="2:3" x14ac:dyDescent="0.2">
      <c r="B408" s="4"/>
      <c r="C408" s="4"/>
    </row>
    <row r="409" spans="2:3" x14ac:dyDescent="0.2">
      <c r="B409" s="4"/>
      <c r="C409" s="4"/>
    </row>
    <row r="410" spans="2:3" x14ac:dyDescent="0.2">
      <c r="B410" s="4"/>
      <c r="C410" s="4"/>
    </row>
    <row r="411" spans="2:3" x14ac:dyDescent="0.2">
      <c r="B411" s="4"/>
      <c r="C411" s="4"/>
    </row>
    <row r="412" spans="2:3" x14ac:dyDescent="0.2">
      <c r="B412" s="4"/>
      <c r="C412" s="4"/>
    </row>
    <row r="413" spans="2:3" x14ac:dyDescent="0.2">
      <c r="B413" s="4"/>
      <c r="C413" s="4"/>
    </row>
    <row r="414" spans="2:3" x14ac:dyDescent="0.2">
      <c r="B414" s="4"/>
      <c r="C414" s="4"/>
    </row>
    <row r="415" spans="2:3" x14ac:dyDescent="0.2">
      <c r="B415" s="4"/>
      <c r="C415" s="4"/>
    </row>
    <row r="416" spans="2:3" x14ac:dyDescent="0.2">
      <c r="B416" s="4"/>
      <c r="C416" s="4"/>
    </row>
    <row r="417" spans="2:3" x14ac:dyDescent="0.2">
      <c r="B417" s="4"/>
      <c r="C417" s="4"/>
    </row>
    <row r="418" spans="2:3" x14ac:dyDescent="0.2">
      <c r="B418" s="4"/>
      <c r="C418" s="4"/>
    </row>
    <row r="419" spans="2:3" x14ac:dyDescent="0.2">
      <c r="B419" s="4"/>
      <c r="C419" s="4"/>
    </row>
    <row r="420" spans="2:3" x14ac:dyDescent="0.2">
      <c r="B420" s="4"/>
      <c r="C420" s="4"/>
    </row>
    <row r="421" spans="2:3" x14ac:dyDescent="0.2">
      <c r="B421" s="4"/>
      <c r="C421" s="4"/>
    </row>
    <row r="422" spans="2:3" x14ac:dyDescent="0.2">
      <c r="B422" s="4"/>
      <c r="C422" s="4"/>
    </row>
    <row r="423" spans="2:3" x14ac:dyDescent="0.2">
      <c r="B423" s="4"/>
      <c r="C423" s="4"/>
    </row>
    <row r="424" spans="2:3" x14ac:dyDescent="0.2">
      <c r="B424" s="4"/>
      <c r="C424" s="4"/>
    </row>
    <row r="425" spans="2:3" x14ac:dyDescent="0.2">
      <c r="B425" s="4"/>
      <c r="C425" s="4"/>
    </row>
    <row r="426" spans="2:3" x14ac:dyDescent="0.2">
      <c r="B426" s="4"/>
      <c r="C426" s="4"/>
    </row>
    <row r="427" spans="2:3" x14ac:dyDescent="0.2">
      <c r="B427" s="4"/>
      <c r="C427" s="4"/>
    </row>
    <row r="428" spans="2:3" x14ac:dyDescent="0.2">
      <c r="B428" s="4"/>
      <c r="C428" s="4"/>
    </row>
    <row r="429" spans="2:3" x14ac:dyDescent="0.2">
      <c r="B429" s="4"/>
      <c r="C429" s="4"/>
    </row>
    <row r="430" spans="2:3" x14ac:dyDescent="0.2">
      <c r="B430" s="4"/>
      <c r="C430" s="4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4"/>
      <c r="C435" s="4"/>
    </row>
    <row r="436" spans="2:3" x14ac:dyDescent="0.2">
      <c r="B436" s="4"/>
      <c r="C436" s="4"/>
    </row>
    <row r="437" spans="2:3" x14ac:dyDescent="0.2">
      <c r="B437" s="4"/>
      <c r="C437" s="4"/>
    </row>
    <row r="438" spans="2:3" x14ac:dyDescent="0.2">
      <c r="B438" s="4"/>
      <c r="C438" s="4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4"/>
      <c r="C446" s="4"/>
    </row>
    <row r="447" spans="2:3" x14ac:dyDescent="0.2">
      <c r="B447" s="4"/>
      <c r="C447" s="4"/>
    </row>
    <row r="448" spans="2:3" x14ac:dyDescent="0.2">
      <c r="B448" s="4"/>
      <c r="C448" s="4"/>
    </row>
    <row r="449" spans="2:3" x14ac:dyDescent="0.2">
      <c r="B449" s="4"/>
      <c r="C449" s="4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4"/>
      <c r="C454" s="4"/>
    </row>
    <row r="455" spans="2:3" x14ac:dyDescent="0.2">
      <c r="B455" s="4"/>
      <c r="C455" s="4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4"/>
      <c r="C460" s="4"/>
    </row>
    <row r="461" spans="2:3" x14ac:dyDescent="0.2">
      <c r="B461" s="4"/>
      <c r="C461" s="4"/>
    </row>
    <row r="462" spans="2:3" x14ac:dyDescent="0.2">
      <c r="B462" s="4"/>
      <c r="C462" s="4"/>
    </row>
    <row r="463" spans="2:3" x14ac:dyDescent="0.2">
      <c r="B463" s="4"/>
      <c r="C463" s="4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4"/>
      <c r="C468" s="4"/>
    </row>
    <row r="469" spans="2:3" x14ac:dyDescent="0.2">
      <c r="B469" s="4"/>
      <c r="C469" s="4"/>
    </row>
    <row r="470" spans="2:3" x14ac:dyDescent="0.2">
      <c r="B470" s="4"/>
      <c r="C470" s="4"/>
    </row>
    <row r="471" spans="2:3" x14ac:dyDescent="0.2">
      <c r="B471" s="4"/>
      <c r="C471" s="4"/>
    </row>
    <row r="472" spans="2:3" x14ac:dyDescent="0.2">
      <c r="B472" s="4"/>
      <c r="C472" s="4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4"/>
      <c r="C495" s="4"/>
    </row>
    <row r="496" spans="2:3" x14ac:dyDescent="0.2">
      <c r="B496" s="4"/>
      <c r="C496" s="4"/>
    </row>
    <row r="497" spans="2:3" x14ac:dyDescent="0.2">
      <c r="B497" s="4"/>
      <c r="C497" s="4"/>
    </row>
    <row r="498" spans="2:3" x14ac:dyDescent="0.2">
      <c r="B498" s="4"/>
      <c r="C498" s="4"/>
    </row>
    <row r="499" spans="2:3" x14ac:dyDescent="0.2">
      <c r="B499" s="4"/>
      <c r="C499" s="4"/>
    </row>
    <row r="500" spans="2:3" x14ac:dyDescent="0.2">
      <c r="B500" s="4"/>
      <c r="C500" s="4"/>
    </row>
    <row r="501" spans="2:3" x14ac:dyDescent="0.2">
      <c r="B501" s="4"/>
      <c r="C501" s="4"/>
    </row>
    <row r="502" spans="2:3" x14ac:dyDescent="0.2">
      <c r="B502" s="4"/>
      <c r="C502" s="4"/>
    </row>
    <row r="503" spans="2:3" x14ac:dyDescent="0.2">
      <c r="B503" s="4"/>
      <c r="C503" s="4"/>
    </row>
    <row r="504" spans="2:3" x14ac:dyDescent="0.2">
      <c r="B504" s="4"/>
      <c r="C504" s="4"/>
    </row>
    <row r="505" spans="2:3" x14ac:dyDescent="0.2">
      <c r="B505" s="4"/>
      <c r="C505" s="4"/>
    </row>
    <row r="506" spans="2:3" x14ac:dyDescent="0.2">
      <c r="B506" s="4"/>
      <c r="C506" s="4"/>
    </row>
    <row r="507" spans="2:3" x14ac:dyDescent="0.2">
      <c r="B507" s="4"/>
      <c r="C507" s="4"/>
    </row>
    <row r="508" spans="2:3" x14ac:dyDescent="0.2">
      <c r="B508" s="4"/>
      <c r="C508" s="4"/>
    </row>
    <row r="509" spans="2:3" x14ac:dyDescent="0.2">
      <c r="B509" s="4"/>
      <c r="C509" s="4"/>
    </row>
    <row r="510" spans="2:3" x14ac:dyDescent="0.2">
      <c r="B510" s="4"/>
      <c r="C510" s="4"/>
    </row>
    <row r="511" spans="2:3" x14ac:dyDescent="0.2">
      <c r="B511" s="4"/>
      <c r="C511" s="4"/>
    </row>
    <row r="512" spans="2:3" x14ac:dyDescent="0.2">
      <c r="B512" s="4"/>
      <c r="C512" s="4"/>
    </row>
    <row r="513" spans="2:3" x14ac:dyDescent="0.2">
      <c r="B513" s="4"/>
      <c r="C513" s="4"/>
    </row>
    <row r="514" spans="2:3" x14ac:dyDescent="0.2">
      <c r="B514" s="4"/>
      <c r="C514" s="4"/>
    </row>
    <row r="515" spans="2:3" x14ac:dyDescent="0.2">
      <c r="B515" s="4"/>
      <c r="C515" s="4"/>
    </row>
    <row r="516" spans="2:3" x14ac:dyDescent="0.2">
      <c r="B516" s="4"/>
      <c r="C516" s="4"/>
    </row>
    <row r="517" spans="2:3" x14ac:dyDescent="0.2">
      <c r="B517" s="4"/>
      <c r="C517" s="4"/>
    </row>
    <row r="518" spans="2:3" x14ac:dyDescent="0.2">
      <c r="B518" s="4"/>
      <c r="C518" s="4"/>
    </row>
    <row r="519" spans="2:3" x14ac:dyDescent="0.2">
      <c r="B519" s="4"/>
      <c r="C519" s="4"/>
    </row>
    <row r="520" spans="2:3" x14ac:dyDescent="0.2">
      <c r="B520" s="4"/>
      <c r="C520" s="4"/>
    </row>
    <row r="521" spans="2:3" x14ac:dyDescent="0.2">
      <c r="B521" s="4"/>
      <c r="C521" s="4"/>
    </row>
    <row r="522" spans="2:3" x14ac:dyDescent="0.2">
      <c r="B522" s="4"/>
      <c r="C522" s="4"/>
    </row>
    <row r="523" spans="2:3" x14ac:dyDescent="0.2">
      <c r="B523" s="4"/>
      <c r="C523" s="4"/>
    </row>
    <row r="524" spans="2:3" x14ac:dyDescent="0.2">
      <c r="B524" s="4"/>
      <c r="C524" s="4"/>
    </row>
    <row r="525" spans="2:3" x14ac:dyDescent="0.2">
      <c r="B525" s="4"/>
      <c r="C525" s="4"/>
    </row>
    <row r="526" spans="2:3" x14ac:dyDescent="0.2">
      <c r="B526" s="4"/>
      <c r="C526" s="4"/>
    </row>
    <row r="527" spans="2:3" x14ac:dyDescent="0.2">
      <c r="B527" s="4"/>
      <c r="C527" s="4"/>
    </row>
    <row r="528" spans="2:3" x14ac:dyDescent="0.2">
      <c r="B528" s="4"/>
      <c r="C528" s="4"/>
    </row>
    <row r="529" spans="2:3" x14ac:dyDescent="0.2">
      <c r="B529" s="4"/>
      <c r="C529" s="4"/>
    </row>
    <row r="530" spans="2:3" x14ac:dyDescent="0.2">
      <c r="B530" s="4"/>
      <c r="C530" s="4"/>
    </row>
    <row r="531" spans="2:3" x14ac:dyDescent="0.2">
      <c r="B531" s="4"/>
      <c r="C531" s="4"/>
    </row>
    <row r="532" spans="2:3" x14ac:dyDescent="0.2">
      <c r="B532" s="4"/>
      <c r="C532" s="4"/>
    </row>
    <row r="533" spans="2:3" x14ac:dyDescent="0.2">
      <c r="B533" s="4"/>
      <c r="C533" s="4"/>
    </row>
    <row r="534" spans="2:3" x14ac:dyDescent="0.2">
      <c r="B534" s="4"/>
      <c r="C534" s="4"/>
    </row>
    <row r="535" spans="2:3" x14ac:dyDescent="0.2">
      <c r="B535" s="4"/>
      <c r="C535" s="4"/>
    </row>
    <row r="536" spans="2:3" x14ac:dyDescent="0.2">
      <c r="B536" s="4"/>
      <c r="C536" s="4"/>
    </row>
    <row r="537" spans="2:3" x14ac:dyDescent="0.2">
      <c r="B537" s="4"/>
      <c r="C537" s="4"/>
    </row>
    <row r="538" spans="2:3" x14ac:dyDescent="0.2">
      <c r="B538" s="4"/>
      <c r="C538" s="4"/>
    </row>
    <row r="539" spans="2:3" x14ac:dyDescent="0.2">
      <c r="B539" s="4"/>
      <c r="C539" s="4"/>
    </row>
    <row r="540" spans="2:3" x14ac:dyDescent="0.2">
      <c r="B540" s="4"/>
      <c r="C540" s="4"/>
    </row>
    <row r="541" spans="2:3" x14ac:dyDescent="0.2">
      <c r="B541" s="4"/>
      <c r="C541" s="4"/>
    </row>
    <row r="542" spans="2:3" x14ac:dyDescent="0.2">
      <c r="B542" s="4"/>
      <c r="C542" s="4"/>
    </row>
    <row r="543" spans="2:3" x14ac:dyDescent="0.2">
      <c r="B543" s="4"/>
      <c r="C543" s="4"/>
    </row>
    <row r="544" spans="2:3" x14ac:dyDescent="0.2">
      <c r="B544" s="4"/>
      <c r="C544" s="4"/>
    </row>
    <row r="545" spans="2:3" x14ac:dyDescent="0.2">
      <c r="B545" s="4"/>
      <c r="C545" s="4"/>
    </row>
    <row r="546" spans="2:3" x14ac:dyDescent="0.2">
      <c r="B546" s="4"/>
      <c r="C546" s="4"/>
    </row>
    <row r="547" spans="2:3" x14ac:dyDescent="0.2">
      <c r="B547" s="4"/>
      <c r="C547" s="4"/>
    </row>
    <row r="548" spans="2:3" x14ac:dyDescent="0.2">
      <c r="B548" s="4"/>
      <c r="C548" s="4"/>
    </row>
    <row r="549" spans="2:3" x14ac:dyDescent="0.2">
      <c r="B549" s="4"/>
      <c r="C549" s="4"/>
    </row>
    <row r="550" spans="2:3" x14ac:dyDescent="0.2">
      <c r="B550" s="4"/>
      <c r="C550" s="4"/>
    </row>
    <row r="551" spans="2:3" x14ac:dyDescent="0.2">
      <c r="B551" s="4"/>
      <c r="C551" s="4"/>
    </row>
    <row r="552" spans="2:3" x14ac:dyDescent="0.2">
      <c r="B552" s="4"/>
      <c r="C552" s="4"/>
    </row>
    <row r="553" spans="2:3" x14ac:dyDescent="0.2">
      <c r="B553" s="4"/>
      <c r="C553" s="4"/>
    </row>
    <row r="554" spans="2:3" x14ac:dyDescent="0.2">
      <c r="B554" s="4"/>
      <c r="C554" s="4"/>
    </row>
    <row r="555" spans="2:3" x14ac:dyDescent="0.2">
      <c r="B555" s="4"/>
      <c r="C555" s="4"/>
    </row>
    <row r="556" spans="2:3" x14ac:dyDescent="0.2">
      <c r="B556" s="4"/>
      <c r="C556" s="4"/>
    </row>
    <row r="557" spans="2:3" x14ac:dyDescent="0.2">
      <c r="B557" s="4"/>
      <c r="C557" s="4"/>
    </row>
    <row r="558" spans="2:3" x14ac:dyDescent="0.2">
      <c r="B558" s="4"/>
      <c r="C558" s="4"/>
    </row>
    <row r="559" spans="2:3" x14ac:dyDescent="0.2">
      <c r="B559" s="4"/>
      <c r="C559" s="4"/>
    </row>
    <row r="560" spans="2:3" x14ac:dyDescent="0.2">
      <c r="B560" s="4"/>
      <c r="C560" s="4"/>
    </row>
    <row r="561" spans="2:3" x14ac:dyDescent="0.2">
      <c r="B561" s="4"/>
      <c r="C561" s="4"/>
    </row>
    <row r="562" spans="2:3" x14ac:dyDescent="0.2">
      <c r="B562" s="4"/>
      <c r="C562" s="4"/>
    </row>
    <row r="563" spans="2:3" x14ac:dyDescent="0.2">
      <c r="B563" s="4"/>
      <c r="C563" s="4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4"/>
      <c r="C577" s="4"/>
    </row>
    <row r="578" spans="2:3" x14ac:dyDescent="0.2">
      <c r="B578" s="4"/>
      <c r="C578" s="4"/>
    </row>
    <row r="579" spans="2:3" x14ac:dyDescent="0.2">
      <c r="B579" s="4"/>
      <c r="C579" s="4"/>
    </row>
    <row r="580" spans="2:3" x14ac:dyDescent="0.2">
      <c r="B580" s="4"/>
      <c r="C580" s="4"/>
    </row>
    <row r="581" spans="2:3" x14ac:dyDescent="0.2">
      <c r="B581" s="4"/>
      <c r="C581" s="4"/>
    </row>
    <row r="582" spans="2:3" x14ac:dyDescent="0.2">
      <c r="B582" s="4"/>
      <c r="C582" s="4"/>
    </row>
    <row r="583" spans="2:3" x14ac:dyDescent="0.2">
      <c r="B583" s="4"/>
      <c r="C583" s="4"/>
    </row>
    <row r="584" spans="2:3" x14ac:dyDescent="0.2">
      <c r="B584" s="4"/>
      <c r="C584" s="4"/>
    </row>
    <row r="585" spans="2:3" x14ac:dyDescent="0.2">
      <c r="B585" s="4"/>
      <c r="C585" s="4"/>
    </row>
    <row r="586" spans="2:3" x14ac:dyDescent="0.2">
      <c r="B586" s="4"/>
      <c r="C586" s="4"/>
    </row>
    <row r="587" spans="2:3" x14ac:dyDescent="0.2">
      <c r="B587" s="4"/>
      <c r="C587" s="4"/>
    </row>
    <row r="588" spans="2:3" x14ac:dyDescent="0.2">
      <c r="B588" s="4"/>
      <c r="C588" s="4"/>
    </row>
    <row r="589" spans="2:3" x14ac:dyDescent="0.2">
      <c r="B589" s="4"/>
      <c r="C589" s="4"/>
    </row>
    <row r="590" spans="2:3" x14ac:dyDescent="0.2">
      <c r="B590" s="4"/>
      <c r="C590" s="4"/>
    </row>
    <row r="591" spans="2:3" x14ac:dyDescent="0.2">
      <c r="B591" s="4"/>
      <c r="C591" s="4"/>
    </row>
    <row r="592" spans="2:3" x14ac:dyDescent="0.2">
      <c r="B592" s="4"/>
      <c r="C592" s="4"/>
    </row>
    <row r="593" spans="2:3" x14ac:dyDescent="0.2">
      <c r="B593" s="4"/>
      <c r="C593" s="4"/>
    </row>
    <row r="594" spans="2:3" x14ac:dyDescent="0.2">
      <c r="B594" s="4"/>
      <c r="C594" s="4"/>
    </row>
    <row r="595" spans="2:3" x14ac:dyDescent="0.2">
      <c r="B595" s="4"/>
      <c r="C595" s="4"/>
    </row>
    <row r="596" spans="2:3" x14ac:dyDescent="0.2">
      <c r="B596" s="4"/>
      <c r="C596" s="4"/>
    </row>
    <row r="597" spans="2:3" x14ac:dyDescent="0.2">
      <c r="B597" s="4"/>
      <c r="C597" s="4"/>
    </row>
    <row r="598" spans="2:3" x14ac:dyDescent="0.2">
      <c r="B598" s="4"/>
      <c r="C598" s="4"/>
    </row>
    <row r="599" spans="2:3" x14ac:dyDescent="0.2">
      <c r="B599" s="4"/>
      <c r="C599" s="4"/>
    </row>
    <row r="600" spans="2:3" x14ac:dyDescent="0.2">
      <c r="B600" s="4"/>
      <c r="C600" s="4"/>
    </row>
    <row r="601" spans="2:3" x14ac:dyDescent="0.2">
      <c r="B601" s="4"/>
      <c r="C601" s="4"/>
    </row>
    <row r="602" spans="2:3" x14ac:dyDescent="0.2">
      <c r="B602" s="4"/>
      <c r="C602" s="4"/>
    </row>
    <row r="603" spans="2:3" x14ac:dyDescent="0.2">
      <c r="B603" s="4"/>
      <c r="C603" s="4"/>
    </row>
    <row r="604" spans="2:3" x14ac:dyDescent="0.2">
      <c r="B604" s="4"/>
      <c r="C604" s="4"/>
    </row>
    <row r="605" spans="2:3" x14ac:dyDescent="0.2">
      <c r="B605" s="4"/>
      <c r="C605" s="4"/>
    </row>
    <row r="606" spans="2:3" x14ac:dyDescent="0.2">
      <c r="B606" s="4"/>
      <c r="C606" s="4"/>
    </row>
    <row r="607" spans="2:3" x14ac:dyDescent="0.2">
      <c r="B607" s="4"/>
      <c r="C607" s="4"/>
    </row>
    <row r="608" spans="2:3" x14ac:dyDescent="0.2">
      <c r="B608" s="4"/>
      <c r="C608" s="4"/>
    </row>
    <row r="609" spans="2:3" x14ac:dyDescent="0.2">
      <c r="B609" s="4"/>
      <c r="C609" s="4"/>
    </row>
    <row r="610" spans="2:3" x14ac:dyDescent="0.2">
      <c r="B610" s="4"/>
      <c r="C610" s="4"/>
    </row>
    <row r="611" spans="2:3" x14ac:dyDescent="0.2">
      <c r="B611" s="4"/>
      <c r="C611" s="4"/>
    </row>
    <row r="612" spans="2:3" x14ac:dyDescent="0.2">
      <c r="B612" s="4"/>
      <c r="C612" s="4"/>
    </row>
    <row r="613" spans="2:3" x14ac:dyDescent="0.2">
      <c r="B613" s="4"/>
      <c r="C613" s="4"/>
    </row>
    <row r="614" spans="2:3" x14ac:dyDescent="0.2">
      <c r="B614" s="4"/>
      <c r="C614" s="4"/>
    </row>
    <row r="615" spans="2:3" x14ac:dyDescent="0.2">
      <c r="B615" s="4"/>
      <c r="C615" s="4"/>
    </row>
    <row r="616" spans="2:3" x14ac:dyDescent="0.2">
      <c r="B616" s="4"/>
      <c r="C616" s="4"/>
    </row>
    <row r="617" spans="2:3" x14ac:dyDescent="0.2">
      <c r="B617" s="4"/>
      <c r="C617" s="4"/>
    </row>
    <row r="618" spans="2:3" x14ac:dyDescent="0.2">
      <c r="B618" s="4"/>
      <c r="C618" s="4"/>
    </row>
    <row r="619" spans="2:3" x14ac:dyDescent="0.2">
      <c r="B619" s="4"/>
      <c r="C619" s="4"/>
    </row>
    <row r="620" spans="2:3" x14ac:dyDescent="0.2">
      <c r="B620" s="4"/>
      <c r="C620" s="4"/>
    </row>
    <row r="621" spans="2:3" x14ac:dyDescent="0.2">
      <c r="B621" s="4"/>
      <c r="C621" s="4"/>
    </row>
    <row r="622" spans="2:3" x14ac:dyDescent="0.2">
      <c r="B622" s="4"/>
      <c r="C622" s="4"/>
    </row>
    <row r="623" spans="2:3" x14ac:dyDescent="0.2">
      <c r="B623" s="4"/>
      <c r="C623" s="4"/>
    </row>
    <row r="624" spans="2:3" x14ac:dyDescent="0.2">
      <c r="B624" s="4"/>
      <c r="C624" s="4"/>
    </row>
    <row r="625" spans="2:3" x14ac:dyDescent="0.2">
      <c r="B625" s="4"/>
      <c r="C625" s="4"/>
    </row>
    <row r="626" spans="2:3" x14ac:dyDescent="0.2">
      <c r="B626" s="4"/>
      <c r="C626" s="4"/>
    </row>
    <row r="627" spans="2:3" x14ac:dyDescent="0.2">
      <c r="B627" s="4"/>
      <c r="C627" s="4"/>
    </row>
    <row r="628" spans="2:3" x14ac:dyDescent="0.2">
      <c r="B628" s="4"/>
      <c r="C628" s="4"/>
    </row>
    <row r="629" spans="2:3" x14ac:dyDescent="0.2">
      <c r="B629" s="4"/>
      <c r="C629" s="4"/>
    </row>
    <row r="630" spans="2:3" x14ac:dyDescent="0.2">
      <c r="B630" s="4"/>
      <c r="C630" s="4"/>
    </row>
    <row r="631" spans="2:3" x14ac:dyDescent="0.2">
      <c r="B631" s="4"/>
      <c r="C631" s="4"/>
    </row>
    <row r="632" spans="2:3" x14ac:dyDescent="0.2">
      <c r="B632" s="4"/>
      <c r="C632" s="4"/>
    </row>
    <row r="633" spans="2:3" x14ac:dyDescent="0.2">
      <c r="B633" s="4"/>
      <c r="C633" s="4"/>
    </row>
    <row r="634" spans="2:3" x14ac:dyDescent="0.2">
      <c r="B634" s="4"/>
      <c r="C634" s="4"/>
    </row>
    <row r="635" spans="2:3" x14ac:dyDescent="0.2">
      <c r="B635" s="4"/>
      <c r="C635" s="4"/>
    </row>
    <row r="636" spans="2:3" x14ac:dyDescent="0.2">
      <c r="B636" s="4"/>
      <c r="C636" s="4"/>
    </row>
    <row r="637" spans="2:3" x14ac:dyDescent="0.2">
      <c r="B637" s="4"/>
      <c r="C637" s="4"/>
    </row>
    <row r="638" spans="2:3" x14ac:dyDescent="0.2">
      <c r="B638" s="4"/>
      <c r="C638" s="4"/>
    </row>
    <row r="639" spans="2:3" x14ac:dyDescent="0.2">
      <c r="B639" s="4"/>
      <c r="C639" s="4"/>
    </row>
    <row r="640" spans="2:3" x14ac:dyDescent="0.2">
      <c r="B640" s="4"/>
      <c r="C640" s="4"/>
    </row>
    <row r="641" spans="2:3" x14ac:dyDescent="0.2">
      <c r="B641" s="4"/>
      <c r="C641" s="4"/>
    </row>
    <row r="642" spans="2:3" x14ac:dyDescent="0.2">
      <c r="B642" s="4"/>
      <c r="C642" s="4"/>
    </row>
    <row r="643" spans="2:3" x14ac:dyDescent="0.2">
      <c r="B643" s="4"/>
      <c r="C643" s="4"/>
    </row>
    <row r="644" spans="2:3" x14ac:dyDescent="0.2">
      <c r="B644" s="4"/>
      <c r="C644" s="4"/>
    </row>
    <row r="645" spans="2:3" x14ac:dyDescent="0.2">
      <c r="B645" s="4"/>
      <c r="C645" s="4"/>
    </row>
    <row r="646" spans="2:3" x14ac:dyDescent="0.2">
      <c r="B646" s="4"/>
      <c r="C646" s="4"/>
    </row>
    <row r="647" spans="2:3" x14ac:dyDescent="0.2">
      <c r="B647" s="4"/>
      <c r="C647" s="4"/>
    </row>
    <row r="648" spans="2:3" x14ac:dyDescent="0.2">
      <c r="B648" s="4"/>
      <c r="C648" s="4"/>
    </row>
    <row r="649" spans="2:3" x14ac:dyDescent="0.2">
      <c r="B649" s="4"/>
      <c r="C649" s="4"/>
    </row>
    <row r="650" spans="2:3" x14ac:dyDescent="0.2">
      <c r="B650" s="4"/>
      <c r="C650" s="4"/>
    </row>
    <row r="651" spans="2:3" x14ac:dyDescent="0.2">
      <c r="B651" s="4"/>
      <c r="C651" s="4"/>
    </row>
    <row r="652" spans="2:3" x14ac:dyDescent="0.2">
      <c r="B652" s="4"/>
      <c r="C652" s="4"/>
    </row>
    <row r="653" spans="2:3" x14ac:dyDescent="0.2">
      <c r="B653" s="4"/>
      <c r="C653" s="4"/>
    </row>
    <row r="654" spans="2:3" x14ac:dyDescent="0.2">
      <c r="B654" s="4"/>
      <c r="C654" s="4"/>
    </row>
    <row r="655" spans="2:3" x14ac:dyDescent="0.2">
      <c r="B655" s="4"/>
      <c r="C655" s="4"/>
    </row>
    <row r="656" spans="2:3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</sheetData>
  <hyperlinks>
    <hyperlink ref="C2" r:id="rId1" display="https://leetcode.com/problems/add-two-numbers" xr:uid="{00000000-0004-0000-0200-000000000000}"/>
    <hyperlink ref="C3" r:id="rId2" display="https://leetcode.com/problems/longest-substring-without-repeating-characters" xr:uid="{00000000-0004-0000-0200-000001000000}"/>
    <hyperlink ref="C4" r:id="rId3" display="https://leetcode.com/problems/longest-palindromic-substring" xr:uid="{00000000-0004-0000-0200-000002000000}"/>
    <hyperlink ref="C5" r:id="rId4" display="https://leetcode.com/problems/zigzag-conversion" xr:uid="{00000000-0004-0000-0200-000003000000}"/>
    <hyperlink ref="C6" r:id="rId5" display="https://leetcode.com/problems/reverse-integer" xr:uid="{00000000-0004-0000-0200-000004000000}"/>
    <hyperlink ref="C7" r:id="rId6" display="https://leetcode.com/problems/string-to-integer-atoi" xr:uid="{00000000-0004-0000-0200-000005000000}"/>
    <hyperlink ref="C8" r:id="rId7" display="https://leetcode.com/problems/container-with-most-water" xr:uid="{00000000-0004-0000-0200-000006000000}"/>
    <hyperlink ref="C9" r:id="rId8" display="https://leetcode.com/problems/integer-to-roman" xr:uid="{00000000-0004-0000-0200-000007000000}"/>
    <hyperlink ref="C10" r:id="rId9" display="https://leetcode.com/problems/3sum" xr:uid="{00000000-0004-0000-0200-000008000000}"/>
    <hyperlink ref="C11" r:id="rId10" display="https://leetcode.com/problems/3sum-closest" xr:uid="{00000000-0004-0000-0200-000009000000}"/>
    <hyperlink ref="C12" r:id="rId11" display="https://leetcode.com/problems/letter-combinations-of-a-phone-number" xr:uid="{00000000-0004-0000-0200-00000A000000}"/>
    <hyperlink ref="C13" r:id="rId12" display="https://leetcode.com/problems/4sum" xr:uid="{00000000-0004-0000-0200-00000B000000}"/>
    <hyperlink ref="C14" r:id="rId13" display="https://leetcode.com/problems/remove-nth-node-from-end-of-list" xr:uid="{00000000-0004-0000-0200-00000C000000}"/>
    <hyperlink ref="C15" r:id="rId14" display="https://leetcode.com/problems/generate-parentheses" xr:uid="{00000000-0004-0000-0200-00000D000000}"/>
    <hyperlink ref="C16" r:id="rId15" display="https://leetcode.com/problems/swap-nodes-in-pairs" xr:uid="{00000000-0004-0000-0200-00000E000000}"/>
    <hyperlink ref="C17" r:id="rId16" display="https://leetcode.com/problems/find-the-index-of-the-first-occurrence-in-a-string" xr:uid="{00000000-0004-0000-0200-00000F000000}"/>
    <hyperlink ref="C18" r:id="rId17" display="https://leetcode.com/problems/divide-two-integers" xr:uid="{00000000-0004-0000-0200-000010000000}"/>
    <hyperlink ref="C19" r:id="rId18" display="https://leetcode.com/problems/next-permutation" xr:uid="{00000000-0004-0000-0200-000011000000}"/>
    <hyperlink ref="C20" r:id="rId19" display="https://leetcode.com/problems/search-in-rotated-sorted-array" xr:uid="{00000000-0004-0000-0200-000012000000}"/>
    <hyperlink ref="C21" r:id="rId20" display="https://leetcode.com/problems/find-first-and-last-position-of-element-in-sorted-array" xr:uid="{00000000-0004-0000-0200-000013000000}"/>
    <hyperlink ref="C22" r:id="rId21" display="https://leetcode.com/problems/valid-sudoku" xr:uid="{00000000-0004-0000-0200-000014000000}"/>
    <hyperlink ref="C23" r:id="rId22" display="https://leetcode.com/problems/count-and-say" xr:uid="{00000000-0004-0000-0200-000015000000}"/>
    <hyperlink ref="C24" r:id="rId23" display="https://leetcode.com/problems/combination-sum" xr:uid="{00000000-0004-0000-0200-000016000000}"/>
    <hyperlink ref="C25" r:id="rId24" display="https://leetcode.com/problems/combination-sum-ii" xr:uid="{00000000-0004-0000-0200-000017000000}"/>
    <hyperlink ref="C26" r:id="rId25" display="https://leetcode.com/problems/multiply-strings" xr:uid="{00000000-0004-0000-0200-000018000000}"/>
    <hyperlink ref="C27" r:id="rId26" display="https://leetcode.com/problems/jump-game-ii" xr:uid="{00000000-0004-0000-0200-000019000000}"/>
    <hyperlink ref="C28" r:id="rId27" display="https://leetcode.com/problems/permutations" xr:uid="{00000000-0004-0000-0200-00001A000000}"/>
    <hyperlink ref="C29" r:id="rId28" display="https://leetcode.com/problems/permutations-ii" xr:uid="{00000000-0004-0000-0200-00001B000000}"/>
    <hyperlink ref="C30" r:id="rId29" display="https://leetcode.com/problems/rotate-image" xr:uid="{00000000-0004-0000-0200-00001C000000}"/>
    <hyperlink ref="C31" r:id="rId30" display="https://leetcode.com/problems/group-anagrams" xr:uid="{00000000-0004-0000-0200-00001D000000}"/>
    <hyperlink ref="C32" r:id="rId31" display="https://leetcode.com/problems/powx-n" xr:uid="{00000000-0004-0000-0200-00001E000000}"/>
    <hyperlink ref="C33" r:id="rId32" display="https://leetcode.com/problems/maximum-subarray" xr:uid="{00000000-0004-0000-0200-00001F000000}"/>
    <hyperlink ref="C34" r:id="rId33" display="https://leetcode.com/problems/spiral-matrix" xr:uid="{00000000-0004-0000-0200-000020000000}"/>
    <hyperlink ref="C35" r:id="rId34" display="https://leetcode.com/problems/jump-game" xr:uid="{00000000-0004-0000-0200-000021000000}"/>
    <hyperlink ref="C36" r:id="rId35" display="https://leetcode.com/problems/merge-intervals" xr:uid="{00000000-0004-0000-0200-000022000000}"/>
    <hyperlink ref="C37" r:id="rId36" display="https://leetcode.com/problems/insert-interval" xr:uid="{00000000-0004-0000-0200-000023000000}"/>
    <hyperlink ref="C38" r:id="rId37" display="https://leetcode.com/problems/spiral-matrix-ii" xr:uid="{00000000-0004-0000-0200-000024000000}"/>
    <hyperlink ref="C39" r:id="rId38" display="https://leetcode.com/problems/rotate-list" xr:uid="{00000000-0004-0000-0200-000025000000}"/>
    <hyperlink ref="C40" r:id="rId39" display="https://leetcode.com/problems/unique-paths" xr:uid="{00000000-0004-0000-0200-000026000000}"/>
    <hyperlink ref="C41" r:id="rId40" display="https://leetcode.com/problems/unique-paths-ii" xr:uid="{00000000-0004-0000-0200-000027000000}"/>
    <hyperlink ref="C42" r:id="rId41" display="https://leetcode.com/problems/minimum-path-sum" xr:uid="{00000000-0004-0000-0200-000028000000}"/>
    <hyperlink ref="C43" r:id="rId42" display="https://leetcode.com/problems/simplify-path" xr:uid="{00000000-0004-0000-0200-000029000000}"/>
    <hyperlink ref="C44" r:id="rId43" display="https://leetcode.com/problems/set-matrix-zeroes" xr:uid="{00000000-0004-0000-0200-00002A000000}"/>
    <hyperlink ref="C45" r:id="rId44" display="https://leetcode.com/problems/search-a-2d-matrix" xr:uid="{00000000-0004-0000-0200-00002B000000}"/>
    <hyperlink ref="C46" r:id="rId45" display="https://leetcode.com/problems/sort-colors" xr:uid="{00000000-0004-0000-0200-00002C000000}"/>
    <hyperlink ref="C47" r:id="rId46" display="https://leetcode.com/problems/subsets" xr:uid="{00000000-0004-0000-0200-00002D000000}"/>
    <hyperlink ref="C48" r:id="rId47" display="https://leetcode.com/problems/word-search" xr:uid="{00000000-0004-0000-0200-00002E000000}"/>
    <hyperlink ref="C49" r:id="rId48" display="https://leetcode.com/problems/search-in-rotated-sorted-array-ii" xr:uid="{00000000-0004-0000-0200-00002F000000}"/>
    <hyperlink ref="C50" r:id="rId49" display="https://leetcode.com/problems/remove-duplicates-from-sorted-list-ii" xr:uid="{00000000-0004-0000-0200-000030000000}"/>
    <hyperlink ref="C51" r:id="rId50" display="https://leetcode.com/problems/subsets-ii" xr:uid="{00000000-0004-0000-0200-000031000000}"/>
    <hyperlink ref="C52" r:id="rId51" display="https://leetcode.com/problems/decode-ways" xr:uid="{00000000-0004-0000-0200-000032000000}"/>
    <hyperlink ref="C53" r:id="rId52" display="https://leetcode.com/problems/reverse-linked-list-ii" xr:uid="{00000000-0004-0000-0200-000033000000}"/>
    <hyperlink ref="C54" r:id="rId53" display="https://leetcode.com/problems/restore-ip-addresses" xr:uid="{00000000-0004-0000-0200-000034000000}"/>
    <hyperlink ref="C55" r:id="rId54" display="https://leetcode.com/problems/unique-binary-search-trees-ii" xr:uid="{00000000-0004-0000-0200-000035000000}"/>
    <hyperlink ref="C56" r:id="rId55" display="https://leetcode.com/problems/interleaving-string" xr:uid="{00000000-0004-0000-0200-000036000000}"/>
    <hyperlink ref="C57" r:id="rId56" display="https://leetcode.com/problems/validate-binary-search-tree" xr:uid="{00000000-0004-0000-0200-000037000000}"/>
    <hyperlink ref="C58" r:id="rId57" display="https://leetcode.com/problems/recover-binary-search-tree" xr:uid="{00000000-0004-0000-0200-000038000000}"/>
    <hyperlink ref="C59" r:id="rId58" display="https://leetcode.com/problems/binary-tree-level-order-traversal" xr:uid="{00000000-0004-0000-0200-000039000000}"/>
    <hyperlink ref="C60" r:id="rId59" display="https://leetcode.com/problems/binary-tree-zigzag-level-order-traversal" xr:uid="{00000000-0004-0000-0200-00003A000000}"/>
    <hyperlink ref="C61" r:id="rId60" display="https://leetcode.com/problems/construct-binary-tree-from-preorder-and-inorder-traversal" xr:uid="{00000000-0004-0000-0200-00003B000000}"/>
    <hyperlink ref="C62" r:id="rId61" display="https://leetcode.com/problems/construct-binary-tree-from-inorder-and-postorder-traversal" xr:uid="{00000000-0004-0000-0200-00003C000000}"/>
    <hyperlink ref="C63" r:id="rId62" display="https://leetcode.com/problems/binary-tree-level-order-traversal-ii" xr:uid="{00000000-0004-0000-0200-00003D000000}"/>
    <hyperlink ref="C64" r:id="rId63" display="https://leetcode.com/problems/path-sum-ii" xr:uid="{00000000-0004-0000-0200-00003E000000}"/>
    <hyperlink ref="C65" r:id="rId64" display="https://leetcode.com/problems/flatten-binary-tree-to-linked-list" xr:uid="{00000000-0004-0000-0200-00003F000000}"/>
    <hyperlink ref="C66" r:id="rId65" display="https://leetcode.com/problems/populating-next-right-pointers-in-each-node" xr:uid="{00000000-0004-0000-0200-000040000000}"/>
    <hyperlink ref="C67" r:id="rId66" display="https://leetcode.com/problems/populating-next-right-pointers-in-each-node-ii" xr:uid="{00000000-0004-0000-0200-000041000000}"/>
    <hyperlink ref="C68" r:id="rId67" display="https://leetcode.com/problems/triangle" xr:uid="{00000000-0004-0000-0200-000042000000}"/>
    <hyperlink ref="C69" r:id="rId68" display="https://leetcode.com/problems/best-time-to-buy-and-sell-stock-ii" xr:uid="{00000000-0004-0000-0200-000043000000}"/>
    <hyperlink ref="C70" r:id="rId69" display="https://leetcode.com/problems/longest-consecutive-sequence" xr:uid="{00000000-0004-0000-0200-000044000000}"/>
    <hyperlink ref="C71" r:id="rId70" display="https://leetcode.com/problems/sum-root-to-leaf-numbers" xr:uid="{00000000-0004-0000-0200-000045000000}"/>
    <hyperlink ref="C72" r:id="rId71" display="https://leetcode.com/problems/surrounded-regions" xr:uid="{00000000-0004-0000-0200-000046000000}"/>
    <hyperlink ref="C73" r:id="rId72" display="https://leetcode.com/problems/palindrome-partitioning" xr:uid="{00000000-0004-0000-0200-000047000000}"/>
    <hyperlink ref="C74" r:id="rId73" display="https://leetcode.com/problems/clone-graph" xr:uid="{00000000-0004-0000-0200-000048000000}"/>
    <hyperlink ref="C75" r:id="rId74" display="https://leetcode.com/problems/gas-station" xr:uid="{00000000-0004-0000-0200-000049000000}"/>
    <hyperlink ref="C76" r:id="rId75" display="https://leetcode.com/problems/single-number-ii" xr:uid="{00000000-0004-0000-0200-00004A000000}"/>
    <hyperlink ref="C77" r:id="rId76" display="https://leetcode.com/problems/copy-list-with-random-pointer" xr:uid="{00000000-0004-0000-0200-00004B000000}"/>
    <hyperlink ref="C78" r:id="rId77" display="https://leetcode.com/problems/word-break" xr:uid="{00000000-0004-0000-0200-00004C000000}"/>
    <hyperlink ref="C79" r:id="rId78" display="https://leetcode.com/problems/linked-list-cycle-ii" xr:uid="{00000000-0004-0000-0200-00004D000000}"/>
    <hyperlink ref="C80" r:id="rId79" display="https://leetcode.com/problems/reorder-list" xr:uid="{00000000-0004-0000-0200-00004E000000}"/>
    <hyperlink ref="C81" r:id="rId80" display="https://leetcode.com/problems/lru-cache" xr:uid="{00000000-0004-0000-0200-00004F000000}"/>
    <hyperlink ref="C82" r:id="rId81" display="https://leetcode.com/problems/sort-list" xr:uid="{00000000-0004-0000-0200-000050000000}"/>
    <hyperlink ref="C83" r:id="rId82" display="https://leetcode.com/problems/evaluate-reverse-polish-notation" xr:uid="{00000000-0004-0000-0200-000051000000}"/>
    <hyperlink ref="C84" r:id="rId83" display="https://leetcode.com/problems/reverse-words-in-a-string" xr:uid="{00000000-0004-0000-0200-000052000000}"/>
    <hyperlink ref="C85" r:id="rId84" display="https://leetcode.com/problems/maximum-product-subarray" xr:uid="{00000000-0004-0000-0200-000053000000}"/>
    <hyperlink ref="C86" r:id="rId85" display="https://leetcode.com/problems/find-minimum-in-rotated-sorted-array" xr:uid="{00000000-0004-0000-0200-000054000000}"/>
    <hyperlink ref="C87" r:id="rId86" display="https://leetcode.com/problems/min-stack" xr:uid="{00000000-0004-0000-0200-000055000000}"/>
    <hyperlink ref="C88" r:id="rId87" display="https://leetcode.com/problems/longest-substring-with-at-most-two-distinct-characters" xr:uid="{00000000-0004-0000-0200-000056000000}"/>
    <hyperlink ref="C89" r:id="rId88" display="https://leetcode.com/problems/find-peak-element" xr:uid="{00000000-0004-0000-0200-000057000000}"/>
    <hyperlink ref="C90" r:id="rId89" display="https://leetcode.com/problems/compare-version-numbers" xr:uid="{00000000-0004-0000-0200-000058000000}"/>
    <hyperlink ref="C91" r:id="rId90" display="https://leetcode.com/problems/two-sum-ii-input-array-is-sorted" xr:uid="{00000000-0004-0000-0200-000059000000}"/>
    <hyperlink ref="C92" r:id="rId91" display="https://leetcode.com/problems/binary-search-tree-iterator" xr:uid="{00000000-0004-0000-0200-00005A000000}"/>
    <hyperlink ref="C93" r:id="rId92" display="https://leetcode.com/problems/second-highest-salary" xr:uid="{00000000-0004-0000-0200-00005B000000}"/>
    <hyperlink ref="C94" r:id="rId93" display="https://leetcode.com/problems/nth-highest-salary" xr:uid="{00000000-0004-0000-0200-00005C000000}"/>
    <hyperlink ref="C95" r:id="rId94" display="https://leetcode.com/problems/rank-scores" xr:uid="{00000000-0004-0000-0200-00005D000000}"/>
    <hyperlink ref="C96" r:id="rId95" display="https://leetcode.com/problems/largest-number" xr:uid="{00000000-0004-0000-0200-00005E000000}"/>
    <hyperlink ref="C97" r:id="rId96" display="https://leetcode.com/problems/consecutive-numbers" xr:uid="{00000000-0004-0000-0200-00005F000000}"/>
    <hyperlink ref="C98" r:id="rId97" display="https://leetcode.com/problems/department-highest-salary" xr:uid="{00000000-0004-0000-0200-000060000000}"/>
    <hyperlink ref="C99" r:id="rId98" display="https://leetcode.com/problems/rotate-array" xr:uid="{00000000-0004-0000-0200-000061000000}"/>
    <hyperlink ref="C100" r:id="rId99" display="https://leetcode.com/problems/house-robber" xr:uid="{00000000-0004-0000-0200-000062000000}"/>
    <hyperlink ref="C101" r:id="rId100" display="https://leetcode.com/problems/binary-tree-right-side-view" xr:uid="{00000000-0004-0000-0200-000063000000}"/>
    <hyperlink ref="C102" r:id="rId101" display="https://leetcode.com/problems/number-of-islands" xr:uid="{00000000-0004-0000-0200-000064000000}"/>
    <hyperlink ref="C103" r:id="rId102" display="https://leetcode.com/problems/count-primes" xr:uid="{00000000-0004-0000-0200-000065000000}"/>
    <hyperlink ref="C104" r:id="rId103" display="https://leetcode.com/problems/course-schedule" xr:uid="{00000000-0004-0000-0200-000066000000}"/>
    <hyperlink ref="C105" r:id="rId104" display="https://leetcode.com/problems/implement-trie-prefix-tree" xr:uid="{00000000-0004-0000-0200-000067000000}"/>
    <hyperlink ref="C106" r:id="rId105" display="https://leetcode.com/problems/minimum-size-subarray-sum" xr:uid="{00000000-0004-0000-0200-000068000000}"/>
    <hyperlink ref="C107" r:id="rId106" display="https://leetcode.com/problems/course-schedule-ii" xr:uid="{00000000-0004-0000-0200-000069000000}"/>
    <hyperlink ref="C108" r:id="rId107" display="https://leetcode.com/problems/design-add-and-search-words-data-structure" xr:uid="{00000000-0004-0000-0200-00006A000000}"/>
    <hyperlink ref="C109" r:id="rId108" display="https://leetcode.com/problems/house-robber-ii" xr:uid="{00000000-0004-0000-0200-00006B000000}"/>
    <hyperlink ref="C110" r:id="rId109" display="https://leetcode.com/problems/kth-largest-element-in-an-array" xr:uid="{00000000-0004-0000-0200-00006C000000}"/>
    <hyperlink ref="C111" r:id="rId110" display="https://leetcode.com/problems/maximal-square" xr:uid="{00000000-0004-0000-0200-00006D000000}"/>
    <hyperlink ref="C112" r:id="rId111" display="https://leetcode.com/problems/count-complete-tree-nodes" xr:uid="{00000000-0004-0000-0200-00006E000000}"/>
    <hyperlink ref="C113" r:id="rId112" display="https://leetcode.com/problems/basic-calculator-ii" xr:uid="{00000000-0004-0000-0200-00006F000000}"/>
    <hyperlink ref="C114" r:id="rId113" display="https://leetcode.com/problems/kth-smallest-element-in-a-bst" xr:uid="{00000000-0004-0000-0200-000070000000}"/>
    <hyperlink ref="C115" r:id="rId114" display="https://leetcode.com/problems/lowest-common-ancestor-of-a-binary-search-tree" xr:uid="{00000000-0004-0000-0200-000071000000}"/>
    <hyperlink ref="C116" r:id="rId115" display="https://leetcode.com/problems/lowest-common-ancestor-of-a-binary-tree" xr:uid="{00000000-0004-0000-0200-000072000000}"/>
    <hyperlink ref="C117" r:id="rId116" display="https://leetcode.com/problems/delete-node-in-a-linked-list" xr:uid="{00000000-0004-0000-0200-000073000000}"/>
    <hyperlink ref="C118" r:id="rId117" display="https://leetcode.com/problems/product-of-array-except-self" xr:uid="{00000000-0004-0000-0200-000074000000}"/>
    <hyperlink ref="C119" r:id="rId118" display="https://leetcode.com/problems/search-a-2d-matrix-ii" xr:uid="{00000000-0004-0000-0200-000075000000}"/>
    <hyperlink ref="C120" r:id="rId119" display="https://leetcode.com/problems/shortest-word-distance-ii" xr:uid="{00000000-0004-0000-0200-000076000000}"/>
    <hyperlink ref="C121" r:id="rId120" display="https://leetcode.com/problems/group-shifted-strings" xr:uid="{00000000-0004-0000-0200-000077000000}"/>
    <hyperlink ref="C122" r:id="rId121" display="https://leetcode.com/problems/meeting-rooms-ii" xr:uid="{00000000-0004-0000-0200-000078000000}"/>
    <hyperlink ref="C123" r:id="rId122" display="https://leetcode.com/problems/paint-house" xr:uid="{00000000-0004-0000-0200-000079000000}"/>
    <hyperlink ref="C124" r:id="rId123" display="https://leetcode.com/problems/graph-valid-tree" xr:uid="{00000000-0004-0000-0200-00007A000000}"/>
    <hyperlink ref="C125" r:id="rId124" display="https://leetcode.com/problems/encode-and-decode-strings" xr:uid="{00000000-0004-0000-0200-00007B000000}"/>
    <hyperlink ref="C126" r:id="rId125" display="https://leetcode.com/problems/find-the-celebrity" xr:uid="{00000000-0004-0000-0200-00007C000000}"/>
    <hyperlink ref="C127" r:id="rId126" display="https://leetcode.com/problems/perfect-squares" xr:uid="{00000000-0004-0000-0200-00007D000000}"/>
    <hyperlink ref="C128" r:id="rId127" display="https://leetcode.com/problems/walls-and-gates" xr:uid="{00000000-0004-0000-0200-00007E000000}"/>
    <hyperlink ref="C129" r:id="rId128" display="https://leetcode.com/problems/find-the-duplicate-number" xr:uid="{00000000-0004-0000-0200-00007F000000}"/>
    <hyperlink ref="C130" r:id="rId129" display="https://leetcode.com/problems/game-of-life" xr:uid="{00000000-0004-0000-0200-000080000000}"/>
    <hyperlink ref="C131" r:id="rId130" display="https://leetcode.com/problems/bulls-and-cows" xr:uid="{00000000-0004-0000-0200-000081000000}"/>
    <hyperlink ref="C132" r:id="rId131" display="https://leetcode.com/problems/longest-increasing-subsequence" xr:uid="{00000000-0004-0000-0200-000082000000}"/>
    <hyperlink ref="C133" r:id="rId132" display="https://leetcode.com/problems/range-sum-query-2d-immutable" xr:uid="{00000000-0004-0000-0200-000083000000}"/>
    <hyperlink ref="C134" r:id="rId133" display="https://leetcode.com/problems/range-sum-query-mutable" xr:uid="{00000000-0004-0000-0200-000084000000}"/>
    <hyperlink ref="C135" r:id="rId134" display="https://leetcode.com/problems/best-time-to-buy-and-sell-stock-with-cooldown" xr:uid="{00000000-0004-0000-0200-000085000000}"/>
    <hyperlink ref="C136" r:id="rId135" display="https://leetcode.com/problems/minimum-height-trees" xr:uid="{00000000-0004-0000-0200-000086000000}"/>
    <hyperlink ref="C137" r:id="rId136" display="https://leetcode.com/problems/binary-tree-vertical-order-traversal" xr:uid="{00000000-0004-0000-0200-000087000000}"/>
    <hyperlink ref="C138" r:id="rId137" display="https://leetcode.com/problems/remove-duplicate-letters" xr:uid="{00000000-0004-0000-0200-000088000000}"/>
    <hyperlink ref="C139" r:id="rId138" display="https://leetcode.com/problems/maximum-product-of-word-lengths" xr:uid="{00000000-0004-0000-0200-000089000000}"/>
    <hyperlink ref="C140" r:id="rId139" display="https://leetcode.com/problems/coin-change" xr:uid="{00000000-0004-0000-0200-00008A000000}"/>
    <hyperlink ref="C141" r:id="rId140" display="https://leetcode.com/problems/number-of-connected-components-in-an-undirected-graph" xr:uid="{00000000-0004-0000-0200-00008B000000}"/>
    <hyperlink ref="C142" r:id="rId141" display="https://leetcode.com/problems/wiggle-sort-ii" xr:uid="{00000000-0004-0000-0200-00008C000000}"/>
    <hyperlink ref="C143" r:id="rId142" display="https://leetcode.com/problems/odd-even-linked-list" xr:uid="{00000000-0004-0000-0200-00008D000000}"/>
    <hyperlink ref="C144" r:id="rId143" display="https://leetcode.com/problems/largest-bst-subtree" xr:uid="{00000000-0004-0000-0200-00008E000000}"/>
    <hyperlink ref="C145" r:id="rId144" display="https://leetcode.com/problems/house-robber-iii" xr:uid="{00000000-0004-0000-0200-00008F000000}"/>
    <hyperlink ref="C146" r:id="rId145" display="https://leetcode.com/problems/nested-list-weight-sum" xr:uid="{00000000-0004-0000-0200-000090000000}"/>
    <hyperlink ref="C147" r:id="rId146" display="https://leetcode.com/problems/longest-substring-with-at-most-k-distinct-characters" xr:uid="{00000000-0004-0000-0200-000091000000}"/>
    <hyperlink ref="C148" r:id="rId147" display="https://leetcode.com/problems/top-k-frequent-elements" xr:uid="{00000000-0004-0000-0200-000092000000}"/>
    <hyperlink ref="C149" r:id="rId148" display="https://leetcode.com/problems/design-tic-tac-toe" xr:uid="{00000000-0004-0000-0200-000093000000}"/>
    <hyperlink ref="C150" r:id="rId149" display="https://leetcode.com/problems/design-snake-game" xr:uid="{00000000-0004-0000-0200-000094000000}"/>
    <hyperlink ref="C151" r:id="rId150" display="https://leetcode.com/problems/design-hit-counter" xr:uid="{00000000-0004-0000-0200-000095000000}"/>
    <hyperlink ref="C152" r:id="rId151" display="https://leetcode.com/problems/find-leaves-of-binary-tree" xr:uid="{00000000-0004-0000-0200-000096000000}"/>
    <hyperlink ref="C153" r:id="rId152" display="https://leetcode.com/problems/find-k-pairs-with-smallest-sums" xr:uid="{00000000-0004-0000-0200-000097000000}"/>
    <hyperlink ref="C154" r:id="rId153" display="https://leetcode.com/problems/combination-sum-iv" xr:uid="{00000000-0004-0000-0200-000098000000}"/>
    <hyperlink ref="C155" r:id="rId154" display="https://leetcode.com/problems/kth-smallest-element-in-a-sorted-matrix" xr:uid="{00000000-0004-0000-0200-000099000000}"/>
    <hyperlink ref="C156" r:id="rId155" display="https://leetcode.com/problems/insert-delete-getrandom-o1" xr:uid="{00000000-0004-0000-0200-00009A000000}"/>
    <hyperlink ref="C157" r:id="rId156" display="https://leetcode.com/problems/elimination-game" xr:uid="{00000000-0004-0000-0200-00009B000000}"/>
    <hyperlink ref="C158" r:id="rId157" display="https://leetcode.com/problems/decode-string" xr:uid="{00000000-0004-0000-0200-00009C000000}"/>
    <hyperlink ref="C159" r:id="rId158" display="https://leetcode.com/problems/longest-substring-with-at-least-k-repeating-characters" xr:uid="{00000000-0004-0000-0200-00009D000000}"/>
    <hyperlink ref="C160" r:id="rId159" display="https://leetcode.com/problems/integer-replacement" xr:uid="{00000000-0004-0000-0200-00009E000000}"/>
    <hyperlink ref="C161" r:id="rId160" display="https://leetcode.com/problems/evaluate-division" xr:uid="{00000000-0004-0000-0200-00009F000000}"/>
    <hyperlink ref="C162" r:id="rId161" display="https://leetcode.com/problems/remove-k-digits" xr:uid="{00000000-0004-0000-0200-0000A0000000}"/>
    <hyperlink ref="C163" r:id="rId162" display="https://leetcode.com/problems/queue-reconstruction-by-height" xr:uid="{00000000-0004-0000-0200-0000A1000000}"/>
    <hyperlink ref="C164" r:id="rId163" display="https://leetcode.com/problems/partition-equal-subset-sum" xr:uid="{00000000-0004-0000-0200-0000A2000000}"/>
    <hyperlink ref="C165" r:id="rId164" display="https://leetcode.com/problems/pacific-atlantic-water-flow" xr:uid="{00000000-0004-0000-0200-0000A3000000}"/>
    <hyperlink ref="C166" r:id="rId165" display="https://leetcode.com/problems/battleships-in-a-board" xr:uid="{00000000-0004-0000-0200-0000A4000000}"/>
    <hyperlink ref="C167" r:id="rId166" display="https://leetcode.com/problems/maximum-xor-of-two-numbers-in-an-array" xr:uid="{00000000-0004-0000-0200-0000A5000000}"/>
    <hyperlink ref="C168" r:id="rId167" display="https://leetcode.com/problems/longest-repeating-character-replacement" xr:uid="{00000000-0004-0000-0200-0000A6000000}"/>
    <hyperlink ref="C169" r:id="rId168" display="https://leetcode.com/problems/minimum-genetic-mutation" xr:uid="{00000000-0004-0000-0200-0000A7000000}"/>
    <hyperlink ref="C170" r:id="rId169" display="https://leetcode.com/problems/non-overlapping-intervals" xr:uid="{00000000-0004-0000-0200-0000A8000000}"/>
    <hyperlink ref="C171" r:id="rId170" display="https://leetcode.com/problems/path-sum-iii" xr:uid="{00000000-0004-0000-0200-0000A9000000}"/>
    <hyperlink ref="C172" r:id="rId171" display="https://leetcode.com/problems/find-all-anagrams-in-a-string" xr:uid="{00000000-0004-0000-0200-0000AA000000}"/>
    <hyperlink ref="C173" r:id="rId172" display="https://leetcode.com/problems/find-all-duplicates-in-an-array" xr:uid="{00000000-0004-0000-0200-0000AB000000}"/>
    <hyperlink ref="C174" r:id="rId173" display="https://leetcode.com/problems/string-compression" xr:uid="{00000000-0004-0000-0200-0000AC000000}"/>
    <hyperlink ref="C175" r:id="rId174" display="https://leetcode.com/problems/add-two-numbers-ii" xr:uid="{00000000-0004-0000-0200-0000AD000000}"/>
    <hyperlink ref="C176" r:id="rId175" display="https://leetcode.com/problems/serialize-and-deserialize-bst" xr:uid="{00000000-0004-0000-0200-0000AE000000}"/>
    <hyperlink ref="C177" r:id="rId176" display="https://leetcode.com/problems/delete-node-in-a-bst" xr:uid="{00000000-0004-0000-0200-0000AF000000}"/>
    <hyperlink ref="C178" r:id="rId177" display="https://leetcode.com/problems/sort-characters-by-frequency" xr:uid="{00000000-0004-0000-0200-0000B0000000}"/>
    <hyperlink ref="C179" r:id="rId178" display="https://leetcode.com/problems/minimum-number-of-arrows-to-burst-balloons" xr:uid="{00000000-0004-0000-0200-0000B1000000}"/>
    <hyperlink ref="C180" r:id="rId179" display="https://leetcode.com/problems/minimum-moves-to-equal-array-elements" xr:uid="{00000000-0004-0000-0200-0000B2000000}"/>
    <hyperlink ref="C181" r:id="rId180" display="https://leetcode.com/problems/132-pattern" xr:uid="{00000000-0004-0000-0200-0000B3000000}"/>
    <hyperlink ref="C182" r:id="rId181" display="https://leetcode.com/problems/minimum-moves-to-equal-array-elements-ii" xr:uid="{00000000-0004-0000-0200-0000B4000000}"/>
    <hyperlink ref="C183" r:id="rId182" display="https://leetcode.com/problems/ones-and-zeroes" xr:uid="{00000000-0004-0000-0200-0000B5000000}"/>
    <hyperlink ref="C184" r:id="rId183" display="https://leetcode.com/problems/heaters" xr:uid="{00000000-0004-0000-0200-0000B6000000}"/>
    <hyperlink ref="C185" r:id="rId184" display="https://leetcode.com/problems/the-maze" xr:uid="{00000000-0004-0000-0200-0000B7000000}"/>
    <hyperlink ref="C186" r:id="rId185" display="https://leetcode.com/problems/target-sum" xr:uid="{00000000-0004-0000-0200-0000B8000000}"/>
    <hyperlink ref="C187" r:id="rId186" display="https://leetcode.com/problems/next-greater-element-ii" xr:uid="{00000000-0004-0000-0200-0000B9000000}"/>
    <hyperlink ref="C188" r:id="rId187" display="https://leetcode.com/problems/longest-palindromic-subsequence" xr:uid="{00000000-0004-0000-0200-0000BA000000}"/>
    <hyperlink ref="C189" r:id="rId188" display="https://leetcode.com/problems/coin-change-ii" xr:uid="{00000000-0004-0000-0200-0000BB000000}"/>
    <hyperlink ref="C190" r:id="rId189" display="https://leetcode.com/problems/continuous-subarray-sum" xr:uid="{00000000-0004-0000-0200-0000BC000000}"/>
    <hyperlink ref="C191" r:id="rId190" display="https://leetcode.com/problems/contiguous-array" xr:uid="{00000000-0004-0000-0200-0000BD000000}"/>
    <hyperlink ref="C192" r:id="rId191" display="https://leetcode.com/problems/minesweeper" xr:uid="{00000000-0004-0000-0200-0000BE000000}"/>
    <hyperlink ref="C193" r:id="rId192" display="https://leetcode.com/problems/lonely-pixel-i" xr:uid="{00000000-0004-0000-0200-0000BF000000}"/>
    <hyperlink ref="C194" r:id="rId193" display="https://leetcode.com/problems/convert-bst-to-greater-tree" xr:uid="{00000000-0004-0000-0200-0000C0000000}"/>
    <hyperlink ref="C195" r:id="rId194" display="https://leetcode.com/problems/minimum-time-difference" xr:uid="{00000000-0004-0000-0200-0000C1000000}"/>
    <hyperlink ref="C196" r:id="rId195" display="https://leetcode.com/problems/single-element-in-a-sorted-array" xr:uid="{00000000-0004-0000-0200-0000C2000000}"/>
    <hyperlink ref="C197" r:id="rId196" display="https://leetcode.com/problems/01-matrix" xr:uid="{00000000-0004-0000-0200-0000C3000000}"/>
    <hyperlink ref="C198" r:id="rId197" display="https://leetcode.com/problems/boundary-of-binary-tree" xr:uid="{00000000-0004-0000-0200-0000C4000000}"/>
    <hyperlink ref="C199" r:id="rId198" display="https://leetcode.com/problems/number-of-provinces" xr:uid="{00000000-0004-0000-0200-0000C5000000}"/>
    <hyperlink ref="C200" r:id="rId199" display="https://leetcode.com/problems/shortest-path-to-get-food" xr:uid="{00000000-0004-0000-0200-0000C6000000}"/>
    <hyperlink ref="C201" r:id="rId200" display="https://leetcode.com/problems/next-greater-element-iii" xr:uid="{00000000-0004-0000-0200-0000C7000000}"/>
    <hyperlink ref="C202" r:id="rId201" display="https://leetcode.com/problems/subarray-sum-equals-k" xr:uid="{00000000-0004-0000-0200-0000C8000000}"/>
    <hyperlink ref="C203" r:id="rId202" display="https://leetcode.com/problems/permutation-in-string" xr:uid="{00000000-0004-0000-0200-0000C9000000}"/>
    <hyperlink ref="C204" r:id="rId203" display="https://leetcode.com/problems/out-of-boundary-paths" xr:uid="{00000000-0004-0000-0200-0000CA000000}"/>
    <hyperlink ref="C205" r:id="rId204" display="https://leetcode.com/problems/shortest-unsorted-continuous-subarray" xr:uid="{00000000-0004-0000-0200-0000CB000000}"/>
    <hyperlink ref="C206" r:id="rId205" display="https://leetcode.com/problems/delete-operation-for-two-strings" xr:uid="{00000000-0004-0000-0200-0000CC000000}"/>
    <hyperlink ref="C207" r:id="rId206" display="https://leetcode.com/problems/find-duplicate-file-in-system" xr:uid="{00000000-0004-0000-0200-0000CD000000}"/>
    <hyperlink ref="C208" r:id="rId207" display="https://leetcode.com/problems/task-scheduler" xr:uid="{00000000-0004-0000-0200-0000CE000000}"/>
    <hyperlink ref="C209" r:id="rId208" display="https://leetcode.com/problems/add-one-row-to-tree" xr:uid="{00000000-0004-0000-0200-0000CF000000}"/>
    <hyperlink ref="C210" r:id="rId209" display="https://leetcode.com/problems/exclusive-time-of-functions" xr:uid="{00000000-0004-0000-0200-0000D0000000}"/>
    <hyperlink ref="C211" r:id="rId210" display="https://leetcode.com/problems/maximum-length-of-pair-chain" xr:uid="{00000000-0004-0000-0200-0000D1000000}"/>
    <hyperlink ref="C212" r:id="rId211" display="https://leetcode.com/problems/palindromic-substrings" xr:uid="{00000000-0004-0000-0200-0000D2000000}"/>
    <hyperlink ref="C213" r:id="rId212" display="https://leetcode.com/problems/replace-words" xr:uid="{00000000-0004-0000-0200-0000D3000000}"/>
    <hyperlink ref="C214" r:id="rId213" display="https://leetcode.com/problems/find-duplicate-subtrees" xr:uid="{00000000-0004-0000-0200-0000D4000000}"/>
    <hyperlink ref="C215" r:id="rId214" display="https://leetcode.com/problems/find-k-closest-elements" xr:uid="{00000000-0004-0000-0200-0000D5000000}"/>
    <hyperlink ref="C216" r:id="rId215" display="https://leetcode.com/problems/maximum-width-of-binary-tree" xr:uid="{00000000-0004-0000-0200-0000D6000000}"/>
    <hyperlink ref="C217" r:id="rId216" display="https://leetcode.com/problems/non-decreasing-array" xr:uid="{00000000-0004-0000-0200-0000D7000000}"/>
    <hyperlink ref="C218" r:id="rId217" display="https://leetcode.com/problems/trim-a-binary-search-tree" xr:uid="{00000000-0004-0000-0200-0000D8000000}"/>
    <hyperlink ref="C219" r:id="rId218" display="https://leetcode.com/problems/maximum-swap" xr:uid="{00000000-0004-0000-0200-0000D9000000}"/>
    <hyperlink ref="C220" r:id="rId219" display="https://leetcode.com/problems/number-of-longest-increasing-subsequence" xr:uid="{00000000-0004-0000-0200-0000DA000000}"/>
    <hyperlink ref="C221" r:id="rId220" display="https://leetcode.com/problems/valid-parenthesis-string" xr:uid="{00000000-0004-0000-0200-0000DB000000}"/>
    <hyperlink ref="C222" r:id="rId221" display="https://leetcode.com/problems/next-closest-time" xr:uid="{00000000-0004-0000-0200-0000DC000000}"/>
    <hyperlink ref="C223" r:id="rId222" display="https://leetcode.com/problems/redundant-connection" xr:uid="{00000000-0004-0000-0200-0000DD000000}"/>
    <hyperlink ref="C224" r:id="rId223" display="https://leetcode.com/problems/knight-probability-in-chessboard" xr:uid="{00000000-0004-0000-0200-0000DE000000}"/>
    <hyperlink ref="C225" r:id="rId224" display="https://leetcode.com/problems/employee-importance" xr:uid="{00000000-0004-0000-0200-0000DF000000}"/>
    <hyperlink ref="C226" r:id="rId225" display="https://leetcode.com/problems/top-k-frequent-words" xr:uid="{00000000-0004-0000-0200-0000E0000000}"/>
    <hyperlink ref="C227" r:id="rId226" display="https://leetcode.com/problems/number-of-distinct-islands" xr:uid="{00000000-0004-0000-0200-0000E1000000}"/>
    <hyperlink ref="C228" r:id="rId227" display="https://leetcode.com/problems/max-area-of-island" xr:uid="{00000000-0004-0000-0200-0000E2000000}"/>
    <hyperlink ref="C229" r:id="rId228" display="https://leetcode.com/problems/partition-to-k-equal-sum-subsets" xr:uid="{00000000-0004-0000-0200-0000E3000000}"/>
    <hyperlink ref="C230" r:id="rId229" display="https://leetcode.com/problems/accounts-merge" xr:uid="{00000000-0004-0000-0200-0000E4000000}"/>
    <hyperlink ref="C231" r:id="rId230" display="https://leetcode.com/problems/my-calendar-i" xr:uid="{00000000-0004-0000-0200-0000E5000000}"/>
    <hyperlink ref="C232" r:id="rId231" display="https://leetcode.com/problems/asteroid-collision" xr:uid="{00000000-0004-0000-0200-0000E6000000}"/>
    <hyperlink ref="C233" r:id="rId232" display="https://leetcode.com/problems/daily-temperatures" xr:uid="{00000000-0004-0000-0200-0000E7000000}"/>
    <hyperlink ref="C234" r:id="rId233" display="https://leetcode.com/problems/delete-and-earn" xr:uid="{00000000-0004-0000-0200-0000E8000000}"/>
    <hyperlink ref="C235" r:id="rId234" display="https://leetcode.com/problems/network-delay-time" xr:uid="{00000000-0004-0000-0200-0000E9000000}"/>
    <hyperlink ref="C236" r:id="rId235" display="https://leetcode.com/problems/open-the-lock" xr:uid="{00000000-0004-0000-0200-0000EA000000}"/>
    <hyperlink ref="C237" r:id="rId236" display="https://leetcode.com/problems/n-ary-tree-level-order-traversal" xr:uid="{00000000-0004-0000-0200-0000EB000000}"/>
    <hyperlink ref="C238" r:id="rId237" display="https://leetcode.com/problems/flatten-a-multilevel-doubly-linked-list" xr:uid="{00000000-0004-0000-0200-0000EC000000}"/>
    <hyperlink ref="C239" r:id="rId238" display="https://leetcode.com/problems/partition-labels" xr:uid="{00000000-0004-0000-0200-0000ED000000}"/>
    <hyperlink ref="C240" r:id="rId239" display="https://leetcode.com/problems/reorganize-string" xr:uid="{00000000-0004-0000-0200-0000EE000000}"/>
    <hyperlink ref="C241" r:id="rId240" display="https://leetcode.com/problems/swap-adjacent-in-lr-string" xr:uid="{00000000-0004-0000-0200-0000EF000000}"/>
    <hyperlink ref="C242" r:id="rId241" display="https://leetcode.com/problems/k-th-symbol-in-grammar" xr:uid="{00000000-0004-0000-0200-0000F0000000}"/>
    <hyperlink ref="C243" r:id="rId242" display="https://leetcode.com/problems/rabbits-in-forest" xr:uid="{00000000-0004-0000-0200-0000F1000000}"/>
    <hyperlink ref="C244" r:id="rId243" display="https://leetcode.com/problems/letter-case-permutation" xr:uid="{00000000-0004-0000-0200-0000F2000000}"/>
    <hyperlink ref="C245" r:id="rId244" display="https://leetcode.com/problems/is-graph-bipartite" xr:uid="{00000000-0004-0000-0200-0000F3000000}"/>
    <hyperlink ref="C246" r:id="rId245" display="https://leetcode.com/problems/cheapest-flights-within-k-stops" xr:uid="{00000000-0004-0000-0200-0000F4000000}"/>
    <hyperlink ref="C247" r:id="rId246" display="https://leetcode.com/problems/domino-and-tromino-tiling" xr:uid="{00000000-0004-0000-0200-0000F5000000}"/>
    <hyperlink ref="C248" r:id="rId247" display="https://leetcode.com/problems/number-of-matching-subsequences" xr:uid="{00000000-0004-0000-0200-0000F6000000}"/>
    <hyperlink ref="C249" r:id="rId248" display="https://leetcode.com/problems/find-eventual-safe-states" xr:uid="{00000000-0004-0000-0200-0000F7000000}"/>
    <hyperlink ref="C250" r:id="rId249" display="https://leetcode.com/problems/binary-tree-pruning" xr:uid="{00000000-0004-0000-0200-0000F8000000}"/>
    <hyperlink ref="C251" r:id="rId250" display="https://leetcode.com/problems/binary-trees-with-factors" xr:uid="{00000000-0004-0000-0200-0000F9000000}"/>
    <hyperlink ref="C252" r:id="rId251" display="https://leetcode.com/problems/most-profit-assigning-work" xr:uid="{00000000-0004-0000-0200-0000FA000000}"/>
    <hyperlink ref="C253" r:id="rId252" display="https://leetcode.com/problems/design-circular-queue" xr:uid="{00000000-0004-0000-0200-0000FB000000}"/>
    <hyperlink ref="C254" r:id="rId253" display="https://leetcode.com/problems/push-dominoes" xr:uid="{00000000-0004-0000-0200-0000FC000000}"/>
    <hyperlink ref="C255" r:id="rId254" display="https://leetcode.com/problems/keys-and-rooms" xr:uid="{00000000-0004-0000-0200-0000FD000000}"/>
    <hyperlink ref="C256" r:id="rId255" display="https://leetcode.com/problems/maximize-distance-to-closest-person" xr:uid="{00000000-0004-0000-0200-0000FE000000}"/>
    <hyperlink ref="C257" r:id="rId256" display="https://leetcode.com/problems/peak-index-in-a-mountain-array" xr:uid="{00000000-0004-0000-0200-0000FF000000}"/>
    <hyperlink ref="C258" r:id="rId257" display="https://leetcode.com/problems/all-nodes-distance-k-in-binary-tree" xr:uid="{00000000-0004-0000-0200-000000010000}"/>
    <hyperlink ref="C259" r:id="rId258" display="https://leetcode.com/problems/koko-eating-bananas" xr:uid="{00000000-0004-0000-0200-000001010000}"/>
    <hyperlink ref="C260" r:id="rId259" display="https://leetcode.com/problems/random-pick-with-weight" xr:uid="{00000000-0004-0000-0200-000002010000}"/>
    <hyperlink ref="C261" r:id="rId260" display="https://leetcode.com/problems/possible-bipartition" xr:uid="{00000000-0004-0000-0200-000003010000}"/>
    <hyperlink ref="C262" r:id="rId261" display="https://leetcode.com/problems/construct-binary-tree-from-preorder-and-postorder-traversal" xr:uid="{00000000-0004-0000-0200-000004010000}"/>
    <hyperlink ref="C263" r:id="rId262" display="https://leetcode.com/problems/all-possible-full-binary-trees" xr:uid="{00000000-0004-0000-0200-000005010000}"/>
    <hyperlink ref="C264" r:id="rId263" display="https://leetcode.com/problems/online-stock-span" xr:uid="{00000000-0004-0000-0200-000006010000}"/>
    <hyperlink ref="C265" r:id="rId264" display="https://leetcode.com/problems/fruit-into-baskets" xr:uid="{00000000-0004-0000-0200-000007010000}"/>
    <hyperlink ref="C266" r:id="rId265" display="https://leetcode.com/problems/sum-of-subarray-minimums" xr:uid="{00000000-0004-0000-0200-000008010000}"/>
    <hyperlink ref="C267" r:id="rId266" display="https://leetcode.com/problems/snakes-and-ladders" xr:uid="{00000000-0004-0000-0200-000009010000}"/>
    <hyperlink ref="C268" r:id="rId267" display="https://leetcode.com/problems/sort-an-array" xr:uid="{00000000-0004-0000-0200-00000A010000}"/>
    <hyperlink ref="C269" r:id="rId268" display="https://leetcode.com/problems/minimum-add-to-make-parentheses-valid" xr:uid="{00000000-0004-0000-0200-00000B010000}"/>
    <hyperlink ref="C270" r:id="rId269" display="https://leetcode.com/problems/flip-string-to-monotone-increasing" xr:uid="{00000000-0004-0000-0200-00000C010000}"/>
    <hyperlink ref="C271" r:id="rId270" display="https://leetcode.com/problems/minimum-falling-path-sum" xr:uid="{00000000-0004-0000-0200-00000D010000}"/>
    <hyperlink ref="C272" r:id="rId271" display="https://leetcode.com/problems/shortest-bridge" xr:uid="{00000000-0004-0000-0200-00000E010000}"/>
    <hyperlink ref="C273" r:id="rId272" display="https://leetcode.com/problems/reorder-data-in-log-files" xr:uid="{00000000-0004-0000-0200-00000F010000}"/>
    <hyperlink ref="C274" r:id="rId273" display="https://leetcode.com/problems/most-stones-removed-with-same-row-or-column" xr:uid="{00000000-0004-0000-0200-000010010000}"/>
    <hyperlink ref="C275" r:id="rId274" display="https://leetcode.com/problems/largest-time-for-given-digits" xr:uid="{00000000-0004-0000-0200-000011010000}"/>
    <hyperlink ref="C276" r:id="rId275" display="https://leetcode.com/problems/check-completeness-of-a-binary-tree" xr:uid="{00000000-0004-0000-0200-000012010000}"/>
    <hyperlink ref="C277" r:id="rId276" display="https://leetcode.com/problems/maximum-width-ramp" xr:uid="{00000000-0004-0000-0200-000013010000}"/>
    <hyperlink ref="C278" r:id="rId277" display="https://leetcode.com/problems/k-closest-points-to-origin" xr:uid="{00000000-0004-0000-0200-000014010000}"/>
    <hyperlink ref="C279" r:id="rId278" display="https://leetcode.com/problems/distribute-coins-in-binary-tree" xr:uid="{00000000-0004-0000-0200-000015010000}"/>
    <hyperlink ref="C280" r:id="rId279" display="https://leetcode.com/problems/time-based-key-value-store" xr:uid="{00000000-0004-0000-0200-000016010000}"/>
    <hyperlink ref="C281" r:id="rId280" display="https://leetcode.com/problems/minimum-cost-for-tickets" xr:uid="{00000000-0004-0000-0200-000017010000}"/>
    <hyperlink ref="C282" r:id="rId281" display="https://leetcode.com/problems/satisfiability-of-equality-equations" xr:uid="{00000000-0004-0000-0200-000018010000}"/>
    <hyperlink ref="C283" r:id="rId282" display="https://leetcode.com/problems/rotting-oranges" xr:uid="{00000000-0004-0000-0200-000019010000}"/>
    <hyperlink ref="C284" r:id="rId283" display="https://leetcode.com/problems/max-consecutive-ones-iii" xr:uid="{00000000-0004-0000-0200-00001A010000}"/>
    <hyperlink ref="C285" r:id="rId284" display="https://leetcode.com/problems/construct-binary-search-tree-from-preorder-traversal" xr:uid="{00000000-0004-0000-0200-00001B010000}"/>
    <hyperlink ref="C286" r:id="rId285" display="https://leetcode.com/problems/pairs-of-songs-with-total-durations-divisible-by-60" xr:uid="{00000000-0004-0000-0200-00001C010000}"/>
    <hyperlink ref="C287" r:id="rId286" display="https://leetcode.com/problems/capacity-to-ship-packages-within-d-days" xr:uid="{00000000-0004-0000-0200-00001D010000}"/>
    <hyperlink ref="C288" r:id="rId287" display="https://leetcode.com/problems/missing-element-in-sorted-array" xr:uid="{00000000-0004-0000-0200-00001E010000}"/>
    <hyperlink ref="C289" r:id="rId288" display="https://leetcode.com/problems/binary-string-with-substrings-representing-1-to-n" xr:uid="{00000000-0004-0000-0200-00001F010000}"/>
    <hyperlink ref="C290" r:id="rId289" display="https://leetcode.com/problems/number-of-enclaves" xr:uid="{00000000-0004-0000-0200-000020010000}"/>
    <hyperlink ref="C291" r:id="rId290" display="https://leetcode.com/problems/maximum-difference-between-node-and-ancestor" xr:uid="{00000000-0004-0000-0200-000021010000}"/>
    <hyperlink ref="C292" r:id="rId291" display="https://leetcode.com/problems/minimum-swaps-to-group-all-1s-together" xr:uid="{00000000-0004-0000-0200-000022010000}"/>
    <hyperlink ref="C293" r:id="rId292" display="https://leetcode.com/problems/analyze-user-website-visit-pattern" xr:uid="{00000000-0004-0000-0200-000023010000}"/>
    <hyperlink ref="C294" r:id="rId293" display="https://leetcode.com/problems/minimum-score-triangulation-of-polygon" xr:uid="{00000000-0004-0000-0200-000024010000}"/>
    <hyperlink ref="C295" r:id="rId294" display="https://leetcode.com/problems/binary-search-tree-to-greater-sum-tree" xr:uid="{00000000-0004-0000-0200-000025010000}"/>
    <hyperlink ref="C296" r:id="rId295" display="https://leetcode.com/problems/robot-bounded-in-circle" xr:uid="{00000000-0004-0000-0200-000026010000}"/>
    <hyperlink ref="C297" r:id="rId296" display="https://leetcode.com/problems/design-file-system" xr:uid="{00000000-0004-0000-0200-000027010000}"/>
    <hyperlink ref="C298" r:id="rId297" display="https://leetcode.com/problems/minimum-cost-to-connect-sticks" xr:uid="{00000000-0004-0000-0200-000028010000}"/>
    <hyperlink ref="C299" r:id="rId298" display="https://leetcode.com/problems/longest-string-chain" xr:uid="{00000000-0004-0000-0200-000029010000}"/>
    <hyperlink ref="C300" r:id="rId299" display="https://leetcode.com/problems/minimum-knight-moves" xr:uid="{00000000-0004-0000-0200-00002A010000}"/>
    <hyperlink ref="C301" r:id="rId300" display="https://leetcode.com/problems/meeting-scheduler" xr:uid="{00000000-0004-0000-0200-00002B010000}"/>
    <hyperlink ref="C302" r:id="rId301" display="https://leetcode.com/problems/shortest-path-in-binary-matrix" xr:uid="{00000000-0004-0000-0200-00002C010000}"/>
    <hyperlink ref="C303" r:id="rId302" display="https://leetcode.com/problems/car-pooling" xr:uid="{00000000-0004-0000-0200-00002D010000}"/>
    <hyperlink ref="C304" r:id="rId303" display="https://leetcode.com/problems/delete-nodes-and-return-forest" xr:uid="{00000000-0004-0000-0200-00002E010000}"/>
    <hyperlink ref="C305" r:id="rId304" display="https://leetcode.com/problems/sequential-digits" xr:uid="{00000000-0004-0000-0200-00002F010000}"/>
    <hyperlink ref="C306" r:id="rId305" display="https://leetcode.com/problems/minimum-cost-tree-from-leaf-values" xr:uid="{00000000-0004-0000-0200-000030010000}"/>
    <hyperlink ref="C307" r:id="rId306" display="https://leetcode.com/problems/snapshot-array" xr:uid="{00000000-0004-0000-0200-000031010000}"/>
    <hyperlink ref="C308" r:id="rId307" display="https://leetcode.com/problems/longest-common-subsequence" xr:uid="{00000000-0004-0000-0200-000032010000}"/>
    <hyperlink ref="C309" r:id="rId308" display="https://leetcode.com/problems/sort-the-matrix-diagonally" xr:uid="{00000000-0004-0000-0200-000033010000}"/>
    <hyperlink ref="C310" r:id="rId309" display="https://leetcode.com/problems/invalid-transactions" xr:uid="{00000000-0004-0000-0200-000034010000}"/>
    <hyperlink ref="C311" r:id="rId310" display="https://leetcode.com/problems/k-concatenation-maximum-sum" xr:uid="{00000000-0004-0000-0200-000035010000}"/>
    <hyperlink ref="C312" r:id="rId311" display="https://leetcode.com/problems/minimum-moves-to-reach-target-score" xr:uid="{00000000-0004-0000-0200-000036010000}"/>
    <hyperlink ref="C313" r:id="rId312" display="https://leetcode.com/problems/longest-happy-string" xr:uid="{00000000-0004-0000-0200-000037010000}"/>
    <hyperlink ref="C314" r:id="rId313" display="https://leetcode.com/problems/smallest-string-with-swaps" xr:uid="{00000000-0004-0000-0200-000038010000}"/>
    <hyperlink ref="C315" r:id="rId314" display="https://leetcode.com/problems/remove-all-adjacent-duplicates-in-string-ii" xr:uid="{00000000-0004-0000-0200-000039010000}"/>
    <hyperlink ref="C316" r:id="rId315" display="https://leetcode.com/problems/where-will-the-ball-fall" xr:uid="{00000000-0004-0000-0200-00003A010000}"/>
    <hyperlink ref="C317" r:id="rId316" display="https://leetcode.com/problems/tuple-with-same-product" xr:uid="{00000000-0004-0000-0200-00003B010000}"/>
    <hyperlink ref="C318" r:id="rId317" display="https://leetcode.com/problems/first-unique-number" xr:uid="{00000000-0004-0000-0200-00003C010000}"/>
    <hyperlink ref="C319" r:id="rId318" display="https://leetcode.com/problems/minimum-remove-to-make-valid-parentheses" xr:uid="{00000000-0004-0000-0200-00003D010000}"/>
    <hyperlink ref="C320" r:id="rId319" display="https://leetcode.com/problems/leftmost-column-with-at-least-a-one" xr:uid="{00000000-0004-0000-0200-00003E010000}"/>
    <hyperlink ref="C321" r:id="rId320" display="https://leetcode.com/problems/search-suggestions-system" xr:uid="{00000000-0004-0000-0200-00003F010000}"/>
    <hyperlink ref="C322" r:id="rId321" display="https://leetcode.com/problems/count-square-submatrices-with-all-ones" xr:uid="{00000000-0004-0000-0200-000040010000}"/>
    <hyperlink ref="C323" r:id="rId322" display="https://leetcode.com/problems/jump-game-iii" xr:uid="{00000000-0004-0000-0200-000041010000}"/>
    <hyperlink ref="C324" r:id="rId323" display="https://leetcode.com/problems/angle-between-hands-of-a-clock" xr:uid="{00000000-0004-0000-0200-000042010000}"/>
    <hyperlink ref="C325" r:id="rId324" display="https://leetcode.com/problems/reduce-array-size-to-the-half" xr:uid="{00000000-0004-0000-0200-000043010000}"/>
    <hyperlink ref="C326" r:id="rId325" display="https://leetcode.com/problems/maximum-product-of-splitted-binary-tree" xr:uid="{00000000-0004-0000-0200-000044010000}"/>
    <hyperlink ref="C327" r:id="rId326" display="https://leetcode.com/problems/longest-zigzag-path-in-a-binary-tree" xr:uid="{00000000-0004-0000-0200-000045010000}"/>
    <hyperlink ref="C328" r:id="rId327" display="https://leetcode.com/problems/maximum-number-of-events-that-can-be-attended" xr:uid="{00000000-0004-0000-0200-000046010000}"/>
    <hyperlink ref="C329" r:id="rId328" display="https://leetcode.com/problems/design-underground-system" xr:uid="{00000000-0004-0000-0200-000047010000}"/>
    <hyperlink ref="C330" r:id="rId329" display="https://leetcode.com/problems/maximum-points-you-can-obtain-from-cards" xr:uid="{00000000-0004-0000-0200-000048010000}"/>
    <hyperlink ref="C331" r:id="rId330" display="https://leetcode.com/problems/count-good-nodes-in-binary-tree" xr:uid="{00000000-0004-0000-0200-000049010000}"/>
    <hyperlink ref="C332" r:id="rId331" display="https://leetcode.com/problems/check-if-a-string-contains-all-binary-codes-of-size-k" xr:uid="{00000000-0004-0000-0200-00004A010000}"/>
    <hyperlink ref="C333" r:id="rId332" display="https://leetcode.com/problems/maximum-area-of-a-piece-of-cake-after-horizontal-and-vertical-cuts" xr:uid="{00000000-0004-0000-0200-00004B010000}"/>
    <hyperlink ref="C334" r:id="rId333" display="https://leetcode.com/problems/active-users" xr:uid="{00000000-0004-0000-0200-00004C010000}"/>
    <hyperlink ref="C335" r:id="rId334" display="https://leetcode.com/problems/design-browser-history" xr:uid="{00000000-0004-0000-0200-00004D010000}"/>
    <hyperlink ref="C336" r:id="rId335" display="https://leetcode.com/problems/the-kth-factor-of-n" xr:uid="{00000000-0004-0000-0200-00004E010000}"/>
    <hyperlink ref="C337" r:id="rId336" display="https://leetcode.com/problems/minimum-number-of-days-to-make-m-bouquets" xr:uid="{00000000-0004-0000-0200-00004F010000}"/>
    <hyperlink ref="C338" r:id="rId337" display="https://leetcode.com/problems/avoid-flood-in-the-city" xr:uid="{00000000-0004-0000-0200-000050010000}"/>
    <hyperlink ref="C339" r:id="rId338" display="https://leetcode.com/problems/check-if-array-pairs-are-divisible-by-k" xr:uid="{00000000-0004-0000-0200-000051010000}"/>
    <hyperlink ref="C340" r:id="rId339" display="https://leetcode.com/problems/number-of-good-ways-to-split-a-string" xr:uid="{00000000-0004-0000-0200-000052010000}"/>
    <hyperlink ref="C341" r:id="rId340" display="https://leetcode.com/problems/maximum-length-of-subarray-with-positive-product" xr:uid="{00000000-0004-0000-0200-000053010000}"/>
    <hyperlink ref="C342" r:id="rId341" display="https://leetcode.com/problems/dot-product-of-two-sparse-vectors" xr:uid="{00000000-0004-0000-0200-000054010000}"/>
    <hyperlink ref="C343" r:id="rId342" display="https://leetcode.com/problems/even-odd-tree" xr:uid="{00000000-0004-0000-0200-000055010000}"/>
    <hyperlink ref="C344" r:id="rId343" display="https://leetcode.com/problems/furthest-building-you-can-reach" xr:uid="{00000000-0004-0000-0200-000056010000}"/>
    <hyperlink ref="C345" r:id="rId344" display="https://leetcode.com/problems/design-an-expression-tree-with-evaluate-function" xr:uid="{00000000-0004-0000-0200-000057010000}"/>
    <hyperlink ref="C346" r:id="rId345" display="https://leetcode.com/problems/lowest-common-ancestor-of-a-binary-tree-iii" xr:uid="{00000000-0004-0000-0200-000058010000}"/>
    <hyperlink ref="C347" r:id="rId346" display="https://leetcode.com/problems/find-the-most-competitive-subsequence" xr:uid="{00000000-0004-0000-0200-000059010000}"/>
    <hyperlink ref="C348" r:id="rId347" display="https://leetcode.com/problems/concatenation-of-consecutive-binary-numbers" xr:uid="{00000000-0004-0000-0200-00005A010000}"/>
    <hyperlink ref="C349" r:id="rId348" display="https://leetcode.com/problems/partitioning-into-minimum-number-of-deci-binary-numbers" xr:uid="{00000000-0004-0000-0200-00005B010000}"/>
    <hyperlink ref="C350" r:id="rId349" display="https://leetcode.com/problems/jump-game-vi" xr:uid="{00000000-0004-0000-0200-00005C010000}"/>
    <hyperlink ref="C351" r:id="rId350" display="https://leetcode.com/problems/maximum-number-of-eaten-apples" xr:uid="{00000000-0004-0000-0200-00005D010000}"/>
    <hyperlink ref="C352" r:id="rId351" display="https://leetcode.com/problems/find-distance-in-a-binary-tree" xr:uid="{00000000-0004-0000-0200-00005E010000}"/>
    <hyperlink ref="C353" r:id="rId352" display="https://leetcode.com/problems/buildings-with-an-ocean-view" xr:uid="{00000000-0004-0000-0200-00005F010000}"/>
    <hyperlink ref="C354" r:id="rId353" display="https://leetcode.com/problems/single-threaded-cpu" xr:uid="{00000000-0004-0000-0200-000060010000}"/>
    <hyperlink ref="C355" r:id="rId354" display="https://leetcode.com/problems/maximum-subarray-min-product" xr:uid="{00000000-0004-0000-0200-000061010000}"/>
    <hyperlink ref="C356" r:id="rId355" display="https://leetcode.com/problems/minimum-number-of-swaps-to-make-the-binary-string-alternating" xr:uid="{00000000-0004-0000-0200-000062010000}"/>
    <hyperlink ref="C357" r:id="rId356" display="https://leetcode.com/problems/process-tasks-using-servers" xr:uid="{00000000-0004-0000-0200-000063010000}"/>
    <hyperlink ref="C358" r:id="rId357" display="https://leetcode.com/problems/nearest-exit-from-entrance-in-maze" xr:uid="{00000000-0004-0000-0200-000064010000}"/>
    <hyperlink ref="C359" r:id="rId358" display="https://leetcode.com/problems/remove-stones-to-minimize-the-total" xr:uid="{00000000-0004-0000-0200-000065010000}"/>
    <hyperlink ref="C360" r:id="rId359" display="https://leetcode.com/problems/find-original-array-from-doubled-array" xr:uid="{00000000-0004-0000-0200-000066010000}"/>
    <hyperlink ref="C361" r:id="rId360" display="https://leetcode.com/problems/plates-between-candles" xr:uid="{00000000-0004-0000-0200-000067010000}"/>
    <hyperlink ref="C362" r:id="rId361" display="https://leetcode.com/problems/most-beautiful-item-for-each-query" xr:uid="{00000000-0004-0000-0200-000068010000}"/>
    <hyperlink ref="C363" r:id="rId362" display="https://leetcode.com/problems/decode-the-slanted-ciphertext" xr:uid="{00000000-0004-0000-0200-000069010000}"/>
    <hyperlink ref="C364" r:id="rId363" display="https://leetcode.com/problems/find-good-days-to-rob-the-bank" xr:uid="{00000000-0004-0000-0200-00006A010000}"/>
    <hyperlink ref="C365" r:id="rId364" display="https://leetcode.com/problems/step-by-step-directions-from-a-binary-tree-node-to-another" xr:uid="{00000000-0004-0000-0200-00006B010000}"/>
    <hyperlink ref="C366" r:id="rId365" display="https://leetcode.com/problems/find-all-possible-recipes-from-given-supplies" xr:uid="{00000000-0004-0000-0200-00006C010000}"/>
    <hyperlink ref="C367" r:id="rId366" display="https://leetcode.com/problems/sum-of-subarray-ranges" xr:uid="{00000000-0004-0000-0200-00006D010000}"/>
    <hyperlink ref="C368" r:id="rId367" display="https://leetcode.com/problems/adding-spaces-to-a-string" xr:uid="{00000000-0004-0000-0200-00006E010000}"/>
    <hyperlink ref="C369" r:id="rId368" display="https://leetcode.com/problems/number-of-smooth-descent-periods-of-a-stock" xr:uid="{00000000-0004-0000-0200-00006F010000}"/>
    <hyperlink ref="C370" r:id="rId369" display="https://leetcode.com/problems/maximum-twin-sum-of-a-linked-list" xr:uid="{00000000-0004-0000-0200-000070010000}"/>
    <hyperlink ref="C371" r:id="rId370" display="https://leetcode.com/problems/append-k-integers-with-minimal-sum" xr:uid="{00000000-0004-0000-0200-000071010000}"/>
    <hyperlink ref="C372" r:id="rId371" display="https://leetcode.com/problems/find-triangular-sum-of-an-array" xr:uid="{00000000-0004-0000-0200-000072010000}"/>
    <hyperlink ref="C373" r:id="rId372" display="https://leetcode.com/problems/number-of-ways-to-select-buildings" xr:uid="{00000000-0004-0000-0200-000073010000}"/>
    <hyperlink ref="C374" r:id="rId373" display="https://leetcode.com/problems/minimum-average-difference" xr:uid="{00000000-0004-0000-0200-000074010000}"/>
    <hyperlink ref="C375" r:id="rId374" display="https://leetcode.com/problems/count-nodes-equal-to-average-of-subtree" xr:uid="{00000000-0004-0000-0200-000075010000}"/>
    <hyperlink ref="C376" r:id="rId375" display="https://leetcode.com/problems/minimum-health-to-beat-game" xr:uid="{00000000-0004-0000-0200-000076010000}"/>
    <hyperlink ref="C377" r:id="rId376" display="https://leetcode.com/problems/minimum-rounds-to-complete-all-tasks" xr:uid="{00000000-0004-0000-0200-000077010000}"/>
    <hyperlink ref="C378" r:id="rId377" display="https://leetcode.com/problems/apply-discount-to-prices" xr:uid="{00000000-0004-0000-0200-000078010000}"/>
    <hyperlink ref="C379" r:id="rId378" display="https://leetcode.com/problems/steps-to-make-array-non-decreasing" xr:uid="{00000000-0004-0000-0200-000079010000}"/>
    <hyperlink ref="C380" r:id="rId379" display="https://leetcode.com/problems/partition-array-such-that-maximum-difference-is-k" xr:uid="{00000000-0004-0000-0200-00007A010000}"/>
    <hyperlink ref="C381" r:id="rId380" display="https://leetcode.com/problems/longest-binary-subsequence-less-than-or-equal-to-k" xr:uid="{00000000-0004-0000-0200-00007B010000}"/>
    <hyperlink ref="C382" r:id="rId381" display="https://leetcode.com/problems/minimum-number-of-keypresses" xr:uid="{00000000-0004-0000-0200-00007C010000}"/>
    <hyperlink ref="C383" r:id="rId382" display="https://leetcode.com/problems/number-of-people-aware-of-a-secret" xr:uid="{00000000-0004-0000-0200-00007D010000}"/>
    <hyperlink ref="C384" r:id="rId383" display="https://leetcode.com/problems/smallest-number-in-infinite-set" xr:uid="{00000000-0004-0000-0200-00007E010000}"/>
    <hyperlink ref="C385" r:id="rId384" display="https://leetcode.com/problems/amount-of-time-for-binary-tree-to-be-infected" xr:uid="{00000000-0004-0000-0200-00007F010000}"/>
    <hyperlink ref="C386" r:id="rId385" display="https://leetcode.com/problems/minimum-adjacent-swaps-to-make-a-valid-array" xr:uid="{00000000-0004-0000-0200-000080010000}"/>
    <hyperlink ref="C387" r:id="rId386" display="https://leetcode.com/problems/optimal-partition-of-string" xr:uid="{00000000-0004-0000-0200-000081010000}"/>
    <hyperlink ref="C388" r:id="rId387" display="https://leetcode.com/problems/divide-intervals-into-minimum-number-of-groups" xr:uid="{00000000-0004-0000-0200-000082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43" customWidth="1"/>
    <col min="3" max="3" width="65.28515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f ca="1">IFERROR(__xludf.DUMMYFUNCTION("FILTER(amazon!A2:G646,amazon!F2:F646 = ""Hard"")"),4)</f>
        <v>4</v>
      </c>
      <c r="B2" s="4" t="str">
        <f ca="1">IFERROR(__xludf.DUMMYFUNCTION("""COMPUTED_VALUE"""),"Median of Two Sorted Arrays")</f>
        <v>Median of Two Sorted Arrays</v>
      </c>
      <c r="C2" s="8" t="str">
        <f ca="1">IFERROR(__xludf.DUMMYFUNCTION("""COMPUTED_VALUE"""),"https://leetcode.com/problems/median-of-two-sorted-arrays")</f>
        <v>https://leetcode.com/problems/median-of-two-sorted-arrays</v>
      </c>
      <c r="D2" s="3" t="str">
        <f ca="1">IFERROR(__xludf.DUMMYFUNCTION("""COMPUTED_VALUE"""),"N")</f>
        <v>N</v>
      </c>
      <c r="E2" s="6">
        <f ca="1">IFERROR(__xludf.DUMMYFUNCTION("""COMPUTED_VALUE"""),0.353)</f>
        <v>0.35299999999999998</v>
      </c>
      <c r="F2" s="3" t="str">
        <f ca="1">IFERROR(__xludf.DUMMYFUNCTION("""COMPUTED_VALUE"""),"Hard")</f>
        <v>Hard</v>
      </c>
      <c r="G2" s="3" t="str">
        <f ca="1">IFERROR(__xludf.DUMMYFUNCTION("""COMPUTED_VALUE"""),"34.9848%;")</f>
        <v>34.9848%;</v>
      </c>
    </row>
    <row r="3" spans="1:7" x14ac:dyDescent="0.2">
      <c r="A3" s="3">
        <f ca="1">IFERROR(__xludf.DUMMYFUNCTION("""COMPUTED_VALUE"""),10)</f>
        <v>10</v>
      </c>
      <c r="B3" s="4" t="str">
        <f ca="1">IFERROR(__xludf.DUMMYFUNCTION("""COMPUTED_VALUE"""),"Regular Expression Matching")</f>
        <v>Regular Expression Matching</v>
      </c>
      <c r="C3" s="8" t="str">
        <f ca="1">IFERROR(__xludf.DUMMYFUNCTION("""COMPUTED_VALUE"""),"https://leetcode.com/problems/regular-expression-matching")</f>
        <v>https://leetcode.com/problems/regular-expression-matching</v>
      </c>
      <c r="D3" s="3" t="str">
        <f ca="1">IFERROR(__xludf.DUMMYFUNCTION("""COMPUTED_VALUE"""),"N")</f>
        <v>N</v>
      </c>
      <c r="E3" s="6">
        <f ca="1">IFERROR(__xludf.DUMMYFUNCTION("""COMPUTED_VALUE"""),0.282)</f>
        <v>0.28199999999999997</v>
      </c>
      <c r="F3" s="3" t="str">
        <f ca="1">IFERROR(__xludf.DUMMYFUNCTION("""COMPUTED_VALUE"""),"Hard")</f>
        <v>Hard</v>
      </c>
      <c r="G3" s="3" t="str">
        <f ca="1">IFERROR(__xludf.DUMMYFUNCTION("""COMPUTED_VALUE"""),"10.2189%;")</f>
        <v>10.2189%;</v>
      </c>
    </row>
    <row r="4" spans="1:7" x14ac:dyDescent="0.2">
      <c r="A4" s="3">
        <f ca="1">IFERROR(__xludf.DUMMYFUNCTION("""COMPUTED_VALUE"""),23)</f>
        <v>23</v>
      </c>
      <c r="B4" s="4" t="str">
        <f ca="1">IFERROR(__xludf.DUMMYFUNCTION("""COMPUTED_VALUE"""),"Merge k Sorted Lists")</f>
        <v>Merge k Sorted Lists</v>
      </c>
      <c r="C4" s="8" t="str">
        <f ca="1">IFERROR(__xludf.DUMMYFUNCTION("""COMPUTED_VALUE"""),"https://leetcode.com/problems/merge-k-sorted-lists")</f>
        <v>https://leetcode.com/problems/merge-k-sorted-lists</v>
      </c>
      <c r="D4" s="3" t="str">
        <f ca="1">IFERROR(__xludf.DUMMYFUNCTION("""COMPUTED_VALUE"""),"N")</f>
        <v>N</v>
      </c>
      <c r="E4" s="6">
        <f ca="1">IFERROR(__xludf.DUMMYFUNCTION("""COMPUTED_VALUE"""),0.485)</f>
        <v>0.48499999999999999</v>
      </c>
      <c r="F4" s="3" t="str">
        <f ca="1">IFERROR(__xludf.DUMMYFUNCTION("""COMPUTED_VALUE"""),"Hard")</f>
        <v>Hard</v>
      </c>
      <c r="G4" s="3" t="str">
        <f ca="1">IFERROR(__xludf.DUMMYFUNCTION("""COMPUTED_VALUE"""),"60.4348%;")</f>
        <v>60.4348%;</v>
      </c>
    </row>
    <row r="5" spans="1:7" x14ac:dyDescent="0.2">
      <c r="A5" s="3">
        <f ca="1">IFERROR(__xludf.DUMMYFUNCTION("""COMPUTED_VALUE"""),25)</f>
        <v>25</v>
      </c>
      <c r="B5" s="4" t="str">
        <f ca="1">IFERROR(__xludf.DUMMYFUNCTION("""COMPUTED_VALUE"""),"Reverse Nodes in k-Group")</f>
        <v>Reverse Nodes in k-Group</v>
      </c>
      <c r="C5" s="8" t="str">
        <f ca="1">IFERROR(__xludf.DUMMYFUNCTION("""COMPUTED_VALUE"""),"https://leetcode.com/problems/reverse-nodes-in-k-group")</f>
        <v>https://leetcode.com/problems/reverse-nodes-in-k-group</v>
      </c>
      <c r="D5" s="3" t="str">
        <f ca="1">IFERROR(__xludf.DUMMYFUNCTION("""COMPUTED_VALUE"""),"N")</f>
        <v>N</v>
      </c>
      <c r="E5" s="6">
        <f ca="1">IFERROR(__xludf.DUMMYFUNCTION("""COMPUTED_VALUE"""),0.537)</f>
        <v>0.53700000000000003</v>
      </c>
      <c r="F5" s="3" t="str">
        <f ca="1">IFERROR(__xludf.DUMMYFUNCTION("""COMPUTED_VALUE"""),"Hard")</f>
        <v>Hard</v>
      </c>
      <c r="G5" s="3" t="str">
        <f ca="1">IFERROR(__xludf.DUMMYFUNCTION("""COMPUTED_VALUE"""),"33.8612%;")</f>
        <v>33.8612%;</v>
      </c>
    </row>
    <row r="6" spans="1:7" x14ac:dyDescent="0.2">
      <c r="A6" s="3">
        <f ca="1">IFERROR(__xludf.DUMMYFUNCTION("""COMPUTED_VALUE"""),30)</f>
        <v>30</v>
      </c>
      <c r="B6" s="4" t="str">
        <f ca="1">IFERROR(__xludf.DUMMYFUNCTION("""COMPUTED_VALUE"""),"Substring with Concatenation of All Words")</f>
        <v>Substring with Concatenation of All Words</v>
      </c>
      <c r="C6" s="8" t="str">
        <f ca="1">IFERROR(__xludf.DUMMYFUNCTION("""COMPUTED_VALUE"""),"https://leetcode.com/problems/substring-with-concatenation-of-all-words")</f>
        <v>https://leetcode.com/problems/substring-with-concatenation-of-all-words</v>
      </c>
      <c r="D6" s="3" t="str">
        <f ca="1">IFERROR(__xludf.DUMMYFUNCTION("""COMPUTED_VALUE"""),"N")</f>
        <v>N</v>
      </c>
      <c r="E6" s="6">
        <f ca="1">IFERROR(__xludf.DUMMYFUNCTION("""COMPUTED_VALUE"""),0.309)</f>
        <v>0.309</v>
      </c>
      <c r="F6" s="3" t="str">
        <f ca="1">IFERROR(__xludf.DUMMYFUNCTION("""COMPUTED_VALUE"""),"Hard")</f>
        <v>Hard</v>
      </c>
      <c r="G6" s="3" t="str">
        <f ca="1">IFERROR(__xludf.DUMMYFUNCTION("""COMPUTED_VALUE"""),"3.01616%;")</f>
        <v>3.01616%;</v>
      </c>
    </row>
    <row r="7" spans="1:7" x14ac:dyDescent="0.2">
      <c r="A7" s="3">
        <f ca="1">IFERROR(__xludf.DUMMYFUNCTION("""COMPUTED_VALUE"""),32)</f>
        <v>32</v>
      </c>
      <c r="B7" s="4" t="str">
        <f ca="1">IFERROR(__xludf.DUMMYFUNCTION("""COMPUTED_VALUE"""),"Longest Valid Parentheses")</f>
        <v>Longest Valid Parentheses</v>
      </c>
      <c r="C7" s="8" t="str">
        <f ca="1">IFERROR(__xludf.DUMMYFUNCTION("""COMPUTED_VALUE"""),"https://leetcode.com/problems/longest-valid-parentheses")</f>
        <v>https://leetcode.com/problems/longest-valid-parentheses</v>
      </c>
      <c r="D7" s="3" t="str">
        <f ca="1">IFERROR(__xludf.DUMMYFUNCTION("""COMPUTED_VALUE"""),"N")</f>
        <v>N</v>
      </c>
      <c r="E7" s="6">
        <f ca="1">IFERROR(__xludf.DUMMYFUNCTION("""COMPUTED_VALUE"""),0.327)</f>
        <v>0.32700000000000001</v>
      </c>
      <c r="F7" s="3" t="str">
        <f ca="1">IFERROR(__xludf.DUMMYFUNCTION("""COMPUTED_VALUE"""),"Hard")</f>
        <v>Hard</v>
      </c>
      <c r="G7" s="3" t="str">
        <f ca="1">IFERROR(__xludf.DUMMYFUNCTION("""COMPUTED_VALUE"""),"28.9085%;")</f>
        <v>28.9085%;</v>
      </c>
    </row>
    <row r="8" spans="1:7" x14ac:dyDescent="0.2">
      <c r="A8" s="3">
        <f ca="1">IFERROR(__xludf.DUMMYFUNCTION("""COMPUTED_VALUE"""),37)</f>
        <v>37</v>
      </c>
      <c r="B8" s="4" t="str">
        <f ca="1">IFERROR(__xludf.DUMMYFUNCTION("""COMPUTED_VALUE"""),"Sudoku Solver")</f>
        <v>Sudoku Solver</v>
      </c>
      <c r="C8" s="8" t="str">
        <f ca="1">IFERROR(__xludf.DUMMYFUNCTION("""COMPUTED_VALUE"""),"https://leetcode.com/problems/sudoku-solver")</f>
        <v>https://leetcode.com/problems/sudoku-solver</v>
      </c>
      <c r="D8" s="3" t="str">
        <f ca="1">IFERROR(__xludf.DUMMYFUNCTION("""COMPUTED_VALUE"""),"N")</f>
        <v>N</v>
      </c>
      <c r="E8" s="6">
        <f ca="1">IFERROR(__xludf.DUMMYFUNCTION("""COMPUTED_VALUE"""),0.568)</f>
        <v>0.56799999999999995</v>
      </c>
      <c r="F8" s="3" t="str">
        <f ca="1">IFERROR(__xludf.DUMMYFUNCTION("""COMPUTED_VALUE"""),"Hard")</f>
        <v>Hard</v>
      </c>
      <c r="G8" s="3" t="str">
        <f ca="1">IFERROR(__xludf.DUMMYFUNCTION("""COMPUTED_VALUE"""),"11.2049%;")</f>
        <v>11.2049%;</v>
      </c>
    </row>
    <row r="9" spans="1:7" x14ac:dyDescent="0.2">
      <c r="A9" s="3">
        <f ca="1">IFERROR(__xludf.DUMMYFUNCTION("""COMPUTED_VALUE"""),41)</f>
        <v>41</v>
      </c>
      <c r="B9" s="4" t="str">
        <f ca="1">IFERROR(__xludf.DUMMYFUNCTION("""COMPUTED_VALUE"""),"First Missing Positive")</f>
        <v>First Missing Positive</v>
      </c>
      <c r="C9" s="8" t="str">
        <f ca="1">IFERROR(__xludf.DUMMYFUNCTION("""COMPUTED_VALUE"""),"https://leetcode.com/problems/first-missing-positive")</f>
        <v>https://leetcode.com/problems/first-missing-positive</v>
      </c>
      <c r="D9" s="3" t="str">
        <f ca="1">IFERROR(__xludf.DUMMYFUNCTION("""COMPUTED_VALUE"""),"N")</f>
        <v>N</v>
      </c>
      <c r="E9" s="6">
        <f ca="1">IFERROR(__xludf.DUMMYFUNCTION("""COMPUTED_VALUE"""),0.366)</f>
        <v>0.36599999999999999</v>
      </c>
      <c r="F9" s="3" t="str">
        <f ca="1">IFERROR(__xludf.DUMMYFUNCTION("""COMPUTED_VALUE"""),"Hard")</f>
        <v>Hard</v>
      </c>
      <c r="G9" s="3" t="str">
        <f ca="1">IFERROR(__xludf.DUMMYFUNCTION("""COMPUTED_VALUE"""),"25.4772%;")</f>
        <v>25.4772%;</v>
      </c>
    </row>
    <row r="10" spans="1:7" x14ac:dyDescent="0.2">
      <c r="A10" s="3">
        <f ca="1">IFERROR(__xludf.DUMMYFUNCTION("""COMPUTED_VALUE"""),42)</f>
        <v>42</v>
      </c>
      <c r="B10" s="4" t="str">
        <f ca="1">IFERROR(__xludf.DUMMYFUNCTION("""COMPUTED_VALUE"""),"Trapping Rain Water")</f>
        <v>Trapping Rain Water</v>
      </c>
      <c r="C10" s="8" t="str">
        <f ca="1">IFERROR(__xludf.DUMMYFUNCTION("""COMPUTED_VALUE"""),"https://leetcode.com/problems/trapping-rain-water")</f>
        <v>https://leetcode.com/problems/trapping-rain-water</v>
      </c>
      <c r="D10" s="3" t="str">
        <f ca="1">IFERROR(__xludf.DUMMYFUNCTION("""COMPUTED_VALUE"""),"N")</f>
        <v>N</v>
      </c>
      <c r="E10" s="6">
        <f ca="1">IFERROR(__xludf.DUMMYFUNCTION("""COMPUTED_VALUE"""),0.588)</f>
        <v>0.58799999999999997</v>
      </c>
      <c r="F10" s="3" t="str">
        <f ca="1">IFERROR(__xludf.DUMMYFUNCTION("""COMPUTED_VALUE"""),"Hard")</f>
        <v>Hard</v>
      </c>
      <c r="G10" s="3" t="str">
        <f ca="1">IFERROR(__xludf.DUMMYFUNCTION("""COMPUTED_VALUE"""),"60.6992%;")</f>
        <v>60.6992%;</v>
      </c>
    </row>
    <row r="11" spans="1:7" x14ac:dyDescent="0.2">
      <c r="A11" s="3">
        <f ca="1">IFERROR(__xludf.DUMMYFUNCTION("""COMPUTED_VALUE"""),51)</f>
        <v>51</v>
      </c>
      <c r="B11" s="4" t="str">
        <f ca="1">IFERROR(__xludf.DUMMYFUNCTION("""COMPUTED_VALUE"""),"N-Queens")</f>
        <v>N-Queens</v>
      </c>
      <c r="C11" s="8" t="str">
        <f ca="1">IFERROR(__xludf.DUMMYFUNCTION("""COMPUTED_VALUE"""),"https://leetcode.com/problems/n-queens")</f>
        <v>https://leetcode.com/problems/n-queens</v>
      </c>
      <c r="D11" s="3" t="str">
        <f ca="1">IFERROR(__xludf.DUMMYFUNCTION("""COMPUTED_VALUE"""),"N")</f>
        <v>N</v>
      </c>
      <c r="E11" s="6">
        <f ca="1">IFERROR(__xludf.DUMMYFUNCTION("""COMPUTED_VALUE"""),0.631)</f>
        <v>0.63100000000000001</v>
      </c>
      <c r="F11" s="3" t="str">
        <f ca="1">IFERROR(__xludf.DUMMYFUNCTION("""COMPUTED_VALUE"""),"Hard")</f>
        <v>Hard</v>
      </c>
      <c r="G11" s="3" t="str">
        <f ca="1">IFERROR(__xludf.DUMMYFUNCTION("""COMPUTED_VALUE"""),"19.3825%;")</f>
        <v>19.3825%;</v>
      </c>
    </row>
    <row r="12" spans="1:7" x14ac:dyDescent="0.2">
      <c r="A12" s="3">
        <f ca="1">IFERROR(__xludf.DUMMYFUNCTION("""COMPUTED_VALUE"""),60)</f>
        <v>60</v>
      </c>
      <c r="B12" s="4" t="str">
        <f ca="1">IFERROR(__xludf.DUMMYFUNCTION("""COMPUTED_VALUE"""),"Permutation Sequence")</f>
        <v>Permutation Sequence</v>
      </c>
      <c r="C12" s="8" t="str">
        <f ca="1">IFERROR(__xludf.DUMMYFUNCTION("""COMPUTED_VALUE"""),"https://leetcode.com/problems/permutation-sequence")</f>
        <v>https://leetcode.com/problems/permutation-sequence</v>
      </c>
      <c r="D12" s="3" t="str">
        <f ca="1">IFERROR(__xludf.DUMMYFUNCTION("""COMPUTED_VALUE"""),"N")</f>
        <v>N</v>
      </c>
      <c r="E12" s="6">
        <f ca="1">IFERROR(__xludf.DUMMYFUNCTION("""COMPUTED_VALUE"""),0.438)</f>
        <v>0.438</v>
      </c>
      <c r="F12" s="3" t="str">
        <f ca="1">IFERROR(__xludf.DUMMYFUNCTION("""COMPUTED_VALUE"""),"Hard")</f>
        <v>Hard</v>
      </c>
      <c r="G12" s="3" t="str">
        <f ca="1">IFERROR(__xludf.DUMMYFUNCTION("""COMPUTED_VALUE"""),"12.4362%;")</f>
        <v>12.4362%;</v>
      </c>
    </row>
    <row r="13" spans="1:7" x14ac:dyDescent="0.2">
      <c r="A13" s="3">
        <f ca="1">IFERROR(__xludf.DUMMYFUNCTION("""COMPUTED_VALUE"""),65)</f>
        <v>65</v>
      </c>
      <c r="B13" s="4" t="str">
        <f ca="1">IFERROR(__xludf.DUMMYFUNCTION("""COMPUTED_VALUE"""),"Valid Number")</f>
        <v>Valid Number</v>
      </c>
      <c r="C13" s="8" t="str">
        <f ca="1">IFERROR(__xludf.DUMMYFUNCTION("""COMPUTED_VALUE"""),"https://leetcode.com/problems/valid-number")</f>
        <v>https://leetcode.com/problems/valid-number</v>
      </c>
      <c r="D13" s="3" t="str">
        <f ca="1">IFERROR(__xludf.DUMMYFUNCTION("""COMPUTED_VALUE"""),"N")</f>
        <v>N</v>
      </c>
      <c r="E13" s="6">
        <f ca="1">IFERROR(__xludf.DUMMYFUNCTION("""COMPUTED_VALUE"""),0.186)</f>
        <v>0.186</v>
      </c>
      <c r="F13" s="3" t="str">
        <f ca="1">IFERROR(__xludf.DUMMYFUNCTION("""COMPUTED_VALUE"""),"Hard")</f>
        <v>Hard</v>
      </c>
      <c r="G13" s="3" t="str">
        <f ca="1">IFERROR(__xludf.DUMMYFUNCTION("""COMPUTED_VALUE"""),"5.22551%;")</f>
        <v>5.22551%;</v>
      </c>
    </row>
    <row r="14" spans="1:7" x14ac:dyDescent="0.2">
      <c r="A14" s="3">
        <f ca="1">IFERROR(__xludf.DUMMYFUNCTION("""COMPUTED_VALUE"""),72)</f>
        <v>72</v>
      </c>
      <c r="B14" s="4" t="str">
        <f ca="1">IFERROR(__xludf.DUMMYFUNCTION("""COMPUTED_VALUE"""),"Edit Distance")</f>
        <v>Edit Distance</v>
      </c>
      <c r="C14" s="8" t="str">
        <f ca="1">IFERROR(__xludf.DUMMYFUNCTION("""COMPUTED_VALUE"""),"https://leetcode.com/problems/edit-distance")</f>
        <v>https://leetcode.com/problems/edit-distance</v>
      </c>
      <c r="D14" s="3" t="str">
        <f ca="1">IFERROR(__xludf.DUMMYFUNCTION("""COMPUTED_VALUE"""),"N")</f>
        <v>N</v>
      </c>
      <c r="E14" s="6">
        <f ca="1">IFERROR(__xludf.DUMMYFUNCTION("""COMPUTED_VALUE"""),0.527)</f>
        <v>0.52700000000000002</v>
      </c>
      <c r="F14" s="3" t="str">
        <f ca="1">IFERROR(__xludf.DUMMYFUNCTION("""COMPUTED_VALUE"""),"Hard")</f>
        <v>Hard</v>
      </c>
      <c r="G14" s="3" t="str">
        <f ca="1">IFERROR(__xludf.DUMMYFUNCTION("""COMPUTED_VALUE"""),"17.5074%;")</f>
        <v>17.5074%;</v>
      </c>
    </row>
    <row r="15" spans="1:7" x14ac:dyDescent="0.2">
      <c r="A15" s="3">
        <f ca="1">IFERROR(__xludf.DUMMYFUNCTION("""COMPUTED_VALUE"""),76)</f>
        <v>76</v>
      </c>
      <c r="B15" s="4" t="str">
        <f ca="1">IFERROR(__xludf.DUMMYFUNCTION("""COMPUTED_VALUE"""),"Minimum Window Substring")</f>
        <v>Minimum Window Substring</v>
      </c>
      <c r="C15" s="8" t="str">
        <f ca="1">IFERROR(__xludf.DUMMYFUNCTION("""COMPUTED_VALUE"""),"https://leetcode.com/problems/minimum-window-substring")</f>
        <v>https://leetcode.com/problems/minimum-window-substring</v>
      </c>
      <c r="D15" s="3" t="str">
        <f ca="1">IFERROR(__xludf.DUMMYFUNCTION("""COMPUTED_VALUE"""),"N")</f>
        <v>N</v>
      </c>
      <c r="E15" s="6">
        <f ca="1">IFERROR(__xludf.DUMMYFUNCTION("""COMPUTED_VALUE"""),0.407)</f>
        <v>0.40699999999999997</v>
      </c>
      <c r="F15" s="3" t="str">
        <f ca="1">IFERROR(__xludf.DUMMYFUNCTION("""COMPUTED_VALUE"""),"Hard")</f>
        <v>Hard</v>
      </c>
      <c r="G15" s="3" t="str">
        <f ca="1">IFERROR(__xludf.DUMMYFUNCTION("""COMPUTED_VALUE"""),"33.5563%;")</f>
        <v>33.5563%;</v>
      </c>
    </row>
    <row r="16" spans="1:7" x14ac:dyDescent="0.2">
      <c r="A16" s="3">
        <f ca="1">IFERROR(__xludf.DUMMYFUNCTION("""COMPUTED_VALUE"""),84)</f>
        <v>84</v>
      </c>
      <c r="B16" s="4" t="str">
        <f ca="1">IFERROR(__xludf.DUMMYFUNCTION("""COMPUTED_VALUE"""),"Largest Rectangle in Histogram")</f>
        <v>Largest Rectangle in Histogram</v>
      </c>
      <c r="C16" s="8" t="str">
        <f ca="1">IFERROR(__xludf.DUMMYFUNCTION("""COMPUTED_VALUE"""),"https://leetcode.com/problems/largest-rectangle-in-histogram")</f>
        <v>https://leetcode.com/problems/largest-rectangle-in-histogram</v>
      </c>
      <c r="D16" s="3" t="str">
        <f ca="1">IFERROR(__xludf.DUMMYFUNCTION("""COMPUTED_VALUE"""),"N")</f>
        <v>N</v>
      </c>
      <c r="E16" s="6">
        <f ca="1">IFERROR(__xludf.DUMMYFUNCTION("""COMPUTED_VALUE"""),0.422)</f>
        <v>0.42199999999999999</v>
      </c>
      <c r="F16" s="3" t="str">
        <f ca="1">IFERROR(__xludf.DUMMYFUNCTION("""COMPUTED_VALUE"""),"Hard")</f>
        <v>Hard</v>
      </c>
      <c r="G16" s="3" t="str">
        <f ca="1">IFERROR(__xludf.DUMMYFUNCTION("""COMPUTED_VALUE"""),"34.8942%;")</f>
        <v>34.8942%;</v>
      </c>
    </row>
    <row r="17" spans="1:7" x14ac:dyDescent="0.2">
      <c r="A17" s="3">
        <f ca="1">IFERROR(__xludf.DUMMYFUNCTION("""COMPUTED_VALUE"""),85)</f>
        <v>85</v>
      </c>
      <c r="B17" s="4" t="str">
        <f ca="1">IFERROR(__xludf.DUMMYFUNCTION("""COMPUTED_VALUE"""),"Maximal Rectangle")</f>
        <v>Maximal Rectangle</v>
      </c>
      <c r="C17" s="8" t="str">
        <f ca="1">IFERROR(__xludf.DUMMYFUNCTION("""COMPUTED_VALUE"""),"https://leetcode.com/problems/maximal-rectangle")</f>
        <v>https://leetcode.com/problems/maximal-rectangle</v>
      </c>
      <c r="D17" s="3" t="str">
        <f ca="1">IFERROR(__xludf.DUMMYFUNCTION("""COMPUTED_VALUE"""),"N")</f>
        <v>N</v>
      </c>
      <c r="E17" s="6">
        <f ca="1">IFERROR(__xludf.DUMMYFUNCTION("""COMPUTED_VALUE"""),0.442)</f>
        <v>0.442</v>
      </c>
      <c r="F17" s="3" t="str">
        <f ca="1">IFERROR(__xludf.DUMMYFUNCTION("""COMPUTED_VALUE"""),"Hard")</f>
        <v>Hard</v>
      </c>
      <c r="G17" s="3" t="str">
        <f ca="1">IFERROR(__xludf.DUMMYFUNCTION("""COMPUTED_VALUE"""),"18.9959%;")</f>
        <v>18.9959%;</v>
      </c>
    </row>
    <row r="18" spans="1:7" x14ac:dyDescent="0.2">
      <c r="A18" s="3">
        <f ca="1">IFERROR(__xludf.DUMMYFUNCTION("""COMPUTED_VALUE"""),123)</f>
        <v>123</v>
      </c>
      <c r="B18" s="4" t="str">
        <f ca="1">IFERROR(__xludf.DUMMYFUNCTION("""COMPUTED_VALUE"""),"Best Time to Buy and Sell Stock III")</f>
        <v>Best Time to Buy and Sell Stock III</v>
      </c>
      <c r="C18" s="8" t="str">
        <f ca="1">IFERROR(__xludf.DUMMYFUNCTION("""COMPUTED_VALUE"""),"https://leetcode.com/problems/best-time-to-buy-and-sell-stock-iii")</f>
        <v>https://leetcode.com/problems/best-time-to-buy-and-sell-stock-iii</v>
      </c>
      <c r="D18" s="3" t="str">
        <f ca="1">IFERROR(__xludf.DUMMYFUNCTION("""COMPUTED_VALUE"""),"N")</f>
        <v>N</v>
      </c>
      <c r="E18" s="6">
        <f ca="1">IFERROR(__xludf.DUMMYFUNCTION("""COMPUTED_VALUE"""),0.449)</f>
        <v>0.44900000000000001</v>
      </c>
      <c r="F18" s="3" t="str">
        <f ca="1">IFERROR(__xludf.DUMMYFUNCTION("""COMPUTED_VALUE"""),"Hard")</f>
        <v>Hard</v>
      </c>
      <c r="G18" s="3" t="str">
        <f ca="1">IFERROR(__xludf.DUMMYFUNCTION("""COMPUTED_VALUE"""),"21.9623%;")</f>
        <v>21.9623%;</v>
      </c>
    </row>
    <row r="19" spans="1:7" x14ac:dyDescent="0.2">
      <c r="A19" s="3">
        <f ca="1">IFERROR(__xludf.DUMMYFUNCTION("""COMPUTED_VALUE"""),124)</f>
        <v>124</v>
      </c>
      <c r="B19" s="4" t="str">
        <f ca="1">IFERROR(__xludf.DUMMYFUNCTION("""COMPUTED_VALUE"""),"Binary Tree Maximum Path Sum")</f>
        <v>Binary Tree Maximum Path Sum</v>
      </c>
      <c r="C19" s="8" t="str">
        <f ca="1">IFERROR(__xludf.DUMMYFUNCTION("""COMPUTED_VALUE"""),"https://leetcode.com/problems/binary-tree-maximum-path-sum")</f>
        <v>https://leetcode.com/problems/binary-tree-maximum-path-sum</v>
      </c>
      <c r="D19" s="3" t="str">
        <f ca="1">IFERROR(__xludf.DUMMYFUNCTION("""COMPUTED_VALUE"""),"N")</f>
        <v>N</v>
      </c>
      <c r="E19" s="6">
        <f ca="1">IFERROR(__xludf.DUMMYFUNCTION("""COMPUTED_VALUE"""),0.385)</f>
        <v>0.38500000000000001</v>
      </c>
      <c r="F19" s="3" t="str">
        <f ca="1">IFERROR(__xludf.DUMMYFUNCTION("""COMPUTED_VALUE"""),"Hard")</f>
        <v>Hard</v>
      </c>
      <c r="G19" s="3" t="str">
        <f ca="1">IFERROR(__xludf.DUMMYFUNCTION("""COMPUTED_VALUE"""),"10.6127%;")</f>
        <v>10.6127%;</v>
      </c>
    </row>
    <row r="20" spans="1:7" x14ac:dyDescent="0.2">
      <c r="A20" s="3">
        <f ca="1">IFERROR(__xludf.DUMMYFUNCTION("""COMPUTED_VALUE"""),126)</f>
        <v>126</v>
      </c>
      <c r="B20" s="4" t="str">
        <f ca="1">IFERROR(__xludf.DUMMYFUNCTION("""COMPUTED_VALUE"""),"Word Ladder II")</f>
        <v>Word Ladder II</v>
      </c>
      <c r="C20" s="8" t="str">
        <f ca="1">IFERROR(__xludf.DUMMYFUNCTION("""COMPUTED_VALUE"""),"https://leetcode.com/problems/word-ladder-ii")</f>
        <v>https://leetcode.com/problems/word-ladder-ii</v>
      </c>
      <c r="D20" s="3" t="str">
        <f ca="1">IFERROR(__xludf.DUMMYFUNCTION("""COMPUTED_VALUE"""),"N")</f>
        <v>N</v>
      </c>
      <c r="E20" s="6">
        <f ca="1">IFERROR(__xludf.DUMMYFUNCTION("""COMPUTED_VALUE"""),0.276)</f>
        <v>0.27600000000000002</v>
      </c>
      <c r="F20" s="3" t="str">
        <f ca="1">IFERROR(__xludf.DUMMYFUNCTION("""COMPUTED_VALUE"""),"Hard")</f>
        <v>Hard</v>
      </c>
      <c r="G20" s="3" t="str">
        <f ca="1">IFERROR(__xludf.DUMMYFUNCTION("""COMPUTED_VALUE"""),"45.6066%;")</f>
        <v>45.6066%;</v>
      </c>
    </row>
    <row r="21" spans="1:7" x14ac:dyDescent="0.2">
      <c r="A21" s="3">
        <f ca="1">IFERROR(__xludf.DUMMYFUNCTION("""COMPUTED_VALUE"""),127)</f>
        <v>127</v>
      </c>
      <c r="B21" s="4" t="str">
        <f ca="1">IFERROR(__xludf.DUMMYFUNCTION("""COMPUTED_VALUE"""),"Word Ladder")</f>
        <v>Word Ladder</v>
      </c>
      <c r="C21" s="8" t="str">
        <f ca="1">IFERROR(__xludf.DUMMYFUNCTION("""COMPUTED_VALUE"""),"https://leetcode.com/problems/word-ladder")</f>
        <v>https://leetcode.com/problems/word-ladder</v>
      </c>
      <c r="D21" s="3" t="str">
        <f ca="1">IFERROR(__xludf.DUMMYFUNCTION("""COMPUTED_VALUE"""),"N")</f>
        <v>N</v>
      </c>
      <c r="E21" s="6">
        <f ca="1">IFERROR(__xludf.DUMMYFUNCTION("""COMPUTED_VALUE"""),0.367)</f>
        <v>0.36699999999999999</v>
      </c>
      <c r="F21" s="3" t="str">
        <f ca="1">IFERROR(__xludf.DUMMYFUNCTION("""COMPUTED_VALUE"""),"Hard")</f>
        <v>Hard</v>
      </c>
      <c r="G21" s="3" t="str">
        <f ca="1">IFERROR(__xludf.DUMMYFUNCTION("""COMPUTED_VALUE"""),"67.7724%;")</f>
        <v>67.7724%;</v>
      </c>
    </row>
    <row r="22" spans="1:7" x14ac:dyDescent="0.2">
      <c r="A22" s="3">
        <f ca="1">IFERROR(__xludf.DUMMYFUNCTION("""COMPUTED_VALUE"""),132)</f>
        <v>132</v>
      </c>
      <c r="B22" s="4" t="str">
        <f ca="1">IFERROR(__xludf.DUMMYFUNCTION("""COMPUTED_VALUE"""),"Palindrome Partitioning II")</f>
        <v>Palindrome Partitioning II</v>
      </c>
      <c r="C22" s="8" t="str">
        <f ca="1">IFERROR(__xludf.DUMMYFUNCTION("""COMPUTED_VALUE"""),"https://leetcode.com/problems/palindrome-partitioning-ii")</f>
        <v>https://leetcode.com/problems/palindrome-partitioning-ii</v>
      </c>
      <c r="D22" s="3" t="str">
        <f ca="1">IFERROR(__xludf.DUMMYFUNCTION("""COMPUTED_VALUE"""),"N")</f>
        <v>N</v>
      </c>
      <c r="E22" s="6">
        <f ca="1">IFERROR(__xludf.DUMMYFUNCTION("""COMPUTED_VALUE"""),0.336)</f>
        <v>0.33600000000000002</v>
      </c>
      <c r="F22" s="3" t="str">
        <f ca="1">IFERROR(__xludf.DUMMYFUNCTION("""COMPUTED_VALUE"""),"Hard")</f>
        <v>Hard</v>
      </c>
      <c r="G22" s="3" t="str">
        <f ca="1">IFERROR(__xludf.DUMMYFUNCTION("""COMPUTED_VALUE"""),"4.75731%;")</f>
        <v>4.75731%;</v>
      </c>
    </row>
    <row r="23" spans="1:7" x14ac:dyDescent="0.2">
      <c r="A23" s="3">
        <f ca="1">IFERROR(__xludf.DUMMYFUNCTION("""COMPUTED_VALUE"""),135)</f>
        <v>135</v>
      </c>
      <c r="B23" s="4" t="str">
        <f ca="1">IFERROR(__xludf.DUMMYFUNCTION("""COMPUTED_VALUE"""),"Candy")</f>
        <v>Candy</v>
      </c>
      <c r="C23" s="8" t="str">
        <f ca="1">IFERROR(__xludf.DUMMYFUNCTION("""COMPUTED_VALUE"""),"https://leetcode.com/problems/candy")</f>
        <v>https://leetcode.com/problems/candy</v>
      </c>
      <c r="D23" s="3" t="str">
        <f ca="1">IFERROR(__xludf.DUMMYFUNCTION("""COMPUTED_VALUE"""),"N")</f>
        <v>N</v>
      </c>
      <c r="E23" s="6">
        <f ca="1">IFERROR(__xludf.DUMMYFUNCTION("""COMPUTED_VALUE"""),0.408)</f>
        <v>0.40799999999999997</v>
      </c>
      <c r="F23" s="3" t="str">
        <f ca="1">IFERROR(__xludf.DUMMYFUNCTION("""COMPUTED_VALUE"""),"Hard")</f>
        <v>Hard</v>
      </c>
      <c r="G23" s="3" t="str">
        <f ca="1">IFERROR(__xludf.DUMMYFUNCTION("""COMPUTED_VALUE"""),"47.8847%;")</f>
        <v>47.8847%;</v>
      </c>
    </row>
    <row r="24" spans="1:7" x14ac:dyDescent="0.2">
      <c r="A24" s="3">
        <f ca="1">IFERROR(__xludf.DUMMYFUNCTION("""COMPUTED_VALUE"""),140)</f>
        <v>140</v>
      </c>
      <c r="B24" s="4" t="str">
        <f ca="1">IFERROR(__xludf.DUMMYFUNCTION("""COMPUTED_VALUE"""),"Word Break II")</f>
        <v>Word Break II</v>
      </c>
      <c r="C24" s="8" t="str">
        <f ca="1">IFERROR(__xludf.DUMMYFUNCTION("""COMPUTED_VALUE"""),"https://leetcode.com/problems/word-break-ii")</f>
        <v>https://leetcode.com/problems/word-break-ii</v>
      </c>
      <c r="D24" s="3" t="str">
        <f ca="1">IFERROR(__xludf.DUMMYFUNCTION("""COMPUTED_VALUE"""),"N")</f>
        <v>N</v>
      </c>
      <c r="E24" s="6">
        <f ca="1">IFERROR(__xludf.DUMMYFUNCTION("""COMPUTED_VALUE"""),0.446)</f>
        <v>0.44600000000000001</v>
      </c>
      <c r="F24" s="3" t="str">
        <f ca="1">IFERROR(__xludf.DUMMYFUNCTION("""COMPUTED_VALUE"""),"Hard")</f>
        <v>Hard</v>
      </c>
      <c r="G24" s="3" t="str">
        <f ca="1">IFERROR(__xludf.DUMMYFUNCTION("""COMPUTED_VALUE"""),"59.804%;")</f>
        <v>59.804%;</v>
      </c>
    </row>
    <row r="25" spans="1:7" x14ac:dyDescent="0.2">
      <c r="A25" s="3">
        <f ca="1">IFERROR(__xludf.DUMMYFUNCTION("""COMPUTED_VALUE"""),149)</f>
        <v>149</v>
      </c>
      <c r="B25" s="4" t="str">
        <f ca="1">IFERROR(__xludf.DUMMYFUNCTION("""COMPUTED_VALUE"""),"Max Points on a Line")</f>
        <v>Max Points on a Line</v>
      </c>
      <c r="C25" s="8" t="str">
        <f ca="1">IFERROR(__xludf.DUMMYFUNCTION("""COMPUTED_VALUE"""),"https://leetcode.com/problems/max-points-on-a-line")</f>
        <v>https://leetcode.com/problems/max-points-on-a-line</v>
      </c>
      <c r="D25" s="3" t="str">
        <f ca="1">IFERROR(__xludf.DUMMYFUNCTION("""COMPUTED_VALUE"""),"N")</f>
        <v>N</v>
      </c>
      <c r="E25" s="6">
        <f ca="1">IFERROR(__xludf.DUMMYFUNCTION("""COMPUTED_VALUE"""),0.218)</f>
        <v>0.218</v>
      </c>
      <c r="F25" s="3" t="str">
        <f ca="1">IFERROR(__xludf.DUMMYFUNCTION("""COMPUTED_VALUE"""),"Hard")</f>
        <v>Hard</v>
      </c>
      <c r="G25" s="3" t="str">
        <f ca="1">IFERROR(__xludf.DUMMYFUNCTION("""COMPUTED_VALUE"""),"20.8625%;")</f>
        <v>20.8625%;</v>
      </c>
    </row>
    <row r="26" spans="1:7" x14ac:dyDescent="0.2">
      <c r="A26" s="3">
        <f ca="1">IFERROR(__xludf.DUMMYFUNCTION("""COMPUTED_VALUE"""),185)</f>
        <v>185</v>
      </c>
      <c r="B26" s="4" t="str">
        <f ca="1">IFERROR(__xludf.DUMMYFUNCTION("""COMPUTED_VALUE"""),"Department Top Three Salaries")</f>
        <v>Department Top Three Salaries</v>
      </c>
      <c r="C26" s="8" t="str">
        <f ca="1">IFERROR(__xludf.DUMMYFUNCTION("""COMPUTED_VALUE"""),"https://leetcode.com/problems/department-top-three-salaries")</f>
        <v>https://leetcode.com/problems/department-top-three-salaries</v>
      </c>
      <c r="D26" s="3" t="str">
        <f ca="1">IFERROR(__xludf.DUMMYFUNCTION("""COMPUTED_VALUE"""),"N")</f>
        <v>N</v>
      </c>
      <c r="E26" s="6">
        <f ca="1">IFERROR(__xludf.DUMMYFUNCTION("""COMPUTED_VALUE"""),0.501)</f>
        <v>0.501</v>
      </c>
      <c r="F26" s="3" t="str">
        <f ca="1">IFERROR(__xludf.DUMMYFUNCTION("""COMPUTED_VALUE"""),"Hard")</f>
        <v>Hard</v>
      </c>
      <c r="G26" s="3" t="str">
        <f ca="1">IFERROR(__xludf.DUMMYFUNCTION("""COMPUTED_VALUE"""),"16.4829%;")</f>
        <v>16.4829%;</v>
      </c>
    </row>
    <row r="27" spans="1:7" x14ac:dyDescent="0.2">
      <c r="A27" s="3">
        <f ca="1">IFERROR(__xludf.DUMMYFUNCTION("""COMPUTED_VALUE"""),188)</f>
        <v>188</v>
      </c>
      <c r="B27" s="4" t="str">
        <f ca="1">IFERROR(__xludf.DUMMYFUNCTION("""COMPUTED_VALUE"""),"Best Time to Buy and Sell Stock IV")</f>
        <v>Best Time to Buy and Sell Stock IV</v>
      </c>
      <c r="C27" s="8" t="str">
        <f ca="1">IFERROR(__xludf.DUMMYFUNCTION("""COMPUTED_VALUE"""),"https://leetcode.com/problems/best-time-to-buy-and-sell-stock-iv")</f>
        <v>https://leetcode.com/problems/best-time-to-buy-and-sell-stock-iv</v>
      </c>
      <c r="D27" s="3" t="str">
        <f ca="1">IFERROR(__xludf.DUMMYFUNCTION("""COMPUTED_VALUE"""),"N")</f>
        <v>N</v>
      </c>
      <c r="E27" s="6">
        <f ca="1">IFERROR(__xludf.DUMMYFUNCTION("""COMPUTED_VALUE"""),0.38)</f>
        <v>0.38</v>
      </c>
      <c r="F27" s="3" t="str">
        <f ca="1">IFERROR(__xludf.DUMMYFUNCTION("""COMPUTED_VALUE"""),"Hard")</f>
        <v>Hard</v>
      </c>
      <c r="G27" s="3" t="str">
        <f ca="1">IFERROR(__xludf.DUMMYFUNCTION("""COMPUTED_VALUE"""),"23.6439%;")</f>
        <v>23.6439%;</v>
      </c>
    </row>
    <row r="28" spans="1:7" x14ac:dyDescent="0.2">
      <c r="A28" s="3">
        <f ca="1">IFERROR(__xludf.DUMMYFUNCTION("""COMPUTED_VALUE"""),212)</f>
        <v>212</v>
      </c>
      <c r="B28" s="4" t="str">
        <f ca="1">IFERROR(__xludf.DUMMYFUNCTION("""COMPUTED_VALUE"""),"Word Search II")</f>
        <v>Word Search II</v>
      </c>
      <c r="C28" s="8" t="str">
        <f ca="1">IFERROR(__xludf.DUMMYFUNCTION("""COMPUTED_VALUE"""),"https://leetcode.com/problems/word-search-ii")</f>
        <v>https://leetcode.com/problems/word-search-ii</v>
      </c>
      <c r="D28" s="3" t="str">
        <f ca="1">IFERROR(__xludf.DUMMYFUNCTION("""COMPUTED_VALUE"""),"N")</f>
        <v>N</v>
      </c>
      <c r="E28" s="6">
        <f ca="1">IFERROR(__xludf.DUMMYFUNCTION("""COMPUTED_VALUE"""),0.369)</f>
        <v>0.36899999999999999</v>
      </c>
      <c r="F28" s="3" t="str">
        <f ca="1">IFERROR(__xludf.DUMMYFUNCTION("""COMPUTED_VALUE"""),"Hard")</f>
        <v>Hard</v>
      </c>
      <c r="G28" s="3" t="str">
        <f ca="1">IFERROR(__xludf.DUMMYFUNCTION("""COMPUTED_VALUE"""),"42.8948%;")</f>
        <v>42.8948%;</v>
      </c>
    </row>
    <row r="29" spans="1:7" x14ac:dyDescent="0.2">
      <c r="A29" s="3">
        <f ca="1">IFERROR(__xludf.DUMMYFUNCTION("""COMPUTED_VALUE"""),218)</f>
        <v>218</v>
      </c>
      <c r="B29" s="4" t="str">
        <f ca="1">IFERROR(__xludf.DUMMYFUNCTION("""COMPUTED_VALUE"""),"The Skyline Problem")</f>
        <v>The Skyline Problem</v>
      </c>
      <c r="C29" s="8" t="str">
        <f ca="1">IFERROR(__xludf.DUMMYFUNCTION("""COMPUTED_VALUE"""),"https://leetcode.com/problems/the-skyline-problem")</f>
        <v>https://leetcode.com/problems/the-skyline-problem</v>
      </c>
      <c r="D29" s="3" t="str">
        <f ca="1">IFERROR(__xludf.DUMMYFUNCTION("""COMPUTED_VALUE"""),"N")</f>
        <v>N</v>
      </c>
      <c r="E29" s="6">
        <f ca="1">IFERROR(__xludf.DUMMYFUNCTION("""COMPUTED_VALUE"""),0.416)</f>
        <v>0.41599999999999998</v>
      </c>
      <c r="F29" s="3" t="str">
        <f ca="1">IFERROR(__xludf.DUMMYFUNCTION("""COMPUTED_VALUE"""),"Hard")</f>
        <v>Hard</v>
      </c>
      <c r="G29" s="3" t="str">
        <f ca="1">IFERROR(__xludf.DUMMYFUNCTION("""COMPUTED_VALUE"""),"6.16011%;")</f>
        <v>6.16011%;</v>
      </c>
    </row>
    <row r="30" spans="1:7" x14ac:dyDescent="0.2">
      <c r="A30" s="3">
        <f ca="1">IFERROR(__xludf.DUMMYFUNCTION("""COMPUTED_VALUE"""),220)</f>
        <v>220</v>
      </c>
      <c r="B30" s="4" t="str">
        <f ca="1">IFERROR(__xludf.DUMMYFUNCTION("""COMPUTED_VALUE"""),"Contains Duplicate III")</f>
        <v>Contains Duplicate III</v>
      </c>
      <c r="C30" s="8" t="str">
        <f ca="1">IFERROR(__xludf.DUMMYFUNCTION("""COMPUTED_VALUE"""),"https://leetcode.com/problems/contains-duplicate-iii")</f>
        <v>https://leetcode.com/problems/contains-duplicate-iii</v>
      </c>
      <c r="D30" s="3" t="str">
        <f ca="1">IFERROR(__xludf.DUMMYFUNCTION("""COMPUTED_VALUE"""),"N")</f>
        <v>N</v>
      </c>
      <c r="E30" s="6">
        <f ca="1">IFERROR(__xludf.DUMMYFUNCTION("""COMPUTED_VALUE"""),0.22)</f>
        <v>0.22</v>
      </c>
      <c r="F30" s="3" t="str">
        <f ca="1">IFERROR(__xludf.DUMMYFUNCTION("""COMPUTED_VALUE"""),"Hard")</f>
        <v>Hard</v>
      </c>
      <c r="G30" s="3" t="str">
        <f ca="1">IFERROR(__xludf.DUMMYFUNCTION("""COMPUTED_VALUE"""),"5.74849%;")</f>
        <v>5.74849%;</v>
      </c>
    </row>
    <row r="31" spans="1:7" x14ac:dyDescent="0.2">
      <c r="A31" s="3">
        <f ca="1">IFERROR(__xludf.DUMMYFUNCTION("""COMPUTED_VALUE"""),224)</f>
        <v>224</v>
      </c>
      <c r="B31" s="4" t="str">
        <f ca="1">IFERROR(__xludf.DUMMYFUNCTION("""COMPUTED_VALUE"""),"Basic Calculator")</f>
        <v>Basic Calculator</v>
      </c>
      <c r="C31" s="8" t="str">
        <f ca="1">IFERROR(__xludf.DUMMYFUNCTION("""COMPUTED_VALUE"""),"https://leetcode.com/problems/basic-calculator")</f>
        <v>https://leetcode.com/problems/basic-calculator</v>
      </c>
      <c r="D31" s="3" t="str">
        <f ca="1">IFERROR(__xludf.DUMMYFUNCTION("""COMPUTED_VALUE"""),"N")</f>
        <v>N</v>
      </c>
      <c r="E31" s="6">
        <f ca="1">IFERROR(__xludf.DUMMYFUNCTION("""COMPUTED_VALUE"""),0.412)</f>
        <v>0.41199999999999998</v>
      </c>
      <c r="F31" s="3" t="str">
        <f ca="1">IFERROR(__xludf.DUMMYFUNCTION("""COMPUTED_VALUE"""),"Hard")</f>
        <v>Hard</v>
      </c>
      <c r="G31" s="3" t="str">
        <f ca="1">IFERROR(__xludf.DUMMYFUNCTION("""COMPUTED_VALUE"""),"32.2893%;")</f>
        <v>32.2893%;</v>
      </c>
    </row>
    <row r="32" spans="1:7" x14ac:dyDescent="0.2">
      <c r="A32" s="3">
        <f ca="1">IFERROR(__xludf.DUMMYFUNCTION("""COMPUTED_VALUE"""),239)</f>
        <v>239</v>
      </c>
      <c r="B32" s="4" t="str">
        <f ca="1">IFERROR(__xludf.DUMMYFUNCTION("""COMPUTED_VALUE"""),"Sliding Window Maximum")</f>
        <v>Sliding Window Maximum</v>
      </c>
      <c r="C32" s="8" t="str">
        <f ca="1">IFERROR(__xludf.DUMMYFUNCTION("""COMPUTED_VALUE"""),"https://leetcode.com/problems/sliding-window-maximum")</f>
        <v>https://leetcode.com/problems/sliding-window-maximum</v>
      </c>
      <c r="D32" s="3" t="str">
        <f ca="1">IFERROR(__xludf.DUMMYFUNCTION("""COMPUTED_VALUE"""),"N")</f>
        <v>N</v>
      </c>
      <c r="E32" s="6">
        <f ca="1">IFERROR(__xludf.DUMMYFUNCTION("""COMPUTED_VALUE"""),0.466)</f>
        <v>0.46600000000000003</v>
      </c>
      <c r="F32" s="3" t="str">
        <f ca="1">IFERROR(__xludf.DUMMYFUNCTION("""COMPUTED_VALUE"""),"Hard")</f>
        <v>Hard</v>
      </c>
      <c r="G32" s="3" t="str">
        <f ca="1">IFERROR(__xludf.DUMMYFUNCTION("""COMPUTED_VALUE"""),"55.9204%;")</f>
        <v>55.9204%;</v>
      </c>
    </row>
    <row r="33" spans="1:7" x14ac:dyDescent="0.2">
      <c r="A33" s="3">
        <f ca="1">IFERROR(__xludf.DUMMYFUNCTION("""COMPUTED_VALUE"""),262)</f>
        <v>262</v>
      </c>
      <c r="B33" s="4" t="str">
        <f ca="1">IFERROR(__xludf.DUMMYFUNCTION("""COMPUTED_VALUE"""),"Trips and Users")</f>
        <v>Trips and Users</v>
      </c>
      <c r="C33" s="8" t="str">
        <f ca="1">IFERROR(__xludf.DUMMYFUNCTION("""COMPUTED_VALUE"""),"https://leetcode.com/problems/trips-and-users")</f>
        <v>https://leetcode.com/problems/trips-and-users</v>
      </c>
      <c r="D33" s="3" t="str">
        <f ca="1">IFERROR(__xludf.DUMMYFUNCTION("""COMPUTED_VALUE"""),"N")</f>
        <v>N</v>
      </c>
      <c r="E33" s="6">
        <f ca="1">IFERROR(__xludf.DUMMYFUNCTION("""COMPUTED_VALUE"""),0.384)</f>
        <v>0.38400000000000001</v>
      </c>
      <c r="F33" s="3" t="str">
        <f ca="1">IFERROR(__xludf.DUMMYFUNCTION("""COMPUTED_VALUE"""),"Hard")</f>
        <v>Hard</v>
      </c>
      <c r="G33" s="3" t="str">
        <f ca="1">IFERROR(__xludf.DUMMYFUNCTION("""COMPUTED_VALUE"""),"5.94712%;")</f>
        <v>5.94712%;</v>
      </c>
    </row>
    <row r="34" spans="1:7" x14ac:dyDescent="0.2">
      <c r="A34" s="3">
        <f ca="1">IFERROR(__xludf.DUMMYFUNCTION("""COMPUTED_VALUE"""),265)</f>
        <v>265</v>
      </c>
      <c r="B34" s="4" t="str">
        <f ca="1">IFERROR(__xludf.DUMMYFUNCTION("""COMPUTED_VALUE"""),"Paint House II")</f>
        <v>Paint House II</v>
      </c>
      <c r="C34" s="8" t="str">
        <f ca="1">IFERROR(__xludf.DUMMYFUNCTION("""COMPUTED_VALUE"""),"https://leetcode.com/problems/paint-house-ii")</f>
        <v>https://leetcode.com/problems/paint-house-ii</v>
      </c>
      <c r="D34" s="3" t="str">
        <f ca="1">IFERROR(__xludf.DUMMYFUNCTION("""COMPUTED_VALUE"""),"Y")</f>
        <v>Y</v>
      </c>
      <c r="E34" s="6">
        <f ca="1">IFERROR(__xludf.DUMMYFUNCTION("""COMPUTED_VALUE"""),0.524)</f>
        <v>0.52400000000000002</v>
      </c>
      <c r="F34" s="3" t="str">
        <f ca="1">IFERROR(__xludf.DUMMYFUNCTION("""COMPUTED_VALUE"""),"Hard")</f>
        <v>Hard</v>
      </c>
      <c r="G34" s="3" t="str">
        <f ca="1">IFERROR(__xludf.DUMMYFUNCTION("""COMPUTED_VALUE"""),"10.2126%;")</f>
        <v>10.2126%;</v>
      </c>
    </row>
    <row r="35" spans="1:7" x14ac:dyDescent="0.2">
      <c r="A35" s="3">
        <f ca="1">IFERROR(__xludf.DUMMYFUNCTION("""COMPUTED_VALUE"""),269)</f>
        <v>269</v>
      </c>
      <c r="B35" s="4" t="str">
        <f ca="1">IFERROR(__xludf.DUMMYFUNCTION("""COMPUTED_VALUE"""),"Alien Dictionary")</f>
        <v>Alien Dictionary</v>
      </c>
      <c r="C35" s="8" t="str">
        <f ca="1">IFERROR(__xludf.DUMMYFUNCTION("""COMPUTED_VALUE"""),"https://leetcode.com/problems/alien-dictionary")</f>
        <v>https://leetcode.com/problems/alien-dictionary</v>
      </c>
      <c r="D35" s="3" t="str">
        <f ca="1">IFERROR(__xludf.DUMMYFUNCTION("""COMPUTED_VALUE"""),"Y")</f>
        <v>Y</v>
      </c>
      <c r="E35" s="6">
        <f ca="1">IFERROR(__xludf.DUMMYFUNCTION("""COMPUTED_VALUE"""),0.353)</f>
        <v>0.35299999999999998</v>
      </c>
      <c r="F35" s="3" t="str">
        <f ca="1">IFERROR(__xludf.DUMMYFUNCTION("""COMPUTED_VALUE"""),"Hard")</f>
        <v>Hard</v>
      </c>
      <c r="G35" s="3" t="str">
        <f ca="1">IFERROR(__xludf.DUMMYFUNCTION("""COMPUTED_VALUE"""),"20.2765%;")</f>
        <v>20.2765%;</v>
      </c>
    </row>
    <row r="36" spans="1:7" x14ac:dyDescent="0.2">
      <c r="A36" s="3">
        <f ca="1">IFERROR(__xludf.DUMMYFUNCTION("""COMPUTED_VALUE"""),273)</f>
        <v>273</v>
      </c>
      <c r="B36" s="4" t="str">
        <f ca="1">IFERROR(__xludf.DUMMYFUNCTION("""COMPUTED_VALUE"""),"Integer to English Words")</f>
        <v>Integer to English Words</v>
      </c>
      <c r="C36" s="8" t="str">
        <f ca="1">IFERROR(__xludf.DUMMYFUNCTION("""COMPUTED_VALUE"""),"https://leetcode.com/problems/integer-to-english-words")</f>
        <v>https://leetcode.com/problems/integer-to-english-words</v>
      </c>
      <c r="D36" s="3" t="str">
        <f ca="1">IFERROR(__xludf.DUMMYFUNCTION("""COMPUTED_VALUE"""),"N")</f>
        <v>N</v>
      </c>
      <c r="E36" s="6">
        <f ca="1">IFERROR(__xludf.DUMMYFUNCTION("""COMPUTED_VALUE"""),0.299)</f>
        <v>0.29899999999999999</v>
      </c>
      <c r="F36" s="3" t="str">
        <f ca="1">IFERROR(__xludf.DUMMYFUNCTION("""COMPUTED_VALUE"""),"Hard")</f>
        <v>Hard</v>
      </c>
      <c r="G36" s="3" t="str">
        <f ca="1">IFERROR(__xludf.DUMMYFUNCTION("""COMPUTED_VALUE"""),"73.0024%;")</f>
        <v>73.0024%;</v>
      </c>
    </row>
    <row r="37" spans="1:7" x14ac:dyDescent="0.2">
      <c r="A37" s="3">
        <f ca="1">IFERROR(__xludf.DUMMYFUNCTION("""COMPUTED_VALUE"""),295)</f>
        <v>295</v>
      </c>
      <c r="B37" s="4" t="str">
        <f ca="1">IFERROR(__xludf.DUMMYFUNCTION("""COMPUTED_VALUE"""),"Find Median from Data Stream")</f>
        <v>Find Median from Data Stream</v>
      </c>
      <c r="C37" s="8" t="str">
        <f ca="1">IFERROR(__xludf.DUMMYFUNCTION("""COMPUTED_VALUE"""),"https://leetcode.com/problems/find-median-from-data-stream")</f>
        <v>https://leetcode.com/problems/find-median-from-data-stream</v>
      </c>
      <c r="D37" s="3" t="str">
        <f ca="1">IFERROR(__xludf.DUMMYFUNCTION("""COMPUTED_VALUE"""),"N")</f>
        <v>N</v>
      </c>
      <c r="E37" s="6">
        <f ca="1">IFERROR(__xludf.DUMMYFUNCTION("""COMPUTED_VALUE"""),0.515)</f>
        <v>0.51500000000000001</v>
      </c>
      <c r="F37" s="3" t="str">
        <f ca="1">IFERROR(__xludf.DUMMYFUNCTION("""COMPUTED_VALUE"""),"Hard")</f>
        <v>Hard</v>
      </c>
      <c r="G37" s="3" t="str">
        <f ca="1">IFERROR(__xludf.DUMMYFUNCTION("""COMPUTED_VALUE"""),"51.8142%;")</f>
        <v>51.8142%;</v>
      </c>
    </row>
    <row r="38" spans="1:7" x14ac:dyDescent="0.2">
      <c r="A38" s="3">
        <f ca="1">IFERROR(__xludf.DUMMYFUNCTION("""COMPUTED_VALUE"""),297)</f>
        <v>297</v>
      </c>
      <c r="B38" s="4" t="str">
        <f ca="1">IFERROR(__xludf.DUMMYFUNCTION("""COMPUTED_VALUE"""),"Serialize and Deserialize Binary Tree")</f>
        <v>Serialize and Deserialize Binary Tree</v>
      </c>
      <c r="C38" s="8" t="str">
        <f ca="1">IFERROR(__xludf.DUMMYFUNCTION("""COMPUTED_VALUE"""),"https://leetcode.com/problems/serialize-and-deserialize-binary-tree")</f>
        <v>https://leetcode.com/problems/serialize-and-deserialize-binary-tree</v>
      </c>
      <c r="D38" s="3" t="str">
        <f ca="1">IFERROR(__xludf.DUMMYFUNCTION("""COMPUTED_VALUE"""),"N")</f>
        <v>N</v>
      </c>
      <c r="E38" s="6">
        <f ca="1">IFERROR(__xludf.DUMMYFUNCTION("""COMPUTED_VALUE"""),0.55)</f>
        <v>0.55000000000000004</v>
      </c>
      <c r="F38" s="3" t="str">
        <f ca="1">IFERROR(__xludf.DUMMYFUNCTION("""COMPUTED_VALUE"""),"Hard")</f>
        <v>Hard</v>
      </c>
      <c r="G38" s="3" t="str">
        <f ca="1">IFERROR(__xludf.DUMMYFUNCTION("""COMPUTED_VALUE"""),"44.9716%;")</f>
        <v>44.9716%;</v>
      </c>
    </row>
    <row r="39" spans="1:7" x14ac:dyDescent="0.2">
      <c r="A39" s="3">
        <f ca="1">IFERROR(__xludf.DUMMYFUNCTION("""COMPUTED_VALUE"""),301)</f>
        <v>301</v>
      </c>
      <c r="B39" s="4" t="str">
        <f ca="1">IFERROR(__xludf.DUMMYFUNCTION("""COMPUTED_VALUE"""),"Remove Invalid Parentheses")</f>
        <v>Remove Invalid Parentheses</v>
      </c>
      <c r="C39" s="8" t="str">
        <f ca="1">IFERROR(__xludf.DUMMYFUNCTION("""COMPUTED_VALUE"""),"https://leetcode.com/problems/remove-invalid-parentheses")</f>
        <v>https://leetcode.com/problems/remove-invalid-parentheses</v>
      </c>
      <c r="D39" s="3" t="str">
        <f ca="1">IFERROR(__xludf.DUMMYFUNCTION("""COMPUTED_VALUE"""),"N")</f>
        <v>N</v>
      </c>
      <c r="E39" s="6">
        <f ca="1">IFERROR(__xludf.DUMMYFUNCTION("""COMPUTED_VALUE"""),0.471)</f>
        <v>0.47099999999999997</v>
      </c>
      <c r="F39" s="3" t="str">
        <f ca="1">IFERROR(__xludf.DUMMYFUNCTION("""COMPUTED_VALUE"""),"Hard")</f>
        <v>Hard</v>
      </c>
      <c r="G39" s="3" t="str">
        <f ca="1">IFERROR(__xludf.DUMMYFUNCTION("""COMPUTED_VALUE"""),"8.33243%;")</f>
        <v>8.33243%;</v>
      </c>
    </row>
    <row r="40" spans="1:7" x14ac:dyDescent="0.2">
      <c r="A40" s="3">
        <f ca="1">IFERROR(__xludf.DUMMYFUNCTION("""COMPUTED_VALUE"""),305)</f>
        <v>305</v>
      </c>
      <c r="B40" s="4" t="str">
        <f ca="1">IFERROR(__xludf.DUMMYFUNCTION("""COMPUTED_VALUE"""),"Number of Islands II")</f>
        <v>Number of Islands II</v>
      </c>
      <c r="C40" s="8" t="str">
        <f ca="1">IFERROR(__xludf.DUMMYFUNCTION("""COMPUTED_VALUE"""),"https://leetcode.com/problems/number-of-islands-ii")</f>
        <v>https://leetcode.com/problems/number-of-islands-ii</v>
      </c>
      <c r="D40" s="3" t="str">
        <f ca="1">IFERROR(__xludf.DUMMYFUNCTION("""COMPUTED_VALUE"""),"Y")</f>
        <v>Y</v>
      </c>
      <c r="E40" s="6">
        <f ca="1">IFERROR(__xludf.DUMMYFUNCTION("""COMPUTED_VALUE"""),0.394)</f>
        <v>0.39400000000000002</v>
      </c>
      <c r="F40" s="3" t="str">
        <f ca="1">IFERROR(__xludf.DUMMYFUNCTION("""COMPUTED_VALUE"""),"Hard")</f>
        <v>Hard</v>
      </c>
      <c r="G40" s="3" t="str">
        <f ca="1">IFERROR(__xludf.DUMMYFUNCTION("""COMPUTED_VALUE"""),"14.7215%;")</f>
        <v>14.7215%;</v>
      </c>
    </row>
    <row r="41" spans="1:7" x14ac:dyDescent="0.2">
      <c r="A41" s="3">
        <f ca="1">IFERROR(__xludf.DUMMYFUNCTION("""COMPUTED_VALUE"""),315)</f>
        <v>315</v>
      </c>
      <c r="B41" s="4" t="str">
        <f ca="1">IFERROR(__xludf.DUMMYFUNCTION("""COMPUTED_VALUE"""),"Count of Smaller Numbers After Self")</f>
        <v>Count of Smaller Numbers After Self</v>
      </c>
      <c r="C41" s="8" t="str">
        <f ca="1">IFERROR(__xludf.DUMMYFUNCTION("""COMPUTED_VALUE"""),"https://leetcode.com/problems/count-of-smaller-numbers-after-self")</f>
        <v>https://leetcode.com/problems/count-of-smaller-numbers-after-self</v>
      </c>
      <c r="D41" s="3" t="str">
        <f ca="1">IFERROR(__xludf.DUMMYFUNCTION("""COMPUTED_VALUE"""),"N")</f>
        <v>N</v>
      </c>
      <c r="E41" s="6">
        <f ca="1">IFERROR(__xludf.DUMMYFUNCTION("""COMPUTED_VALUE"""),0.428)</f>
        <v>0.42799999999999999</v>
      </c>
      <c r="F41" s="3" t="str">
        <f ca="1">IFERROR(__xludf.DUMMYFUNCTION("""COMPUTED_VALUE"""),"Hard")</f>
        <v>Hard</v>
      </c>
      <c r="G41" s="3" t="str">
        <f ca="1">IFERROR(__xludf.DUMMYFUNCTION("""COMPUTED_VALUE"""),"7.87321%;")</f>
        <v>7.87321%;</v>
      </c>
    </row>
    <row r="42" spans="1:7" x14ac:dyDescent="0.2">
      <c r="A42" s="3">
        <f ca="1">IFERROR(__xludf.DUMMYFUNCTION("""COMPUTED_VALUE"""),329)</f>
        <v>329</v>
      </c>
      <c r="B42" s="4" t="str">
        <f ca="1">IFERROR(__xludf.DUMMYFUNCTION("""COMPUTED_VALUE"""),"Longest Increasing Path in a Matrix")</f>
        <v>Longest Increasing Path in a Matrix</v>
      </c>
      <c r="C42" s="8" t="str">
        <f ca="1">IFERROR(__xludf.DUMMYFUNCTION("""COMPUTED_VALUE"""),"https://leetcode.com/problems/longest-increasing-path-in-a-matrix")</f>
        <v>https://leetcode.com/problems/longest-increasing-path-in-a-matrix</v>
      </c>
      <c r="D42" s="3" t="str">
        <f ca="1">IFERROR(__xludf.DUMMYFUNCTION("""COMPUTED_VALUE"""),"N")</f>
        <v>N</v>
      </c>
      <c r="E42" s="6">
        <f ca="1">IFERROR(__xludf.DUMMYFUNCTION("""COMPUTED_VALUE"""),0.522)</f>
        <v>0.52200000000000002</v>
      </c>
      <c r="F42" s="3" t="str">
        <f ca="1">IFERROR(__xludf.DUMMYFUNCTION("""COMPUTED_VALUE"""),"Hard")</f>
        <v>Hard</v>
      </c>
      <c r="G42" s="3" t="str">
        <f ca="1">IFERROR(__xludf.DUMMYFUNCTION("""COMPUTED_VALUE"""),"21.0655%;")</f>
        <v>21.0655%;</v>
      </c>
    </row>
    <row r="43" spans="1:7" x14ac:dyDescent="0.2">
      <c r="A43" s="3">
        <f ca="1">IFERROR(__xludf.DUMMYFUNCTION("""COMPUTED_VALUE"""),332)</f>
        <v>332</v>
      </c>
      <c r="B43" s="4" t="str">
        <f ca="1">IFERROR(__xludf.DUMMYFUNCTION("""COMPUTED_VALUE"""),"Reconstruct Itinerary")</f>
        <v>Reconstruct Itinerary</v>
      </c>
      <c r="C43" s="8" t="str">
        <f ca="1">IFERROR(__xludf.DUMMYFUNCTION("""COMPUTED_VALUE"""),"https://leetcode.com/problems/reconstruct-itinerary")</f>
        <v>https://leetcode.com/problems/reconstruct-itinerary</v>
      </c>
      <c r="D43" s="3" t="str">
        <f ca="1">IFERROR(__xludf.DUMMYFUNCTION("""COMPUTED_VALUE"""),"N")</f>
        <v>N</v>
      </c>
      <c r="E43" s="6">
        <f ca="1">IFERROR(__xludf.DUMMYFUNCTION("""COMPUTED_VALUE"""),0.41)</f>
        <v>0.41</v>
      </c>
      <c r="F43" s="3" t="str">
        <f ca="1">IFERROR(__xludf.DUMMYFUNCTION("""COMPUTED_VALUE"""),"Hard")</f>
        <v>Hard</v>
      </c>
      <c r="G43" s="3" t="str">
        <f ca="1">IFERROR(__xludf.DUMMYFUNCTION("""COMPUTED_VALUE"""),"5.10941%;")</f>
        <v>5.10941%;</v>
      </c>
    </row>
    <row r="44" spans="1:7" x14ac:dyDescent="0.2">
      <c r="A44" s="3">
        <f ca="1">IFERROR(__xludf.DUMMYFUNCTION("""COMPUTED_VALUE"""),336)</f>
        <v>336</v>
      </c>
      <c r="B44" s="4" t="str">
        <f ca="1">IFERROR(__xludf.DUMMYFUNCTION("""COMPUTED_VALUE"""),"Palindrome Pairs")</f>
        <v>Palindrome Pairs</v>
      </c>
      <c r="C44" s="8" t="str">
        <f ca="1">IFERROR(__xludf.DUMMYFUNCTION("""COMPUTED_VALUE"""),"https://leetcode.com/problems/palindrome-pairs")</f>
        <v>https://leetcode.com/problems/palindrome-pairs</v>
      </c>
      <c r="D44" s="3" t="str">
        <f ca="1">IFERROR(__xludf.DUMMYFUNCTION("""COMPUTED_VALUE"""),"N")</f>
        <v>N</v>
      </c>
      <c r="E44" s="6">
        <f ca="1">IFERROR(__xludf.DUMMYFUNCTION("""COMPUTED_VALUE"""),0.352)</f>
        <v>0.35199999999999998</v>
      </c>
      <c r="F44" s="3" t="str">
        <f ca="1">IFERROR(__xludf.DUMMYFUNCTION("""COMPUTED_VALUE"""),"Hard")</f>
        <v>Hard</v>
      </c>
      <c r="G44" s="3" t="str">
        <f ca="1">IFERROR(__xludf.DUMMYFUNCTION("""COMPUTED_VALUE"""),"11.2349%;")</f>
        <v>11.2349%;</v>
      </c>
    </row>
    <row r="45" spans="1:7" x14ac:dyDescent="0.2">
      <c r="A45" s="3">
        <f ca="1">IFERROR(__xludf.DUMMYFUNCTION("""COMPUTED_VALUE"""),354)</f>
        <v>354</v>
      </c>
      <c r="B45" s="4" t="str">
        <f ca="1">IFERROR(__xludf.DUMMYFUNCTION("""COMPUTED_VALUE"""),"Russian Doll Envelopes")</f>
        <v>Russian Doll Envelopes</v>
      </c>
      <c r="C45" s="8" t="str">
        <f ca="1">IFERROR(__xludf.DUMMYFUNCTION("""COMPUTED_VALUE"""),"https://leetcode.com/problems/russian-doll-envelopes")</f>
        <v>https://leetcode.com/problems/russian-doll-envelopes</v>
      </c>
      <c r="D45" s="3" t="str">
        <f ca="1">IFERROR(__xludf.DUMMYFUNCTION("""COMPUTED_VALUE"""),"N")</f>
        <v>N</v>
      </c>
      <c r="E45" s="6">
        <f ca="1">IFERROR(__xludf.DUMMYFUNCTION("""COMPUTED_VALUE"""),0.383)</f>
        <v>0.38300000000000001</v>
      </c>
      <c r="F45" s="3" t="str">
        <f ca="1">IFERROR(__xludf.DUMMYFUNCTION("""COMPUTED_VALUE"""),"Hard")</f>
        <v>Hard</v>
      </c>
      <c r="G45" s="3" t="str">
        <f ca="1">IFERROR(__xludf.DUMMYFUNCTION("""COMPUTED_VALUE"""),"14.9743%;")</f>
        <v>14.9743%;</v>
      </c>
    </row>
    <row r="46" spans="1:7" x14ac:dyDescent="0.2">
      <c r="A46" s="3">
        <f ca="1">IFERROR(__xludf.DUMMYFUNCTION("""COMPUTED_VALUE"""),363)</f>
        <v>363</v>
      </c>
      <c r="B46" s="4" t="str">
        <f ca="1">IFERROR(__xludf.DUMMYFUNCTION("""COMPUTED_VALUE"""),"Max Sum of Rectangle No Larger Than K")</f>
        <v>Max Sum of Rectangle No Larger Than K</v>
      </c>
      <c r="C46" s="8" t="str">
        <f ca="1">IFERROR(__xludf.DUMMYFUNCTION("""COMPUTED_VALUE"""),"https://leetcode.com/problems/max-sum-of-rectangle-no-larger-than-k")</f>
        <v>https://leetcode.com/problems/max-sum-of-rectangle-no-larger-than-k</v>
      </c>
      <c r="D46" s="3" t="str">
        <f ca="1">IFERROR(__xludf.DUMMYFUNCTION("""COMPUTED_VALUE"""),"N")</f>
        <v>N</v>
      </c>
      <c r="E46" s="6">
        <f ca="1">IFERROR(__xludf.DUMMYFUNCTION("""COMPUTED_VALUE"""),0.441)</f>
        <v>0.441</v>
      </c>
      <c r="F46" s="3" t="str">
        <f ca="1">IFERROR(__xludf.DUMMYFUNCTION("""COMPUTED_VALUE"""),"Hard")</f>
        <v>Hard</v>
      </c>
      <c r="G46" s="3" t="str">
        <f ca="1">IFERROR(__xludf.DUMMYFUNCTION("""COMPUTED_VALUE"""),"25.9837%;")</f>
        <v>25.9837%;</v>
      </c>
    </row>
    <row r="47" spans="1:7" x14ac:dyDescent="0.2">
      <c r="A47" s="3">
        <f ca="1">IFERROR(__xludf.DUMMYFUNCTION("""COMPUTED_VALUE"""),381)</f>
        <v>381</v>
      </c>
      <c r="B47" s="4" t="str">
        <f ca="1">IFERROR(__xludf.DUMMYFUNCTION("""COMPUTED_VALUE"""),"Insert Delete GetRandom O(1) - Duplicates allowed")</f>
        <v>Insert Delete GetRandom O(1) - Duplicates allowed</v>
      </c>
      <c r="C47" s="8" t="str">
        <f ca="1">IFERROR(__xludf.DUMMYFUNCTION("""COMPUTED_VALUE"""),"https://leetcode.com/problems/insert-delete-getrandom-o1-duplicates-allowed")</f>
        <v>https://leetcode.com/problems/insert-delete-getrandom-o1-duplicates-allowed</v>
      </c>
      <c r="D47" s="3" t="str">
        <f ca="1">IFERROR(__xludf.DUMMYFUNCTION("""COMPUTED_VALUE"""),"N")</f>
        <v>N</v>
      </c>
      <c r="E47" s="6">
        <f ca="1">IFERROR(__xludf.DUMMYFUNCTION("""COMPUTED_VALUE"""),0.357)</f>
        <v>0.35699999999999998</v>
      </c>
      <c r="F47" s="3" t="str">
        <f ca="1">IFERROR(__xludf.DUMMYFUNCTION("""COMPUTED_VALUE"""),"Hard")</f>
        <v>Hard</v>
      </c>
      <c r="G47" s="3" t="str">
        <f ca="1">IFERROR(__xludf.DUMMYFUNCTION("""COMPUTED_VALUE"""),"11.8533%;")</f>
        <v>11.8533%;</v>
      </c>
    </row>
    <row r="48" spans="1:7" x14ac:dyDescent="0.2">
      <c r="A48" s="3">
        <f ca="1">IFERROR(__xludf.DUMMYFUNCTION("""COMPUTED_VALUE"""),403)</f>
        <v>403</v>
      </c>
      <c r="B48" s="4" t="str">
        <f ca="1">IFERROR(__xludf.DUMMYFUNCTION("""COMPUTED_VALUE"""),"Frog Jump")</f>
        <v>Frog Jump</v>
      </c>
      <c r="C48" s="8" t="str">
        <f ca="1">IFERROR(__xludf.DUMMYFUNCTION("""COMPUTED_VALUE"""),"https://leetcode.com/problems/frog-jump")</f>
        <v>https://leetcode.com/problems/frog-jump</v>
      </c>
      <c r="D48" s="3" t="str">
        <f ca="1">IFERROR(__xludf.DUMMYFUNCTION("""COMPUTED_VALUE"""),"N")</f>
        <v>N</v>
      </c>
      <c r="E48" s="6">
        <f ca="1">IFERROR(__xludf.DUMMYFUNCTION("""COMPUTED_VALUE"""),0.431)</f>
        <v>0.43099999999999999</v>
      </c>
      <c r="F48" s="3" t="str">
        <f ca="1">IFERROR(__xludf.DUMMYFUNCTION("""COMPUTED_VALUE"""),"Hard")</f>
        <v>Hard</v>
      </c>
      <c r="G48" s="3" t="str">
        <f ca="1">IFERROR(__xludf.DUMMYFUNCTION("""COMPUTED_VALUE"""),"15.4166%;")</f>
        <v>15.4166%;</v>
      </c>
    </row>
    <row r="49" spans="1:7" x14ac:dyDescent="0.2">
      <c r="A49" s="3">
        <f ca="1">IFERROR(__xludf.DUMMYFUNCTION("""COMPUTED_VALUE"""),407)</f>
        <v>407</v>
      </c>
      <c r="B49" s="4" t="str">
        <f ca="1">IFERROR(__xludf.DUMMYFUNCTION("""COMPUTED_VALUE"""),"Trapping Rain Water II")</f>
        <v>Trapping Rain Water II</v>
      </c>
      <c r="C49" s="8" t="str">
        <f ca="1">IFERROR(__xludf.DUMMYFUNCTION("""COMPUTED_VALUE"""),"https://leetcode.com/problems/trapping-rain-water-ii")</f>
        <v>https://leetcode.com/problems/trapping-rain-water-ii</v>
      </c>
      <c r="D49" s="3" t="str">
        <f ca="1">IFERROR(__xludf.DUMMYFUNCTION("""COMPUTED_VALUE"""),"N")</f>
        <v>N</v>
      </c>
      <c r="E49" s="6">
        <f ca="1">IFERROR(__xludf.DUMMYFUNCTION("""COMPUTED_VALUE"""),0.475)</f>
        <v>0.47499999999999998</v>
      </c>
      <c r="F49" s="3" t="str">
        <f ca="1">IFERROR(__xludf.DUMMYFUNCTION("""COMPUTED_VALUE"""),"Hard")</f>
        <v>Hard</v>
      </c>
      <c r="G49" s="3" t="str">
        <f ca="1">IFERROR(__xludf.DUMMYFUNCTION("""COMPUTED_VALUE"""),"19.8963%;")</f>
        <v>19.8963%;</v>
      </c>
    </row>
    <row r="50" spans="1:7" x14ac:dyDescent="0.2">
      <c r="A50" s="3">
        <f ca="1">IFERROR(__xludf.DUMMYFUNCTION("""COMPUTED_VALUE"""),410)</f>
        <v>410</v>
      </c>
      <c r="B50" s="4" t="str">
        <f ca="1">IFERROR(__xludf.DUMMYFUNCTION("""COMPUTED_VALUE"""),"Split Array Largest Sum")</f>
        <v>Split Array Largest Sum</v>
      </c>
      <c r="C50" s="8" t="str">
        <f ca="1">IFERROR(__xludf.DUMMYFUNCTION("""COMPUTED_VALUE"""),"https://leetcode.com/problems/split-array-largest-sum")</f>
        <v>https://leetcode.com/problems/split-array-largest-sum</v>
      </c>
      <c r="D50" s="3" t="str">
        <f ca="1">IFERROR(__xludf.DUMMYFUNCTION("""COMPUTED_VALUE"""),"N")</f>
        <v>N</v>
      </c>
      <c r="E50" s="6">
        <f ca="1">IFERROR(__xludf.DUMMYFUNCTION("""COMPUTED_VALUE"""),0.533)</f>
        <v>0.53300000000000003</v>
      </c>
      <c r="F50" s="3" t="str">
        <f ca="1">IFERROR(__xludf.DUMMYFUNCTION("""COMPUTED_VALUE"""),"Hard")</f>
        <v>Hard</v>
      </c>
      <c r="G50" s="3" t="str">
        <f ca="1">IFERROR(__xludf.DUMMYFUNCTION("""COMPUTED_VALUE"""),"18.7251%;")</f>
        <v>18.7251%;</v>
      </c>
    </row>
    <row r="51" spans="1:7" x14ac:dyDescent="0.2">
      <c r="A51" s="3">
        <f ca="1">IFERROR(__xludf.DUMMYFUNCTION("""COMPUTED_VALUE"""),420)</f>
        <v>420</v>
      </c>
      <c r="B51" s="4" t="str">
        <f ca="1">IFERROR(__xludf.DUMMYFUNCTION("""COMPUTED_VALUE"""),"Strong Password Checker")</f>
        <v>Strong Password Checker</v>
      </c>
      <c r="C51" s="8" t="str">
        <f ca="1">IFERROR(__xludf.DUMMYFUNCTION("""COMPUTED_VALUE"""),"https://leetcode.com/problems/strong-password-checker")</f>
        <v>https://leetcode.com/problems/strong-password-checker</v>
      </c>
      <c r="D51" s="3" t="str">
        <f ca="1">IFERROR(__xludf.DUMMYFUNCTION("""COMPUTED_VALUE"""),"N")</f>
        <v>N</v>
      </c>
      <c r="E51" s="6">
        <f ca="1">IFERROR(__xludf.DUMMYFUNCTION("""COMPUTED_VALUE"""),0.143)</f>
        <v>0.14299999999999999</v>
      </c>
      <c r="F51" s="3" t="str">
        <f ca="1">IFERROR(__xludf.DUMMYFUNCTION("""COMPUTED_VALUE"""),"Hard")</f>
        <v>Hard</v>
      </c>
      <c r="G51" s="3" t="str">
        <f ca="1">IFERROR(__xludf.DUMMYFUNCTION("""COMPUTED_VALUE"""),"31.9628%;")</f>
        <v>31.9628%;</v>
      </c>
    </row>
    <row r="52" spans="1:7" x14ac:dyDescent="0.2">
      <c r="A52" s="3">
        <f ca="1">IFERROR(__xludf.DUMMYFUNCTION("""COMPUTED_VALUE"""),432)</f>
        <v>432</v>
      </c>
      <c r="B52" s="4" t="str">
        <f ca="1">IFERROR(__xludf.DUMMYFUNCTION("""COMPUTED_VALUE"""),"All O`one Data Structure")</f>
        <v>All O`one Data Structure</v>
      </c>
      <c r="C52" s="8" t="str">
        <f ca="1">IFERROR(__xludf.DUMMYFUNCTION("""COMPUTED_VALUE"""),"https://leetcode.com/problems/all-oone-data-structure")</f>
        <v>https://leetcode.com/problems/all-oone-data-structure</v>
      </c>
      <c r="D52" s="3" t="str">
        <f ca="1">IFERROR(__xludf.DUMMYFUNCTION("""COMPUTED_VALUE"""),"N")</f>
        <v>N</v>
      </c>
      <c r="E52" s="6">
        <f ca="1">IFERROR(__xludf.DUMMYFUNCTION("""COMPUTED_VALUE"""),0.367)</f>
        <v>0.36699999999999999</v>
      </c>
      <c r="F52" s="3" t="str">
        <f ca="1">IFERROR(__xludf.DUMMYFUNCTION("""COMPUTED_VALUE"""),"Hard")</f>
        <v>Hard</v>
      </c>
      <c r="G52" s="3" t="str">
        <f ca="1">IFERROR(__xludf.DUMMYFUNCTION("""COMPUTED_VALUE"""),"22.5746%;")</f>
        <v>22.5746%;</v>
      </c>
    </row>
    <row r="53" spans="1:7" x14ac:dyDescent="0.2">
      <c r="A53" s="3">
        <f ca="1">IFERROR(__xludf.DUMMYFUNCTION("""COMPUTED_VALUE"""),458)</f>
        <v>458</v>
      </c>
      <c r="B53" s="4" t="str">
        <f ca="1">IFERROR(__xludf.DUMMYFUNCTION("""COMPUTED_VALUE"""),"Poor Pigs")</f>
        <v>Poor Pigs</v>
      </c>
      <c r="C53" s="8" t="str">
        <f ca="1">IFERROR(__xludf.DUMMYFUNCTION("""COMPUTED_VALUE"""),"https://leetcode.com/problems/poor-pigs")</f>
        <v>https://leetcode.com/problems/poor-pigs</v>
      </c>
      <c r="D53" s="3" t="str">
        <f ca="1">IFERROR(__xludf.DUMMYFUNCTION("""COMPUTED_VALUE"""),"N")</f>
        <v>N</v>
      </c>
      <c r="E53" s="6">
        <f ca="1">IFERROR(__xludf.DUMMYFUNCTION("""COMPUTED_VALUE"""),0.644)</f>
        <v>0.64400000000000002</v>
      </c>
      <c r="F53" s="3" t="str">
        <f ca="1">IFERROR(__xludf.DUMMYFUNCTION("""COMPUTED_VALUE"""),"Hard")</f>
        <v>Hard</v>
      </c>
      <c r="G53" s="3" t="str">
        <f ca="1">IFERROR(__xludf.DUMMYFUNCTION("""COMPUTED_VALUE"""),"11.2349%;")</f>
        <v>11.2349%;</v>
      </c>
    </row>
    <row r="54" spans="1:7" x14ac:dyDescent="0.2">
      <c r="A54" s="3">
        <f ca="1">IFERROR(__xludf.DUMMYFUNCTION("""COMPUTED_VALUE"""),460)</f>
        <v>460</v>
      </c>
      <c r="B54" s="4" t="str">
        <f ca="1">IFERROR(__xludf.DUMMYFUNCTION("""COMPUTED_VALUE"""),"LFU Cache")</f>
        <v>LFU Cache</v>
      </c>
      <c r="C54" s="8" t="str">
        <f ca="1">IFERROR(__xludf.DUMMYFUNCTION("""COMPUTED_VALUE"""),"https://leetcode.com/problems/lfu-cache")</f>
        <v>https://leetcode.com/problems/lfu-cache</v>
      </c>
      <c r="D54" s="3" t="str">
        <f ca="1">IFERROR(__xludf.DUMMYFUNCTION("""COMPUTED_VALUE"""),"N")</f>
        <v>N</v>
      </c>
      <c r="E54" s="6">
        <f ca="1">IFERROR(__xludf.DUMMYFUNCTION("""COMPUTED_VALUE"""),0.404)</f>
        <v>0.40400000000000003</v>
      </c>
      <c r="F54" s="3" t="str">
        <f ca="1">IFERROR(__xludf.DUMMYFUNCTION("""COMPUTED_VALUE"""),"Hard")</f>
        <v>Hard</v>
      </c>
      <c r="G54" s="3" t="str">
        <f ca="1">IFERROR(__xludf.DUMMYFUNCTION("""COMPUTED_VALUE"""),"40.1815%;")</f>
        <v>40.1815%;</v>
      </c>
    </row>
    <row r="55" spans="1:7" x14ac:dyDescent="0.2">
      <c r="A55" s="3">
        <f ca="1">IFERROR(__xludf.DUMMYFUNCTION("""COMPUTED_VALUE"""),465)</f>
        <v>465</v>
      </c>
      <c r="B55" s="4" t="str">
        <f ca="1">IFERROR(__xludf.DUMMYFUNCTION("""COMPUTED_VALUE"""),"Optimal Account Balancing")</f>
        <v>Optimal Account Balancing</v>
      </c>
      <c r="C55" s="8" t="str">
        <f ca="1">IFERROR(__xludf.DUMMYFUNCTION("""COMPUTED_VALUE"""),"https://leetcode.com/problems/optimal-account-balancing")</f>
        <v>https://leetcode.com/problems/optimal-account-balancing</v>
      </c>
      <c r="D55" s="3" t="str">
        <f ca="1">IFERROR(__xludf.DUMMYFUNCTION("""COMPUTED_VALUE"""),"Y")</f>
        <v>Y</v>
      </c>
      <c r="E55" s="6">
        <f ca="1">IFERROR(__xludf.DUMMYFUNCTION("""COMPUTED_VALUE"""),0.493)</f>
        <v>0.49299999999999999</v>
      </c>
      <c r="F55" s="3" t="str">
        <f ca="1">IFERROR(__xludf.DUMMYFUNCTION("""COMPUTED_VALUE"""),"Hard")</f>
        <v>Hard</v>
      </c>
      <c r="G55" s="3" t="str">
        <f ca="1">IFERROR(__xludf.DUMMYFUNCTION("""COMPUTED_VALUE"""),"16.6017%;")</f>
        <v>16.6017%;</v>
      </c>
    </row>
    <row r="56" spans="1:7" x14ac:dyDescent="0.2">
      <c r="A56" s="3">
        <f ca="1">IFERROR(__xludf.DUMMYFUNCTION("""COMPUTED_VALUE"""),472)</f>
        <v>472</v>
      </c>
      <c r="B56" s="4" t="str">
        <f ca="1">IFERROR(__xludf.DUMMYFUNCTION("""COMPUTED_VALUE"""),"Concatenated Words")</f>
        <v>Concatenated Words</v>
      </c>
      <c r="C56" s="8" t="str">
        <f ca="1">IFERROR(__xludf.DUMMYFUNCTION("""COMPUTED_VALUE"""),"https://leetcode.com/problems/concatenated-words")</f>
        <v>https://leetcode.com/problems/concatenated-words</v>
      </c>
      <c r="D56" s="3" t="str">
        <f ca="1">IFERROR(__xludf.DUMMYFUNCTION("""COMPUTED_VALUE"""),"N")</f>
        <v>N</v>
      </c>
      <c r="E56" s="6">
        <f ca="1">IFERROR(__xludf.DUMMYFUNCTION("""COMPUTED_VALUE"""),0.458)</f>
        <v>0.45800000000000002</v>
      </c>
      <c r="F56" s="3" t="str">
        <f ca="1">IFERROR(__xludf.DUMMYFUNCTION("""COMPUTED_VALUE"""),"Hard")</f>
        <v>Hard</v>
      </c>
      <c r="G56" s="3" t="str">
        <f ca="1">IFERROR(__xludf.DUMMYFUNCTION("""COMPUTED_VALUE"""),"93.1081%;")</f>
        <v>93.1081%;</v>
      </c>
    </row>
    <row r="57" spans="1:7" x14ac:dyDescent="0.2">
      <c r="A57" s="3">
        <f ca="1">IFERROR(__xludf.DUMMYFUNCTION("""COMPUTED_VALUE"""),480)</f>
        <v>480</v>
      </c>
      <c r="B57" s="4" t="str">
        <f ca="1">IFERROR(__xludf.DUMMYFUNCTION("""COMPUTED_VALUE"""),"Sliding Window Median")</f>
        <v>Sliding Window Median</v>
      </c>
      <c r="C57" s="8" t="str">
        <f ca="1">IFERROR(__xludf.DUMMYFUNCTION("""COMPUTED_VALUE"""),"https://leetcode.com/problems/sliding-window-median")</f>
        <v>https://leetcode.com/problems/sliding-window-median</v>
      </c>
      <c r="D57" s="3" t="str">
        <f ca="1">IFERROR(__xludf.DUMMYFUNCTION("""COMPUTED_VALUE"""),"N")</f>
        <v>N</v>
      </c>
      <c r="E57" s="6">
        <f ca="1">IFERROR(__xludf.DUMMYFUNCTION("""COMPUTED_VALUE"""),0.414)</f>
        <v>0.41399999999999998</v>
      </c>
      <c r="F57" s="3" t="str">
        <f ca="1">IFERROR(__xludf.DUMMYFUNCTION("""COMPUTED_VALUE"""),"Hard")</f>
        <v>Hard</v>
      </c>
      <c r="G57" s="3" t="str">
        <f ca="1">IFERROR(__xludf.DUMMYFUNCTION("""COMPUTED_VALUE"""),"22.7875%;")</f>
        <v>22.7875%;</v>
      </c>
    </row>
    <row r="58" spans="1:7" x14ac:dyDescent="0.2">
      <c r="A58" s="3">
        <f ca="1">IFERROR(__xludf.DUMMYFUNCTION("""COMPUTED_VALUE"""),493)</f>
        <v>493</v>
      </c>
      <c r="B58" s="4" t="str">
        <f ca="1">IFERROR(__xludf.DUMMYFUNCTION("""COMPUTED_VALUE"""),"Reverse Pairs")</f>
        <v>Reverse Pairs</v>
      </c>
      <c r="C58" s="8" t="str">
        <f ca="1">IFERROR(__xludf.DUMMYFUNCTION("""COMPUTED_VALUE"""),"https://leetcode.com/problems/reverse-pairs")</f>
        <v>https://leetcode.com/problems/reverse-pairs</v>
      </c>
      <c r="D58" s="3" t="str">
        <f ca="1">IFERROR(__xludf.DUMMYFUNCTION("""COMPUTED_VALUE"""),"N")</f>
        <v>N</v>
      </c>
      <c r="E58" s="6">
        <f ca="1">IFERROR(__xludf.DUMMYFUNCTION("""COMPUTED_VALUE"""),0.309)</f>
        <v>0.309</v>
      </c>
      <c r="F58" s="3" t="str">
        <f ca="1">IFERROR(__xludf.DUMMYFUNCTION("""COMPUTED_VALUE"""),"Hard")</f>
        <v>Hard</v>
      </c>
      <c r="G58" s="3" t="str">
        <f ca="1">IFERROR(__xludf.DUMMYFUNCTION("""COMPUTED_VALUE"""),"25.6173%;")</f>
        <v>25.6173%;</v>
      </c>
    </row>
    <row r="59" spans="1:7" x14ac:dyDescent="0.2">
      <c r="A59" s="3">
        <f ca="1">IFERROR(__xludf.DUMMYFUNCTION("""COMPUTED_VALUE"""),502)</f>
        <v>502</v>
      </c>
      <c r="B59" s="4" t="str">
        <f ca="1">IFERROR(__xludf.DUMMYFUNCTION("""COMPUTED_VALUE"""),"IPO")</f>
        <v>IPO</v>
      </c>
      <c r="C59" s="8" t="str">
        <f ca="1">IFERROR(__xludf.DUMMYFUNCTION("""COMPUTED_VALUE"""),"https://leetcode.com/problems/ipo")</f>
        <v>https://leetcode.com/problems/ipo</v>
      </c>
      <c r="D59" s="3" t="str">
        <f ca="1">IFERROR(__xludf.DUMMYFUNCTION("""COMPUTED_VALUE"""),"N")</f>
        <v>N</v>
      </c>
      <c r="E59" s="6">
        <f ca="1">IFERROR(__xludf.DUMMYFUNCTION("""COMPUTED_VALUE"""),0.449)</f>
        <v>0.44900000000000001</v>
      </c>
      <c r="F59" s="3" t="str">
        <f ca="1">IFERROR(__xludf.DUMMYFUNCTION("""COMPUTED_VALUE"""),"Hard")</f>
        <v>Hard</v>
      </c>
      <c r="G59" s="3" t="str">
        <f ca="1">IFERROR(__xludf.DUMMYFUNCTION("""COMPUTED_VALUE"""),"14.7215%;")</f>
        <v>14.7215%;</v>
      </c>
    </row>
    <row r="60" spans="1:7" x14ac:dyDescent="0.2">
      <c r="A60" s="3">
        <f ca="1">IFERROR(__xludf.DUMMYFUNCTION("""COMPUTED_VALUE"""),527)</f>
        <v>527</v>
      </c>
      <c r="B60" s="4" t="str">
        <f ca="1">IFERROR(__xludf.DUMMYFUNCTION("""COMPUTED_VALUE"""),"Word Abbreviation")</f>
        <v>Word Abbreviation</v>
      </c>
      <c r="C60" s="8" t="str">
        <f ca="1">IFERROR(__xludf.DUMMYFUNCTION("""COMPUTED_VALUE"""),"https://leetcode.com/problems/word-abbreviation")</f>
        <v>https://leetcode.com/problems/word-abbreviation</v>
      </c>
      <c r="D60" s="3" t="str">
        <f ca="1">IFERROR(__xludf.DUMMYFUNCTION("""COMPUTED_VALUE"""),"Y")</f>
        <v>Y</v>
      </c>
      <c r="E60" s="6">
        <f ca="1">IFERROR(__xludf.DUMMYFUNCTION("""COMPUTED_VALUE"""),0.603)</f>
        <v>0.60299999999999998</v>
      </c>
      <c r="F60" s="3" t="str">
        <f ca="1">IFERROR(__xludf.DUMMYFUNCTION("""COMPUTED_VALUE"""),"Hard")</f>
        <v>Hard</v>
      </c>
      <c r="G60" s="3" t="str">
        <f ca="1">IFERROR(__xludf.DUMMYFUNCTION("""COMPUTED_VALUE"""),"46.2616%;")</f>
        <v>46.2616%;</v>
      </c>
    </row>
    <row r="61" spans="1:7" x14ac:dyDescent="0.2">
      <c r="A61" s="3">
        <f ca="1">IFERROR(__xludf.DUMMYFUNCTION("""COMPUTED_VALUE"""),588)</f>
        <v>588</v>
      </c>
      <c r="B61" s="4" t="str">
        <f ca="1">IFERROR(__xludf.DUMMYFUNCTION("""COMPUTED_VALUE"""),"Design In-Memory File System")</f>
        <v>Design In-Memory File System</v>
      </c>
      <c r="C61" s="8" t="str">
        <f ca="1">IFERROR(__xludf.DUMMYFUNCTION("""COMPUTED_VALUE"""),"https://leetcode.com/problems/design-in-memory-file-system")</f>
        <v>https://leetcode.com/problems/design-in-memory-file-system</v>
      </c>
      <c r="D61" s="3" t="str">
        <f ca="1">IFERROR(__xludf.DUMMYFUNCTION("""COMPUTED_VALUE"""),"Y")</f>
        <v>Y</v>
      </c>
      <c r="E61" s="6">
        <f ca="1">IFERROR(__xludf.DUMMYFUNCTION("""COMPUTED_VALUE"""),0.488)</f>
        <v>0.48799999999999999</v>
      </c>
      <c r="F61" s="3" t="str">
        <f ca="1">IFERROR(__xludf.DUMMYFUNCTION("""COMPUTED_VALUE"""),"Hard")</f>
        <v>Hard</v>
      </c>
      <c r="G61" s="3" t="str">
        <f ca="1">IFERROR(__xludf.DUMMYFUNCTION("""COMPUTED_VALUE"""),"65.327%;")</f>
        <v>65.327%;</v>
      </c>
    </row>
    <row r="62" spans="1:7" x14ac:dyDescent="0.2">
      <c r="A62" s="3">
        <f ca="1">IFERROR(__xludf.DUMMYFUNCTION("""COMPUTED_VALUE"""),618)</f>
        <v>618</v>
      </c>
      <c r="B62" s="4" t="str">
        <f ca="1">IFERROR(__xludf.DUMMYFUNCTION("""COMPUTED_VALUE"""),"Students Report By Geography")</f>
        <v>Students Report By Geography</v>
      </c>
      <c r="C62" s="8" t="str">
        <f ca="1">IFERROR(__xludf.DUMMYFUNCTION("""COMPUTED_VALUE"""),"https://leetcode.com/problems/students-report-by-geography")</f>
        <v>https://leetcode.com/problems/students-report-by-geography</v>
      </c>
      <c r="D62" s="3" t="str">
        <f ca="1">IFERROR(__xludf.DUMMYFUNCTION("""COMPUTED_VALUE"""),"Y")</f>
        <v>Y</v>
      </c>
      <c r="E62" s="6">
        <f ca="1">IFERROR(__xludf.DUMMYFUNCTION("""COMPUTED_VALUE"""),0.643)</f>
        <v>0.64300000000000002</v>
      </c>
      <c r="F62" s="3" t="str">
        <f ca="1">IFERROR(__xludf.DUMMYFUNCTION("""COMPUTED_VALUE"""),"Hard")</f>
        <v>Hard</v>
      </c>
      <c r="G62" s="3" t="str">
        <f ca="1">IFERROR(__xludf.DUMMYFUNCTION("""COMPUTED_VALUE"""),"26.6516%;")</f>
        <v>26.6516%;</v>
      </c>
    </row>
    <row r="63" spans="1:7" x14ac:dyDescent="0.2">
      <c r="A63" s="3">
        <f ca="1">IFERROR(__xludf.DUMMYFUNCTION("""COMPUTED_VALUE"""),632)</f>
        <v>632</v>
      </c>
      <c r="B63" s="4" t="str">
        <f ca="1">IFERROR(__xludf.DUMMYFUNCTION("""COMPUTED_VALUE"""),"Smallest Range Covering Elements from K Lists")</f>
        <v>Smallest Range Covering Elements from K Lists</v>
      </c>
      <c r="C63" s="8" t="str">
        <f ca="1">IFERROR(__xludf.DUMMYFUNCTION("""COMPUTED_VALUE"""),"https://leetcode.com/problems/smallest-range-covering-elements-from-k-lists")</f>
        <v>https://leetcode.com/problems/smallest-range-covering-elements-from-k-lists</v>
      </c>
      <c r="D63" s="3" t="str">
        <f ca="1">IFERROR(__xludf.DUMMYFUNCTION("""COMPUTED_VALUE"""),"N")</f>
        <v>N</v>
      </c>
      <c r="E63" s="6">
        <f ca="1">IFERROR(__xludf.DUMMYFUNCTION("""COMPUTED_VALUE"""),0.606)</f>
        <v>0.60599999999999998</v>
      </c>
      <c r="F63" s="3" t="str">
        <f ca="1">IFERROR(__xludf.DUMMYFUNCTION("""COMPUTED_VALUE"""),"Hard")</f>
        <v>Hard</v>
      </c>
      <c r="G63" s="3" t="str">
        <f ca="1">IFERROR(__xludf.DUMMYFUNCTION("""COMPUTED_VALUE"""),"43.5016%;")</f>
        <v>43.5016%;</v>
      </c>
    </row>
    <row r="64" spans="1:7" x14ac:dyDescent="0.2">
      <c r="A64" s="3">
        <f ca="1">IFERROR(__xludf.DUMMYFUNCTION("""COMPUTED_VALUE"""),642)</f>
        <v>642</v>
      </c>
      <c r="B64" s="4" t="str">
        <f ca="1">IFERROR(__xludf.DUMMYFUNCTION("""COMPUTED_VALUE"""),"Design Search Autocomplete System")</f>
        <v>Design Search Autocomplete System</v>
      </c>
      <c r="C64" s="8" t="str">
        <f ca="1">IFERROR(__xludf.DUMMYFUNCTION("""COMPUTED_VALUE"""),"https://leetcode.com/problems/design-search-autocomplete-system")</f>
        <v>https://leetcode.com/problems/design-search-autocomplete-system</v>
      </c>
      <c r="D64" s="3" t="str">
        <f ca="1">IFERROR(__xludf.DUMMYFUNCTION("""COMPUTED_VALUE"""),"Y")</f>
        <v>Y</v>
      </c>
      <c r="E64" s="6">
        <f ca="1">IFERROR(__xludf.DUMMYFUNCTION("""COMPUTED_VALUE"""),0.487)</f>
        <v>0.48699999999999999</v>
      </c>
      <c r="F64" s="3" t="str">
        <f ca="1">IFERROR(__xludf.DUMMYFUNCTION("""COMPUTED_VALUE"""),"Hard")</f>
        <v>Hard</v>
      </c>
      <c r="G64" s="3" t="str">
        <f ca="1">IFERROR(__xludf.DUMMYFUNCTION("""COMPUTED_VALUE"""),"22.1174%;")</f>
        <v>22.1174%;</v>
      </c>
    </row>
    <row r="65" spans="1:7" x14ac:dyDescent="0.2">
      <c r="A65" s="3">
        <f ca="1">IFERROR(__xludf.DUMMYFUNCTION("""COMPUTED_VALUE"""),715)</f>
        <v>715</v>
      </c>
      <c r="B65" s="4" t="str">
        <f ca="1">IFERROR(__xludf.DUMMYFUNCTION("""COMPUTED_VALUE"""),"Range Module")</f>
        <v>Range Module</v>
      </c>
      <c r="C65" s="8" t="str">
        <f ca="1">IFERROR(__xludf.DUMMYFUNCTION("""COMPUTED_VALUE"""),"https://leetcode.com/problems/range-module")</f>
        <v>https://leetcode.com/problems/range-module</v>
      </c>
      <c r="D65" s="3" t="str">
        <f ca="1">IFERROR(__xludf.DUMMYFUNCTION("""COMPUTED_VALUE"""),"N")</f>
        <v>N</v>
      </c>
      <c r="E65" s="6">
        <f ca="1">IFERROR(__xludf.DUMMYFUNCTION("""COMPUTED_VALUE"""),0.447)</f>
        <v>0.44700000000000001</v>
      </c>
      <c r="F65" s="3" t="str">
        <f ca="1">IFERROR(__xludf.DUMMYFUNCTION("""COMPUTED_VALUE"""),"Hard")</f>
        <v>Hard</v>
      </c>
      <c r="G65" s="3" t="str">
        <f ca="1">IFERROR(__xludf.DUMMYFUNCTION("""COMPUTED_VALUE"""),"20.7845%;")</f>
        <v>20.7845%;</v>
      </c>
    </row>
    <row r="66" spans="1:7" x14ac:dyDescent="0.2">
      <c r="A66" s="3">
        <f ca="1">IFERROR(__xludf.DUMMYFUNCTION("""COMPUTED_VALUE"""),716)</f>
        <v>716</v>
      </c>
      <c r="B66" s="4" t="str">
        <f ca="1">IFERROR(__xludf.DUMMYFUNCTION("""COMPUTED_VALUE"""),"Max Stack")</f>
        <v>Max Stack</v>
      </c>
      <c r="C66" s="8" t="str">
        <f ca="1">IFERROR(__xludf.DUMMYFUNCTION("""COMPUTED_VALUE"""),"https://leetcode.com/problems/max-stack")</f>
        <v>https://leetcode.com/problems/max-stack</v>
      </c>
      <c r="D66" s="3" t="str">
        <f ca="1">IFERROR(__xludf.DUMMYFUNCTION("""COMPUTED_VALUE"""),"Y")</f>
        <v>Y</v>
      </c>
      <c r="E66" s="6">
        <f ca="1">IFERROR(__xludf.DUMMYFUNCTION("""COMPUTED_VALUE"""),0.453)</f>
        <v>0.45300000000000001</v>
      </c>
      <c r="F66" s="3" t="str">
        <f ca="1">IFERROR(__xludf.DUMMYFUNCTION("""COMPUTED_VALUE"""),"Hard")</f>
        <v>Hard</v>
      </c>
      <c r="G66" s="3" t="str">
        <f ca="1">IFERROR(__xludf.DUMMYFUNCTION("""COMPUTED_VALUE"""),"18.8344%;")</f>
        <v>18.8344%;</v>
      </c>
    </row>
    <row r="67" spans="1:7" x14ac:dyDescent="0.2">
      <c r="A67" s="3">
        <f ca="1">IFERROR(__xludf.DUMMYFUNCTION("""COMPUTED_VALUE"""),719)</f>
        <v>719</v>
      </c>
      <c r="B67" s="4" t="str">
        <f ca="1">IFERROR(__xludf.DUMMYFUNCTION("""COMPUTED_VALUE"""),"Find K-th Smallest Pair Distance")</f>
        <v>Find K-th Smallest Pair Distance</v>
      </c>
      <c r="C67" s="8" t="str">
        <f ca="1">IFERROR(__xludf.DUMMYFUNCTION("""COMPUTED_VALUE"""),"https://leetcode.com/problems/find-k-th-smallest-pair-distance")</f>
        <v>https://leetcode.com/problems/find-k-th-smallest-pair-distance</v>
      </c>
      <c r="D67" s="3" t="str">
        <f ca="1">IFERROR(__xludf.DUMMYFUNCTION("""COMPUTED_VALUE"""),"N")</f>
        <v>N</v>
      </c>
      <c r="E67" s="6">
        <f ca="1">IFERROR(__xludf.DUMMYFUNCTION("""COMPUTED_VALUE"""),0.364)</f>
        <v>0.36399999999999999</v>
      </c>
      <c r="F67" s="3" t="str">
        <f ca="1">IFERROR(__xludf.DUMMYFUNCTION("""COMPUTED_VALUE"""),"Hard")</f>
        <v>Hard</v>
      </c>
      <c r="G67" s="3" t="str">
        <f ca="1">IFERROR(__xludf.DUMMYFUNCTION("""COMPUTED_VALUE"""),"76.9036%;")</f>
        <v>76.9036%;</v>
      </c>
    </row>
    <row r="68" spans="1:7" x14ac:dyDescent="0.2">
      <c r="A68" s="3">
        <f ca="1">IFERROR(__xludf.DUMMYFUNCTION("""COMPUTED_VALUE"""),428)</f>
        <v>428</v>
      </c>
      <c r="B68" s="4" t="str">
        <f ca="1">IFERROR(__xludf.DUMMYFUNCTION("""COMPUTED_VALUE"""),"Serialize and Deserialize N-ary Tree")</f>
        <v>Serialize and Deserialize N-ary Tree</v>
      </c>
      <c r="C68" s="8" t="str">
        <f ca="1">IFERROR(__xludf.DUMMYFUNCTION("""COMPUTED_VALUE"""),"https://leetcode.com/problems/serialize-and-deserialize-n-ary-tree")</f>
        <v>https://leetcode.com/problems/serialize-and-deserialize-n-ary-tree</v>
      </c>
      <c r="D68" s="3" t="str">
        <f ca="1">IFERROR(__xludf.DUMMYFUNCTION("""COMPUTED_VALUE"""),"Y")</f>
        <v>Y</v>
      </c>
      <c r="E68" s="6">
        <f ca="1">IFERROR(__xludf.DUMMYFUNCTION("""COMPUTED_VALUE"""),0.655)</f>
        <v>0.65500000000000003</v>
      </c>
      <c r="F68" s="3" t="str">
        <f ca="1">IFERROR(__xludf.DUMMYFUNCTION("""COMPUTED_VALUE"""),"Hard")</f>
        <v>Hard</v>
      </c>
      <c r="G68" s="3" t="str">
        <f ca="1">IFERROR(__xludf.DUMMYFUNCTION("""COMPUTED_VALUE"""),"18.3486%;")</f>
        <v>18.3486%;</v>
      </c>
    </row>
    <row r="69" spans="1:7" x14ac:dyDescent="0.2">
      <c r="A69" s="3">
        <f ca="1">IFERROR(__xludf.DUMMYFUNCTION("""COMPUTED_VALUE"""),772)</f>
        <v>772</v>
      </c>
      <c r="B69" s="4" t="str">
        <f ca="1">IFERROR(__xludf.DUMMYFUNCTION("""COMPUTED_VALUE"""),"Basic Calculator III")</f>
        <v>Basic Calculator III</v>
      </c>
      <c r="C69" s="8" t="str">
        <f ca="1">IFERROR(__xludf.DUMMYFUNCTION("""COMPUTED_VALUE"""),"https://leetcode.com/problems/basic-calculator-iii")</f>
        <v>https://leetcode.com/problems/basic-calculator-iii</v>
      </c>
      <c r="D69" s="3" t="str">
        <f ca="1">IFERROR(__xludf.DUMMYFUNCTION("""COMPUTED_VALUE"""),"Y")</f>
        <v>Y</v>
      </c>
      <c r="E69" s="6">
        <f ca="1">IFERROR(__xludf.DUMMYFUNCTION("""COMPUTED_VALUE"""),0.486)</f>
        <v>0.48599999999999999</v>
      </c>
      <c r="F69" s="3" t="str">
        <f ca="1">IFERROR(__xludf.DUMMYFUNCTION("""COMPUTED_VALUE"""),"Hard")</f>
        <v>Hard</v>
      </c>
      <c r="G69" s="3" t="str">
        <f ca="1">IFERROR(__xludf.DUMMYFUNCTION("""COMPUTED_VALUE"""),"35.9618%;")</f>
        <v>35.9618%;</v>
      </c>
    </row>
    <row r="70" spans="1:7" x14ac:dyDescent="0.2">
      <c r="A70" s="3">
        <f ca="1">IFERROR(__xludf.DUMMYFUNCTION("""COMPUTED_VALUE"""),773)</f>
        <v>773</v>
      </c>
      <c r="B70" s="4" t="str">
        <f ca="1">IFERROR(__xludf.DUMMYFUNCTION("""COMPUTED_VALUE"""),"Sliding Puzzle")</f>
        <v>Sliding Puzzle</v>
      </c>
      <c r="C70" s="8" t="str">
        <f ca="1">IFERROR(__xludf.DUMMYFUNCTION("""COMPUTED_VALUE"""),"https://leetcode.com/problems/sliding-puzzle")</f>
        <v>https://leetcode.com/problems/sliding-puzzle</v>
      </c>
      <c r="D70" s="3" t="str">
        <f ca="1">IFERROR(__xludf.DUMMYFUNCTION("""COMPUTED_VALUE"""),"N")</f>
        <v>N</v>
      </c>
      <c r="E70" s="6">
        <f ca="1">IFERROR(__xludf.DUMMYFUNCTION("""COMPUTED_VALUE"""),0.639)</f>
        <v>0.63900000000000001</v>
      </c>
      <c r="F70" s="3" t="str">
        <f ca="1">IFERROR(__xludf.DUMMYFUNCTION("""COMPUTED_VALUE"""),"Hard")</f>
        <v>Hard</v>
      </c>
      <c r="G70" s="3" t="str">
        <f ca="1">IFERROR(__xludf.DUMMYFUNCTION("""COMPUTED_VALUE"""),"17.8893%;")</f>
        <v>17.8893%;</v>
      </c>
    </row>
    <row r="71" spans="1:7" x14ac:dyDescent="0.2">
      <c r="A71" s="3">
        <f ca="1">IFERROR(__xludf.DUMMYFUNCTION("""COMPUTED_VALUE"""),778)</f>
        <v>778</v>
      </c>
      <c r="B71" s="4" t="str">
        <f ca="1">IFERROR(__xludf.DUMMYFUNCTION("""COMPUTED_VALUE"""),"Swim in Rising Water")</f>
        <v>Swim in Rising Water</v>
      </c>
      <c r="C71" s="8" t="str">
        <f ca="1">IFERROR(__xludf.DUMMYFUNCTION("""COMPUTED_VALUE"""),"https://leetcode.com/problems/swim-in-rising-water")</f>
        <v>https://leetcode.com/problems/swim-in-rising-water</v>
      </c>
      <c r="D71" s="3" t="str">
        <f ca="1">IFERROR(__xludf.DUMMYFUNCTION("""COMPUTED_VALUE"""),"N")</f>
        <v>N</v>
      </c>
      <c r="E71" s="6">
        <f ca="1">IFERROR(__xludf.DUMMYFUNCTION("""COMPUTED_VALUE"""),0.597)</f>
        <v>0.59699999999999998</v>
      </c>
      <c r="F71" s="3" t="str">
        <f ca="1">IFERROR(__xludf.DUMMYFUNCTION("""COMPUTED_VALUE"""),"Hard")</f>
        <v>Hard</v>
      </c>
      <c r="G71" s="3" t="str">
        <f ca="1">IFERROR(__xludf.DUMMYFUNCTION("""COMPUTED_VALUE"""),"6.903%;")</f>
        <v>6.903%;</v>
      </c>
    </row>
    <row r="72" spans="1:7" x14ac:dyDescent="0.2">
      <c r="A72" s="3">
        <f ca="1">IFERROR(__xludf.DUMMYFUNCTION("""COMPUTED_VALUE"""),815)</f>
        <v>815</v>
      </c>
      <c r="B72" s="4" t="str">
        <f ca="1">IFERROR(__xludf.DUMMYFUNCTION("""COMPUTED_VALUE"""),"Bus Routes")</f>
        <v>Bus Routes</v>
      </c>
      <c r="C72" s="8" t="str">
        <f ca="1">IFERROR(__xludf.DUMMYFUNCTION("""COMPUTED_VALUE"""),"https://leetcode.com/problems/bus-routes")</f>
        <v>https://leetcode.com/problems/bus-routes</v>
      </c>
      <c r="D72" s="3" t="str">
        <f ca="1">IFERROR(__xludf.DUMMYFUNCTION("""COMPUTED_VALUE"""),"N")</f>
        <v>N</v>
      </c>
      <c r="E72" s="6">
        <f ca="1">IFERROR(__xludf.DUMMYFUNCTION("""COMPUTED_VALUE"""),0.457)</f>
        <v>0.45700000000000002</v>
      </c>
      <c r="F72" s="3" t="str">
        <f ca="1">IFERROR(__xludf.DUMMYFUNCTION("""COMPUTED_VALUE"""),"Hard")</f>
        <v>Hard</v>
      </c>
      <c r="G72" s="3" t="str">
        <f ca="1">IFERROR(__xludf.DUMMYFUNCTION("""COMPUTED_VALUE"""),"20.383%;")</f>
        <v>20.383%;</v>
      </c>
    </row>
    <row r="73" spans="1:7" x14ac:dyDescent="0.2">
      <c r="A73" s="3">
        <f ca="1">IFERROR(__xludf.DUMMYFUNCTION("""COMPUTED_VALUE"""),818)</f>
        <v>818</v>
      </c>
      <c r="B73" s="4" t="str">
        <f ca="1">IFERROR(__xludf.DUMMYFUNCTION("""COMPUTED_VALUE"""),"Race Car")</f>
        <v>Race Car</v>
      </c>
      <c r="C73" s="8" t="str">
        <f ca="1">IFERROR(__xludf.DUMMYFUNCTION("""COMPUTED_VALUE"""),"https://leetcode.com/problems/race-car")</f>
        <v>https://leetcode.com/problems/race-car</v>
      </c>
      <c r="D73" s="3" t="str">
        <f ca="1">IFERROR(__xludf.DUMMYFUNCTION("""COMPUTED_VALUE"""),"N")</f>
        <v>N</v>
      </c>
      <c r="E73" s="6">
        <f ca="1">IFERROR(__xludf.DUMMYFUNCTION("""COMPUTED_VALUE"""),0.435)</f>
        <v>0.435</v>
      </c>
      <c r="F73" s="3" t="str">
        <f ca="1">IFERROR(__xludf.DUMMYFUNCTION("""COMPUTED_VALUE"""),"Hard")</f>
        <v>Hard</v>
      </c>
      <c r="G73" s="3" t="str">
        <f ca="1">IFERROR(__xludf.DUMMYFUNCTION("""COMPUTED_VALUE"""),"53.9446%;")</f>
        <v>53.9446%;</v>
      </c>
    </row>
    <row r="74" spans="1:7" x14ac:dyDescent="0.2">
      <c r="A74" s="3">
        <f ca="1">IFERROR(__xludf.DUMMYFUNCTION("""COMPUTED_VALUE"""),827)</f>
        <v>827</v>
      </c>
      <c r="B74" s="4" t="str">
        <f ca="1">IFERROR(__xludf.DUMMYFUNCTION("""COMPUTED_VALUE"""),"Making A Large Island")</f>
        <v>Making A Large Island</v>
      </c>
      <c r="C74" s="8" t="str">
        <f ca="1">IFERROR(__xludf.DUMMYFUNCTION("""COMPUTED_VALUE"""),"https://leetcode.com/problems/making-a-large-island")</f>
        <v>https://leetcode.com/problems/making-a-large-island</v>
      </c>
      <c r="D74" s="3" t="str">
        <f ca="1">IFERROR(__xludf.DUMMYFUNCTION("""COMPUTED_VALUE"""),"N")</f>
        <v>N</v>
      </c>
      <c r="E74" s="6">
        <f ca="1">IFERROR(__xludf.DUMMYFUNCTION("""COMPUTED_VALUE"""),0.447)</f>
        <v>0.44700000000000001</v>
      </c>
      <c r="F74" s="3" t="str">
        <f ca="1">IFERROR(__xludf.DUMMYFUNCTION("""COMPUTED_VALUE"""),"Hard")</f>
        <v>Hard</v>
      </c>
      <c r="G74" s="3" t="str">
        <f ca="1">IFERROR(__xludf.DUMMYFUNCTION("""COMPUTED_VALUE"""),"37.7417%;")</f>
        <v>37.7417%;</v>
      </c>
    </row>
    <row r="75" spans="1:7" x14ac:dyDescent="0.2">
      <c r="A75" s="3">
        <f ca="1">IFERROR(__xludf.DUMMYFUNCTION("""COMPUTED_VALUE"""),828)</f>
        <v>828</v>
      </c>
      <c r="B75" s="4" t="str">
        <f ca="1">IFERROR(__xludf.DUMMYFUNCTION("""COMPUTED_VALUE"""),"Count Unique Characters of All Substrings of a Given String")</f>
        <v>Count Unique Characters of All Substrings of a Given String</v>
      </c>
      <c r="C75" s="8" t="str">
        <f ca="1">IFERROR(__xludf.DUMMYFUNCTION("""COMPUTED_VALUE"""),"https://leetcode.com/problems/count-unique-characters-of-all-substrings-of-a-given-string")</f>
        <v>https://leetcode.com/problems/count-unique-characters-of-all-substrings-of-a-given-string</v>
      </c>
      <c r="D75" s="3" t="str">
        <f ca="1">IFERROR(__xludf.DUMMYFUNCTION("""COMPUTED_VALUE"""),"N")</f>
        <v>N</v>
      </c>
      <c r="E75" s="6">
        <f ca="1">IFERROR(__xludf.DUMMYFUNCTION("""COMPUTED_VALUE"""),0.517)</f>
        <v>0.51700000000000002</v>
      </c>
      <c r="F75" s="3" t="str">
        <f ca="1">IFERROR(__xludf.DUMMYFUNCTION("""COMPUTED_VALUE"""),"Hard")</f>
        <v>Hard</v>
      </c>
      <c r="G75" s="3" t="str">
        <f ca="1">IFERROR(__xludf.DUMMYFUNCTION("""COMPUTED_VALUE"""),"87.2043%;")</f>
        <v>87.2043%;</v>
      </c>
    </row>
    <row r="76" spans="1:7" x14ac:dyDescent="0.2">
      <c r="A76" s="3">
        <f ca="1">IFERROR(__xludf.DUMMYFUNCTION("""COMPUTED_VALUE"""),489)</f>
        <v>489</v>
      </c>
      <c r="B76" s="4" t="str">
        <f ca="1">IFERROR(__xludf.DUMMYFUNCTION("""COMPUTED_VALUE"""),"Robot Room Cleaner")</f>
        <v>Robot Room Cleaner</v>
      </c>
      <c r="C76" s="8" t="str">
        <f ca="1">IFERROR(__xludf.DUMMYFUNCTION("""COMPUTED_VALUE"""),"https://leetcode.com/problems/robot-room-cleaner")</f>
        <v>https://leetcode.com/problems/robot-room-cleaner</v>
      </c>
      <c r="D76" s="3" t="str">
        <f ca="1">IFERROR(__xludf.DUMMYFUNCTION("""COMPUTED_VALUE"""),"Y")</f>
        <v>Y</v>
      </c>
      <c r="E76" s="6">
        <f ca="1">IFERROR(__xludf.DUMMYFUNCTION("""COMPUTED_VALUE"""),0.765)</f>
        <v>0.76500000000000001</v>
      </c>
      <c r="F76" s="3" t="str">
        <f ca="1">IFERROR(__xludf.DUMMYFUNCTION("""COMPUTED_VALUE"""),"Hard")</f>
        <v>Hard</v>
      </c>
      <c r="G76" s="3" t="str">
        <f ca="1">IFERROR(__xludf.DUMMYFUNCTION("""COMPUTED_VALUE"""),"38.88%;")</f>
        <v>38.88%;</v>
      </c>
    </row>
    <row r="77" spans="1:7" x14ac:dyDescent="0.2">
      <c r="A77" s="3">
        <f ca="1">IFERROR(__xludf.DUMMYFUNCTION("""COMPUTED_VALUE"""),847)</f>
        <v>847</v>
      </c>
      <c r="B77" s="4" t="str">
        <f ca="1">IFERROR(__xludf.DUMMYFUNCTION("""COMPUTED_VALUE"""),"Shortest Path Visiting All Nodes")</f>
        <v>Shortest Path Visiting All Nodes</v>
      </c>
      <c r="C77" s="8" t="str">
        <f ca="1">IFERROR(__xludf.DUMMYFUNCTION("""COMPUTED_VALUE"""),"https://leetcode.com/problems/shortest-path-visiting-all-nodes")</f>
        <v>https://leetcode.com/problems/shortest-path-visiting-all-nodes</v>
      </c>
      <c r="D77" s="3" t="str">
        <f ca="1">IFERROR(__xludf.DUMMYFUNCTION("""COMPUTED_VALUE"""),"N")</f>
        <v>N</v>
      </c>
      <c r="E77" s="6">
        <f ca="1">IFERROR(__xludf.DUMMYFUNCTION("""COMPUTED_VALUE"""),0.613)</f>
        <v>0.61299999999999999</v>
      </c>
      <c r="F77" s="3" t="str">
        <f ca="1">IFERROR(__xludf.DUMMYFUNCTION("""COMPUTED_VALUE"""),"Hard")</f>
        <v>Hard</v>
      </c>
      <c r="G77" s="3" t="str">
        <f ca="1">IFERROR(__xludf.DUMMYFUNCTION("""COMPUTED_VALUE"""),"24.9931%;")</f>
        <v>24.9931%;</v>
      </c>
    </row>
    <row r="78" spans="1:7" x14ac:dyDescent="0.2">
      <c r="A78" s="3">
        <f ca="1">IFERROR(__xludf.DUMMYFUNCTION("""COMPUTED_VALUE"""),857)</f>
        <v>857</v>
      </c>
      <c r="B78" s="4" t="str">
        <f ca="1">IFERROR(__xludf.DUMMYFUNCTION("""COMPUTED_VALUE"""),"Minimum Cost to Hire K Workers")</f>
        <v>Minimum Cost to Hire K Workers</v>
      </c>
      <c r="C78" s="8" t="str">
        <f ca="1">IFERROR(__xludf.DUMMYFUNCTION("""COMPUTED_VALUE"""),"https://leetcode.com/problems/minimum-cost-to-hire-k-workers")</f>
        <v>https://leetcode.com/problems/minimum-cost-to-hire-k-workers</v>
      </c>
      <c r="D78" s="3" t="str">
        <f ca="1">IFERROR(__xludf.DUMMYFUNCTION("""COMPUTED_VALUE"""),"N")</f>
        <v>N</v>
      </c>
      <c r="E78" s="6">
        <f ca="1">IFERROR(__xludf.DUMMYFUNCTION("""COMPUTED_VALUE"""),0.52)</f>
        <v>0.52</v>
      </c>
      <c r="F78" s="3" t="str">
        <f ca="1">IFERROR(__xludf.DUMMYFUNCTION("""COMPUTED_VALUE"""),"Hard")</f>
        <v>Hard</v>
      </c>
      <c r="G78" s="3" t="str">
        <f ca="1">IFERROR(__xludf.DUMMYFUNCTION("""COMPUTED_VALUE"""),"15.4166%;")</f>
        <v>15.4166%;</v>
      </c>
    </row>
    <row r="79" spans="1:7" x14ac:dyDescent="0.2">
      <c r="A79" s="3">
        <f ca="1">IFERROR(__xludf.DUMMYFUNCTION("""COMPUTED_VALUE"""),862)</f>
        <v>862</v>
      </c>
      <c r="B79" s="4" t="str">
        <f ca="1">IFERROR(__xludf.DUMMYFUNCTION("""COMPUTED_VALUE"""),"Shortest Subarray with Sum at Least K")</f>
        <v>Shortest Subarray with Sum at Least K</v>
      </c>
      <c r="C79" s="8" t="str">
        <f ca="1">IFERROR(__xludf.DUMMYFUNCTION("""COMPUTED_VALUE"""),"https://leetcode.com/problems/shortest-subarray-with-sum-at-least-k")</f>
        <v>https://leetcode.com/problems/shortest-subarray-with-sum-at-least-k</v>
      </c>
      <c r="D79" s="3" t="str">
        <f ca="1">IFERROR(__xludf.DUMMYFUNCTION("""COMPUTED_VALUE"""),"N")</f>
        <v>N</v>
      </c>
      <c r="E79" s="6">
        <f ca="1">IFERROR(__xludf.DUMMYFUNCTION("""COMPUTED_VALUE"""),0.261)</f>
        <v>0.26100000000000001</v>
      </c>
      <c r="F79" s="3" t="str">
        <f ca="1">IFERROR(__xludf.DUMMYFUNCTION("""COMPUTED_VALUE"""),"Hard")</f>
        <v>Hard</v>
      </c>
      <c r="G79" s="3" t="str">
        <f ca="1">IFERROR(__xludf.DUMMYFUNCTION("""COMPUTED_VALUE"""),"8.23186%;")</f>
        <v>8.23186%;</v>
      </c>
    </row>
    <row r="80" spans="1:7" x14ac:dyDescent="0.2">
      <c r="A80" s="3">
        <f ca="1">IFERROR(__xludf.DUMMYFUNCTION("""COMPUTED_VALUE"""),871)</f>
        <v>871</v>
      </c>
      <c r="B80" s="4" t="str">
        <f ca="1">IFERROR(__xludf.DUMMYFUNCTION("""COMPUTED_VALUE"""),"Minimum Number of Refueling Stops")</f>
        <v>Minimum Number of Refueling Stops</v>
      </c>
      <c r="C80" s="8" t="str">
        <f ca="1">IFERROR(__xludf.DUMMYFUNCTION("""COMPUTED_VALUE"""),"https://leetcode.com/problems/minimum-number-of-refueling-stops")</f>
        <v>https://leetcode.com/problems/minimum-number-of-refueling-stops</v>
      </c>
      <c r="D80" s="3" t="str">
        <f ca="1">IFERROR(__xludf.DUMMYFUNCTION("""COMPUTED_VALUE"""),"N")</f>
        <v>N</v>
      </c>
      <c r="E80" s="6">
        <f ca="1">IFERROR(__xludf.DUMMYFUNCTION("""COMPUTED_VALUE"""),0.399)</f>
        <v>0.39900000000000002</v>
      </c>
      <c r="F80" s="3" t="str">
        <f ca="1">IFERROR(__xludf.DUMMYFUNCTION("""COMPUTED_VALUE"""),"Hard")</f>
        <v>Hard</v>
      </c>
      <c r="G80" s="3" t="str">
        <f ca="1">IFERROR(__xludf.DUMMYFUNCTION("""COMPUTED_VALUE"""),"38.2393%;")</f>
        <v>38.2393%;</v>
      </c>
    </row>
    <row r="81" spans="1:7" x14ac:dyDescent="0.2">
      <c r="A81" s="3">
        <f ca="1">IFERROR(__xludf.DUMMYFUNCTION("""COMPUTED_VALUE"""),895)</f>
        <v>895</v>
      </c>
      <c r="B81" s="4" t="str">
        <f ca="1">IFERROR(__xludf.DUMMYFUNCTION("""COMPUTED_VALUE"""),"Maximum Frequency Stack")</f>
        <v>Maximum Frequency Stack</v>
      </c>
      <c r="C81" s="8" t="str">
        <f ca="1">IFERROR(__xludf.DUMMYFUNCTION("""COMPUTED_VALUE"""),"https://leetcode.com/problems/maximum-frequency-stack")</f>
        <v>https://leetcode.com/problems/maximum-frequency-stack</v>
      </c>
      <c r="D81" s="3" t="str">
        <f ca="1">IFERROR(__xludf.DUMMYFUNCTION("""COMPUTED_VALUE"""),"N")</f>
        <v>N</v>
      </c>
      <c r="E81" s="6">
        <f ca="1">IFERROR(__xludf.DUMMYFUNCTION("""COMPUTED_VALUE"""),0.668)</f>
        <v>0.66800000000000004</v>
      </c>
      <c r="F81" s="3" t="str">
        <f ca="1">IFERROR(__xludf.DUMMYFUNCTION("""COMPUTED_VALUE"""),"Hard")</f>
        <v>Hard</v>
      </c>
      <c r="G81" s="3" t="str">
        <f ca="1">IFERROR(__xludf.DUMMYFUNCTION("""COMPUTED_VALUE"""),"33.3224%;")</f>
        <v>33.3224%;</v>
      </c>
    </row>
    <row r="82" spans="1:7" x14ac:dyDescent="0.2">
      <c r="A82" s="3">
        <f ca="1">IFERROR(__xludf.DUMMYFUNCTION("""COMPUTED_VALUE"""),903)</f>
        <v>903</v>
      </c>
      <c r="B82" s="4" t="str">
        <f ca="1">IFERROR(__xludf.DUMMYFUNCTION("""COMPUTED_VALUE"""),"Valid Permutations for DI Sequence")</f>
        <v>Valid Permutations for DI Sequence</v>
      </c>
      <c r="C82" s="8" t="str">
        <f ca="1">IFERROR(__xludf.DUMMYFUNCTION("""COMPUTED_VALUE"""),"https://leetcode.com/problems/valid-permutations-for-di-sequence")</f>
        <v>https://leetcode.com/problems/valid-permutations-for-di-sequence</v>
      </c>
      <c r="D82" s="3" t="str">
        <f ca="1">IFERROR(__xludf.DUMMYFUNCTION("""COMPUTED_VALUE"""),"N")</f>
        <v>N</v>
      </c>
      <c r="E82" s="6">
        <f ca="1">IFERROR(__xludf.DUMMYFUNCTION("""COMPUTED_VALUE"""),0.577)</f>
        <v>0.57699999999999996</v>
      </c>
      <c r="F82" s="3" t="str">
        <f ca="1">IFERROR(__xludf.DUMMYFUNCTION("""COMPUTED_VALUE"""),"Hard")</f>
        <v>Hard</v>
      </c>
      <c r="G82" s="3" t="str">
        <f ca="1">IFERROR(__xludf.DUMMYFUNCTION("""COMPUTED_VALUE"""),"41.6627%;")</f>
        <v>41.6627%;</v>
      </c>
    </row>
    <row r="83" spans="1:7" x14ac:dyDescent="0.2">
      <c r="A83" s="3">
        <f ca="1">IFERROR(__xludf.DUMMYFUNCTION("""COMPUTED_VALUE"""),968)</f>
        <v>968</v>
      </c>
      <c r="B83" s="4" t="str">
        <f ca="1">IFERROR(__xludf.DUMMYFUNCTION("""COMPUTED_VALUE"""),"Binary Tree Cameras")</f>
        <v>Binary Tree Cameras</v>
      </c>
      <c r="C83" s="8" t="str">
        <f ca="1">IFERROR(__xludf.DUMMYFUNCTION("""COMPUTED_VALUE"""),"https://leetcode.com/problems/binary-tree-cameras")</f>
        <v>https://leetcode.com/problems/binary-tree-cameras</v>
      </c>
      <c r="D83" s="3" t="str">
        <f ca="1">IFERROR(__xludf.DUMMYFUNCTION("""COMPUTED_VALUE"""),"N")</f>
        <v>N</v>
      </c>
      <c r="E83" s="6">
        <f ca="1">IFERROR(__xludf.DUMMYFUNCTION("""COMPUTED_VALUE"""),0.468)</f>
        <v>0.46800000000000003</v>
      </c>
      <c r="F83" s="3" t="str">
        <f ca="1">IFERROR(__xludf.DUMMYFUNCTION("""COMPUTED_VALUE"""),"Hard")</f>
        <v>Hard</v>
      </c>
      <c r="G83" s="3" t="str">
        <f ca="1">IFERROR(__xludf.DUMMYFUNCTION("""COMPUTED_VALUE"""),"28.0752%;")</f>
        <v>28.0752%;</v>
      </c>
    </row>
    <row r="84" spans="1:7" x14ac:dyDescent="0.2">
      <c r="A84" s="3">
        <f ca="1">IFERROR(__xludf.DUMMYFUNCTION("""COMPUTED_VALUE"""),987)</f>
        <v>987</v>
      </c>
      <c r="B84" s="4" t="str">
        <f ca="1">IFERROR(__xludf.DUMMYFUNCTION("""COMPUTED_VALUE"""),"Vertical Order Traversal of a Binary Tree")</f>
        <v>Vertical Order Traversal of a Binary Tree</v>
      </c>
      <c r="C84" s="8" t="str">
        <f ca="1">IFERROR(__xludf.DUMMYFUNCTION("""COMPUTED_VALUE"""),"https://leetcode.com/problems/vertical-order-traversal-of-a-binary-tree")</f>
        <v>https://leetcode.com/problems/vertical-order-traversal-of-a-binary-tree</v>
      </c>
      <c r="D84" s="3" t="str">
        <f ca="1">IFERROR(__xludf.DUMMYFUNCTION("""COMPUTED_VALUE"""),"N")</f>
        <v>N</v>
      </c>
      <c r="E84" s="6">
        <f ca="1">IFERROR(__xludf.DUMMYFUNCTION("""COMPUTED_VALUE"""),0.447)</f>
        <v>0.44700000000000001</v>
      </c>
      <c r="F84" s="3" t="str">
        <f ca="1">IFERROR(__xludf.DUMMYFUNCTION("""COMPUTED_VALUE"""),"Hard")</f>
        <v>Hard</v>
      </c>
      <c r="G84" s="3" t="str">
        <f ca="1">IFERROR(__xludf.DUMMYFUNCTION("""COMPUTED_VALUE"""),"30.2917%;")</f>
        <v>30.2917%;</v>
      </c>
    </row>
    <row r="85" spans="1:7" x14ac:dyDescent="0.2">
      <c r="A85" s="3">
        <f ca="1">IFERROR(__xludf.DUMMYFUNCTION("""COMPUTED_VALUE"""),992)</f>
        <v>992</v>
      </c>
      <c r="B85" s="4" t="str">
        <f ca="1">IFERROR(__xludf.DUMMYFUNCTION("""COMPUTED_VALUE"""),"Subarrays with K Different Integers")</f>
        <v>Subarrays with K Different Integers</v>
      </c>
      <c r="C85" s="8" t="str">
        <f ca="1">IFERROR(__xludf.DUMMYFUNCTION("""COMPUTED_VALUE"""),"https://leetcode.com/problems/subarrays-with-k-different-integers")</f>
        <v>https://leetcode.com/problems/subarrays-with-k-different-integers</v>
      </c>
      <c r="D85" s="3" t="str">
        <f ca="1">IFERROR(__xludf.DUMMYFUNCTION("""COMPUTED_VALUE"""),"N")</f>
        <v>N</v>
      </c>
      <c r="E85" s="6">
        <f ca="1">IFERROR(__xludf.DUMMYFUNCTION("""COMPUTED_VALUE"""),0.544)</f>
        <v>0.54400000000000004</v>
      </c>
      <c r="F85" s="3" t="str">
        <f ca="1">IFERROR(__xludf.DUMMYFUNCTION("""COMPUTED_VALUE"""),"Hard")</f>
        <v>Hard</v>
      </c>
      <c r="G85" s="3" t="str">
        <f ca="1">IFERROR(__xludf.DUMMYFUNCTION("""COMPUTED_VALUE"""),"12.6529%;")</f>
        <v>12.6529%;</v>
      </c>
    </row>
    <row r="86" spans="1:7" x14ac:dyDescent="0.2">
      <c r="A86" s="3">
        <f ca="1">IFERROR(__xludf.DUMMYFUNCTION("""COMPUTED_VALUE"""),1032)</f>
        <v>1032</v>
      </c>
      <c r="B86" s="4" t="str">
        <f ca="1">IFERROR(__xludf.DUMMYFUNCTION("""COMPUTED_VALUE"""),"Stream of Characters")</f>
        <v>Stream of Characters</v>
      </c>
      <c r="C86" s="8" t="str">
        <f ca="1">IFERROR(__xludf.DUMMYFUNCTION("""COMPUTED_VALUE"""),"https://leetcode.com/problems/stream-of-characters")</f>
        <v>https://leetcode.com/problems/stream-of-characters</v>
      </c>
      <c r="D86" s="3" t="str">
        <f ca="1">IFERROR(__xludf.DUMMYFUNCTION("""COMPUTED_VALUE"""),"N")</f>
        <v>N</v>
      </c>
      <c r="E86" s="6">
        <f ca="1">IFERROR(__xludf.DUMMYFUNCTION("""COMPUTED_VALUE"""),0.516)</f>
        <v>0.51600000000000001</v>
      </c>
      <c r="F86" s="3" t="str">
        <f ca="1">IFERROR(__xludf.DUMMYFUNCTION("""COMPUTED_VALUE"""),"Hard")</f>
        <v>Hard</v>
      </c>
      <c r="G86" s="3" t="str">
        <f ca="1">IFERROR(__xludf.DUMMYFUNCTION("""COMPUTED_VALUE"""),"15.4166%;")</f>
        <v>15.4166%;</v>
      </c>
    </row>
    <row r="87" spans="1:7" x14ac:dyDescent="0.2">
      <c r="A87" s="3">
        <f ca="1">IFERROR(__xludf.DUMMYFUNCTION("""COMPUTED_VALUE"""),1044)</f>
        <v>1044</v>
      </c>
      <c r="B87" s="4" t="str">
        <f ca="1">IFERROR(__xludf.DUMMYFUNCTION("""COMPUTED_VALUE"""),"Longest Duplicate Substring")</f>
        <v>Longest Duplicate Substring</v>
      </c>
      <c r="C87" s="8" t="str">
        <f ca="1">IFERROR(__xludf.DUMMYFUNCTION("""COMPUTED_VALUE"""),"https://leetcode.com/problems/longest-duplicate-substring")</f>
        <v>https://leetcode.com/problems/longest-duplicate-substring</v>
      </c>
      <c r="D87" s="3" t="str">
        <f ca="1">IFERROR(__xludf.DUMMYFUNCTION("""COMPUTED_VALUE"""),"N")</f>
        <v>N</v>
      </c>
      <c r="E87" s="6">
        <f ca="1">IFERROR(__xludf.DUMMYFUNCTION("""COMPUTED_VALUE"""),0.306)</f>
        <v>0.30599999999999999</v>
      </c>
      <c r="F87" s="3" t="str">
        <f ca="1">IFERROR(__xludf.DUMMYFUNCTION("""COMPUTED_VALUE"""),"Hard")</f>
        <v>Hard</v>
      </c>
      <c r="G87" s="3" t="str">
        <f ca="1">IFERROR(__xludf.DUMMYFUNCTION("""COMPUTED_VALUE"""),"52.8976%;")</f>
        <v>52.8976%;</v>
      </c>
    </row>
    <row r="88" spans="1:7" x14ac:dyDescent="0.2">
      <c r="A88" s="3">
        <f ca="1">IFERROR(__xludf.DUMMYFUNCTION("""COMPUTED_VALUE"""),1216)</f>
        <v>1216</v>
      </c>
      <c r="B88" s="4" t="str">
        <f ca="1">IFERROR(__xludf.DUMMYFUNCTION("""COMPUTED_VALUE"""),"Valid Palindrome III")</f>
        <v>Valid Palindrome III</v>
      </c>
      <c r="C88" s="8" t="str">
        <f ca="1">IFERROR(__xludf.DUMMYFUNCTION("""COMPUTED_VALUE"""),"https://leetcode.com/problems/valid-palindrome-iii")</f>
        <v>https://leetcode.com/problems/valid-palindrome-iii</v>
      </c>
      <c r="D88" s="3" t="str">
        <f ca="1">IFERROR(__xludf.DUMMYFUNCTION("""COMPUTED_VALUE"""),"Y")</f>
        <v>Y</v>
      </c>
      <c r="E88" s="6">
        <f ca="1">IFERROR(__xludf.DUMMYFUNCTION("""COMPUTED_VALUE"""),0.501)</f>
        <v>0.501</v>
      </c>
      <c r="F88" s="3" t="str">
        <f ca="1">IFERROR(__xludf.DUMMYFUNCTION("""COMPUTED_VALUE"""),"Hard")</f>
        <v>Hard</v>
      </c>
      <c r="G88" s="3" t="str">
        <f ca="1">IFERROR(__xludf.DUMMYFUNCTION("""COMPUTED_VALUE"""),"29.4431%;")</f>
        <v>29.4431%;</v>
      </c>
    </row>
    <row r="89" spans="1:7" x14ac:dyDescent="0.2">
      <c r="A89" s="3">
        <f ca="1">IFERROR(__xludf.DUMMYFUNCTION("""COMPUTED_VALUE"""),1192)</f>
        <v>1192</v>
      </c>
      <c r="B89" s="4" t="str">
        <f ca="1">IFERROR(__xludf.DUMMYFUNCTION("""COMPUTED_VALUE"""),"Critical Connections in a Network")</f>
        <v>Critical Connections in a Network</v>
      </c>
      <c r="C89" s="8" t="str">
        <f ca="1">IFERROR(__xludf.DUMMYFUNCTION("""COMPUTED_VALUE"""),"https://leetcode.com/problems/critical-connections-in-a-network")</f>
        <v>https://leetcode.com/problems/critical-connections-in-a-network</v>
      </c>
      <c r="D89" s="3" t="str">
        <f ca="1">IFERROR(__xludf.DUMMYFUNCTION("""COMPUTED_VALUE"""),"N")</f>
        <v>N</v>
      </c>
      <c r="E89" s="6">
        <f ca="1">IFERROR(__xludf.DUMMYFUNCTION("""COMPUTED_VALUE"""),0.545)</f>
        <v>0.54500000000000004</v>
      </c>
      <c r="F89" s="3" t="str">
        <f ca="1">IFERROR(__xludf.DUMMYFUNCTION("""COMPUTED_VALUE"""),"Hard")</f>
        <v>Hard</v>
      </c>
      <c r="G89" s="3" t="str">
        <f ca="1">IFERROR(__xludf.DUMMYFUNCTION("""COMPUTED_VALUE"""),"17.4543%;")</f>
        <v>17.4543%;</v>
      </c>
    </row>
    <row r="90" spans="1:7" x14ac:dyDescent="0.2">
      <c r="A90" s="3">
        <f ca="1">IFERROR(__xludf.DUMMYFUNCTION("""COMPUTED_VALUE"""),1944)</f>
        <v>1944</v>
      </c>
      <c r="B90" s="4" t="str">
        <f ca="1">IFERROR(__xludf.DUMMYFUNCTION("""COMPUTED_VALUE"""),"Number of Visible People in a Queue")</f>
        <v>Number of Visible People in a Queue</v>
      </c>
      <c r="C90" s="8" t="str">
        <f ca="1">IFERROR(__xludf.DUMMYFUNCTION("""COMPUTED_VALUE"""),"https://leetcode.com/problems/number-of-visible-people-in-a-queue")</f>
        <v>https://leetcode.com/problems/number-of-visible-people-in-a-queue</v>
      </c>
      <c r="D90" s="3" t="str">
        <f ca="1">IFERROR(__xludf.DUMMYFUNCTION("""COMPUTED_VALUE"""),"N")</f>
        <v>N</v>
      </c>
      <c r="E90" s="6">
        <f ca="1">IFERROR(__xludf.DUMMYFUNCTION("""COMPUTED_VALUE"""),0.697)</f>
        <v>0.69699999999999995</v>
      </c>
      <c r="F90" s="3" t="str">
        <f ca="1">IFERROR(__xludf.DUMMYFUNCTION("""COMPUTED_VALUE"""),"Hard")</f>
        <v>Hard</v>
      </c>
      <c r="G90" s="3" t="str">
        <f ca="1">IFERROR(__xludf.DUMMYFUNCTION("""COMPUTED_VALUE"""),"22.4815%;")</f>
        <v>22.4815%;</v>
      </c>
    </row>
    <row r="91" spans="1:7" x14ac:dyDescent="0.2">
      <c r="A91" s="3">
        <f ca="1">IFERROR(__xludf.DUMMYFUNCTION("""COMPUTED_VALUE"""),1203)</f>
        <v>1203</v>
      </c>
      <c r="B91" s="4" t="str">
        <f ca="1">IFERROR(__xludf.DUMMYFUNCTION("""COMPUTED_VALUE"""),"Sort Items by Groups Respecting Dependencies")</f>
        <v>Sort Items by Groups Respecting Dependencies</v>
      </c>
      <c r="C91" s="8" t="str">
        <f ca="1">IFERROR(__xludf.DUMMYFUNCTION("""COMPUTED_VALUE"""),"https://leetcode.com/problems/sort-items-by-groups-respecting-dependencies")</f>
        <v>https://leetcode.com/problems/sort-items-by-groups-respecting-dependencies</v>
      </c>
      <c r="D91" s="3" t="str">
        <f ca="1">IFERROR(__xludf.DUMMYFUNCTION("""COMPUTED_VALUE"""),"N")</f>
        <v>N</v>
      </c>
      <c r="E91" s="6">
        <f ca="1">IFERROR(__xludf.DUMMYFUNCTION("""COMPUTED_VALUE"""),0.506)</f>
        <v>0.50600000000000001</v>
      </c>
      <c r="F91" s="3" t="str">
        <f ca="1">IFERROR(__xludf.DUMMYFUNCTION("""COMPUTED_VALUE"""),"Hard")</f>
        <v>Hard</v>
      </c>
      <c r="G91" s="3" t="str">
        <f ca="1">IFERROR(__xludf.DUMMYFUNCTION("""COMPUTED_VALUE"""),"33.0855%;")</f>
        <v>33.0855%;</v>
      </c>
    </row>
    <row r="92" spans="1:7" x14ac:dyDescent="0.2">
      <c r="A92" s="3">
        <f ca="1">IFERROR(__xludf.DUMMYFUNCTION("""COMPUTED_VALUE"""),1220)</f>
        <v>1220</v>
      </c>
      <c r="B92" s="4" t="str">
        <f ca="1">IFERROR(__xludf.DUMMYFUNCTION("""COMPUTED_VALUE"""),"Count Vowels Permutation")</f>
        <v>Count Vowels Permutation</v>
      </c>
      <c r="C92" s="8" t="str">
        <f ca="1">IFERROR(__xludf.DUMMYFUNCTION("""COMPUTED_VALUE"""),"https://leetcode.com/problems/count-vowels-permutation")</f>
        <v>https://leetcode.com/problems/count-vowels-permutation</v>
      </c>
      <c r="D92" s="3" t="str">
        <f ca="1">IFERROR(__xludf.DUMMYFUNCTION("""COMPUTED_VALUE"""),"N")</f>
        <v>N</v>
      </c>
      <c r="E92" s="6">
        <f ca="1">IFERROR(__xludf.DUMMYFUNCTION("""COMPUTED_VALUE"""),0.606)</f>
        <v>0.60599999999999998</v>
      </c>
      <c r="F92" s="3" t="str">
        <f ca="1">IFERROR(__xludf.DUMMYFUNCTION("""COMPUTED_VALUE"""),"Hard")</f>
        <v>Hard</v>
      </c>
      <c r="G92" s="3" t="str">
        <f ca="1">IFERROR(__xludf.DUMMYFUNCTION("""COMPUTED_VALUE"""),"15.7911%;")</f>
        <v>15.7911%;</v>
      </c>
    </row>
    <row r="93" spans="1:7" x14ac:dyDescent="0.2">
      <c r="A93" s="3">
        <f ca="1">IFERROR(__xludf.DUMMYFUNCTION("""COMPUTED_VALUE"""),1235)</f>
        <v>1235</v>
      </c>
      <c r="B93" s="4" t="str">
        <f ca="1">IFERROR(__xludf.DUMMYFUNCTION("""COMPUTED_VALUE"""),"Maximum Profit in Job Scheduling")</f>
        <v>Maximum Profit in Job Scheduling</v>
      </c>
      <c r="C93" s="8" t="str">
        <f ca="1">IFERROR(__xludf.DUMMYFUNCTION("""COMPUTED_VALUE"""),"https://leetcode.com/problems/maximum-profit-in-job-scheduling")</f>
        <v>https://leetcode.com/problems/maximum-profit-in-job-scheduling</v>
      </c>
      <c r="D93" s="3" t="str">
        <f ca="1">IFERROR(__xludf.DUMMYFUNCTION("""COMPUTED_VALUE"""),"N")</f>
        <v>N</v>
      </c>
      <c r="E93" s="6">
        <f ca="1">IFERROR(__xludf.DUMMYFUNCTION("""COMPUTED_VALUE"""),0.512)</f>
        <v>0.51200000000000001</v>
      </c>
      <c r="F93" s="3" t="str">
        <f ca="1">IFERROR(__xludf.DUMMYFUNCTION("""COMPUTED_VALUE"""),"Hard")</f>
        <v>Hard</v>
      </c>
      <c r="G93" s="3" t="str">
        <f ca="1">IFERROR(__xludf.DUMMYFUNCTION("""COMPUTED_VALUE"""),"8.3894%;")</f>
        <v>8.3894%;</v>
      </c>
    </row>
    <row r="94" spans="1:7" x14ac:dyDescent="0.2">
      <c r="A94" s="3">
        <f ca="1">IFERROR(__xludf.DUMMYFUNCTION("""COMPUTED_VALUE"""),2193)</f>
        <v>2193</v>
      </c>
      <c r="B94" s="4" t="str">
        <f ca="1">IFERROR(__xludf.DUMMYFUNCTION("""COMPUTED_VALUE"""),"Minimum Number of Moves to Make Palindrome")</f>
        <v>Minimum Number of Moves to Make Palindrome</v>
      </c>
      <c r="C94" s="8" t="str">
        <f ca="1">IFERROR(__xludf.DUMMYFUNCTION("""COMPUTED_VALUE"""),"https://leetcode.com/problems/minimum-number-of-moves-to-make-palindrome")</f>
        <v>https://leetcode.com/problems/minimum-number-of-moves-to-make-palindrome</v>
      </c>
      <c r="D94" s="3" t="str">
        <f ca="1">IFERROR(__xludf.DUMMYFUNCTION("""COMPUTED_VALUE"""),"N")</f>
        <v>N</v>
      </c>
      <c r="E94" s="6">
        <f ca="1">IFERROR(__xludf.DUMMYFUNCTION("""COMPUTED_VALUE"""),0.514)</f>
        <v>0.51400000000000001</v>
      </c>
      <c r="F94" s="3" t="str">
        <f ca="1">IFERROR(__xludf.DUMMYFUNCTION("""COMPUTED_VALUE"""),"Hard")</f>
        <v>Hard</v>
      </c>
      <c r="G94" s="3" t="str">
        <f ca="1">IFERROR(__xludf.DUMMYFUNCTION("""COMPUTED_VALUE"""),"87.7661%;")</f>
        <v>87.7661%;</v>
      </c>
    </row>
    <row r="95" spans="1:7" x14ac:dyDescent="0.2">
      <c r="A95" s="3">
        <f ca="1">IFERROR(__xludf.DUMMYFUNCTION("""COMPUTED_VALUE"""),1293)</f>
        <v>1293</v>
      </c>
      <c r="B95" s="4" t="str">
        <f ca="1">IFERROR(__xludf.DUMMYFUNCTION("""COMPUTED_VALUE"""),"Shortest Path in a Grid with Obstacles Elimination")</f>
        <v>Shortest Path in a Grid with Obstacles Elimination</v>
      </c>
      <c r="C95" s="8" t="str">
        <f ca="1">IFERROR(__xludf.DUMMYFUNCTION("""COMPUTED_VALUE"""),"https://leetcode.com/problems/shortest-path-in-a-grid-with-obstacles-elimination")</f>
        <v>https://leetcode.com/problems/shortest-path-in-a-grid-with-obstacles-elimination</v>
      </c>
      <c r="D95" s="3" t="str">
        <f ca="1">IFERROR(__xludf.DUMMYFUNCTION("""COMPUTED_VALUE"""),"N")</f>
        <v>N</v>
      </c>
      <c r="E95" s="6">
        <f ca="1">IFERROR(__xludf.DUMMYFUNCTION("""COMPUTED_VALUE"""),0.456)</f>
        <v>0.45600000000000002</v>
      </c>
      <c r="F95" s="3" t="str">
        <f ca="1">IFERROR(__xludf.DUMMYFUNCTION("""COMPUTED_VALUE"""),"Hard")</f>
        <v>Hard</v>
      </c>
      <c r="G95" s="3" t="str">
        <f ca="1">IFERROR(__xludf.DUMMYFUNCTION("""COMPUTED_VALUE"""),"24.3059%;")</f>
        <v>24.3059%;</v>
      </c>
    </row>
    <row r="96" spans="1:7" x14ac:dyDescent="0.2">
      <c r="A96" s="3">
        <f ca="1">IFERROR(__xludf.DUMMYFUNCTION("""COMPUTED_VALUE"""),1345)</f>
        <v>1345</v>
      </c>
      <c r="B96" s="4" t="str">
        <f ca="1">IFERROR(__xludf.DUMMYFUNCTION("""COMPUTED_VALUE"""),"Jump Game IV")</f>
        <v>Jump Game IV</v>
      </c>
      <c r="C96" s="8" t="str">
        <f ca="1">IFERROR(__xludf.DUMMYFUNCTION("""COMPUTED_VALUE"""),"https://leetcode.com/problems/jump-game-iv")</f>
        <v>https://leetcode.com/problems/jump-game-iv</v>
      </c>
      <c r="D96" s="3" t="str">
        <f ca="1">IFERROR(__xludf.DUMMYFUNCTION("""COMPUTED_VALUE"""),"N")</f>
        <v>N</v>
      </c>
      <c r="E96" s="6">
        <f ca="1">IFERROR(__xludf.DUMMYFUNCTION("""COMPUTED_VALUE"""),0.44)</f>
        <v>0.44</v>
      </c>
      <c r="F96" s="3" t="str">
        <f ca="1">IFERROR(__xludf.DUMMYFUNCTION("""COMPUTED_VALUE"""),"Hard")</f>
        <v>Hard</v>
      </c>
      <c r="G96" s="3" t="str">
        <f ca="1">IFERROR(__xludf.DUMMYFUNCTION("""COMPUTED_VALUE"""),"18.588%;")</f>
        <v>18.588%;</v>
      </c>
    </row>
    <row r="97" spans="1:7" x14ac:dyDescent="0.2">
      <c r="A97" s="3">
        <f ca="1">IFERROR(__xludf.DUMMYFUNCTION("""COMPUTED_VALUE"""),1326)</f>
        <v>1326</v>
      </c>
      <c r="B97" s="4" t="str">
        <f ca="1">IFERROR(__xludf.DUMMYFUNCTION("""COMPUTED_VALUE"""),"Minimum Number of Taps to Open to Water a Garden")</f>
        <v>Minimum Number of Taps to Open to Water a Garden</v>
      </c>
      <c r="C97" s="8" t="str">
        <f ca="1">IFERROR(__xludf.DUMMYFUNCTION("""COMPUTED_VALUE"""),"https://leetcode.com/problems/minimum-number-of-taps-to-open-to-water-a-garden")</f>
        <v>https://leetcode.com/problems/minimum-number-of-taps-to-open-to-water-a-garden</v>
      </c>
      <c r="D97" s="3" t="str">
        <f ca="1">IFERROR(__xludf.DUMMYFUNCTION("""COMPUTED_VALUE"""),"N")</f>
        <v>N</v>
      </c>
      <c r="E97" s="6">
        <f ca="1">IFERROR(__xludf.DUMMYFUNCTION("""COMPUTED_VALUE"""),0.477)</f>
        <v>0.47699999999999998</v>
      </c>
      <c r="F97" s="3" t="str">
        <f ca="1">IFERROR(__xludf.DUMMYFUNCTION("""COMPUTED_VALUE"""),"Hard")</f>
        <v>Hard</v>
      </c>
      <c r="G97" s="3" t="str">
        <f ca="1">IFERROR(__xludf.DUMMYFUNCTION("""COMPUTED_VALUE"""),"12.2646%;")</f>
        <v>12.2646%;</v>
      </c>
    </row>
    <row r="98" spans="1:7" x14ac:dyDescent="0.2">
      <c r="A98" s="3">
        <f ca="1">IFERROR(__xludf.DUMMYFUNCTION("""COMPUTED_VALUE"""),1335)</f>
        <v>1335</v>
      </c>
      <c r="B98" s="4" t="str">
        <f ca="1">IFERROR(__xludf.DUMMYFUNCTION("""COMPUTED_VALUE"""),"Minimum Difficulty of a Job Schedule")</f>
        <v>Minimum Difficulty of a Job Schedule</v>
      </c>
      <c r="C98" s="8" t="str">
        <f ca="1">IFERROR(__xludf.DUMMYFUNCTION("""COMPUTED_VALUE"""),"https://leetcode.com/problems/minimum-difficulty-of-a-job-schedule")</f>
        <v>https://leetcode.com/problems/minimum-difficulty-of-a-job-schedule</v>
      </c>
      <c r="D98" s="3" t="str">
        <f ca="1">IFERROR(__xludf.DUMMYFUNCTION("""COMPUTED_VALUE"""),"N")</f>
        <v>N</v>
      </c>
      <c r="E98" s="6">
        <f ca="1">IFERROR(__xludf.DUMMYFUNCTION("""COMPUTED_VALUE"""),0.587)</f>
        <v>0.58699999999999997</v>
      </c>
      <c r="F98" s="3" t="str">
        <f ca="1">IFERROR(__xludf.DUMMYFUNCTION("""COMPUTED_VALUE"""),"Hard")</f>
        <v>Hard</v>
      </c>
      <c r="G98" s="3" t="str">
        <f ca="1">IFERROR(__xludf.DUMMYFUNCTION("""COMPUTED_VALUE"""),"38.2393%;")</f>
        <v>38.2393%;</v>
      </c>
    </row>
    <row r="99" spans="1:7" x14ac:dyDescent="0.2">
      <c r="A99" s="3">
        <f ca="1">IFERROR(__xludf.DUMMYFUNCTION("""COMPUTED_VALUE"""),1340)</f>
        <v>1340</v>
      </c>
      <c r="B99" s="4" t="str">
        <f ca="1">IFERROR(__xludf.DUMMYFUNCTION("""COMPUTED_VALUE"""),"Jump Game V")</f>
        <v>Jump Game V</v>
      </c>
      <c r="C99" s="8" t="str">
        <f ca="1">IFERROR(__xludf.DUMMYFUNCTION("""COMPUTED_VALUE"""),"https://leetcode.com/problems/jump-game-v")</f>
        <v>https://leetcode.com/problems/jump-game-v</v>
      </c>
      <c r="D99" s="3" t="str">
        <f ca="1">IFERROR(__xludf.DUMMYFUNCTION("""COMPUTED_VALUE"""),"N")</f>
        <v>N</v>
      </c>
      <c r="E99" s="6">
        <f ca="1">IFERROR(__xludf.DUMMYFUNCTION("""COMPUTED_VALUE"""),0.625)</f>
        <v>0.625</v>
      </c>
      <c r="F99" s="3" t="str">
        <f ca="1">IFERROR(__xludf.DUMMYFUNCTION("""COMPUTED_VALUE"""),"Hard")</f>
        <v>Hard</v>
      </c>
      <c r="G99" s="3" t="str">
        <f ca="1">IFERROR(__xludf.DUMMYFUNCTION("""COMPUTED_VALUE"""),"24.4174%;")</f>
        <v>24.4174%;</v>
      </c>
    </row>
    <row r="100" spans="1:7" x14ac:dyDescent="0.2">
      <c r="A100" s="3">
        <f ca="1">IFERROR(__xludf.DUMMYFUNCTION("""COMPUTED_VALUE"""),1354)</f>
        <v>1354</v>
      </c>
      <c r="B100" s="4" t="str">
        <f ca="1">IFERROR(__xludf.DUMMYFUNCTION("""COMPUTED_VALUE"""),"Construct Target Array With Multiple Sums")</f>
        <v>Construct Target Array With Multiple Sums</v>
      </c>
      <c r="C100" s="8" t="str">
        <f ca="1">IFERROR(__xludf.DUMMYFUNCTION("""COMPUTED_VALUE"""),"https://leetcode.com/problems/construct-target-array-with-multiple-sums")</f>
        <v>https://leetcode.com/problems/construct-target-array-with-multiple-sums</v>
      </c>
      <c r="D100" s="3" t="str">
        <f ca="1">IFERROR(__xludf.DUMMYFUNCTION("""COMPUTED_VALUE"""),"N")</f>
        <v>N</v>
      </c>
      <c r="E100" s="6">
        <f ca="1">IFERROR(__xludf.DUMMYFUNCTION("""COMPUTED_VALUE"""),0.363)</f>
        <v>0.36299999999999999</v>
      </c>
      <c r="F100" s="3" t="str">
        <f ca="1">IFERROR(__xludf.DUMMYFUNCTION("""COMPUTED_VALUE"""),"Hard")</f>
        <v>Hard</v>
      </c>
      <c r="G100" s="3" t="str">
        <f ca="1">IFERROR(__xludf.DUMMYFUNCTION("""COMPUTED_VALUE"""),"19.088%;")</f>
        <v>19.088%;</v>
      </c>
    </row>
    <row r="101" spans="1:7" x14ac:dyDescent="0.2">
      <c r="A101" s="3">
        <f ca="1">IFERROR(__xludf.DUMMYFUNCTION("""COMPUTED_VALUE"""),1383)</f>
        <v>1383</v>
      </c>
      <c r="B101" s="4" t="str">
        <f ca="1">IFERROR(__xludf.DUMMYFUNCTION("""COMPUTED_VALUE"""),"Maximum Performance of a Team")</f>
        <v>Maximum Performance of a Team</v>
      </c>
      <c r="C101" s="8" t="str">
        <f ca="1">IFERROR(__xludf.DUMMYFUNCTION("""COMPUTED_VALUE"""),"https://leetcode.com/problems/maximum-performance-of-a-team")</f>
        <v>https://leetcode.com/problems/maximum-performance-of-a-team</v>
      </c>
      <c r="D101" s="3" t="str">
        <f ca="1">IFERROR(__xludf.DUMMYFUNCTION("""COMPUTED_VALUE"""),"N")</f>
        <v>N</v>
      </c>
      <c r="E101" s="6">
        <f ca="1">IFERROR(__xludf.DUMMYFUNCTION("""COMPUTED_VALUE"""),0.489)</f>
        <v>0.48899999999999999</v>
      </c>
      <c r="F101" s="3" t="str">
        <f ca="1">IFERROR(__xludf.DUMMYFUNCTION("""COMPUTED_VALUE"""),"Hard")</f>
        <v>Hard</v>
      </c>
      <c r="G101" s="3" t="str">
        <f ca="1">IFERROR(__xludf.DUMMYFUNCTION("""COMPUTED_VALUE"""),"45.6746%;")</f>
        <v>45.6746%;</v>
      </c>
    </row>
    <row r="102" spans="1:7" x14ac:dyDescent="0.2">
      <c r="A102" s="3">
        <f ca="1">IFERROR(__xludf.DUMMYFUNCTION("""COMPUTED_VALUE"""),1547)</f>
        <v>1547</v>
      </c>
      <c r="B102" s="4" t="str">
        <f ca="1">IFERROR(__xludf.DUMMYFUNCTION("""COMPUTED_VALUE"""),"Minimum Cost to Cut a Stick")</f>
        <v>Minimum Cost to Cut a Stick</v>
      </c>
      <c r="C102" s="8" t="str">
        <f ca="1">IFERROR(__xludf.DUMMYFUNCTION("""COMPUTED_VALUE"""),"https://leetcode.com/problems/minimum-cost-to-cut-a-stick")</f>
        <v>https://leetcode.com/problems/minimum-cost-to-cut-a-stick</v>
      </c>
      <c r="D102" s="3" t="str">
        <f ca="1">IFERROR(__xludf.DUMMYFUNCTION("""COMPUTED_VALUE"""),"N")</f>
        <v>N</v>
      </c>
      <c r="E102" s="6">
        <f ca="1">IFERROR(__xludf.DUMMYFUNCTION("""COMPUTED_VALUE"""),0.569)</f>
        <v>0.56899999999999995</v>
      </c>
      <c r="F102" s="3" t="str">
        <f ca="1">IFERROR(__xludf.DUMMYFUNCTION("""COMPUTED_VALUE"""),"Hard")</f>
        <v>Hard</v>
      </c>
      <c r="G102" s="3" t="str">
        <f ca="1">IFERROR(__xludf.DUMMYFUNCTION("""COMPUTED_VALUE"""),"24.6726%;")</f>
        <v>24.6726%;</v>
      </c>
    </row>
    <row r="103" spans="1:7" x14ac:dyDescent="0.2">
      <c r="A103" s="3">
        <f ca="1">IFERROR(__xludf.DUMMYFUNCTION("""COMPUTED_VALUE"""),1563)</f>
        <v>1563</v>
      </c>
      <c r="B103" s="4" t="str">
        <f ca="1">IFERROR(__xludf.DUMMYFUNCTION("""COMPUTED_VALUE"""),"Stone Game V")</f>
        <v>Stone Game V</v>
      </c>
      <c r="C103" s="8" t="str">
        <f ca="1">IFERROR(__xludf.DUMMYFUNCTION("""COMPUTED_VALUE"""),"https://leetcode.com/problems/stone-game-v")</f>
        <v>https://leetcode.com/problems/stone-game-v</v>
      </c>
      <c r="D103" s="3" t="str">
        <f ca="1">IFERROR(__xludf.DUMMYFUNCTION("""COMPUTED_VALUE"""),"N")</f>
        <v>N</v>
      </c>
      <c r="E103" s="6">
        <f ca="1">IFERROR(__xludf.DUMMYFUNCTION("""COMPUTED_VALUE"""),0.406)</f>
        <v>0.40600000000000003</v>
      </c>
      <c r="F103" s="3" t="str">
        <f ca="1">IFERROR(__xludf.DUMMYFUNCTION("""COMPUTED_VALUE"""),"Hard")</f>
        <v>Hard</v>
      </c>
      <c r="G103" s="3" t="str">
        <f ca="1">IFERROR(__xludf.DUMMYFUNCTION("""COMPUTED_VALUE"""),"19.6872%;")</f>
        <v>19.6872%;</v>
      </c>
    </row>
    <row r="104" spans="1:7" x14ac:dyDescent="0.2">
      <c r="A104" s="3">
        <f ca="1">IFERROR(__xludf.DUMMYFUNCTION("""COMPUTED_VALUE"""),1597)</f>
        <v>1597</v>
      </c>
      <c r="B104" s="4" t="str">
        <f ca="1">IFERROR(__xludf.DUMMYFUNCTION("""COMPUTED_VALUE"""),"Build Binary Expression Tree From Infix Expression")</f>
        <v>Build Binary Expression Tree From Infix Expression</v>
      </c>
      <c r="C104" s="8" t="str">
        <f ca="1">IFERROR(__xludf.DUMMYFUNCTION("""COMPUTED_VALUE"""),"https://leetcode.com/problems/build-binary-expression-tree-from-infix-expression")</f>
        <v>https://leetcode.com/problems/build-binary-expression-tree-from-infix-expression</v>
      </c>
      <c r="D104" s="3" t="str">
        <f ca="1">IFERROR(__xludf.DUMMYFUNCTION("""COMPUTED_VALUE"""),"Y")</f>
        <v>Y</v>
      </c>
      <c r="E104" s="6">
        <f ca="1">IFERROR(__xludf.DUMMYFUNCTION("""COMPUTED_VALUE"""),0.623)</f>
        <v>0.623</v>
      </c>
      <c r="F104" s="3" t="str">
        <f ca="1">IFERROR(__xludf.DUMMYFUNCTION("""COMPUTED_VALUE"""),"Hard")</f>
        <v>Hard</v>
      </c>
      <c r="G104" s="3" t="str">
        <f ca="1">IFERROR(__xludf.DUMMYFUNCTION("""COMPUTED_VALUE"""),"64.3988%;")</f>
        <v>64.3988%;</v>
      </c>
    </row>
    <row r="105" spans="1:7" x14ac:dyDescent="0.2">
      <c r="A105" s="3">
        <f ca="1">IFERROR(__xludf.DUMMYFUNCTION("""COMPUTED_VALUE"""),1723)</f>
        <v>1723</v>
      </c>
      <c r="B105" s="4" t="str">
        <f ca="1">IFERROR(__xludf.DUMMYFUNCTION("""COMPUTED_VALUE"""),"Find Minimum Time to Finish All Jobs")</f>
        <v>Find Minimum Time to Finish All Jobs</v>
      </c>
      <c r="C105" s="8" t="str">
        <f ca="1">IFERROR(__xludf.DUMMYFUNCTION("""COMPUTED_VALUE"""),"https://leetcode.com/problems/find-minimum-time-to-finish-all-jobs")</f>
        <v>https://leetcode.com/problems/find-minimum-time-to-finish-all-jobs</v>
      </c>
      <c r="D105" s="3" t="str">
        <f ca="1">IFERROR(__xludf.DUMMYFUNCTION("""COMPUTED_VALUE"""),"N")</f>
        <v>N</v>
      </c>
      <c r="E105" s="6">
        <f ca="1">IFERROR(__xludf.DUMMYFUNCTION("""COMPUTED_VALUE"""),0.427)</f>
        <v>0.42699999999999999</v>
      </c>
      <c r="F105" s="3" t="str">
        <f ca="1">IFERROR(__xludf.DUMMYFUNCTION("""COMPUTED_VALUE"""),"Hard")</f>
        <v>Hard</v>
      </c>
      <c r="G105" s="3" t="str">
        <f ca="1">IFERROR(__xludf.DUMMYFUNCTION("""COMPUTED_VALUE"""),"31.9628%;")</f>
        <v>31.9628%;</v>
      </c>
    </row>
    <row r="106" spans="1:7" x14ac:dyDescent="0.2">
      <c r="A106" s="3">
        <f ca="1">IFERROR(__xludf.DUMMYFUNCTION("""COMPUTED_VALUE"""),1972)</f>
        <v>1972</v>
      </c>
      <c r="B106" s="4" t="str">
        <f ca="1">IFERROR(__xludf.DUMMYFUNCTION("""COMPUTED_VALUE"""),"First and Last Call On the Same Day")</f>
        <v>First and Last Call On the Same Day</v>
      </c>
      <c r="C106" s="8" t="str">
        <f ca="1">IFERROR(__xludf.DUMMYFUNCTION("""COMPUTED_VALUE"""),"https://leetcode.com/problems/first-and-last-call-on-the-same-day")</f>
        <v>https://leetcode.com/problems/first-and-last-call-on-the-same-day</v>
      </c>
      <c r="D106" s="3" t="str">
        <f ca="1">IFERROR(__xludf.DUMMYFUNCTION("""COMPUTED_VALUE"""),"Y")</f>
        <v>Y</v>
      </c>
      <c r="E106" s="6">
        <f ca="1">IFERROR(__xludf.DUMMYFUNCTION("""COMPUTED_VALUE"""),0.534)</f>
        <v>0.53400000000000003</v>
      </c>
      <c r="F106" s="3" t="str">
        <f ca="1">IFERROR(__xludf.DUMMYFUNCTION("""COMPUTED_VALUE"""),"Hard")</f>
        <v>Hard</v>
      </c>
      <c r="G106" s="3" t="str">
        <f ca="1">IFERROR(__xludf.DUMMYFUNCTION("""COMPUTED_VALUE"""),"45.6746%;")</f>
        <v>45.6746%;</v>
      </c>
    </row>
    <row r="107" spans="1:7" x14ac:dyDescent="0.2">
      <c r="A107" s="3">
        <f ca="1">IFERROR(__xludf.DUMMYFUNCTION("""COMPUTED_VALUE"""),2035)</f>
        <v>2035</v>
      </c>
      <c r="B107" s="4" t="str">
        <f ca="1">IFERROR(__xludf.DUMMYFUNCTION("""COMPUTED_VALUE"""),"Partition Array Into Two Arrays to Minimize Sum Difference")</f>
        <v>Partition Array Into Two Arrays to Minimize Sum Difference</v>
      </c>
      <c r="C107" s="8" t="str">
        <f ca="1">IFERROR(__xludf.DUMMYFUNCTION("""COMPUTED_VALUE"""),"https://leetcode.com/problems/partition-array-into-two-arrays-to-minimize-sum-difference")</f>
        <v>https://leetcode.com/problems/partition-array-into-two-arrays-to-minimize-sum-difference</v>
      </c>
      <c r="D107" s="3" t="str">
        <f ca="1">IFERROR(__xludf.DUMMYFUNCTION("""COMPUTED_VALUE"""),"N")</f>
        <v>N</v>
      </c>
      <c r="E107" s="6">
        <f ca="1">IFERROR(__xludf.DUMMYFUNCTION("""COMPUTED_VALUE"""),0.183)</f>
        <v>0.183</v>
      </c>
      <c r="F107" s="3" t="str">
        <f ca="1">IFERROR(__xludf.DUMMYFUNCTION("""COMPUTED_VALUE"""),"Hard")</f>
        <v>Hard</v>
      </c>
      <c r="G107" s="3" t="str">
        <f ca="1">IFERROR(__xludf.DUMMYFUNCTION("""COMPUTED_VALUE"""),"5.79688%;")</f>
        <v>5.79688%;</v>
      </c>
    </row>
    <row r="108" spans="1:7" x14ac:dyDescent="0.2">
      <c r="A108" s="3">
        <f ca="1">IFERROR(__xludf.DUMMYFUNCTION("""COMPUTED_VALUE"""),2102)</f>
        <v>2102</v>
      </c>
      <c r="B108" s="4" t="str">
        <f ca="1">IFERROR(__xludf.DUMMYFUNCTION("""COMPUTED_VALUE"""),"Sequentially Ordinal Rank Tracker")</f>
        <v>Sequentially Ordinal Rank Tracker</v>
      </c>
      <c r="C108" s="8" t="str">
        <f ca="1">IFERROR(__xludf.DUMMYFUNCTION("""COMPUTED_VALUE"""),"https://leetcode.com/problems/sequentially-ordinal-rank-tracker")</f>
        <v>https://leetcode.com/problems/sequentially-ordinal-rank-tracker</v>
      </c>
      <c r="D108" s="3" t="str">
        <f ca="1">IFERROR(__xludf.DUMMYFUNCTION("""COMPUTED_VALUE"""),"N")</f>
        <v>N</v>
      </c>
      <c r="E108" s="6">
        <f ca="1">IFERROR(__xludf.DUMMYFUNCTION("""COMPUTED_VALUE"""),0.663)</f>
        <v>0.66300000000000003</v>
      </c>
      <c r="F108" s="3" t="str">
        <f ca="1">IFERROR(__xludf.DUMMYFUNCTION("""COMPUTED_VALUE"""),"Hard")</f>
        <v>Hard</v>
      </c>
      <c r="G108" s="3" t="str">
        <f ca="1">IFERROR(__xludf.DUMMYFUNCTION("""COMPUTED_VALUE"""),"76.442%;")</f>
        <v>76.442%;</v>
      </c>
    </row>
    <row r="109" spans="1:7" x14ac:dyDescent="0.2">
      <c r="A109" s="3">
        <f ca="1">IFERROR(__xludf.DUMMYFUNCTION("""COMPUTED_VALUE"""),2163)</f>
        <v>2163</v>
      </c>
      <c r="B109" s="4" t="str">
        <f ca="1">IFERROR(__xludf.DUMMYFUNCTION("""COMPUTED_VALUE"""),"Minimum Difference in Sums After Removal of Elements")</f>
        <v>Minimum Difference in Sums After Removal of Elements</v>
      </c>
      <c r="C109" s="8" t="str">
        <f ca="1">IFERROR(__xludf.DUMMYFUNCTION("""COMPUTED_VALUE"""),"https://leetcode.com/problems/minimum-difference-in-sums-after-removal-of-elements")</f>
        <v>https://leetcode.com/problems/minimum-difference-in-sums-after-removal-of-elements</v>
      </c>
      <c r="D109" s="3" t="str">
        <f ca="1">IFERROR(__xludf.DUMMYFUNCTION("""COMPUTED_VALUE"""),"N")</f>
        <v>N</v>
      </c>
      <c r="E109" s="6">
        <f ca="1">IFERROR(__xludf.DUMMYFUNCTION("""COMPUTED_VALUE"""),0.466)</f>
        <v>0.46600000000000003</v>
      </c>
      <c r="F109" s="3" t="str">
        <f ca="1">IFERROR(__xludf.DUMMYFUNCTION("""COMPUTED_VALUE"""),"Hard")</f>
        <v>Hard</v>
      </c>
      <c r="G109" s="3" t="str">
        <f ca="1">IFERROR(__xludf.DUMMYFUNCTION("""COMPUTED_VALUE"""),"40.0067%;")</f>
        <v>40.0067%;</v>
      </c>
    </row>
    <row r="110" spans="1:7" x14ac:dyDescent="0.2">
      <c r="A110" s="3">
        <f ca="1">IFERROR(__xludf.DUMMYFUNCTION("""COMPUTED_VALUE"""),2234)</f>
        <v>2234</v>
      </c>
      <c r="B110" s="4" t="str">
        <f ca="1">IFERROR(__xludf.DUMMYFUNCTION("""COMPUTED_VALUE"""),"Maximum Total Beauty of the Gardens")</f>
        <v>Maximum Total Beauty of the Gardens</v>
      </c>
      <c r="C110" s="8" t="str">
        <f ca="1">IFERROR(__xludf.DUMMYFUNCTION("""COMPUTED_VALUE"""),"https://leetcode.com/problems/maximum-total-beauty-of-the-gardens")</f>
        <v>https://leetcode.com/problems/maximum-total-beauty-of-the-gardens</v>
      </c>
      <c r="D110" s="3" t="str">
        <f ca="1">IFERROR(__xludf.DUMMYFUNCTION("""COMPUTED_VALUE"""),"N")</f>
        <v>N</v>
      </c>
      <c r="E110" s="6">
        <f ca="1">IFERROR(__xludf.DUMMYFUNCTION("""COMPUTED_VALUE"""),0.282)</f>
        <v>0.28199999999999997</v>
      </c>
      <c r="F110" s="3" t="str">
        <f ca="1">IFERROR(__xludf.DUMMYFUNCTION("""COMPUTED_VALUE"""),"Hard")</f>
        <v>Hard</v>
      </c>
      <c r="G110" s="3" t="str">
        <f ca="1">IFERROR(__xludf.DUMMYFUNCTION("""COMPUTED_VALUE"""),"52.8976%;")</f>
        <v>52.8976%;</v>
      </c>
    </row>
    <row r="111" spans="1:7" x14ac:dyDescent="0.2">
      <c r="A111" s="3">
        <f ca="1">IFERROR(__xludf.DUMMYFUNCTION("""COMPUTED_VALUE"""),2262)</f>
        <v>2262</v>
      </c>
      <c r="B111" s="4" t="str">
        <f ca="1">IFERROR(__xludf.DUMMYFUNCTION("""COMPUTED_VALUE"""),"Total Appeal of A String")</f>
        <v>Total Appeal of A String</v>
      </c>
      <c r="C111" s="8" t="str">
        <f ca="1">IFERROR(__xludf.DUMMYFUNCTION("""COMPUTED_VALUE"""),"https://leetcode.com/problems/total-appeal-of-a-string")</f>
        <v>https://leetcode.com/problems/total-appeal-of-a-string</v>
      </c>
      <c r="D111" s="3" t="str">
        <f ca="1">IFERROR(__xludf.DUMMYFUNCTION("""COMPUTED_VALUE"""),"N")</f>
        <v>N</v>
      </c>
      <c r="E111" s="6">
        <f ca="1">IFERROR(__xludf.DUMMYFUNCTION("""COMPUTED_VALUE"""),0.583)</f>
        <v>0.58299999999999996</v>
      </c>
      <c r="F111" s="3" t="str">
        <f ca="1">IFERROR(__xludf.DUMMYFUNCTION("""COMPUTED_VALUE"""),"Hard")</f>
        <v>Hard</v>
      </c>
      <c r="G111" s="3" t="str">
        <f ca="1">IFERROR(__xludf.DUMMYFUNCTION("""COMPUTED_VALUE"""),"79.1995%;")</f>
        <v>79.1995%;</v>
      </c>
    </row>
    <row r="112" spans="1:7" x14ac:dyDescent="0.2">
      <c r="A112" s="3">
        <f ca="1">IFERROR(__xludf.DUMMYFUNCTION("""COMPUTED_VALUE"""),2272)</f>
        <v>2272</v>
      </c>
      <c r="B112" s="4" t="str">
        <f ca="1">IFERROR(__xludf.DUMMYFUNCTION("""COMPUTED_VALUE"""),"Substring With Largest Variance")</f>
        <v>Substring With Largest Variance</v>
      </c>
      <c r="C112" s="8" t="str">
        <f ca="1">IFERROR(__xludf.DUMMYFUNCTION("""COMPUTED_VALUE"""),"https://leetcode.com/problems/substring-with-largest-variance")</f>
        <v>https://leetcode.com/problems/substring-with-largest-variance</v>
      </c>
      <c r="D112" s="3" t="str">
        <f ca="1">IFERROR(__xludf.DUMMYFUNCTION("""COMPUTED_VALUE"""),"N")</f>
        <v>N</v>
      </c>
      <c r="E112" s="6">
        <f ca="1">IFERROR(__xludf.DUMMYFUNCTION("""COMPUTED_VALUE"""),0.375)</f>
        <v>0.375</v>
      </c>
      <c r="F112" s="3" t="str">
        <f ca="1">IFERROR(__xludf.DUMMYFUNCTION("""COMPUTED_VALUE"""),"Hard")</f>
        <v>Hard</v>
      </c>
      <c r="G112" s="3" t="str">
        <f ca="1">IFERROR(__xludf.DUMMYFUNCTION("""COMPUTED_VALUE"""),"100%;")</f>
        <v>100%;</v>
      </c>
    </row>
    <row r="113" spans="1:7" x14ac:dyDescent="0.2">
      <c r="A113" s="3">
        <f ca="1">IFERROR(__xludf.DUMMYFUNCTION("""COMPUTED_VALUE"""),2281)</f>
        <v>2281</v>
      </c>
      <c r="B113" s="4" t="str">
        <f ca="1">IFERROR(__xludf.DUMMYFUNCTION("""COMPUTED_VALUE"""),"Sum of Total Strength of Wizards")</f>
        <v>Sum of Total Strength of Wizards</v>
      </c>
      <c r="C113" s="8" t="str">
        <f ca="1">IFERROR(__xludf.DUMMYFUNCTION("""COMPUTED_VALUE"""),"https://leetcode.com/problems/sum-of-total-strength-of-wizards")</f>
        <v>https://leetcode.com/problems/sum-of-total-strength-of-wizards</v>
      </c>
      <c r="D113" s="3" t="str">
        <f ca="1">IFERROR(__xludf.DUMMYFUNCTION("""COMPUTED_VALUE"""),"N")</f>
        <v>N</v>
      </c>
      <c r="E113" s="6">
        <f ca="1">IFERROR(__xludf.DUMMYFUNCTION("""COMPUTED_VALUE"""),0.279)</f>
        <v>0.27900000000000003</v>
      </c>
      <c r="F113" s="3" t="str">
        <f ca="1">IFERROR(__xludf.DUMMYFUNCTION("""COMPUTED_VALUE"""),"Hard")</f>
        <v>Hard</v>
      </c>
      <c r="G113" s="3" t="str">
        <f ca="1">IFERROR(__xludf.DUMMYFUNCTION("""COMPUTED_VALUE"""),"97.704%;")</f>
        <v>97.704%;</v>
      </c>
    </row>
    <row r="114" spans="1:7" x14ac:dyDescent="0.2">
      <c r="A114" s="3">
        <f ca="1">IFERROR(__xludf.DUMMYFUNCTION("""COMPUTED_VALUE"""),2302)</f>
        <v>2302</v>
      </c>
      <c r="B114" s="4" t="str">
        <f ca="1">IFERROR(__xludf.DUMMYFUNCTION("""COMPUTED_VALUE"""),"Count Subarrays With Score Less Than K")</f>
        <v>Count Subarrays With Score Less Than K</v>
      </c>
      <c r="C114" s="8" t="str">
        <f ca="1">IFERROR(__xludf.DUMMYFUNCTION("""COMPUTED_VALUE"""),"https://leetcode.com/problems/count-subarrays-with-score-less-than-k")</f>
        <v>https://leetcode.com/problems/count-subarrays-with-score-less-than-k</v>
      </c>
      <c r="D114" s="3" t="str">
        <f ca="1">IFERROR(__xludf.DUMMYFUNCTION("""COMPUTED_VALUE"""),"N")</f>
        <v>N</v>
      </c>
      <c r="E114" s="6">
        <f ca="1">IFERROR(__xludf.DUMMYFUNCTION("""COMPUTED_VALUE"""),0.521)</f>
        <v>0.52100000000000002</v>
      </c>
      <c r="F114" s="3" t="str">
        <f ca="1">IFERROR(__xludf.DUMMYFUNCTION("""COMPUTED_VALUE"""),"Hard")</f>
        <v>Hard</v>
      </c>
      <c r="G114" s="3" t="str">
        <f ca="1">IFERROR(__xludf.DUMMYFUNCTION("""COMPUTED_VALUE"""),"18.5275%;")</f>
        <v>18.5275%;</v>
      </c>
    </row>
    <row r="115" spans="1:7" x14ac:dyDescent="0.2">
      <c r="A115" s="3">
        <f ca="1">IFERROR(__xludf.DUMMYFUNCTION("""COMPUTED_VALUE"""),2350)</f>
        <v>2350</v>
      </c>
      <c r="B115" s="4" t="str">
        <f ca="1">IFERROR(__xludf.DUMMYFUNCTION("""COMPUTED_VALUE"""),"Shortest Impossible Sequence of Rolls")</f>
        <v>Shortest Impossible Sequence of Rolls</v>
      </c>
      <c r="C115" s="8" t="str">
        <f ca="1">IFERROR(__xludf.DUMMYFUNCTION("""COMPUTED_VALUE"""),"https://leetcode.com/problems/shortest-impossible-sequence-of-rolls")</f>
        <v>https://leetcode.com/problems/shortest-impossible-sequence-of-rolls</v>
      </c>
      <c r="D115" s="3" t="str">
        <f ca="1">IFERROR(__xludf.DUMMYFUNCTION("""COMPUTED_VALUE"""),"N")</f>
        <v>N</v>
      </c>
      <c r="E115" s="6">
        <f ca="1">IFERROR(__xludf.DUMMYFUNCTION("""COMPUTED_VALUE"""),0.683)</f>
        <v>0.68300000000000005</v>
      </c>
      <c r="F115" s="3" t="str">
        <f ca="1">IFERROR(__xludf.DUMMYFUNCTION("""COMPUTED_VALUE"""),"Hard")</f>
        <v>Hard</v>
      </c>
      <c r="G115" s="3" t="str">
        <f ca="1">IFERROR(__xludf.DUMMYFUNCTION("""COMPUTED_VALUE"""),"23.4546%;")</f>
        <v>23.4546%;</v>
      </c>
    </row>
    <row r="116" spans="1:7" x14ac:dyDescent="0.2">
      <c r="A116" s="3">
        <f ca="1">IFERROR(__xludf.DUMMYFUNCTION("""COMPUTED_VALUE"""),2398)</f>
        <v>2398</v>
      </c>
      <c r="B116" s="4" t="str">
        <f ca="1">IFERROR(__xludf.DUMMYFUNCTION("""COMPUTED_VALUE"""),"Maximum Number of Robots Within Budget")</f>
        <v>Maximum Number of Robots Within Budget</v>
      </c>
      <c r="C116" s="8" t="str">
        <f ca="1">IFERROR(__xludf.DUMMYFUNCTION("""COMPUTED_VALUE"""),"https://leetcode.com/problems/maximum-number-of-robots-within-budget")</f>
        <v>https://leetcode.com/problems/maximum-number-of-robots-within-budget</v>
      </c>
      <c r="D116" s="3" t="str">
        <f ca="1">IFERROR(__xludf.DUMMYFUNCTION("""COMPUTED_VALUE"""),"N")</f>
        <v>N</v>
      </c>
      <c r="E116" s="6">
        <f ca="1">IFERROR(__xludf.DUMMYFUNCTION("""COMPUTED_VALUE"""),0.322)</f>
        <v>0.32200000000000001</v>
      </c>
      <c r="F116" s="3" t="str">
        <f ca="1">IFERROR(__xludf.DUMMYFUNCTION("""COMPUTED_VALUE"""),"Hard")</f>
        <v>Hard</v>
      </c>
      <c r="G116" s="3" t="str">
        <f ca="1">IFERROR(__xludf.DUMMYFUNCTION("""COMPUTED_VALUE"""),"75.8822%;")</f>
        <v>75.8822%;</v>
      </c>
    </row>
    <row r="117" spans="1:7" x14ac:dyDescent="0.2">
      <c r="A117" s="3">
        <f ca="1">IFERROR(__xludf.DUMMYFUNCTION("""COMPUTED_VALUE"""),2376)</f>
        <v>2376</v>
      </c>
      <c r="B117" s="4" t="str">
        <f ca="1">IFERROR(__xludf.DUMMYFUNCTION("""COMPUTED_VALUE"""),"Count Special Integers")</f>
        <v>Count Special Integers</v>
      </c>
      <c r="C117" s="8" t="str">
        <f ca="1">IFERROR(__xludf.DUMMYFUNCTION("""COMPUTED_VALUE"""),"https://leetcode.com/problems/count-special-integers")</f>
        <v>https://leetcode.com/problems/count-special-integers</v>
      </c>
      <c r="D117" s="3" t="str">
        <f ca="1">IFERROR(__xludf.DUMMYFUNCTION("""COMPUTED_VALUE"""),"N")</f>
        <v>N</v>
      </c>
      <c r="E117" s="6">
        <f ca="1">IFERROR(__xludf.DUMMYFUNCTION("""COMPUTED_VALUE"""),0.363)</f>
        <v>0.36299999999999999</v>
      </c>
      <c r="F117" s="3" t="str">
        <f ca="1">IFERROR(__xludf.DUMMYFUNCTION("""COMPUTED_VALUE"""),"Hard")</f>
        <v>Hard</v>
      </c>
      <c r="G117" s="3" t="str">
        <f ca="1">IFERROR(__xludf.DUMMYFUNCTION("""COMPUTED_VALUE"""),"37.183%;")</f>
        <v>37.183%;</v>
      </c>
    </row>
    <row r="118" spans="1:7" x14ac:dyDescent="0.2">
      <c r="A118" s="3">
        <f ca="1">IFERROR(__xludf.DUMMYFUNCTION("""COMPUTED_VALUE"""),2386)</f>
        <v>2386</v>
      </c>
      <c r="B118" s="4" t="str">
        <f ca="1">IFERROR(__xludf.DUMMYFUNCTION("""COMPUTED_VALUE"""),"Find the K-Sum of an Array")</f>
        <v>Find the K-Sum of an Array</v>
      </c>
      <c r="C118" s="8" t="str">
        <f ca="1">IFERROR(__xludf.DUMMYFUNCTION("""COMPUTED_VALUE"""),"https://leetcode.com/problems/find-the-k-sum-of-an-array")</f>
        <v>https://leetcode.com/problems/find-the-k-sum-of-an-array</v>
      </c>
      <c r="D118" s="3" t="str">
        <f ca="1">IFERROR(__xludf.DUMMYFUNCTION("""COMPUTED_VALUE"""),"N")</f>
        <v>N</v>
      </c>
      <c r="E118" s="6">
        <f ca="1">IFERROR(__xludf.DUMMYFUNCTION("""COMPUTED_VALUE"""),0.377)</f>
        <v>0.377</v>
      </c>
      <c r="F118" s="3" t="str">
        <f ca="1">IFERROR(__xludf.DUMMYFUNCTION("""COMPUTED_VALUE"""),"Hard")</f>
        <v>Hard</v>
      </c>
      <c r="G118" s="3" t="str">
        <f ca="1">IFERROR(__xludf.DUMMYFUNCTION("""COMPUTED_VALUE"""),"62.9952%;")</f>
        <v>62.9952%;</v>
      </c>
    </row>
    <row r="119" spans="1:7" x14ac:dyDescent="0.2">
      <c r="A119" s="3">
        <f ca="1">IFERROR(__xludf.DUMMYFUNCTION("""COMPUTED_VALUE"""),2355)</f>
        <v>2355</v>
      </c>
      <c r="B119" s="4" t="str">
        <f ca="1">IFERROR(__xludf.DUMMYFUNCTION("""COMPUTED_VALUE"""),"Maximum Number of Books You Can Take")</f>
        <v>Maximum Number of Books You Can Take</v>
      </c>
      <c r="C119" s="8" t="str">
        <f ca="1">IFERROR(__xludf.DUMMYFUNCTION("""COMPUTED_VALUE"""),"https://leetcode.com/problems/maximum-number-of-books-you-can-take")</f>
        <v>https://leetcode.com/problems/maximum-number-of-books-you-can-take</v>
      </c>
      <c r="D119" s="3" t="str">
        <f ca="1">IFERROR(__xludf.DUMMYFUNCTION("""COMPUTED_VALUE"""),"Y")</f>
        <v>Y</v>
      </c>
      <c r="E119" s="6">
        <f ca="1">IFERROR(__xludf.DUMMYFUNCTION("""COMPUTED_VALUE"""),0.456)</f>
        <v>0.45600000000000002</v>
      </c>
      <c r="F119" s="3" t="str">
        <f ca="1">IFERROR(__xludf.DUMMYFUNCTION("""COMPUTED_VALUE"""),"Hard")</f>
        <v>Hard</v>
      </c>
      <c r="G119" s="3" t="str">
        <f ca="1">IFERROR(__xludf.DUMMYFUNCTION("""COMPUTED_VALUE"""),"90.0621%;")</f>
        <v>90.0621%;</v>
      </c>
    </row>
    <row r="120" spans="1:7" x14ac:dyDescent="0.2">
      <c r="B120" s="4"/>
      <c r="C120" s="4"/>
    </row>
    <row r="121" spans="1:7" x14ac:dyDescent="0.2">
      <c r="B121" s="4"/>
      <c r="C121" s="4"/>
    </row>
    <row r="122" spans="1:7" x14ac:dyDescent="0.2">
      <c r="B122" s="4"/>
      <c r="C122" s="4"/>
    </row>
    <row r="123" spans="1:7" x14ac:dyDescent="0.2">
      <c r="B123" s="4"/>
      <c r="C123" s="4"/>
    </row>
    <row r="124" spans="1:7" x14ac:dyDescent="0.2">
      <c r="B124" s="4"/>
      <c r="C124" s="4"/>
    </row>
    <row r="125" spans="1:7" x14ac:dyDescent="0.2">
      <c r="B125" s="4"/>
      <c r="C125" s="4"/>
    </row>
    <row r="126" spans="1:7" x14ac:dyDescent="0.2">
      <c r="B126" s="4"/>
      <c r="C126" s="4"/>
    </row>
    <row r="127" spans="1:7" x14ac:dyDescent="0.2">
      <c r="B127" s="4"/>
      <c r="C127" s="4"/>
    </row>
    <row r="128" spans="1:7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  <row r="294" spans="2:3" x14ac:dyDescent="0.2">
      <c r="B294" s="4"/>
      <c r="C294" s="4"/>
    </row>
    <row r="295" spans="2:3" x14ac:dyDescent="0.2">
      <c r="B295" s="4"/>
      <c r="C295" s="4"/>
    </row>
    <row r="296" spans="2:3" x14ac:dyDescent="0.2">
      <c r="B296" s="4"/>
      <c r="C296" s="4"/>
    </row>
    <row r="297" spans="2:3" x14ac:dyDescent="0.2">
      <c r="B297" s="4"/>
      <c r="C297" s="4"/>
    </row>
    <row r="298" spans="2:3" x14ac:dyDescent="0.2">
      <c r="B298" s="4"/>
      <c r="C298" s="4"/>
    </row>
    <row r="299" spans="2:3" x14ac:dyDescent="0.2">
      <c r="B299" s="4"/>
      <c r="C299" s="4"/>
    </row>
    <row r="300" spans="2:3" x14ac:dyDescent="0.2">
      <c r="B300" s="4"/>
      <c r="C300" s="4"/>
    </row>
    <row r="301" spans="2:3" x14ac:dyDescent="0.2">
      <c r="B301" s="4"/>
      <c r="C301" s="4"/>
    </row>
    <row r="302" spans="2:3" x14ac:dyDescent="0.2">
      <c r="B302" s="4"/>
      <c r="C302" s="4"/>
    </row>
    <row r="303" spans="2:3" x14ac:dyDescent="0.2">
      <c r="B303" s="4"/>
      <c r="C303" s="4"/>
    </row>
    <row r="304" spans="2:3" x14ac:dyDescent="0.2">
      <c r="B304" s="4"/>
      <c r="C304" s="4"/>
    </row>
    <row r="305" spans="2:3" x14ac:dyDescent="0.2">
      <c r="B305" s="4"/>
      <c r="C305" s="4"/>
    </row>
    <row r="306" spans="2:3" x14ac:dyDescent="0.2">
      <c r="B306" s="4"/>
      <c r="C306" s="4"/>
    </row>
    <row r="307" spans="2:3" x14ac:dyDescent="0.2">
      <c r="B307" s="4"/>
      <c r="C307" s="4"/>
    </row>
    <row r="308" spans="2:3" x14ac:dyDescent="0.2">
      <c r="B308" s="4"/>
      <c r="C308" s="4"/>
    </row>
    <row r="309" spans="2:3" x14ac:dyDescent="0.2">
      <c r="B309" s="4"/>
      <c r="C309" s="4"/>
    </row>
    <row r="310" spans="2:3" x14ac:dyDescent="0.2">
      <c r="B310" s="4"/>
      <c r="C310" s="4"/>
    </row>
    <row r="311" spans="2:3" x14ac:dyDescent="0.2">
      <c r="B311" s="4"/>
      <c r="C311" s="4"/>
    </row>
    <row r="312" spans="2:3" x14ac:dyDescent="0.2">
      <c r="B312" s="4"/>
      <c r="C312" s="4"/>
    </row>
    <row r="313" spans="2:3" x14ac:dyDescent="0.2">
      <c r="B313" s="4"/>
      <c r="C313" s="4"/>
    </row>
    <row r="314" spans="2:3" x14ac:dyDescent="0.2">
      <c r="B314" s="4"/>
      <c r="C314" s="4"/>
    </row>
    <row r="315" spans="2:3" x14ac:dyDescent="0.2">
      <c r="B315" s="4"/>
      <c r="C315" s="4"/>
    </row>
    <row r="316" spans="2:3" x14ac:dyDescent="0.2">
      <c r="B316" s="4"/>
      <c r="C316" s="4"/>
    </row>
    <row r="317" spans="2:3" x14ac:dyDescent="0.2">
      <c r="B317" s="4"/>
      <c r="C317" s="4"/>
    </row>
    <row r="318" spans="2:3" x14ac:dyDescent="0.2">
      <c r="B318" s="4"/>
      <c r="C318" s="4"/>
    </row>
    <row r="319" spans="2:3" x14ac:dyDescent="0.2">
      <c r="B319" s="4"/>
      <c r="C319" s="4"/>
    </row>
    <row r="320" spans="2:3" x14ac:dyDescent="0.2">
      <c r="B320" s="4"/>
      <c r="C320" s="4"/>
    </row>
    <row r="321" spans="2:3" x14ac:dyDescent="0.2">
      <c r="B321" s="4"/>
      <c r="C321" s="4"/>
    </row>
    <row r="322" spans="2:3" x14ac:dyDescent="0.2">
      <c r="B322" s="4"/>
      <c r="C322" s="4"/>
    </row>
    <row r="323" spans="2:3" x14ac:dyDescent="0.2">
      <c r="B323" s="4"/>
      <c r="C323" s="4"/>
    </row>
    <row r="324" spans="2:3" x14ac:dyDescent="0.2">
      <c r="B324" s="4"/>
      <c r="C324" s="4"/>
    </row>
    <row r="325" spans="2:3" x14ac:dyDescent="0.2">
      <c r="B325" s="4"/>
      <c r="C325" s="4"/>
    </row>
    <row r="326" spans="2:3" x14ac:dyDescent="0.2">
      <c r="B326" s="4"/>
      <c r="C326" s="4"/>
    </row>
    <row r="327" spans="2:3" x14ac:dyDescent="0.2">
      <c r="B327" s="4"/>
      <c r="C327" s="4"/>
    </row>
    <row r="328" spans="2:3" x14ac:dyDescent="0.2">
      <c r="B328" s="4"/>
      <c r="C328" s="4"/>
    </row>
    <row r="329" spans="2:3" x14ac:dyDescent="0.2">
      <c r="B329" s="4"/>
      <c r="C329" s="4"/>
    </row>
    <row r="330" spans="2:3" x14ac:dyDescent="0.2">
      <c r="B330" s="4"/>
      <c r="C330" s="4"/>
    </row>
    <row r="331" spans="2:3" x14ac:dyDescent="0.2">
      <c r="B331" s="4"/>
      <c r="C331" s="4"/>
    </row>
    <row r="332" spans="2:3" x14ac:dyDescent="0.2">
      <c r="B332" s="4"/>
      <c r="C332" s="4"/>
    </row>
    <row r="333" spans="2:3" x14ac:dyDescent="0.2">
      <c r="B333" s="4"/>
      <c r="C333" s="4"/>
    </row>
    <row r="334" spans="2:3" x14ac:dyDescent="0.2">
      <c r="B334" s="4"/>
      <c r="C334" s="4"/>
    </row>
    <row r="335" spans="2:3" x14ac:dyDescent="0.2">
      <c r="B335" s="4"/>
      <c r="C335" s="4"/>
    </row>
    <row r="336" spans="2:3" x14ac:dyDescent="0.2">
      <c r="B336" s="4"/>
      <c r="C336" s="4"/>
    </row>
    <row r="337" spans="2:3" x14ac:dyDescent="0.2">
      <c r="B337" s="4"/>
      <c r="C337" s="4"/>
    </row>
    <row r="338" spans="2:3" x14ac:dyDescent="0.2">
      <c r="B338" s="4"/>
      <c r="C338" s="4"/>
    </row>
    <row r="339" spans="2:3" x14ac:dyDescent="0.2">
      <c r="B339" s="4"/>
      <c r="C339" s="4"/>
    </row>
    <row r="340" spans="2:3" x14ac:dyDescent="0.2">
      <c r="B340" s="4"/>
      <c r="C340" s="4"/>
    </row>
    <row r="341" spans="2:3" x14ac:dyDescent="0.2">
      <c r="B341" s="4"/>
      <c r="C341" s="4"/>
    </row>
    <row r="342" spans="2:3" x14ac:dyDescent="0.2">
      <c r="B342" s="4"/>
      <c r="C342" s="4"/>
    </row>
    <row r="343" spans="2:3" x14ac:dyDescent="0.2">
      <c r="B343" s="4"/>
      <c r="C343" s="4"/>
    </row>
    <row r="344" spans="2:3" x14ac:dyDescent="0.2">
      <c r="B344" s="4"/>
      <c r="C344" s="4"/>
    </row>
    <row r="345" spans="2:3" x14ac:dyDescent="0.2">
      <c r="B345" s="4"/>
      <c r="C345" s="4"/>
    </row>
    <row r="346" spans="2:3" x14ac:dyDescent="0.2">
      <c r="B346" s="4"/>
      <c r="C346" s="4"/>
    </row>
    <row r="347" spans="2:3" x14ac:dyDescent="0.2">
      <c r="B347" s="4"/>
      <c r="C347" s="4"/>
    </row>
    <row r="348" spans="2:3" x14ac:dyDescent="0.2">
      <c r="B348" s="4"/>
      <c r="C348" s="4"/>
    </row>
    <row r="349" spans="2:3" x14ac:dyDescent="0.2">
      <c r="B349" s="4"/>
      <c r="C349" s="4"/>
    </row>
    <row r="350" spans="2:3" x14ac:dyDescent="0.2">
      <c r="B350" s="4"/>
      <c r="C350" s="4"/>
    </row>
    <row r="351" spans="2:3" x14ac:dyDescent="0.2">
      <c r="B351" s="4"/>
      <c r="C351" s="4"/>
    </row>
    <row r="352" spans="2:3" x14ac:dyDescent="0.2">
      <c r="B352" s="4"/>
      <c r="C352" s="4"/>
    </row>
    <row r="353" spans="2:3" x14ac:dyDescent="0.2">
      <c r="B353" s="4"/>
      <c r="C353" s="4"/>
    </row>
    <row r="354" spans="2:3" x14ac:dyDescent="0.2">
      <c r="B354" s="4"/>
      <c r="C354" s="4"/>
    </row>
    <row r="355" spans="2:3" x14ac:dyDescent="0.2">
      <c r="B355" s="4"/>
      <c r="C355" s="4"/>
    </row>
    <row r="356" spans="2:3" x14ac:dyDescent="0.2">
      <c r="B356" s="4"/>
      <c r="C356" s="4"/>
    </row>
    <row r="357" spans="2:3" x14ac:dyDescent="0.2">
      <c r="B357" s="4"/>
      <c r="C357" s="4"/>
    </row>
    <row r="358" spans="2:3" x14ac:dyDescent="0.2">
      <c r="B358" s="4"/>
      <c r="C358" s="4"/>
    </row>
    <row r="359" spans="2:3" x14ac:dyDescent="0.2">
      <c r="B359" s="4"/>
      <c r="C359" s="4"/>
    </row>
    <row r="360" spans="2:3" x14ac:dyDescent="0.2">
      <c r="B360" s="4"/>
      <c r="C360" s="4"/>
    </row>
    <row r="361" spans="2:3" x14ac:dyDescent="0.2">
      <c r="B361" s="4"/>
      <c r="C361" s="4"/>
    </row>
    <row r="362" spans="2:3" x14ac:dyDescent="0.2">
      <c r="B362" s="4"/>
      <c r="C362" s="4"/>
    </row>
    <row r="363" spans="2:3" x14ac:dyDescent="0.2">
      <c r="B363" s="4"/>
      <c r="C363" s="4"/>
    </row>
    <row r="364" spans="2:3" x14ac:dyDescent="0.2">
      <c r="B364" s="4"/>
      <c r="C364" s="4"/>
    </row>
    <row r="365" spans="2:3" x14ac:dyDescent="0.2">
      <c r="B365" s="4"/>
      <c r="C365" s="4"/>
    </row>
    <row r="366" spans="2:3" x14ac:dyDescent="0.2">
      <c r="B366" s="4"/>
      <c r="C366" s="4"/>
    </row>
    <row r="367" spans="2:3" x14ac:dyDescent="0.2">
      <c r="B367" s="4"/>
      <c r="C367" s="4"/>
    </row>
    <row r="368" spans="2:3" x14ac:dyDescent="0.2">
      <c r="B368" s="4"/>
      <c r="C368" s="4"/>
    </row>
    <row r="369" spans="2:3" x14ac:dyDescent="0.2">
      <c r="B369" s="4"/>
      <c r="C369" s="4"/>
    </row>
    <row r="370" spans="2:3" x14ac:dyDescent="0.2">
      <c r="B370" s="4"/>
      <c r="C370" s="4"/>
    </row>
    <row r="371" spans="2:3" x14ac:dyDescent="0.2">
      <c r="B371" s="4"/>
      <c r="C371" s="4"/>
    </row>
    <row r="372" spans="2:3" x14ac:dyDescent="0.2">
      <c r="B372" s="4"/>
      <c r="C372" s="4"/>
    </row>
    <row r="373" spans="2:3" x14ac:dyDescent="0.2">
      <c r="B373" s="4"/>
      <c r="C373" s="4"/>
    </row>
    <row r="374" spans="2:3" x14ac:dyDescent="0.2">
      <c r="B374" s="4"/>
      <c r="C374" s="4"/>
    </row>
    <row r="375" spans="2:3" x14ac:dyDescent="0.2">
      <c r="B375" s="4"/>
      <c r="C375" s="4"/>
    </row>
    <row r="376" spans="2:3" x14ac:dyDescent="0.2">
      <c r="B376" s="4"/>
      <c r="C376" s="4"/>
    </row>
    <row r="377" spans="2:3" x14ac:dyDescent="0.2">
      <c r="B377" s="4"/>
      <c r="C377" s="4"/>
    </row>
    <row r="378" spans="2:3" x14ac:dyDescent="0.2">
      <c r="B378" s="4"/>
      <c r="C378" s="4"/>
    </row>
    <row r="379" spans="2:3" x14ac:dyDescent="0.2">
      <c r="B379" s="4"/>
      <c r="C379" s="4"/>
    </row>
    <row r="380" spans="2:3" x14ac:dyDescent="0.2">
      <c r="B380" s="4"/>
      <c r="C380" s="4"/>
    </row>
    <row r="381" spans="2:3" x14ac:dyDescent="0.2">
      <c r="B381" s="4"/>
      <c r="C381" s="4"/>
    </row>
    <row r="382" spans="2:3" x14ac:dyDescent="0.2">
      <c r="B382" s="4"/>
      <c r="C382" s="4"/>
    </row>
    <row r="383" spans="2:3" x14ac:dyDescent="0.2">
      <c r="B383" s="4"/>
      <c r="C383" s="4"/>
    </row>
    <row r="384" spans="2:3" x14ac:dyDescent="0.2">
      <c r="B384" s="4"/>
      <c r="C384" s="4"/>
    </row>
    <row r="385" spans="2:3" x14ac:dyDescent="0.2">
      <c r="B385" s="4"/>
      <c r="C385" s="4"/>
    </row>
    <row r="386" spans="2:3" x14ac:dyDescent="0.2">
      <c r="B386" s="4"/>
      <c r="C386" s="4"/>
    </row>
    <row r="387" spans="2:3" x14ac:dyDescent="0.2">
      <c r="B387" s="4"/>
      <c r="C387" s="4"/>
    </row>
    <row r="388" spans="2:3" x14ac:dyDescent="0.2">
      <c r="B388" s="4"/>
      <c r="C388" s="4"/>
    </row>
    <row r="389" spans="2:3" x14ac:dyDescent="0.2">
      <c r="B389" s="4"/>
      <c r="C389" s="4"/>
    </row>
    <row r="390" spans="2:3" x14ac:dyDescent="0.2">
      <c r="B390" s="4"/>
      <c r="C390" s="4"/>
    </row>
    <row r="391" spans="2:3" x14ac:dyDescent="0.2">
      <c r="B391" s="4"/>
      <c r="C391" s="4"/>
    </row>
    <row r="392" spans="2:3" x14ac:dyDescent="0.2">
      <c r="B392" s="4"/>
      <c r="C392" s="4"/>
    </row>
    <row r="393" spans="2:3" x14ac:dyDescent="0.2">
      <c r="B393" s="4"/>
      <c r="C393" s="4"/>
    </row>
    <row r="394" spans="2:3" x14ac:dyDescent="0.2">
      <c r="B394" s="4"/>
      <c r="C394" s="4"/>
    </row>
    <row r="395" spans="2:3" x14ac:dyDescent="0.2">
      <c r="B395" s="4"/>
      <c r="C395" s="4"/>
    </row>
    <row r="396" spans="2:3" x14ac:dyDescent="0.2">
      <c r="B396" s="4"/>
      <c r="C396" s="4"/>
    </row>
    <row r="397" spans="2:3" x14ac:dyDescent="0.2">
      <c r="B397" s="4"/>
      <c r="C397" s="4"/>
    </row>
    <row r="398" spans="2:3" x14ac:dyDescent="0.2">
      <c r="B398" s="4"/>
      <c r="C398" s="4"/>
    </row>
    <row r="399" spans="2:3" x14ac:dyDescent="0.2">
      <c r="B399" s="4"/>
      <c r="C399" s="4"/>
    </row>
    <row r="400" spans="2:3" x14ac:dyDescent="0.2">
      <c r="B400" s="4"/>
      <c r="C400" s="4"/>
    </row>
    <row r="401" spans="2:3" x14ac:dyDescent="0.2">
      <c r="B401" s="4"/>
      <c r="C401" s="4"/>
    </row>
    <row r="402" spans="2:3" x14ac:dyDescent="0.2">
      <c r="B402" s="4"/>
      <c r="C402" s="4"/>
    </row>
    <row r="403" spans="2:3" x14ac:dyDescent="0.2">
      <c r="B403" s="4"/>
      <c r="C403" s="4"/>
    </row>
    <row r="404" spans="2:3" x14ac:dyDescent="0.2">
      <c r="B404" s="4"/>
      <c r="C404" s="4"/>
    </row>
    <row r="405" spans="2:3" x14ac:dyDescent="0.2">
      <c r="B405" s="4"/>
      <c r="C405" s="4"/>
    </row>
    <row r="406" spans="2:3" x14ac:dyDescent="0.2">
      <c r="B406" s="4"/>
      <c r="C406" s="4"/>
    </row>
    <row r="407" spans="2:3" x14ac:dyDescent="0.2">
      <c r="B407" s="4"/>
      <c r="C407" s="4"/>
    </row>
    <row r="408" spans="2:3" x14ac:dyDescent="0.2">
      <c r="B408" s="4"/>
      <c r="C408" s="4"/>
    </row>
    <row r="409" spans="2:3" x14ac:dyDescent="0.2">
      <c r="B409" s="4"/>
      <c r="C409" s="4"/>
    </row>
    <row r="410" spans="2:3" x14ac:dyDescent="0.2">
      <c r="B410" s="4"/>
      <c r="C410" s="4"/>
    </row>
    <row r="411" spans="2:3" x14ac:dyDescent="0.2">
      <c r="B411" s="4"/>
      <c r="C411" s="4"/>
    </row>
    <row r="412" spans="2:3" x14ac:dyDescent="0.2">
      <c r="B412" s="4"/>
      <c r="C412" s="4"/>
    </row>
    <row r="413" spans="2:3" x14ac:dyDescent="0.2">
      <c r="B413" s="4"/>
      <c r="C413" s="4"/>
    </row>
    <row r="414" spans="2:3" x14ac:dyDescent="0.2">
      <c r="B414" s="4"/>
      <c r="C414" s="4"/>
    </row>
    <row r="415" spans="2:3" x14ac:dyDescent="0.2">
      <c r="B415" s="4"/>
      <c r="C415" s="4"/>
    </row>
    <row r="416" spans="2:3" x14ac:dyDescent="0.2">
      <c r="B416" s="4"/>
      <c r="C416" s="4"/>
    </row>
    <row r="417" spans="2:3" x14ac:dyDescent="0.2">
      <c r="B417" s="4"/>
      <c r="C417" s="4"/>
    </row>
    <row r="418" spans="2:3" x14ac:dyDescent="0.2">
      <c r="B418" s="4"/>
      <c r="C418" s="4"/>
    </row>
    <row r="419" spans="2:3" x14ac:dyDescent="0.2">
      <c r="B419" s="4"/>
      <c r="C419" s="4"/>
    </row>
    <row r="420" spans="2:3" x14ac:dyDescent="0.2">
      <c r="B420" s="4"/>
      <c r="C420" s="4"/>
    </row>
    <row r="421" spans="2:3" x14ac:dyDescent="0.2">
      <c r="B421" s="4"/>
      <c r="C421" s="4"/>
    </row>
    <row r="422" spans="2:3" x14ac:dyDescent="0.2">
      <c r="B422" s="4"/>
      <c r="C422" s="4"/>
    </row>
    <row r="423" spans="2:3" x14ac:dyDescent="0.2">
      <c r="B423" s="4"/>
      <c r="C423" s="4"/>
    </row>
    <row r="424" spans="2:3" x14ac:dyDescent="0.2">
      <c r="B424" s="4"/>
      <c r="C424" s="4"/>
    </row>
    <row r="425" spans="2:3" x14ac:dyDescent="0.2">
      <c r="B425" s="4"/>
      <c r="C425" s="4"/>
    </row>
    <row r="426" spans="2:3" x14ac:dyDescent="0.2">
      <c r="B426" s="4"/>
      <c r="C426" s="4"/>
    </row>
    <row r="427" spans="2:3" x14ac:dyDescent="0.2">
      <c r="B427" s="4"/>
      <c r="C427" s="4"/>
    </row>
    <row r="428" spans="2:3" x14ac:dyDescent="0.2">
      <c r="B428" s="4"/>
      <c r="C428" s="4"/>
    </row>
    <row r="429" spans="2:3" x14ac:dyDescent="0.2">
      <c r="B429" s="4"/>
      <c r="C429" s="4"/>
    </row>
    <row r="430" spans="2:3" x14ac:dyDescent="0.2">
      <c r="B430" s="4"/>
      <c r="C430" s="4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4"/>
      <c r="C435" s="4"/>
    </row>
    <row r="436" spans="2:3" x14ac:dyDescent="0.2">
      <c r="B436" s="4"/>
      <c r="C436" s="4"/>
    </row>
    <row r="437" spans="2:3" x14ac:dyDescent="0.2">
      <c r="B437" s="4"/>
      <c r="C437" s="4"/>
    </row>
    <row r="438" spans="2:3" x14ac:dyDescent="0.2">
      <c r="B438" s="4"/>
      <c r="C438" s="4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4"/>
      <c r="C446" s="4"/>
    </row>
    <row r="447" spans="2:3" x14ac:dyDescent="0.2">
      <c r="B447" s="4"/>
      <c r="C447" s="4"/>
    </row>
    <row r="448" spans="2:3" x14ac:dyDescent="0.2">
      <c r="B448" s="4"/>
      <c r="C448" s="4"/>
    </row>
    <row r="449" spans="2:3" x14ac:dyDescent="0.2">
      <c r="B449" s="4"/>
      <c r="C449" s="4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4"/>
      <c r="C454" s="4"/>
    </row>
    <row r="455" spans="2:3" x14ac:dyDescent="0.2">
      <c r="B455" s="4"/>
      <c r="C455" s="4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4"/>
      <c r="C460" s="4"/>
    </row>
    <row r="461" spans="2:3" x14ac:dyDescent="0.2">
      <c r="B461" s="4"/>
      <c r="C461" s="4"/>
    </row>
    <row r="462" spans="2:3" x14ac:dyDescent="0.2">
      <c r="B462" s="4"/>
      <c r="C462" s="4"/>
    </row>
    <row r="463" spans="2:3" x14ac:dyDescent="0.2">
      <c r="B463" s="4"/>
      <c r="C463" s="4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4"/>
      <c r="C468" s="4"/>
    </row>
    <row r="469" spans="2:3" x14ac:dyDescent="0.2">
      <c r="B469" s="4"/>
      <c r="C469" s="4"/>
    </row>
    <row r="470" spans="2:3" x14ac:dyDescent="0.2">
      <c r="B470" s="4"/>
      <c r="C470" s="4"/>
    </row>
    <row r="471" spans="2:3" x14ac:dyDescent="0.2">
      <c r="B471" s="4"/>
      <c r="C471" s="4"/>
    </row>
    <row r="472" spans="2:3" x14ac:dyDescent="0.2">
      <c r="B472" s="4"/>
      <c r="C472" s="4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4"/>
      <c r="C495" s="4"/>
    </row>
    <row r="496" spans="2:3" x14ac:dyDescent="0.2">
      <c r="B496" s="4"/>
      <c r="C496" s="4"/>
    </row>
    <row r="497" spans="2:3" x14ac:dyDescent="0.2">
      <c r="B497" s="4"/>
      <c r="C497" s="4"/>
    </row>
    <row r="498" spans="2:3" x14ac:dyDescent="0.2">
      <c r="B498" s="4"/>
      <c r="C498" s="4"/>
    </row>
    <row r="499" spans="2:3" x14ac:dyDescent="0.2">
      <c r="B499" s="4"/>
      <c r="C499" s="4"/>
    </row>
    <row r="500" spans="2:3" x14ac:dyDescent="0.2">
      <c r="B500" s="4"/>
      <c r="C500" s="4"/>
    </row>
    <row r="501" spans="2:3" x14ac:dyDescent="0.2">
      <c r="B501" s="4"/>
      <c r="C501" s="4"/>
    </row>
    <row r="502" spans="2:3" x14ac:dyDescent="0.2">
      <c r="B502" s="4"/>
      <c r="C502" s="4"/>
    </row>
    <row r="503" spans="2:3" x14ac:dyDescent="0.2">
      <c r="B503" s="4"/>
      <c r="C503" s="4"/>
    </row>
    <row r="504" spans="2:3" x14ac:dyDescent="0.2">
      <c r="B504" s="4"/>
      <c r="C504" s="4"/>
    </row>
    <row r="505" spans="2:3" x14ac:dyDescent="0.2">
      <c r="B505" s="4"/>
      <c r="C505" s="4"/>
    </row>
    <row r="506" spans="2:3" x14ac:dyDescent="0.2">
      <c r="B506" s="4"/>
      <c r="C506" s="4"/>
    </row>
    <row r="507" spans="2:3" x14ac:dyDescent="0.2">
      <c r="B507" s="4"/>
      <c r="C507" s="4"/>
    </row>
    <row r="508" spans="2:3" x14ac:dyDescent="0.2">
      <c r="B508" s="4"/>
      <c r="C508" s="4"/>
    </row>
    <row r="509" spans="2:3" x14ac:dyDescent="0.2">
      <c r="B509" s="4"/>
      <c r="C509" s="4"/>
    </row>
    <row r="510" spans="2:3" x14ac:dyDescent="0.2">
      <c r="B510" s="4"/>
      <c r="C510" s="4"/>
    </row>
    <row r="511" spans="2:3" x14ac:dyDescent="0.2">
      <c r="B511" s="4"/>
      <c r="C511" s="4"/>
    </row>
    <row r="512" spans="2:3" x14ac:dyDescent="0.2">
      <c r="B512" s="4"/>
      <c r="C512" s="4"/>
    </row>
    <row r="513" spans="2:3" x14ac:dyDescent="0.2">
      <c r="B513" s="4"/>
      <c r="C513" s="4"/>
    </row>
    <row r="514" spans="2:3" x14ac:dyDescent="0.2">
      <c r="B514" s="4"/>
      <c r="C514" s="4"/>
    </row>
    <row r="515" spans="2:3" x14ac:dyDescent="0.2">
      <c r="B515" s="4"/>
      <c r="C515" s="4"/>
    </row>
    <row r="516" spans="2:3" x14ac:dyDescent="0.2">
      <c r="B516" s="4"/>
      <c r="C516" s="4"/>
    </row>
    <row r="517" spans="2:3" x14ac:dyDescent="0.2">
      <c r="B517" s="4"/>
      <c r="C517" s="4"/>
    </row>
    <row r="518" spans="2:3" x14ac:dyDescent="0.2">
      <c r="B518" s="4"/>
      <c r="C518" s="4"/>
    </row>
    <row r="519" spans="2:3" x14ac:dyDescent="0.2">
      <c r="B519" s="4"/>
      <c r="C519" s="4"/>
    </row>
    <row r="520" spans="2:3" x14ac:dyDescent="0.2">
      <c r="B520" s="4"/>
      <c r="C520" s="4"/>
    </row>
    <row r="521" spans="2:3" x14ac:dyDescent="0.2">
      <c r="B521" s="4"/>
      <c r="C521" s="4"/>
    </row>
    <row r="522" spans="2:3" x14ac:dyDescent="0.2">
      <c r="B522" s="4"/>
      <c r="C522" s="4"/>
    </row>
    <row r="523" spans="2:3" x14ac:dyDescent="0.2">
      <c r="B523" s="4"/>
      <c r="C523" s="4"/>
    </row>
    <row r="524" spans="2:3" x14ac:dyDescent="0.2">
      <c r="B524" s="4"/>
      <c r="C524" s="4"/>
    </row>
    <row r="525" spans="2:3" x14ac:dyDescent="0.2">
      <c r="B525" s="4"/>
      <c r="C525" s="4"/>
    </row>
    <row r="526" spans="2:3" x14ac:dyDescent="0.2">
      <c r="B526" s="4"/>
      <c r="C526" s="4"/>
    </row>
    <row r="527" spans="2:3" x14ac:dyDescent="0.2">
      <c r="B527" s="4"/>
      <c r="C527" s="4"/>
    </row>
    <row r="528" spans="2:3" x14ac:dyDescent="0.2">
      <c r="B528" s="4"/>
      <c r="C528" s="4"/>
    </row>
    <row r="529" spans="2:3" x14ac:dyDescent="0.2">
      <c r="B529" s="4"/>
      <c r="C529" s="4"/>
    </row>
    <row r="530" spans="2:3" x14ac:dyDescent="0.2">
      <c r="B530" s="4"/>
      <c r="C530" s="4"/>
    </row>
    <row r="531" spans="2:3" x14ac:dyDescent="0.2">
      <c r="B531" s="4"/>
      <c r="C531" s="4"/>
    </row>
    <row r="532" spans="2:3" x14ac:dyDescent="0.2">
      <c r="B532" s="4"/>
      <c r="C532" s="4"/>
    </row>
    <row r="533" spans="2:3" x14ac:dyDescent="0.2">
      <c r="B533" s="4"/>
      <c r="C533" s="4"/>
    </row>
    <row r="534" spans="2:3" x14ac:dyDescent="0.2">
      <c r="B534" s="4"/>
      <c r="C534" s="4"/>
    </row>
    <row r="535" spans="2:3" x14ac:dyDescent="0.2">
      <c r="B535" s="4"/>
      <c r="C535" s="4"/>
    </row>
    <row r="536" spans="2:3" x14ac:dyDescent="0.2">
      <c r="B536" s="4"/>
      <c r="C536" s="4"/>
    </row>
    <row r="537" spans="2:3" x14ac:dyDescent="0.2">
      <c r="B537" s="4"/>
      <c r="C537" s="4"/>
    </row>
    <row r="538" spans="2:3" x14ac:dyDescent="0.2">
      <c r="B538" s="4"/>
      <c r="C538" s="4"/>
    </row>
    <row r="539" spans="2:3" x14ac:dyDescent="0.2">
      <c r="B539" s="4"/>
      <c r="C539" s="4"/>
    </row>
    <row r="540" spans="2:3" x14ac:dyDescent="0.2">
      <c r="B540" s="4"/>
      <c r="C540" s="4"/>
    </row>
    <row r="541" spans="2:3" x14ac:dyDescent="0.2">
      <c r="B541" s="4"/>
      <c r="C541" s="4"/>
    </row>
    <row r="542" spans="2:3" x14ac:dyDescent="0.2">
      <c r="B542" s="4"/>
      <c r="C542" s="4"/>
    </row>
    <row r="543" spans="2:3" x14ac:dyDescent="0.2">
      <c r="B543" s="4"/>
      <c r="C543" s="4"/>
    </row>
    <row r="544" spans="2:3" x14ac:dyDescent="0.2">
      <c r="B544" s="4"/>
      <c r="C544" s="4"/>
    </row>
    <row r="545" spans="2:3" x14ac:dyDescent="0.2">
      <c r="B545" s="4"/>
      <c r="C545" s="4"/>
    </row>
    <row r="546" spans="2:3" x14ac:dyDescent="0.2">
      <c r="B546" s="4"/>
      <c r="C546" s="4"/>
    </row>
    <row r="547" spans="2:3" x14ac:dyDescent="0.2">
      <c r="B547" s="4"/>
      <c r="C547" s="4"/>
    </row>
    <row r="548" spans="2:3" x14ac:dyDescent="0.2">
      <c r="B548" s="4"/>
      <c r="C548" s="4"/>
    </row>
    <row r="549" spans="2:3" x14ac:dyDescent="0.2">
      <c r="B549" s="4"/>
      <c r="C549" s="4"/>
    </row>
    <row r="550" spans="2:3" x14ac:dyDescent="0.2">
      <c r="B550" s="4"/>
      <c r="C550" s="4"/>
    </row>
    <row r="551" spans="2:3" x14ac:dyDescent="0.2">
      <c r="B551" s="4"/>
      <c r="C551" s="4"/>
    </row>
    <row r="552" spans="2:3" x14ac:dyDescent="0.2">
      <c r="B552" s="4"/>
      <c r="C552" s="4"/>
    </row>
    <row r="553" spans="2:3" x14ac:dyDescent="0.2">
      <c r="B553" s="4"/>
      <c r="C553" s="4"/>
    </row>
    <row r="554" spans="2:3" x14ac:dyDescent="0.2">
      <c r="B554" s="4"/>
      <c r="C554" s="4"/>
    </row>
    <row r="555" spans="2:3" x14ac:dyDescent="0.2">
      <c r="B555" s="4"/>
      <c r="C555" s="4"/>
    </row>
    <row r="556" spans="2:3" x14ac:dyDescent="0.2">
      <c r="B556" s="4"/>
      <c r="C556" s="4"/>
    </row>
    <row r="557" spans="2:3" x14ac:dyDescent="0.2">
      <c r="B557" s="4"/>
      <c r="C557" s="4"/>
    </row>
    <row r="558" spans="2:3" x14ac:dyDescent="0.2">
      <c r="B558" s="4"/>
      <c r="C558" s="4"/>
    </row>
    <row r="559" spans="2:3" x14ac:dyDescent="0.2">
      <c r="B559" s="4"/>
      <c r="C559" s="4"/>
    </row>
    <row r="560" spans="2:3" x14ac:dyDescent="0.2">
      <c r="B560" s="4"/>
      <c r="C560" s="4"/>
    </row>
    <row r="561" spans="2:3" x14ac:dyDescent="0.2">
      <c r="B561" s="4"/>
      <c r="C561" s="4"/>
    </row>
    <row r="562" spans="2:3" x14ac:dyDescent="0.2">
      <c r="B562" s="4"/>
      <c r="C562" s="4"/>
    </row>
    <row r="563" spans="2:3" x14ac:dyDescent="0.2">
      <c r="B563" s="4"/>
      <c r="C563" s="4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4"/>
      <c r="C577" s="4"/>
    </row>
    <row r="578" spans="2:3" x14ac:dyDescent="0.2">
      <c r="B578" s="4"/>
      <c r="C578" s="4"/>
    </row>
    <row r="579" spans="2:3" x14ac:dyDescent="0.2">
      <c r="B579" s="4"/>
      <c r="C579" s="4"/>
    </row>
    <row r="580" spans="2:3" x14ac:dyDescent="0.2">
      <c r="B580" s="4"/>
      <c r="C580" s="4"/>
    </row>
    <row r="581" spans="2:3" x14ac:dyDescent="0.2">
      <c r="B581" s="4"/>
      <c r="C581" s="4"/>
    </row>
    <row r="582" spans="2:3" x14ac:dyDescent="0.2">
      <c r="B582" s="4"/>
      <c r="C582" s="4"/>
    </row>
    <row r="583" spans="2:3" x14ac:dyDescent="0.2">
      <c r="B583" s="4"/>
      <c r="C583" s="4"/>
    </row>
    <row r="584" spans="2:3" x14ac:dyDescent="0.2">
      <c r="B584" s="4"/>
      <c r="C584" s="4"/>
    </row>
    <row r="585" spans="2:3" x14ac:dyDescent="0.2">
      <c r="B585" s="4"/>
      <c r="C585" s="4"/>
    </row>
    <row r="586" spans="2:3" x14ac:dyDescent="0.2">
      <c r="B586" s="4"/>
      <c r="C586" s="4"/>
    </row>
    <row r="587" spans="2:3" x14ac:dyDescent="0.2">
      <c r="B587" s="4"/>
      <c r="C587" s="4"/>
    </row>
    <row r="588" spans="2:3" x14ac:dyDescent="0.2">
      <c r="B588" s="4"/>
      <c r="C588" s="4"/>
    </row>
    <row r="589" spans="2:3" x14ac:dyDescent="0.2">
      <c r="B589" s="4"/>
      <c r="C589" s="4"/>
    </row>
    <row r="590" spans="2:3" x14ac:dyDescent="0.2">
      <c r="B590" s="4"/>
      <c r="C590" s="4"/>
    </row>
    <row r="591" spans="2:3" x14ac:dyDescent="0.2">
      <c r="B591" s="4"/>
      <c r="C591" s="4"/>
    </row>
    <row r="592" spans="2:3" x14ac:dyDescent="0.2">
      <c r="B592" s="4"/>
      <c r="C592" s="4"/>
    </row>
    <row r="593" spans="2:3" x14ac:dyDescent="0.2">
      <c r="B593" s="4"/>
      <c r="C593" s="4"/>
    </row>
    <row r="594" spans="2:3" x14ac:dyDescent="0.2">
      <c r="B594" s="4"/>
      <c r="C594" s="4"/>
    </row>
    <row r="595" spans="2:3" x14ac:dyDescent="0.2">
      <c r="B595" s="4"/>
      <c r="C595" s="4"/>
    </row>
    <row r="596" spans="2:3" x14ac:dyDescent="0.2">
      <c r="B596" s="4"/>
      <c r="C596" s="4"/>
    </row>
    <row r="597" spans="2:3" x14ac:dyDescent="0.2">
      <c r="B597" s="4"/>
      <c r="C597" s="4"/>
    </row>
    <row r="598" spans="2:3" x14ac:dyDescent="0.2">
      <c r="B598" s="4"/>
      <c r="C598" s="4"/>
    </row>
    <row r="599" spans="2:3" x14ac:dyDescent="0.2">
      <c r="B599" s="4"/>
      <c r="C599" s="4"/>
    </row>
    <row r="600" spans="2:3" x14ac:dyDescent="0.2">
      <c r="B600" s="4"/>
      <c r="C600" s="4"/>
    </row>
    <row r="601" spans="2:3" x14ac:dyDescent="0.2">
      <c r="B601" s="4"/>
      <c r="C601" s="4"/>
    </row>
    <row r="602" spans="2:3" x14ac:dyDescent="0.2">
      <c r="B602" s="4"/>
      <c r="C602" s="4"/>
    </row>
    <row r="603" spans="2:3" x14ac:dyDescent="0.2">
      <c r="B603" s="4"/>
      <c r="C603" s="4"/>
    </row>
    <row r="604" spans="2:3" x14ac:dyDescent="0.2">
      <c r="B604" s="4"/>
      <c r="C604" s="4"/>
    </row>
    <row r="605" spans="2:3" x14ac:dyDescent="0.2">
      <c r="B605" s="4"/>
      <c r="C605" s="4"/>
    </row>
    <row r="606" spans="2:3" x14ac:dyDescent="0.2">
      <c r="B606" s="4"/>
      <c r="C606" s="4"/>
    </row>
    <row r="607" spans="2:3" x14ac:dyDescent="0.2">
      <c r="B607" s="4"/>
      <c r="C607" s="4"/>
    </row>
    <row r="608" spans="2:3" x14ac:dyDescent="0.2">
      <c r="B608" s="4"/>
      <c r="C608" s="4"/>
    </row>
    <row r="609" spans="2:3" x14ac:dyDescent="0.2">
      <c r="B609" s="4"/>
      <c r="C609" s="4"/>
    </row>
    <row r="610" spans="2:3" x14ac:dyDescent="0.2">
      <c r="B610" s="4"/>
      <c r="C610" s="4"/>
    </row>
    <row r="611" spans="2:3" x14ac:dyDescent="0.2">
      <c r="B611" s="4"/>
      <c r="C611" s="4"/>
    </row>
    <row r="612" spans="2:3" x14ac:dyDescent="0.2">
      <c r="B612" s="4"/>
      <c r="C612" s="4"/>
    </row>
    <row r="613" spans="2:3" x14ac:dyDescent="0.2">
      <c r="B613" s="4"/>
      <c r="C613" s="4"/>
    </row>
    <row r="614" spans="2:3" x14ac:dyDescent="0.2">
      <c r="B614" s="4"/>
      <c r="C614" s="4"/>
    </row>
    <row r="615" spans="2:3" x14ac:dyDescent="0.2">
      <c r="B615" s="4"/>
      <c r="C615" s="4"/>
    </row>
    <row r="616" spans="2:3" x14ac:dyDescent="0.2">
      <c r="B616" s="4"/>
      <c r="C616" s="4"/>
    </row>
    <row r="617" spans="2:3" x14ac:dyDescent="0.2">
      <c r="B617" s="4"/>
      <c r="C617" s="4"/>
    </row>
    <row r="618" spans="2:3" x14ac:dyDescent="0.2">
      <c r="B618" s="4"/>
      <c r="C618" s="4"/>
    </row>
    <row r="619" spans="2:3" x14ac:dyDescent="0.2">
      <c r="B619" s="4"/>
      <c r="C619" s="4"/>
    </row>
    <row r="620" spans="2:3" x14ac:dyDescent="0.2">
      <c r="B620" s="4"/>
      <c r="C620" s="4"/>
    </row>
    <row r="621" spans="2:3" x14ac:dyDescent="0.2">
      <c r="B621" s="4"/>
      <c r="C621" s="4"/>
    </row>
    <row r="622" spans="2:3" x14ac:dyDescent="0.2">
      <c r="B622" s="4"/>
      <c r="C622" s="4"/>
    </row>
    <row r="623" spans="2:3" x14ac:dyDescent="0.2">
      <c r="B623" s="4"/>
      <c r="C623" s="4"/>
    </row>
    <row r="624" spans="2:3" x14ac:dyDescent="0.2">
      <c r="B624" s="4"/>
      <c r="C624" s="4"/>
    </row>
    <row r="625" spans="2:3" x14ac:dyDescent="0.2">
      <c r="B625" s="4"/>
      <c r="C625" s="4"/>
    </row>
    <row r="626" spans="2:3" x14ac:dyDescent="0.2">
      <c r="B626" s="4"/>
      <c r="C626" s="4"/>
    </row>
    <row r="627" spans="2:3" x14ac:dyDescent="0.2">
      <c r="B627" s="4"/>
      <c r="C627" s="4"/>
    </row>
    <row r="628" spans="2:3" x14ac:dyDescent="0.2">
      <c r="B628" s="4"/>
      <c r="C628" s="4"/>
    </row>
    <row r="629" spans="2:3" x14ac:dyDescent="0.2">
      <c r="B629" s="4"/>
      <c r="C629" s="4"/>
    </row>
    <row r="630" spans="2:3" x14ac:dyDescent="0.2">
      <c r="B630" s="4"/>
      <c r="C630" s="4"/>
    </row>
    <row r="631" spans="2:3" x14ac:dyDescent="0.2">
      <c r="B631" s="4"/>
      <c r="C631" s="4"/>
    </row>
    <row r="632" spans="2:3" x14ac:dyDescent="0.2">
      <c r="B632" s="4"/>
      <c r="C632" s="4"/>
    </row>
    <row r="633" spans="2:3" x14ac:dyDescent="0.2">
      <c r="B633" s="4"/>
      <c r="C633" s="4"/>
    </row>
    <row r="634" spans="2:3" x14ac:dyDescent="0.2">
      <c r="B634" s="4"/>
      <c r="C634" s="4"/>
    </row>
    <row r="635" spans="2:3" x14ac:dyDescent="0.2">
      <c r="B635" s="4"/>
      <c r="C635" s="4"/>
    </row>
    <row r="636" spans="2:3" x14ac:dyDescent="0.2">
      <c r="B636" s="4"/>
      <c r="C636" s="4"/>
    </row>
    <row r="637" spans="2:3" x14ac:dyDescent="0.2">
      <c r="B637" s="4"/>
      <c r="C637" s="4"/>
    </row>
    <row r="638" spans="2:3" x14ac:dyDescent="0.2">
      <c r="B638" s="4"/>
      <c r="C638" s="4"/>
    </row>
    <row r="639" spans="2:3" x14ac:dyDescent="0.2">
      <c r="B639" s="4"/>
      <c r="C639" s="4"/>
    </row>
    <row r="640" spans="2:3" x14ac:dyDescent="0.2">
      <c r="B640" s="4"/>
      <c r="C640" s="4"/>
    </row>
    <row r="641" spans="2:3" x14ac:dyDescent="0.2">
      <c r="B641" s="4"/>
      <c r="C641" s="4"/>
    </row>
    <row r="642" spans="2:3" x14ac:dyDescent="0.2">
      <c r="B642" s="4"/>
      <c r="C642" s="4"/>
    </row>
    <row r="643" spans="2:3" x14ac:dyDescent="0.2">
      <c r="B643" s="4"/>
      <c r="C643" s="4"/>
    </row>
    <row r="644" spans="2:3" x14ac:dyDescent="0.2">
      <c r="B644" s="4"/>
      <c r="C644" s="4"/>
    </row>
    <row r="645" spans="2:3" x14ac:dyDescent="0.2">
      <c r="B645" s="4"/>
      <c r="C645" s="4"/>
    </row>
    <row r="646" spans="2:3" x14ac:dyDescent="0.2">
      <c r="B646" s="4"/>
      <c r="C646" s="4"/>
    </row>
    <row r="647" spans="2:3" x14ac:dyDescent="0.2">
      <c r="B647" s="4"/>
      <c r="C647" s="4"/>
    </row>
    <row r="648" spans="2:3" x14ac:dyDescent="0.2">
      <c r="B648" s="4"/>
      <c r="C648" s="4"/>
    </row>
    <row r="649" spans="2:3" x14ac:dyDescent="0.2">
      <c r="B649" s="4"/>
      <c r="C649" s="4"/>
    </row>
    <row r="650" spans="2:3" x14ac:dyDescent="0.2">
      <c r="B650" s="4"/>
      <c r="C650" s="4"/>
    </row>
    <row r="651" spans="2:3" x14ac:dyDescent="0.2">
      <c r="B651" s="4"/>
      <c r="C651" s="4"/>
    </row>
    <row r="652" spans="2:3" x14ac:dyDescent="0.2">
      <c r="B652" s="4"/>
      <c r="C652" s="4"/>
    </row>
    <row r="653" spans="2:3" x14ac:dyDescent="0.2">
      <c r="B653" s="4"/>
      <c r="C653" s="4"/>
    </row>
    <row r="654" spans="2:3" x14ac:dyDescent="0.2">
      <c r="B654" s="4"/>
      <c r="C654" s="4"/>
    </row>
    <row r="655" spans="2:3" x14ac:dyDescent="0.2">
      <c r="B655" s="4"/>
      <c r="C655" s="4"/>
    </row>
    <row r="656" spans="2:3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</sheetData>
  <hyperlinks>
    <hyperlink ref="C2" r:id="rId1" display="https://leetcode.com/problems/median-of-two-sorted-arrays" xr:uid="{00000000-0004-0000-0300-000000000000}"/>
    <hyperlink ref="C3" r:id="rId2" display="https://leetcode.com/problems/regular-expression-matching" xr:uid="{00000000-0004-0000-0300-000001000000}"/>
    <hyperlink ref="C4" r:id="rId3" display="https://leetcode.com/problems/merge-k-sorted-lists" xr:uid="{00000000-0004-0000-0300-000002000000}"/>
    <hyperlink ref="C5" r:id="rId4" display="https://leetcode.com/problems/reverse-nodes-in-k-group" xr:uid="{00000000-0004-0000-0300-000003000000}"/>
    <hyperlink ref="C6" r:id="rId5" display="https://leetcode.com/problems/substring-with-concatenation-of-all-words" xr:uid="{00000000-0004-0000-0300-000004000000}"/>
    <hyperlink ref="C7" r:id="rId6" display="https://leetcode.com/problems/longest-valid-parentheses" xr:uid="{00000000-0004-0000-0300-000005000000}"/>
    <hyperlink ref="C8" r:id="rId7" display="https://leetcode.com/problems/sudoku-solver" xr:uid="{00000000-0004-0000-0300-000006000000}"/>
    <hyperlink ref="C9" r:id="rId8" display="https://leetcode.com/problems/first-missing-positive" xr:uid="{00000000-0004-0000-0300-000007000000}"/>
    <hyperlink ref="C10" r:id="rId9" display="https://leetcode.com/problems/trapping-rain-water" xr:uid="{00000000-0004-0000-0300-000008000000}"/>
    <hyperlink ref="C11" r:id="rId10" display="https://leetcode.com/problems/n-queens" xr:uid="{00000000-0004-0000-0300-000009000000}"/>
    <hyperlink ref="C12" r:id="rId11" display="https://leetcode.com/problems/permutation-sequence" xr:uid="{00000000-0004-0000-0300-00000A000000}"/>
    <hyperlink ref="C13" r:id="rId12" display="https://leetcode.com/problems/valid-number" xr:uid="{00000000-0004-0000-0300-00000B000000}"/>
    <hyperlink ref="C14" r:id="rId13" display="https://leetcode.com/problems/edit-distance" xr:uid="{00000000-0004-0000-0300-00000C000000}"/>
    <hyperlink ref="C15" r:id="rId14" display="https://leetcode.com/problems/minimum-window-substring" xr:uid="{00000000-0004-0000-0300-00000D000000}"/>
    <hyperlink ref="C16" r:id="rId15" display="https://leetcode.com/problems/largest-rectangle-in-histogram" xr:uid="{00000000-0004-0000-0300-00000E000000}"/>
    <hyperlink ref="C17" r:id="rId16" display="https://leetcode.com/problems/maximal-rectangle" xr:uid="{00000000-0004-0000-0300-00000F000000}"/>
    <hyperlink ref="C18" r:id="rId17" display="https://leetcode.com/problems/best-time-to-buy-and-sell-stock-iii" xr:uid="{00000000-0004-0000-0300-000010000000}"/>
    <hyperlink ref="C19" r:id="rId18" display="https://leetcode.com/problems/binary-tree-maximum-path-sum" xr:uid="{00000000-0004-0000-0300-000011000000}"/>
    <hyperlink ref="C20" r:id="rId19" display="https://leetcode.com/problems/word-ladder-ii" xr:uid="{00000000-0004-0000-0300-000012000000}"/>
    <hyperlink ref="C21" r:id="rId20" display="https://leetcode.com/problems/word-ladder" xr:uid="{00000000-0004-0000-0300-000013000000}"/>
    <hyperlink ref="C22" r:id="rId21" display="https://leetcode.com/problems/palindrome-partitioning-ii" xr:uid="{00000000-0004-0000-0300-000014000000}"/>
    <hyperlink ref="C23" r:id="rId22" display="https://leetcode.com/problems/candy" xr:uid="{00000000-0004-0000-0300-000015000000}"/>
    <hyperlink ref="C24" r:id="rId23" display="https://leetcode.com/problems/word-break-ii" xr:uid="{00000000-0004-0000-0300-000016000000}"/>
    <hyperlink ref="C25" r:id="rId24" display="https://leetcode.com/problems/max-points-on-a-line" xr:uid="{00000000-0004-0000-0300-000017000000}"/>
    <hyperlink ref="C26" r:id="rId25" display="https://leetcode.com/problems/department-top-three-salaries" xr:uid="{00000000-0004-0000-0300-000018000000}"/>
    <hyperlink ref="C27" r:id="rId26" display="https://leetcode.com/problems/best-time-to-buy-and-sell-stock-iv" xr:uid="{00000000-0004-0000-0300-000019000000}"/>
    <hyperlink ref="C28" r:id="rId27" display="https://leetcode.com/problems/word-search-ii" xr:uid="{00000000-0004-0000-0300-00001A000000}"/>
    <hyperlink ref="C29" r:id="rId28" display="https://leetcode.com/problems/the-skyline-problem" xr:uid="{00000000-0004-0000-0300-00001B000000}"/>
    <hyperlink ref="C30" r:id="rId29" display="https://leetcode.com/problems/contains-duplicate-iii" xr:uid="{00000000-0004-0000-0300-00001C000000}"/>
    <hyperlink ref="C31" r:id="rId30" display="https://leetcode.com/problems/basic-calculator" xr:uid="{00000000-0004-0000-0300-00001D000000}"/>
    <hyperlink ref="C32" r:id="rId31" display="https://leetcode.com/problems/sliding-window-maximum" xr:uid="{00000000-0004-0000-0300-00001E000000}"/>
    <hyperlink ref="C33" r:id="rId32" display="https://leetcode.com/problems/trips-and-users" xr:uid="{00000000-0004-0000-0300-00001F000000}"/>
    <hyperlink ref="C34" r:id="rId33" display="https://leetcode.com/problems/paint-house-ii" xr:uid="{00000000-0004-0000-0300-000020000000}"/>
    <hyperlink ref="C35" r:id="rId34" display="https://leetcode.com/problems/alien-dictionary" xr:uid="{00000000-0004-0000-0300-000021000000}"/>
    <hyperlink ref="C36" r:id="rId35" display="https://leetcode.com/problems/integer-to-english-words" xr:uid="{00000000-0004-0000-0300-000022000000}"/>
    <hyperlink ref="C37" r:id="rId36" display="https://leetcode.com/problems/find-median-from-data-stream" xr:uid="{00000000-0004-0000-0300-000023000000}"/>
    <hyperlink ref="C38" r:id="rId37" display="https://leetcode.com/problems/serialize-and-deserialize-binary-tree" xr:uid="{00000000-0004-0000-0300-000024000000}"/>
    <hyperlink ref="C39" r:id="rId38" display="https://leetcode.com/problems/remove-invalid-parentheses" xr:uid="{00000000-0004-0000-0300-000025000000}"/>
    <hyperlink ref="C40" r:id="rId39" display="https://leetcode.com/problems/number-of-islands-ii" xr:uid="{00000000-0004-0000-0300-000026000000}"/>
    <hyperlink ref="C41" r:id="rId40" display="https://leetcode.com/problems/count-of-smaller-numbers-after-self" xr:uid="{00000000-0004-0000-0300-000027000000}"/>
    <hyperlink ref="C42" r:id="rId41" display="https://leetcode.com/problems/longest-increasing-path-in-a-matrix" xr:uid="{00000000-0004-0000-0300-000028000000}"/>
    <hyperlink ref="C43" r:id="rId42" display="https://leetcode.com/problems/reconstruct-itinerary" xr:uid="{00000000-0004-0000-0300-000029000000}"/>
    <hyperlink ref="C44" r:id="rId43" display="https://leetcode.com/problems/palindrome-pairs" xr:uid="{00000000-0004-0000-0300-00002A000000}"/>
    <hyperlink ref="C45" r:id="rId44" display="https://leetcode.com/problems/russian-doll-envelopes" xr:uid="{00000000-0004-0000-0300-00002B000000}"/>
    <hyperlink ref="C46" r:id="rId45" display="https://leetcode.com/problems/max-sum-of-rectangle-no-larger-than-k" xr:uid="{00000000-0004-0000-0300-00002C000000}"/>
    <hyperlink ref="C47" r:id="rId46" display="https://leetcode.com/problems/insert-delete-getrandom-o1-duplicates-allowed" xr:uid="{00000000-0004-0000-0300-00002D000000}"/>
    <hyperlink ref="C48" r:id="rId47" display="https://leetcode.com/problems/frog-jump" xr:uid="{00000000-0004-0000-0300-00002E000000}"/>
    <hyperlink ref="C49" r:id="rId48" display="https://leetcode.com/problems/trapping-rain-water-ii" xr:uid="{00000000-0004-0000-0300-00002F000000}"/>
    <hyperlink ref="C50" r:id="rId49" display="https://leetcode.com/problems/split-array-largest-sum" xr:uid="{00000000-0004-0000-0300-000030000000}"/>
    <hyperlink ref="C51" r:id="rId50" display="https://leetcode.com/problems/strong-password-checker" xr:uid="{00000000-0004-0000-0300-000031000000}"/>
    <hyperlink ref="C52" r:id="rId51" display="https://leetcode.com/problems/all-oone-data-structure" xr:uid="{00000000-0004-0000-0300-000032000000}"/>
    <hyperlink ref="C53" r:id="rId52" display="https://leetcode.com/problems/poor-pigs" xr:uid="{00000000-0004-0000-0300-000033000000}"/>
    <hyperlink ref="C54" r:id="rId53" display="https://leetcode.com/problems/lfu-cache" xr:uid="{00000000-0004-0000-0300-000034000000}"/>
    <hyperlink ref="C55" r:id="rId54" display="https://leetcode.com/problems/optimal-account-balancing" xr:uid="{00000000-0004-0000-0300-000035000000}"/>
    <hyperlink ref="C56" r:id="rId55" display="https://leetcode.com/problems/concatenated-words" xr:uid="{00000000-0004-0000-0300-000036000000}"/>
    <hyperlink ref="C57" r:id="rId56" display="https://leetcode.com/problems/sliding-window-median" xr:uid="{00000000-0004-0000-0300-000037000000}"/>
    <hyperlink ref="C58" r:id="rId57" display="https://leetcode.com/problems/reverse-pairs" xr:uid="{00000000-0004-0000-0300-000038000000}"/>
    <hyperlink ref="C59" r:id="rId58" display="https://leetcode.com/problems/ipo" xr:uid="{00000000-0004-0000-0300-000039000000}"/>
    <hyperlink ref="C60" r:id="rId59" display="https://leetcode.com/problems/word-abbreviation" xr:uid="{00000000-0004-0000-0300-00003A000000}"/>
    <hyperlink ref="C61" r:id="rId60" display="https://leetcode.com/problems/design-in-memory-file-system" xr:uid="{00000000-0004-0000-0300-00003B000000}"/>
    <hyperlink ref="C62" r:id="rId61" display="https://leetcode.com/problems/students-report-by-geography" xr:uid="{00000000-0004-0000-0300-00003C000000}"/>
    <hyperlink ref="C63" r:id="rId62" display="https://leetcode.com/problems/smallest-range-covering-elements-from-k-lists" xr:uid="{00000000-0004-0000-0300-00003D000000}"/>
    <hyperlink ref="C64" r:id="rId63" display="https://leetcode.com/problems/design-search-autocomplete-system" xr:uid="{00000000-0004-0000-0300-00003E000000}"/>
    <hyperlink ref="C65" r:id="rId64" display="https://leetcode.com/problems/range-module" xr:uid="{00000000-0004-0000-0300-00003F000000}"/>
    <hyperlink ref="C66" r:id="rId65" display="https://leetcode.com/problems/max-stack" xr:uid="{00000000-0004-0000-0300-000040000000}"/>
    <hyperlink ref="C67" r:id="rId66" display="https://leetcode.com/problems/find-k-th-smallest-pair-distance" xr:uid="{00000000-0004-0000-0300-000041000000}"/>
    <hyperlink ref="C68" r:id="rId67" display="https://leetcode.com/problems/serialize-and-deserialize-n-ary-tree" xr:uid="{00000000-0004-0000-0300-000042000000}"/>
    <hyperlink ref="C69" r:id="rId68" display="https://leetcode.com/problems/basic-calculator-iii" xr:uid="{00000000-0004-0000-0300-000043000000}"/>
    <hyperlink ref="C70" r:id="rId69" display="https://leetcode.com/problems/sliding-puzzle" xr:uid="{00000000-0004-0000-0300-000044000000}"/>
    <hyperlink ref="C71" r:id="rId70" display="https://leetcode.com/problems/swim-in-rising-water" xr:uid="{00000000-0004-0000-0300-000045000000}"/>
    <hyperlink ref="C72" r:id="rId71" display="https://leetcode.com/problems/bus-routes" xr:uid="{00000000-0004-0000-0300-000046000000}"/>
    <hyperlink ref="C73" r:id="rId72" display="https://leetcode.com/problems/race-car" xr:uid="{00000000-0004-0000-0300-000047000000}"/>
    <hyperlink ref="C74" r:id="rId73" display="https://leetcode.com/problems/making-a-large-island" xr:uid="{00000000-0004-0000-0300-000048000000}"/>
    <hyperlink ref="C75" r:id="rId74" display="https://leetcode.com/problems/count-unique-characters-of-all-substrings-of-a-given-string" xr:uid="{00000000-0004-0000-0300-000049000000}"/>
    <hyperlink ref="C76" r:id="rId75" display="https://leetcode.com/problems/robot-room-cleaner" xr:uid="{00000000-0004-0000-0300-00004A000000}"/>
    <hyperlink ref="C77" r:id="rId76" display="https://leetcode.com/problems/shortest-path-visiting-all-nodes" xr:uid="{00000000-0004-0000-0300-00004B000000}"/>
    <hyperlink ref="C78" r:id="rId77" display="https://leetcode.com/problems/minimum-cost-to-hire-k-workers" xr:uid="{00000000-0004-0000-0300-00004C000000}"/>
    <hyperlink ref="C79" r:id="rId78" display="https://leetcode.com/problems/shortest-subarray-with-sum-at-least-k" xr:uid="{00000000-0004-0000-0300-00004D000000}"/>
    <hyperlink ref="C80" r:id="rId79" display="https://leetcode.com/problems/minimum-number-of-refueling-stops" xr:uid="{00000000-0004-0000-0300-00004E000000}"/>
    <hyperlink ref="C81" r:id="rId80" display="https://leetcode.com/problems/maximum-frequency-stack" xr:uid="{00000000-0004-0000-0300-00004F000000}"/>
    <hyperlink ref="C82" r:id="rId81" display="https://leetcode.com/problems/valid-permutations-for-di-sequence" xr:uid="{00000000-0004-0000-0300-000050000000}"/>
    <hyperlink ref="C83" r:id="rId82" display="https://leetcode.com/problems/binary-tree-cameras" xr:uid="{00000000-0004-0000-0300-000051000000}"/>
    <hyperlink ref="C84" r:id="rId83" display="https://leetcode.com/problems/vertical-order-traversal-of-a-binary-tree" xr:uid="{00000000-0004-0000-0300-000052000000}"/>
    <hyperlink ref="C85" r:id="rId84" display="https://leetcode.com/problems/subarrays-with-k-different-integers" xr:uid="{00000000-0004-0000-0300-000053000000}"/>
    <hyperlink ref="C86" r:id="rId85" display="https://leetcode.com/problems/stream-of-characters" xr:uid="{00000000-0004-0000-0300-000054000000}"/>
    <hyperlink ref="C87" r:id="rId86" display="https://leetcode.com/problems/longest-duplicate-substring" xr:uid="{00000000-0004-0000-0300-000055000000}"/>
    <hyperlink ref="C88" r:id="rId87" display="https://leetcode.com/problems/valid-palindrome-iii" xr:uid="{00000000-0004-0000-0300-000056000000}"/>
    <hyperlink ref="C89" r:id="rId88" display="https://leetcode.com/problems/critical-connections-in-a-network" xr:uid="{00000000-0004-0000-0300-000057000000}"/>
    <hyperlink ref="C90" r:id="rId89" display="https://leetcode.com/problems/number-of-visible-people-in-a-queue" xr:uid="{00000000-0004-0000-0300-000058000000}"/>
    <hyperlink ref="C91" r:id="rId90" display="https://leetcode.com/problems/sort-items-by-groups-respecting-dependencies" xr:uid="{00000000-0004-0000-0300-000059000000}"/>
    <hyperlink ref="C92" r:id="rId91" display="https://leetcode.com/problems/count-vowels-permutation" xr:uid="{00000000-0004-0000-0300-00005A000000}"/>
    <hyperlink ref="C93" r:id="rId92" display="https://leetcode.com/problems/maximum-profit-in-job-scheduling" xr:uid="{00000000-0004-0000-0300-00005B000000}"/>
    <hyperlink ref="C94" r:id="rId93" display="https://leetcode.com/problems/minimum-number-of-moves-to-make-palindrome" xr:uid="{00000000-0004-0000-0300-00005C000000}"/>
    <hyperlink ref="C95" r:id="rId94" display="https://leetcode.com/problems/shortest-path-in-a-grid-with-obstacles-elimination" xr:uid="{00000000-0004-0000-0300-00005D000000}"/>
    <hyperlink ref="C96" r:id="rId95" display="https://leetcode.com/problems/jump-game-iv" xr:uid="{00000000-0004-0000-0300-00005E000000}"/>
    <hyperlink ref="C97" r:id="rId96" display="https://leetcode.com/problems/minimum-number-of-taps-to-open-to-water-a-garden" xr:uid="{00000000-0004-0000-0300-00005F000000}"/>
    <hyperlink ref="C98" r:id="rId97" display="https://leetcode.com/problems/minimum-difficulty-of-a-job-schedule" xr:uid="{00000000-0004-0000-0300-000060000000}"/>
    <hyperlink ref="C99" r:id="rId98" display="https://leetcode.com/problems/jump-game-v" xr:uid="{00000000-0004-0000-0300-000061000000}"/>
    <hyperlink ref="C100" r:id="rId99" display="https://leetcode.com/problems/construct-target-array-with-multiple-sums" xr:uid="{00000000-0004-0000-0300-000062000000}"/>
    <hyperlink ref="C101" r:id="rId100" display="https://leetcode.com/problems/maximum-performance-of-a-team" xr:uid="{00000000-0004-0000-0300-000063000000}"/>
    <hyperlink ref="C102" r:id="rId101" display="https://leetcode.com/problems/minimum-cost-to-cut-a-stick" xr:uid="{00000000-0004-0000-0300-000064000000}"/>
    <hyperlink ref="C103" r:id="rId102" display="https://leetcode.com/problems/stone-game-v" xr:uid="{00000000-0004-0000-0300-000065000000}"/>
    <hyperlink ref="C104" r:id="rId103" display="https://leetcode.com/problems/build-binary-expression-tree-from-infix-expression" xr:uid="{00000000-0004-0000-0300-000066000000}"/>
    <hyperlink ref="C105" r:id="rId104" display="https://leetcode.com/problems/find-minimum-time-to-finish-all-jobs" xr:uid="{00000000-0004-0000-0300-000067000000}"/>
    <hyperlink ref="C106" r:id="rId105" display="https://leetcode.com/problems/first-and-last-call-on-the-same-day" xr:uid="{00000000-0004-0000-0300-000068000000}"/>
    <hyperlink ref="C107" r:id="rId106" display="https://leetcode.com/problems/partition-array-into-two-arrays-to-minimize-sum-difference" xr:uid="{00000000-0004-0000-0300-000069000000}"/>
    <hyperlink ref="C108" r:id="rId107" display="https://leetcode.com/problems/sequentially-ordinal-rank-tracker" xr:uid="{00000000-0004-0000-0300-00006A000000}"/>
    <hyperlink ref="C109" r:id="rId108" display="https://leetcode.com/problems/minimum-difference-in-sums-after-removal-of-elements" xr:uid="{00000000-0004-0000-0300-00006B000000}"/>
    <hyperlink ref="C110" r:id="rId109" display="https://leetcode.com/problems/maximum-total-beauty-of-the-gardens" xr:uid="{00000000-0004-0000-0300-00006C000000}"/>
    <hyperlink ref="C111" r:id="rId110" display="https://leetcode.com/problems/total-appeal-of-a-string" xr:uid="{00000000-0004-0000-0300-00006D000000}"/>
    <hyperlink ref="C112" r:id="rId111" display="https://leetcode.com/problems/substring-with-largest-variance" xr:uid="{00000000-0004-0000-0300-00006E000000}"/>
    <hyperlink ref="C113" r:id="rId112" display="https://leetcode.com/problems/sum-of-total-strength-of-wizards" xr:uid="{00000000-0004-0000-0300-00006F000000}"/>
    <hyperlink ref="C114" r:id="rId113" display="https://leetcode.com/problems/count-subarrays-with-score-less-than-k" xr:uid="{00000000-0004-0000-0300-000070000000}"/>
    <hyperlink ref="C115" r:id="rId114" display="https://leetcode.com/problems/shortest-impossible-sequence-of-rolls" xr:uid="{00000000-0004-0000-0300-000071000000}"/>
    <hyperlink ref="C116" r:id="rId115" display="https://leetcode.com/problems/maximum-number-of-robots-within-budget" xr:uid="{00000000-0004-0000-0300-000072000000}"/>
    <hyperlink ref="C117" r:id="rId116" display="https://leetcode.com/problems/count-special-integers" xr:uid="{00000000-0004-0000-0300-000073000000}"/>
    <hyperlink ref="C118" r:id="rId117" display="https://leetcode.com/problems/find-the-k-sum-of-an-array" xr:uid="{00000000-0004-0000-0300-000074000000}"/>
    <hyperlink ref="C119" r:id="rId118" display="https://leetcode.com/problems/maximum-number-of-books-you-can-take" xr:uid="{00000000-0004-0000-0300-00007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</vt:lpstr>
      <vt:lpstr>Easy</vt:lpstr>
      <vt:lpstr>Medium</vt:lpstr>
      <vt:lpstr>Hard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</cp:lastModifiedBy>
  <dcterms:modified xsi:type="dcterms:W3CDTF">2023-11-29T19:22:32Z</dcterms:modified>
</cp:coreProperties>
</file>